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ms-office.chartcolorstyle+xml" PartName="/xl/charts/colors1.xml"/>
  <Override ContentType="application/vnd.ms-office.chartcolorstyle+xml" PartName="/xl/charts/colors2.xml"/>
  <Override ContentType="application/vnd.ms-office.chartcolorstyle+xml" PartName="/xl/charts/colors3.xml"/>
  <Override ContentType="application/vnd.ms-office.chartcolorstyle+xml" PartName="/xl/charts/colors4.xml"/>
  <Override ContentType="application/vnd.ms-office.chartcolorstyle+xml" PartName="/xl/charts/colors5.xml"/>
  <Override ContentType="application/vnd.ms-office.chartcolorstyle+xml" PartName="/xl/charts/colors6.xml"/>
  <Override ContentType="application/vnd.ms-office.chartcolorstyle+xml" PartName="/xl/charts/colors7.xml"/>
  <Override ContentType="application/vnd.ms-office.chartstyle+xml" PartName="/xl/charts/style1.xml"/>
  <Override ContentType="application/vnd.ms-office.chartstyle+xml" PartName="/xl/charts/style2.xml"/>
  <Override ContentType="application/vnd.ms-office.chartstyle+xml" PartName="/xl/charts/style3.xml"/>
  <Override ContentType="application/vnd.ms-office.chartstyle+xml" PartName="/xl/charts/style4.xml"/>
  <Override ContentType="application/vnd.ms-office.chartstyle+xml" PartName="/xl/charts/style5.xml"/>
  <Override ContentType="application/vnd.ms-office.chartstyle+xml" PartName="/xl/charts/style6.xml"/>
  <Override ContentType="application/vnd.ms-office.chartstyle+xml" PartName="/xl/charts/style7.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v-10c8.lansys.mhlw.go.jp\a\課1\14019000_栃木労働局\3-1栃木労働局雇用環境・均等室\企画係\R6年度　鈴木\広報\HP\070307 雇均室\"/>
    </mc:Choice>
  </mc:AlternateContent>
  <xr:revisionPtr revIDLastSave="0" documentId="8_{B7DBF059-C9DE-464C-BB00-489367D6F01B}" xr6:coauthVersionLast="47" xr6:coauthVersionMax="47" xr10:uidLastSave="{00000000-0000-0000-0000-000000000000}"/>
  <bookViews>
    <workbookView xWindow="-120" yWindow="-120" windowWidth="29040" windowHeight="15840" tabRatio="1000" xr2:uid="{0D921B40-A92F-3C4C-BB58-FE1329FAA155}"/>
  </bookViews>
  <sheets>
    <sheet name="分析結果" sheetId="11" r:id="rId1"/>
    <sheet name="入力シート" sheetId="7" r:id="rId2"/>
    <sheet name="従業員情報(給与以外)" sheetId="2" r:id="rId3"/>
    <sheet name="従業員の給与情報" sheetId="3" r:id="rId4"/>
    <sheet name="課題タイプ" sheetId="41" state="hidden" r:id="rId5"/>
    <sheet name="課題タイプ2" sheetId="42" state="hidden" r:id="rId6"/>
    <sheet name="計算" sheetId="12" state="hidden" r:id="rId7"/>
    <sheet name="賃構DB" sheetId="38" state="hidden" r:id="rId8"/>
    <sheet name="雇動DB" sheetId="43" state="hidden" r:id="rId9"/>
    <sheet name="入力リスト" sheetId="10" state="hidden" r:id="rId10"/>
    <sheet name="エラー_入シ全体" sheetId="40" state="hidden" r:id="rId11"/>
    <sheet name="エラー_入シ(3)" sheetId="32" state="hidden" r:id="rId12"/>
    <sheet name="エラー_従業員" sheetId="33" state="hidden" r:id="rId13"/>
    <sheet name="エラー_給与" sheetId="34" state="hidden" r:id="rId14"/>
  </sheets>
  <definedNames>
    <definedName name="_xlnm._FilterDatabase" localSheetId="11" hidden="1">'エラー_入シ(3)'!$A$4:$N$21</definedName>
    <definedName name="_xlnm._FilterDatabase" localSheetId="10" hidden="1">エラー_入シ全体!$A$1:$R$20</definedName>
    <definedName name="_xlnm._FilterDatabase" localSheetId="4" hidden="1">課題タイプ!$A$2:$S$130</definedName>
    <definedName name="_xlnm._FilterDatabase" localSheetId="6" hidden="1">計算!$A$6:$U$290</definedName>
    <definedName name="_xlnm._FilterDatabase" localSheetId="3" hidden="1">従業員の給与情報!$A$3:$O$2225</definedName>
    <definedName name="_xlnm._FilterDatabase" localSheetId="2" hidden="1">'従業員情報(給与以外)'!$A$3:$Z$870</definedName>
    <definedName name="_xlnm._FilterDatabase" localSheetId="7" hidden="1">賃構DB!$3:$3824</definedName>
    <definedName name="_xlnm.Print_Area" localSheetId="3">従業員の給与情報!$A$1:$F$2502</definedName>
    <definedName name="_xlnm.Print_Area" localSheetId="2">'従業員情報(給与以外)'!$A$1:$E$502</definedName>
    <definedName name="_xlnm.Print_Area" localSheetId="1">入力シート!$A$1:$BI$121</definedName>
    <definedName name="_xlnm.Print_Area" localSheetId="0">分析結果!$A$1:$BG$53</definedName>
    <definedName name="_xlnm.Print_Titles" localSheetId="0">分析結果!$1:$1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8" i="12" l="1"/>
  <c r="D41" i="11"/>
  <c r="H2503" i="3" l="1"/>
  <c r="I2503" i="3"/>
  <c r="J2503" i="3"/>
  <c r="K2503" i="3"/>
  <c r="L2503" i="3"/>
  <c r="M2503" i="3"/>
  <c r="N2503" i="3"/>
  <c r="N302" i="2"/>
  <c r="G2503" i="3" l="1"/>
  <c r="S4" i="2" l="1"/>
  <c r="C30" i="7"/>
  <c r="BL37" i="7"/>
  <c r="C3" i="12"/>
  <c r="F47" i="12" l="1"/>
  <c r="G47" i="12"/>
  <c r="G43" i="12"/>
  <c r="F43" i="12"/>
  <c r="F28" i="12"/>
  <c r="G45" i="12"/>
  <c r="F45" i="12"/>
  <c r="F20" i="12"/>
  <c r="G32" i="12"/>
  <c r="O32" i="12" s="1"/>
  <c r="G9" i="12"/>
  <c r="G28" i="12"/>
  <c r="G18" i="12"/>
  <c r="O18" i="12" s="1"/>
  <c r="G19" i="12"/>
  <c r="O19" i="12" s="1"/>
  <c r="F18" i="12"/>
  <c r="BK30" i="7"/>
  <c r="I18" i="12" l="1"/>
  <c r="N18" i="12"/>
  <c r="P18" i="12" s="1"/>
  <c r="N43" i="12"/>
  <c r="I43" i="12"/>
  <c r="H14" i="40"/>
  <c r="H15" i="40"/>
  <c r="H16" i="40"/>
  <c r="H17" i="40"/>
  <c r="H18" i="40"/>
  <c r="H19" i="40"/>
  <c r="H20" i="40"/>
  <c r="H13" i="40"/>
  <c r="I17" i="42" l="1"/>
  <c r="R5" i="2" l="1"/>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R4" i="2"/>
  <c r="S21" i="33" l="1"/>
  <c r="S22" i="33"/>
  <c r="S23" i="33"/>
  <c r="S24" i="33"/>
  <c r="S25" i="33"/>
  <c r="S26" i="33"/>
  <c r="S27" i="33"/>
  <c r="S28" i="33"/>
  <c r="S29" i="33"/>
  <c r="S30" i="33"/>
  <c r="S31" i="33"/>
  <c r="S32" i="33"/>
  <c r="S33" i="33"/>
  <c r="S34" i="33"/>
  <c r="S20" i="33"/>
  <c r="O8" i="33"/>
  <c r="N8" i="33"/>
  <c r="M8" i="33"/>
  <c r="L8" i="33"/>
  <c r="T8" i="33" l="1"/>
  <c r="E3" i="3"/>
  <c r="L10" i="34" s="1"/>
  <c r="C3" i="2"/>
  <c r="E3" i="2"/>
  <c r="F3" i="3"/>
  <c r="L9" i="34" l="1"/>
  <c r="L12" i="34"/>
  <c r="BM40" i="7"/>
  <c r="BL38" i="7"/>
  <c r="H3" i="40"/>
  <c r="H5" i="3" l="1"/>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0" i="3"/>
  <c r="H481" i="3"/>
  <c r="H482" i="3"/>
  <c r="H483" i="3"/>
  <c r="H484" i="3"/>
  <c r="H485" i="3"/>
  <c r="H486" i="3"/>
  <c r="H487" i="3"/>
  <c r="H488" i="3"/>
  <c r="H489" i="3"/>
  <c r="H490" i="3"/>
  <c r="H491" i="3"/>
  <c r="H492" i="3"/>
  <c r="H493" i="3"/>
  <c r="H494" i="3"/>
  <c r="H495" i="3"/>
  <c r="H496" i="3"/>
  <c r="H497" i="3"/>
  <c r="H498" i="3"/>
  <c r="H499" i="3"/>
  <c r="H500" i="3"/>
  <c r="H501" i="3"/>
  <c r="H502" i="3"/>
  <c r="H503" i="3"/>
  <c r="H504" i="3"/>
  <c r="H505" i="3"/>
  <c r="H506" i="3"/>
  <c r="H507" i="3"/>
  <c r="H508" i="3"/>
  <c r="H509" i="3"/>
  <c r="H510" i="3"/>
  <c r="H511" i="3"/>
  <c r="H512" i="3"/>
  <c r="H513" i="3"/>
  <c r="H514" i="3"/>
  <c r="H515" i="3"/>
  <c r="H516" i="3"/>
  <c r="H517" i="3"/>
  <c r="H518" i="3"/>
  <c r="H519" i="3"/>
  <c r="H520" i="3"/>
  <c r="H521" i="3"/>
  <c r="H522" i="3"/>
  <c r="H523" i="3"/>
  <c r="H524" i="3"/>
  <c r="H525" i="3"/>
  <c r="H526" i="3"/>
  <c r="H527" i="3"/>
  <c r="H528" i="3"/>
  <c r="H529" i="3"/>
  <c r="H530" i="3"/>
  <c r="H531" i="3"/>
  <c r="H532" i="3"/>
  <c r="H533" i="3"/>
  <c r="H534" i="3"/>
  <c r="H535" i="3"/>
  <c r="H536" i="3"/>
  <c r="H537" i="3"/>
  <c r="H538" i="3"/>
  <c r="H539" i="3"/>
  <c r="H540" i="3"/>
  <c r="H541" i="3"/>
  <c r="H542" i="3"/>
  <c r="H543" i="3"/>
  <c r="H544" i="3"/>
  <c r="H545" i="3"/>
  <c r="H546" i="3"/>
  <c r="H547" i="3"/>
  <c r="H548" i="3"/>
  <c r="H549" i="3"/>
  <c r="H550" i="3"/>
  <c r="H551" i="3"/>
  <c r="H552" i="3"/>
  <c r="H553" i="3"/>
  <c r="H554" i="3"/>
  <c r="H555" i="3"/>
  <c r="H556" i="3"/>
  <c r="H557" i="3"/>
  <c r="H558" i="3"/>
  <c r="H559" i="3"/>
  <c r="H560" i="3"/>
  <c r="H561" i="3"/>
  <c r="H562" i="3"/>
  <c r="H563" i="3"/>
  <c r="H564" i="3"/>
  <c r="H565" i="3"/>
  <c r="H566" i="3"/>
  <c r="H567" i="3"/>
  <c r="H568" i="3"/>
  <c r="H569" i="3"/>
  <c r="H570" i="3"/>
  <c r="H571" i="3"/>
  <c r="H572" i="3"/>
  <c r="H573" i="3"/>
  <c r="H574" i="3"/>
  <c r="H575" i="3"/>
  <c r="H576" i="3"/>
  <c r="H577" i="3"/>
  <c r="H578" i="3"/>
  <c r="H579" i="3"/>
  <c r="H580" i="3"/>
  <c r="H581" i="3"/>
  <c r="H582" i="3"/>
  <c r="H583" i="3"/>
  <c r="H584" i="3"/>
  <c r="H585" i="3"/>
  <c r="H586" i="3"/>
  <c r="H587" i="3"/>
  <c r="H588" i="3"/>
  <c r="H589" i="3"/>
  <c r="H590" i="3"/>
  <c r="H591" i="3"/>
  <c r="H592" i="3"/>
  <c r="H593" i="3"/>
  <c r="H594" i="3"/>
  <c r="H595" i="3"/>
  <c r="H596" i="3"/>
  <c r="H597" i="3"/>
  <c r="H598" i="3"/>
  <c r="H599" i="3"/>
  <c r="H600" i="3"/>
  <c r="H601" i="3"/>
  <c r="H602" i="3"/>
  <c r="H603" i="3"/>
  <c r="H604" i="3"/>
  <c r="H605" i="3"/>
  <c r="H606" i="3"/>
  <c r="H607" i="3"/>
  <c r="H608" i="3"/>
  <c r="H609" i="3"/>
  <c r="H610" i="3"/>
  <c r="H611" i="3"/>
  <c r="H612" i="3"/>
  <c r="H613" i="3"/>
  <c r="H614" i="3"/>
  <c r="H615" i="3"/>
  <c r="H616" i="3"/>
  <c r="H617" i="3"/>
  <c r="H618" i="3"/>
  <c r="H619" i="3"/>
  <c r="H620" i="3"/>
  <c r="H621" i="3"/>
  <c r="H622" i="3"/>
  <c r="H623" i="3"/>
  <c r="H624" i="3"/>
  <c r="H625" i="3"/>
  <c r="H626" i="3"/>
  <c r="H627" i="3"/>
  <c r="H628" i="3"/>
  <c r="H629" i="3"/>
  <c r="H630" i="3"/>
  <c r="H631" i="3"/>
  <c r="H632" i="3"/>
  <c r="H633" i="3"/>
  <c r="H634" i="3"/>
  <c r="H635" i="3"/>
  <c r="H636" i="3"/>
  <c r="H637" i="3"/>
  <c r="H638" i="3"/>
  <c r="H639" i="3"/>
  <c r="H640" i="3"/>
  <c r="H641" i="3"/>
  <c r="H642" i="3"/>
  <c r="H643" i="3"/>
  <c r="H644" i="3"/>
  <c r="H645" i="3"/>
  <c r="H646" i="3"/>
  <c r="H647" i="3"/>
  <c r="H648" i="3"/>
  <c r="H649" i="3"/>
  <c r="H650" i="3"/>
  <c r="H651" i="3"/>
  <c r="H652" i="3"/>
  <c r="H653" i="3"/>
  <c r="H654" i="3"/>
  <c r="H655" i="3"/>
  <c r="H656" i="3"/>
  <c r="H657" i="3"/>
  <c r="H658" i="3"/>
  <c r="H659" i="3"/>
  <c r="H660" i="3"/>
  <c r="H661" i="3"/>
  <c r="H662" i="3"/>
  <c r="H663" i="3"/>
  <c r="H664" i="3"/>
  <c r="H665" i="3"/>
  <c r="H666" i="3"/>
  <c r="H667" i="3"/>
  <c r="H668" i="3"/>
  <c r="H669" i="3"/>
  <c r="H670" i="3"/>
  <c r="H671" i="3"/>
  <c r="H672" i="3"/>
  <c r="H673" i="3"/>
  <c r="H674" i="3"/>
  <c r="H675" i="3"/>
  <c r="H676" i="3"/>
  <c r="H677" i="3"/>
  <c r="H678" i="3"/>
  <c r="H679" i="3"/>
  <c r="H680" i="3"/>
  <c r="H681" i="3"/>
  <c r="H682" i="3"/>
  <c r="H683" i="3"/>
  <c r="H684" i="3"/>
  <c r="H685" i="3"/>
  <c r="H686" i="3"/>
  <c r="H687" i="3"/>
  <c r="H688" i="3"/>
  <c r="H689" i="3"/>
  <c r="H690" i="3"/>
  <c r="H691" i="3"/>
  <c r="H692" i="3"/>
  <c r="H693" i="3"/>
  <c r="H694" i="3"/>
  <c r="H695" i="3"/>
  <c r="H696" i="3"/>
  <c r="H697" i="3"/>
  <c r="H698" i="3"/>
  <c r="H699" i="3"/>
  <c r="H700" i="3"/>
  <c r="H701" i="3"/>
  <c r="H702" i="3"/>
  <c r="H703" i="3"/>
  <c r="H704" i="3"/>
  <c r="H705" i="3"/>
  <c r="H706" i="3"/>
  <c r="H707" i="3"/>
  <c r="H708" i="3"/>
  <c r="H709" i="3"/>
  <c r="H710" i="3"/>
  <c r="H711" i="3"/>
  <c r="H712" i="3"/>
  <c r="H713" i="3"/>
  <c r="H714" i="3"/>
  <c r="H715" i="3"/>
  <c r="H716" i="3"/>
  <c r="H717" i="3"/>
  <c r="H718" i="3"/>
  <c r="H719" i="3"/>
  <c r="H720" i="3"/>
  <c r="H721" i="3"/>
  <c r="H722" i="3"/>
  <c r="H723" i="3"/>
  <c r="H724" i="3"/>
  <c r="H725" i="3"/>
  <c r="H726" i="3"/>
  <c r="H727" i="3"/>
  <c r="H728" i="3"/>
  <c r="H729" i="3"/>
  <c r="H730" i="3"/>
  <c r="H731" i="3"/>
  <c r="H732" i="3"/>
  <c r="H733" i="3"/>
  <c r="H734" i="3"/>
  <c r="H735" i="3"/>
  <c r="H736" i="3"/>
  <c r="H737" i="3"/>
  <c r="H738" i="3"/>
  <c r="H739" i="3"/>
  <c r="H740" i="3"/>
  <c r="H741" i="3"/>
  <c r="H742" i="3"/>
  <c r="H743" i="3"/>
  <c r="H744" i="3"/>
  <c r="H745" i="3"/>
  <c r="H746" i="3"/>
  <c r="H747" i="3"/>
  <c r="H748" i="3"/>
  <c r="H749" i="3"/>
  <c r="H750" i="3"/>
  <c r="H751" i="3"/>
  <c r="H752" i="3"/>
  <c r="H753" i="3"/>
  <c r="H754" i="3"/>
  <c r="H755" i="3"/>
  <c r="H756" i="3"/>
  <c r="H757" i="3"/>
  <c r="H758" i="3"/>
  <c r="H759" i="3"/>
  <c r="H760" i="3"/>
  <c r="H761" i="3"/>
  <c r="H762" i="3"/>
  <c r="H763" i="3"/>
  <c r="H764" i="3"/>
  <c r="H765" i="3"/>
  <c r="H766" i="3"/>
  <c r="H767" i="3"/>
  <c r="H768" i="3"/>
  <c r="H769" i="3"/>
  <c r="H770" i="3"/>
  <c r="H771" i="3"/>
  <c r="H772" i="3"/>
  <c r="H773" i="3"/>
  <c r="H774" i="3"/>
  <c r="H775" i="3"/>
  <c r="H776" i="3"/>
  <c r="H777" i="3"/>
  <c r="H778" i="3"/>
  <c r="H779" i="3"/>
  <c r="H780" i="3"/>
  <c r="H781" i="3"/>
  <c r="H782" i="3"/>
  <c r="H783" i="3"/>
  <c r="H784" i="3"/>
  <c r="H785" i="3"/>
  <c r="H786" i="3"/>
  <c r="H787" i="3"/>
  <c r="H788" i="3"/>
  <c r="H789" i="3"/>
  <c r="H790" i="3"/>
  <c r="H791" i="3"/>
  <c r="H792" i="3"/>
  <c r="H793" i="3"/>
  <c r="H794" i="3"/>
  <c r="H795" i="3"/>
  <c r="H796" i="3"/>
  <c r="H797" i="3"/>
  <c r="H798" i="3"/>
  <c r="H799" i="3"/>
  <c r="H800" i="3"/>
  <c r="H801" i="3"/>
  <c r="H802" i="3"/>
  <c r="H803" i="3"/>
  <c r="H804" i="3"/>
  <c r="H805" i="3"/>
  <c r="H806" i="3"/>
  <c r="H807" i="3"/>
  <c r="H808" i="3"/>
  <c r="H809" i="3"/>
  <c r="H810" i="3"/>
  <c r="H811" i="3"/>
  <c r="H812" i="3"/>
  <c r="H813" i="3"/>
  <c r="H814" i="3"/>
  <c r="H815" i="3"/>
  <c r="H816" i="3"/>
  <c r="H817" i="3"/>
  <c r="H818" i="3"/>
  <c r="H819" i="3"/>
  <c r="H820" i="3"/>
  <c r="H821" i="3"/>
  <c r="H822" i="3"/>
  <c r="H823" i="3"/>
  <c r="H824" i="3"/>
  <c r="H825" i="3"/>
  <c r="H826" i="3"/>
  <c r="H827" i="3"/>
  <c r="H828" i="3"/>
  <c r="H829" i="3"/>
  <c r="H830" i="3"/>
  <c r="H831" i="3"/>
  <c r="H832" i="3"/>
  <c r="H833" i="3"/>
  <c r="H834" i="3"/>
  <c r="H835" i="3"/>
  <c r="H836" i="3"/>
  <c r="H837" i="3"/>
  <c r="H838" i="3"/>
  <c r="H839" i="3"/>
  <c r="H840" i="3"/>
  <c r="H841" i="3"/>
  <c r="H842" i="3"/>
  <c r="H843" i="3"/>
  <c r="H844" i="3"/>
  <c r="H845" i="3"/>
  <c r="H846" i="3"/>
  <c r="H847" i="3"/>
  <c r="H848" i="3"/>
  <c r="H849" i="3"/>
  <c r="H850" i="3"/>
  <c r="H851" i="3"/>
  <c r="H852" i="3"/>
  <c r="H853" i="3"/>
  <c r="H854" i="3"/>
  <c r="H855" i="3"/>
  <c r="H856" i="3"/>
  <c r="H857" i="3"/>
  <c r="H858" i="3"/>
  <c r="H859" i="3"/>
  <c r="H860" i="3"/>
  <c r="H861" i="3"/>
  <c r="H862" i="3"/>
  <c r="H863" i="3"/>
  <c r="H864" i="3"/>
  <c r="H865" i="3"/>
  <c r="H866" i="3"/>
  <c r="H867" i="3"/>
  <c r="H868" i="3"/>
  <c r="H869" i="3"/>
  <c r="H870" i="3"/>
  <c r="H871" i="3"/>
  <c r="H872" i="3"/>
  <c r="H873" i="3"/>
  <c r="H874" i="3"/>
  <c r="H875" i="3"/>
  <c r="H876" i="3"/>
  <c r="H877" i="3"/>
  <c r="H878" i="3"/>
  <c r="H879" i="3"/>
  <c r="H880" i="3"/>
  <c r="H881" i="3"/>
  <c r="H882" i="3"/>
  <c r="H883" i="3"/>
  <c r="H884" i="3"/>
  <c r="H885" i="3"/>
  <c r="H886" i="3"/>
  <c r="H887" i="3"/>
  <c r="H888" i="3"/>
  <c r="H889" i="3"/>
  <c r="H890" i="3"/>
  <c r="H891" i="3"/>
  <c r="H892" i="3"/>
  <c r="H893" i="3"/>
  <c r="H894" i="3"/>
  <c r="H895" i="3"/>
  <c r="H896" i="3"/>
  <c r="H897" i="3"/>
  <c r="H898" i="3"/>
  <c r="H899" i="3"/>
  <c r="H900" i="3"/>
  <c r="H901" i="3"/>
  <c r="H902" i="3"/>
  <c r="H903" i="3"/>
  <c r="H904" i="3"/>
  <c r="H905" i="3"/>
  <c r="H906" i="3"/>
  <c r="H907" i="3"/>
  <c r="H908" i="3"/>
  <c r="H909" i="3"/>
  <c r="H910" i="3"/>
  <c r="H911" i="3"/>
  <c r="H912" i="3"/>
  <c r="H913" i="3"/>
  <c r="H914" i="3"/>
  <c r="H915" i="3"/>
  <c r="H916" i="3"/>
  <c r="H917" i="3"/>
  <c r="H918" i="3"/>
  <c r="H919" i="3"/>
  <c r="H920" i="3"/>
  <c r="H921" i="3"/>
  <c r="H922" i="3"/>
  <c r="H923" i="3"/>
  <c r="H924" i="3"/>
  <c r="H925" i="3"/>
  <c r="H926" i="3"/>
  <c r="H927" i="3"/>
  <c r="H928" i="3"/>
  <c r="H929" i="3"/>
  <c r="H930" i="3"/>
  <c r="H931" i="3"/>
  <c r="H932" i="3"/>
  <c r="H933" i="3"/>
  <c r="H934" i="3"/>
  <c r="H935" i="3"/>
  <c r="H936" i="3"/>
  <c r="H937" i="3"/>
  <c r="H938" i="3"/>
  <c r="H939" i="3"/>
  <c r="H940" i="3"/>
  <c r="H941" i="3"/>
  <c r="H942" i="3"/>
  <c r="H943" i="3"/>
  <c r="H944" i="3"/>
  <c r="H945" i="3"/>
  <c r="H946" i="3"/>
  <c r="H947" i="3"/>
  <c r="H948" i="3"/>
  <c r="H949" i="3"/>
  <c r="H950" i="3"/>
  <c r="H951" i="3"/>
  <c r="H952" i="3"/>
  <c r="H953" i="3"/>
  <c r="H954" i="3"/>
  <c r="H955" i="3"/>
  <c r="H956" i="3"/>
  <c r="H957" i="3"/>
  <c r="H958" i="3"/>
  <c r="H959" i="3"/>
  <c r="H960" i="3"/>
  <c r="H961" i="3"/>
  <c r="H962" i="3"/>
  <c r="H963" i="3"/>
  <c r="H964" i="3"/>
  <c r="H965" i="3"/>
  <c r="H966" i="3"/>
  <c r="H967" i="3"/>
  <c r="H968" i="3"/>
  <c r="H969" i="3"/>
  <c r="H970" i="3"/>
  <c r="H971" i="3"/>
  <c r="H972" i="3"/>
  <c r="H973" i="3"/>
  <c r="H974" i="3"/>
  <c r="H975" i="3"/>
  <c r="H976" i="3"/>
  <c r="H977" i="3"/>
  <c r="H978" i="3"/>
  <c r="H979" i="3"/>
  <c r="H980" i="3"/>
  <c r="H981" i="3"/>
  <c r="H982" i="3"/>
  <c r="H983" i="3"/>
  <c r="H984" i="3"/>
  <c r="H985" i="3"/>
  <c r="H986" i="3"/>
  <c r="H987" i="3"/>
  <c r="H988" i="3"/>
  <c r="H989" i="3"/>
  <c r="H990" i="3"/>
  <c r="H991" i="3"/>
  <c r="H992" i="3"/>
  <c r="H993" i="3"/>
  <c r="H994" i="3"/>
  <c r="H995" i="3"/>
  <c r="H996" i="3"/>
  <c r="H997" i="3"/>
  <c r="H998" i="3"/>
  <c r="H999" i="3"/>
  <c r="H1000" i="3"/>
  <c r="H1001" i="3"/>
  <c r="H1002" i="3"/>
  <c r="H1003" i="3"/>
  <c r="H1004" i="3"/>
  <c r="H1005" i="3"/>
  <c r="H1006" i="3"/>
  <c r="H1007" i="3"/>
  <c r="H1008" i="3"/>
  <c r="H1009" i="3"/>
  <c r="H1010" i="3"/>
  <c r="H1011" i="3"/>
  <c r="H1012" i="3"/>
  <c r="H1013" i="3"/>
  <c r="H1014" i="3"/>
  <c r="H1015" i="3"/>
  <c r="H1016" i="3"/>
  <c r="H1017" i="3"/>
  <c r="H1018" i="3"/>
  <c r="H1019" i="3"/>
  <c r="H1020" i="3"/>
  <c r="H1021" i="3"/>
  <c r="H1022" i="3"/>
  <c r="H1023" i="3"/>
  <c r="H1024" i="3"/>
  <c r="H1025" i="3"/>
  <c r="H1026" i="3"/>
  <c r="H1027" i="3"/>
  <c r="H1028" i="3"/>
  <c r="H1029" i="3"/>
  <c r="H1030" i="3"/>
  <c r="H1031" i="3"/>
  <c r="H1032" i="3"/>
  <c r="H1033" i="3"/>
  <c r="H1034" i="3"/>
  <c r="H1035" i="3"/>
  <c r="H1036" i="3"/>
  <c r="H1037" i="3"/>
  <c r="H1038" i="3"/>
  <c r="H1039" i="3"/>
  <c r="H1040" i="3"/>
  <c r="H1041" i="3"/>
  <c r="H1042" i="3"/>
  <c r="H1043" i="3"/>
  <c r="H1044" i="3"/>
  <c r="H1045" i="3"/>
  <c r="H1046" i="3"/>
  <c r="H1047" i="3"/>
  <c r="H1048" i="3"/>
  <c r="H1049" i="3"/>
  <c r="H1050" i="3"/>
  <c r="H1051" i="3"/>
  <c r="H1052" i="3"/>
  <c r="H1053" i="3"/>
  <c r="H1054" i="3"/>
  <c r="H1055" i="3"/>
  <c r="H1056" i="3"/>
  <c r="H1057" i="3"/>
  <c r="H1058" i="3"/>
  <c r="H1059" i="3"/>
  <c r="H1060" i="3"/>
  <c r="H1061" i="3"/>
  <c r="H1062" i="3"/>
  <c r="H1063" i="3"/>
  <c r="H1064" i="3"/>
  <c r="H1065" i="3"/>
  <c r="H1066" i="3"/>
  <c r="H1067" i="3"/>
  <c r="H1068" i="3"/>
  <c r="H1069" i="3"/>
  <c r="H1070" i="3"/>
  <c r="H1071" i="3"/>
  <c r="H1072" i="3"/>
  <c r="H1073" i="3"/>
  <c r="H1074" i="3"/>
  <c r="H1075" i="3"/>
  <c r="H1076" i="3"/>
  <c r="H1077" i="3"/>
  <c r="H1078" i="3"/>
  <c r="H1079" i="3"/>
  <c r="H1080" i="3"/>
  <c r="H1081" i="3"/>
  <c r="H1082" i="3"/>
  <c r="H1083" i="3"/>
  <c r="H1084" i="3"/>
  <c r="H1085" i="3"/>
  <c r="H1086" i="3"/>
  <c r="H1087" i="3"/>
  <c r="H1088" i="3"/>
  <c r="H1089" i="3"/>
  <c r="H1090" i="3"/>
  <c r="H1091" i="3"/>
  <c r="H1092" i="3"/>
  <c r="H1093" i="3"/>
  <c r="H1094" i="3"/>
  <c r="H1095" i="3"/>
  <c r="H1096" i="3"/>
  <c r="H1097" i="3"/>
  <c r="H1098" i="3"/>
  <c r="H1099" i="3"/>
  <c r="H1100" i="3"/>
  <c r="H1101" i="3"/>
  <c r="H1102" i="3"/>
  <c r="H1103" i="3"/>
  <c r="H1104" i="3"/>
  <c r="H1105" i="3"/>
  <c r="H1106" i="3"/>
  <c r="H1107" i="3"/>
  <c r="H1108" i="3"/>
  <c r="H1109" i="3"/>
  <c r="H1110" i="3"/>
  <c r="H1111" i="3"/>
  <c r="H1112" i="3"/>
  <c r="H1113" i="3"/>
  <c r="H1114" i="3"/>
  <c r="H1115" i="3"/>
  <c r="H1116" i="3"/>
  <c r="H1117" i="3"/>
  <c r="H1118" i="3"/>
  <c r="H1119" i="3"/>
  <c r="H1120" i="3"/>
  <c r="H1121" i="3"/>
  <c r="H1122" i="3"/>
  <c r="H1123" i="3"/>
  <c r="H1124" i="3"/>
  <c r="H1125" i="3"/>
  <c r="H1126" i="3"/>
  <c r="H1127" i="3"/>
  <c r="H1128" i="3"/>
  <c r="H1129" i="3"/>
  <c r="H1130" i="3"/>
  <c r="H1131" i="3"/>
  <c r="H1132" i="3"/>
  <c r="H1133" i="3"/>
  <c r="H1134" i="3"/>
  <c r="H1135" i="3"/>
  <c r="H1136" i="3"/>
  <c r="H1137" i="3"/>
  <c r="H1138" i="3"/>
  <c r="H1139" i="3"/>
  <c r="H1140" i="3"/>
  <c r="H1141" i="3"/>
  <c r="H1142" i="3"/>
  <c r="H1143" i="3"/>
  <c r="H1144" i="3"/>
  <c r="H1145" i="3"/>
  <c r="H1146" i="3"/>
  <c r="H1147" i="3"/>
  <c r="H1148" i="3"/>
  <c r="H1149" i="3"/>
  <c r="H1150" i="3"/>
  <c r="H1151" i="3"/>
  <c r="H1152" i="3"/>
  <c r="H1153" i="3"/>
  <c r="H1154" i="3"/>
  <c r="H1155" i="3"/>
  <c r="H1156" i="3"/>
  <c r="H1157" i="3"/>
  <c r="H1158" i="3"/>
  <c r="H1159" i="3"/>
  <c r="H1160" i="3"/>
  <c r="H1161" i="3"/>
  <c r="H1162" i="3"/>
  <c r="H1163" i="3"/>
  <c r="H1164" i="3"/>
  <c r="H1165" i="3"/>
  <c r="H1166" i="3"/>
  <c r="H1167" i="3"/>
  <c r="H1168" i="3"/>
  <c r="H1169" i="3"/>
  <c r="H1170" i="3"/>
  <c r="H1171" i="3"/>
  <c r="H1172" i="3"/>
  <c r="H1173" i="3"/>
  <c r="H1174" i="3"/>
  <c r="H1175" i="3"/>
  <c r="H1176" i="3"/>
  <c r="H1177" i="3"/>
  <c r="H1178" i="3"/>
  <c r="H1179" i="3"/>
  <c r="H1180" i="3"/>
  <c r="H1181" i="3"/>
  <c r="H1182" i="3"/>
  <c r="H1183" i="3"/>
  <c r="H1184" i="3"/>
  <c r="H1185" i="3"/>
  <c r="H1186" i="3"/>
  <c r="H1187" i="3"/>
  <c r="H1188" i="3"/>
  <c r="H1189" i="3"/>
  <c r="H1190" i="3"/>
  <c r="H1191" i="3"/>
  <c r="H1192" i="3"/>
  <c r="H1193" i="3"/>
  <c r="H1194" i="3"/>
  <c r="H1195" i="3"/>
  <c r="H1196" i="3"/>
  <c r="H1197" i="3"/>
  <c r="H1198" i="3"/>
  <c r="H1199" i="3"/>
  <c r="H1200" i="3"/>
  <c r="H1201" i="3"/>
  <c r="H1202" i="3"/>
  <c r="H1203" i="3"/>
  <c r="H1204" i="3"/>
  <c r="H1205" i="3"/>
  <c r="H1206" i="3"/>
  <c r="H1207" i="3"/>
  <c r="H1208" i="3"/>
  <c r="H1209" i="3"/>
  <c r="H1210" i="3"/>
  <c r="H1211" i="3"/>
  <c r="H1212" i="3"/>
  <c r="H1213" i="3"/>
  <c r="H1214" i="3"/>
  <c r="H1215" i="3"/>
  <c r="H1216" i="3"/>
  <c r="H1217" i="3"/>
  <c r="H1218" i="3"/>
  <c r="H1219" i="3"/>
  <c r="H1220" i="3"/>
  <c r="H1221" i="3"/>
  <c r="H1222" i="3"/>
  <c r="H1223" i="3"/>
  <c r="H1224" i="3"/>
  <c r="H1225" i="3"/>
  <c r="H1226" i="3"/>
  <c r="H1227" i="3"/>
  <c r="H1228" i="3"/>
  <c r="H1229" i="3"/>
  <c r="H1230" i="3"/>
  <c r="H1231" i="3"/>
  <c r="H1232" i="3"/>
  <c r="H1233" i="3"/>
  <c r="H1234" i="3"/>
  <c r="H1235" i="3"/>
  <c r="H1236" i="3"/>
  <c r="H1237" i="3"/>
  <c r="H1238" i="3"/>
  <c r="H1239" i="3"/>
  <c r="H1240" i="3"/>
  <c r="H1241" i="3"/>
  <c r="H1242" i="3"/>
  <c r="H1243" i="3"/>
  <c r="H1244" i="3"/>
  <c r="H1245" i="3"/>
  <c r="H1246" i="3"/>
  <c r="H1247" i="3"/>
  <c r="H1248" i="3"/>
  <c r="H1249" i="3"/>
  <c r="H1250" i="3"/>
  <c r="H1251" i="3"/>
  <c r="H1252" i="3"/>
  <c r="H1253" i="3"/>
  <c r="H1254" i="3"/>
  <c r="H1255" i="3"/>
  <c r="H1256" i="3"/>
  <c r="H1257" i="3"/>
  <c r="H1258" i="3"/>
  <c r="H1259" i="3"/>
  <c r="H1260" i="3"/>
  <c r="H1261" i="3"/>
  <c r="H1262" i="3"/>
  <c r="H1263" i="3"/>
  <c r="H1264" i="3"/>
  <c r="H1265" i="3"/>
  <c r="H1266" i="3"/>
  <c r="H1267" i="3"/>
  <c r="H1268" i="3"/>
  <c r="H1269" i="3"/>
  <c r="H1270" i="3"/>
  <c r="H1271" i="3"/>
  <c r="H1272" i="3"/>
  <c r="H1273" i="3"/>
  <c r="H1274" i="3"/>
  <c r="H1275" i="3"/>
  <c r="H1276" i="3"/>
  <c r="H1277" i="3"/>
  <c r="H1278" i="3"/>
  <c r="H1279" i="3"/>
  <c r="H1280" i="3"/>
  <c r="H1281" i="3"/>
  <c r="H1282" i="3"/>
  <c r="H1283" i="3"/>
  <c r="H1284" i="3"/>
  <c r="H1285" i="3"/>
  <c r="H1286" i="3"/>
  <c r="H1287" i="3"/>
  <c r="H1288" i="3"/>
  <c r="H1289" i="3"/>
  <c r="H1290" i="3"/>
  <c r="H1291" i="3"/>
  <c r="H1292" i="3"/>
  <c r="H1293" i="3"/>
  <c r="H1294" i="3"/>
  <c r="H1295" i="3"/>
  <c r="H1296" i="3"/>
  <c r="H1297" i="3"/>
  <c r="H1298" i="3"/>
  <c r="H1299" i="3"/>
  <c r="H1300" i="3"/>
  <c r="H1301" i="3"/>
  <c r="H1302" i="3"/>
  <c r="H1303" i="3"/>
  <c r="H1304" i="3"/>
  <c r="H1305" i="3"/>
  <c r="H1306" i="3"/>
  <c r="H1307" i="3"/>
  <c r="H1308" i="3"/>
  <c r="H1309" i="3"/>
  <c r="H1310" i="3"/>
  <c r="H1311" i="3"/>
  <c r="H1312" i="3"/>
  <c r="H1313" i="3"/>
  <c r="H1314" i="3"/>
  <c r="H1315" i="3"/>
  <c r="H1316" i="3"/>
  <c r="H1317" i="3"/>
  <c r="H1318" i="3"/>
  <c r="H1319" i="3"/>
  <c r="H1320" i="3"/>
  <c r="H1321" i="3"/>
  <c r="H1322" i="3"/>
  <c r="H1323" i="3"/>
  <c r="H1324" i="3"/>
  <c r="H1325" i="3"/>
  <c r="H1326" i="3"/>
  <c r="H1327" i="3"/>
  <c r="H1328" i="3"/>
  <c r="H1329" i="3"/>
  <c r="H1330" i="3"/>
  <c r="H1331" i="3"/>
  <c r="H1332" i="3"/>
  <c r="H1333" i="3"/>
  <c r="H1334" i="3"/>
  <c r="H1335" i="3"/>
  <c r="H1336" i="3"/>
  <c r="H1337" i="3"/>
  <c r="H1338" i="3"/>
  <c r="H1339" i="3"/>
  <c r="H1340" i="3"/>
  <c r="H1341" i="3"/>
  <c r="H1342" i="3"/>
  <c r="H1343" i="3"/>
  <c r="H1344" i="3"/>
  <c r="H1345" i="3"/>
  <c r="H1346" i="3"/>
  <c r="H1347" i="3"/>
  <c r="H1348" i="3"/>
  <c r="H1349" i="3"/>
  <c r="H1350" i="3"/>
  <c r="H1351" i="3"/>
  <c r="H1352" i="3"/>
  <c r="H1353" i="3"/>
  <c r="H1354" i="3"/>
  <c r="H1355" i="3"/>
  <c r="H1356" i="3"/>
  <c r="H1357" i="3"/>
  <c r="H1358" i="3"/>
  <c r="H1359" i="3"/>
  <c r="H1360" i="3"/>
  <c r="H1361" i="3"/>
  <c r="H1362" i="3"/>
  <c r="H1363" i="3"/>
  <c r="H1364" i="3"/>
  <c r="H1365" i="3"/>
  <c r="H1366" i="3"/>
  <c r="H1367" i="3"/>
  <c r="H1368" i="3"/>
  <c r="H1369" i="3"/>
  <c r="H1370" i="3"/>
  <c r="H1371" i="3"/>
  <c r="H1372" i="3"/>
  <c r="H1373" i="3"/>
  <c r="H1374" i="3"/>
  <c r="H1375" i="3"/>
  <c r="H1376" i="3"/>
  <c r="H1377" i="3"/>
  <c r="H1378" i="3"/>
  <c r="H1379" i="3"/>
  <c r="H1380" i="3"/>
  <c r="H1381" i="3"/>
  <c r="H1382" i="3"/>
  <c r="H1383" i="3"/>
  <c r="H1384" i="3"/>
  <c r="H1385" i="3"/>
  <c r="H1386" i="3"/>
  <c r="H1387" i="3"/>
  <c r="H1388" i="3"/>
  <c r="H1389" i="3"/>
  <c r="H1390" i="3"/>
  <c r="H1391" i="3"/>
  <c r="H1392" i="3"/>
  <c r="H1393" i="3"/>
  <c r="H1394" i="3"/>
  <c r="H1395" i="3"/>
  <c r="H1396" i="3"/>
  <c r="H1397" i="3"/>
  <c r="H1398" i="3"/>
  <c r="H1399" i="3"/>
  <c r="H1400" i="3"/>
  <c r="H1401" i="3"/>
  <c r="H1402" i="3"/>
  <c r="H1403" i="3"/>
  <c r="H1404" i="3"/>
  <c r="H1405" i="3"/>
  <c r="H1406" i="3"/>
  <c r="H1407" i="3"/>
  <c r="H1408" i="3"/>
  <c r="H1409" i="3"/>
  <c r="H1410" i="3"/>
  <c r="H1411" i="3"/>
  <c r="H1412" i="3"/>
  <c r="H1413" i="3"/>
  <c r="H1414" i="3"/>
  <c r="H1415" i="3"/>
  <c r="H1416" i="3"/>
  <c r="H1417" i="3"/>
  <c r="H1418" i="3"/>
  <c r="H1419" i="3"/>
  <c r="H1420" i="3"/>
  <c r="H1421" i="3"/>
  <c r="H1422" i="3"/>
  <c r="H1423" i="3"/>
  <c r="H1424" i="3"/>
  <c r="H1425" i="3"/>
  <c r="H1426" i="3"/>
  <c r="H1427" i="3"/>
  <c r="H1428" i="3"/>
  <c r="H1429" i="3"/>
  <c r="H1430" i="3"/>
  <c r="H1431" i="3"/>
  <c r="H1432" i="3"/>
  <c r="H1433" i="3"/>
  <c r="H1434" i="3"/>
  <c r="H1435" i="3"/>
  <c r="H1436" i="3"/>
  <c r="H1437" i="3"/>
  <c r="H1438" i="3"/>
  <c r="H1439" i="3"/>
  <c r="H1440" i="3"/>
  <c r="H1441" i="3"/>
  <c r="H1442" i="3"/>
  <c r="H1443" i="3"/>
  <c r="H1444" i="3"/>
  <c r="H1445" i="3"/>
  <c r="H1446" i="3"/>
  <c r="H1447" i="3"/>
  <c r="H1448" i="3"/>
  <c r="H1449" i="3"/>
  <c r="H1450" i="3"/>
  <c r="H1451" i="3"/>
  <c r="H1452" i="3"/>
  <c r="H1453" i="3"/>
  <c r="H1454" i="3"/>
  <c r="H1455" i="3"/>
  <c r="H1456" i="3"/>
  <c r="H1457" i="3"/>
  <c r="H1458" i="3"/>
  <c r="H1459" i="3"/>
  <c r="H1460" i="3"/>
  <c r="H1461" i="3"/>
  <c r="H1462" i="3"/>
  <c r="H1463" i="3"/>
  <c r="H1464" i="3"/>
  <c r="H1465" i="3"/>
  <c r="H1466" i="3"/>
  <c r="H1467" i="3"/>
  <c r="H1468" i="3"/>
  <c r="H1469" i="3"/>
  <c r="H1470" i="3"/>
  <c r="H1471" i="3"/>
  <c r="H1472" i="3"/>
  <c r="H1473" i="3"/>
  <c r="H1474" i="3"/>
  <c r="H1475" i="3"/>
  <c r="H1476" i="3"/>
  <c r="H1477" i="3"/>
  <c r="H1478" i="3"/>
  <c r="H1479" i="3"/>
  <c r="H1480" i="3"/>
  <c r="H1481" i="3"/>
  <c r="H1482" i="3"/>
  <c r="H1483" i="3"/>
  <c r="H1484" i="3"/>
  <c r="H1485" i="3"/>
  <c r="H1486" i="3"/>
  <c r="H1487" i="3"/>
  <c r="H1488" i="3"/>
  <c r="H1489" i="3"/>
  <c r="H1490" i="3"/>
  <c r="H1491" i="3"/>
  <c r="H1492" i="3"/>
  <c r="H1493" i="3"/>
  <c r="H1494" i="3"/>
  <c r="H1495" i="3"/>
  <c r="H1496" i="3"/>
  <c r="H1497" i="3"/>
  <c r="H1498" i="3"/>
  <c r="H1499" i="3"/>
  <c r="H1500" i="3"/>
  <c r="H1501" i="3"/>
  <c r="H1502" i="3"/>
  <c r="H1503" i="3"/>
  <c r="H1504" i="3"/>
  <c r="H1505" i="3"/>
  <c r="H1506" i="3"/>
  <c r="H1507" i="3"/>
  <c r="H1508" i="3"/>
  <c r="H1509" i="3"/>
  <c r="H1510" i="3"/>
  <c r="H1511" i="3"/>
  <c r="H1512" i="3"/>
  <c r="H1513" i="3"/>
  <c r="H1514" i="3"/>
  <c r="H1515" i="3"/>
  <c r="H1516" i="3"/>
  <c r="H1517" i="3"/>
  <c r="H1518" i="3"/>
  <c r="H1519" i="3"/>
  <c r="H1520" i="3"/>
  <c r="H1521" i="3"/>
  <c r="H1522" i="3"/>
  <c r="H1523" i="3"/>
  <c r="H1524" i="3"/>
  <c r="H1525" i="3"/>
  <c r="H1526" i="3"/>
  <c r="H1527" i="3"/>
  <c r="H1528" i="3"/>
  <c r="H1529" i="3"/>
  <c r="H1530" i="3"/>
  <c r="H1531" i="3"/>
  <c r="H1532" i="3"/>
  <c r="H1533" i="3"/>
  <c r="H1534" i="3"/>
  <c r="H1535" i="3"/>
  <c r="H1536" i="3"/>
  <c r="H1537" i="3"/>
  <c r="H1538" i="3"/>
  <c r="H1539" i="3"/>
  <c r="H1540" i="3"/>
  <c r="H1541" i="3"/>
  <c r="H1542" i="3"/>
  <c r="H1543" i="3"/>
  <c r="H1544" i="3"/>
  <c r="H1545" i="3"/>
  <c r="H1546" i="3"/>
  <c r="H1547" i="3"/>
  <c r="H1548" i="3"/>
  <c r="H1549" i="3"/>
  <c r="H1550" i="3"/>
  <c r="H1551" i="3"/>
  <c r="H1552" i="3"/>
  <c r="H1553" i="3"/>
  <c r="H1554" i="3"/>
  <c r="H1555" i="3"/>
  <c r="H1556" i="3"/>
  <c r="H1557" i="3"/>
  <c r="H1558" i="3"/>
  <c r="H1559" i="3"/>
  <c r="H1560" i="3"/>
  <c r="H1561" i="3"/>
  <c r="H1562" i="3"/>
  <c r="H1563" i="3"/>
  <c r="H1564" i="3"/>
  <c r="H1565" i="3"/>
  <c r="H1566" i="3"/>
  <c r="H1567" i="3"/>
  <c r="H1568" i="3"/>
  <c r="H1569" i="3"/>
  <c r="H1570" i="3"/>
  <c r="H1571" i="3"/>
  <c r="H1572" i="3"/>
  <c r="H1573" i="3"/>
  <c r="H1574" i="3"/>
  <c r="H1575" i="3"/>
  <c r="H1576" i="3"/>
  <c r="H1577" i="3"/>
  <c r="H1578" i="3"/>
  <c r="H1579" i="3"/>
  <c r="H1580" i="3"/>
  <c r="H1581" i="3"/>
  <c r="H1582" i="3"/>
  <c r="H1583" i="3"/>
  <c r="H1584" i="3"/>
  <c r="H1585" i="3"/>
  <c r="H1586" i="3"/>
  <c r="H1587" i="3"/>
  <c r="H1588" i="3"/>
  <c r="H1589" i="3"/>
  <c r="H1590" i="3"/>
  <c r="H1591" i="3"/>
  <c r="H1592" i="3"/>
  <c r="H1593" i="3"/>
  <c r="H1594" i="3"/>
  <c r="H1595" i="3"/>
  <c r="H1596" i="3"/>
  <c r="H1597" i="3"/>
  <c r="H1598" i="3"/>
  <c r="H1599" i="3"/>
  <c r="H1600" i="3"/>
  <c r="H1601" i="3"/>
  <c r="H1602" i="3"/>
  <c r="H1603" i="3"/>
  <c r="H1604" i="3"/>
  <c r="H1605" i="3"/>
  <c r="H1606" i="3"/>
  <c r="H1607" i="3"/>
  <c r="H1608" i="3"/>
  <c r="H1609" i="3"/>
  <c r="H1610" i="3"/>
  <c r="H1611" i="3"/>
  <c r="H1612" i="3"/>
  <c r="H1613" i="3"/>
  <c r="H1614" i="3"/>
  <c r="H1615" i="3"/>
  <c r="H1616" i="3"/>
  <c r="H1617" i="3"/>
  <c r="H1618" i="3"/>
  <c r="H1619" i="3"/>
  <c r="H1620" i="3"/>
  <c r="H1621" i="3"/>
  <c r="H1622" i="3"/>
  <c r="H1623" i="3"/>
  <c r="H1624" i="3"/>
  <c r="H1625" i="3"/>
  <c r="H1626" i="3"/>
  <c r="H1627" i="3"/>
  <c r="H1628" i="3"/>
  <c r="H1629" i="3"/>
  <c r="H1630" i="3"/>
  <c r="H1631" i="3"/>
  <c r="H1632" i="3"/>
  <c r="H1633" i="3"/>
  <c r="H1634" i="3"/>
  <c r="H1635" i="3"/>
  <c r="H1636" i="3"/>
  <c r="H1637" i="3"/>
  <c r="H1638" i="3"/>
  <c r="H1639" i="3"/>
  <c r="H1640" i="3"/>
  <c r="H1641" i="3"/>
  <c r="H1642" i="3"/>
  <c r="H1643" i="3"/>
  <c r="H1644" i="3"/>
  <c r="H1645" i="3"/>
  <c r="H1646" i="3"/>
  <c r="H1647" i="3"/>
  <c r="H1648" i="3"/>
  <c r="H1649" i="3"/>
  <c r="H1650" i="3"/>
  <c r="H1651" i="3"/>
  <c r="H1652" i="3"/>
  <c r="H1653" i="3"/>
  <c r="H1654" i="3"/>
  <c r="H1655" i="3"/>
  <c r="H1656" i="3"/>
  <c r="H1657" i="3"/>
  <c r="H1658" i="3"/>
  <c r="H1659" i="3"/>
  <c r="H1660" i="3"/>
  <c r="H1661" i="3"/>
  <c r="H1662" i="3"/>
  <c r="H1663" i="3"/>
  <c r="H1664" i="3"/>
  <c r="H1665" i="3"/>
  <c r="H1666" i="3"/>
  <c r="H1667" i="3"/>
  <c r="H1668" i="3"/>
  <c r="H1669" i="3"/>
  <c r="H1670" i="3"/>
  <c r="H1671" i="3"/>
  <c r="H1672" i="3"/>
  <c r="H1673" i="3"/>
  <c r="H1674" i="3"/>
  <c r="H1675" i="3"/>
  <c r="H1676" i="3"/>
  <c r="H1677" i="3"/>
  <c r="H1678" i="3"/>
  <c r="H1679" i="3"/>
  <c r="H1680" i="3"/>
  <c r="H1681" i="3"/>
  <c r="H1682" i="3"/>
  <c r="H1683" i="3"/>
  <c r="H1684" i="3"/>
  <c r="H1685" i="3"/>
  <c r="H1686" i="3"/>
  <c r="H1687" i="3"/>
  <c r="H1688" i="3"/>
  <c r="H1689" i="3"/>
  <c r="H1690" i="3"/>
  <c r="H1691" i="3"/>
  <c r="H1692" i="3"/>
  <c r="H1693" i="3"/>
  <c r="H1694" i="3"/>
  <c r="H1695" i="3"/>
  <c r="H1696" i="3"/>
  <c r="H1697" i="3"/>
  <c r="H1698" i="3"/>
  <c r="H1699" i="3"/>
  <c r="H1700" i="3"/>
  <c r="H1701" i="3"/>
  <c r="H1702" i="3"/>
  <c r="H1703" i="3"/>
  <c r="H1704" i="3"/>
  <c r="H1705" i="3"/>
  <c r="H1706" i="3"/>
  <c r="H1707" i="3"/>
  <c r="H1708" i="3"/>
  <c r="H1709" i="3"/>
  <c r="H1710" i="3"/>
  <c r="H1711" i="3"/>
  <c r="H1712" i="3"/>
  <c r="H1713" i="3"/>
  <c r="H1714" i="3"/>
  <c r="H1715" i="3"/>
  <c r="H1716" i="3"/>
  <c r="H1717" i="3"/>
  <c r="H1718" i="3"/>
  <c r="H1719" i="3"/>
  <c r="H1720" i="3"/>
  <c r="H1721" i="3"/>
  <c r="H1722" i="3"/>
  <c r="H1723" i="3"/>
  <c r="H1724" i="3"/>
  <c r="H1725" i="3"/>
  <c r="H1726" i="3"/>
  <c r="H1727" i="3"/>
  <c r="H1728" i="3"/>
  <c r="H1729" i="3"/>
  <c r="H1730" i="3"/>
  <c r="H1731" i="3"/>
  <c r="H1732" i="3"/>
  <c r="H1733" i="3"/>
  <c r="H1734" i="3"/>
  <c r="H1735" i="3"/>
  <c r="H1736" i="3"/>
  <c r="H1737" i="3"/>
  <c r="H1738" i="3"/>
  <c r="H1739" i="3"/>
  <c r="H1740" i="3"/>
  <c r="H1741" i="3"/>
  <c r="H1742" i="3"/>
  <c r="H1743" i="3"/>
  <c r="H1744" i="3"/>
  <c r="H1745" i="3"/>
  <c r="H1746" i="3"/>
  <c r="H1747" i="3"/>
  <c r="H1748" i="3"/>
  <c r="H1749" i="3"/>
  <c r="H1750" i="3"/>
  <c r="H1751" i="3"/>
  <c r="H1752" i="3"/>
  <c r="H1753" i="3"/>
  <c r="H1754" i="3"/>
  <c r="H1755" i="3"/>
  <c r="H1756" i="3"/>
  <c r="H1757" i="3"/>
  <c r="H1758" i="3"/>
  <c r="H1759" i="3"/>
  <c r="H1760" i="3"/>
  <c r="H1761" i="3"/>
  <c r="H1762" i="3"/>
  <c r="H1763" i="3"/>
  <c r="H1764" i="3"/>
  <c r="H1765" i="3"/>
  <c r="H1766" i="3"/>
  <c r="H1767" i="3"/>
  <c r="H1768" i="3"/>
  <c r="H1769" i="3"/>
  <c r="H1770" i="3"/>
  <c r="H1771" i="3"/>
  <c r="H1772" i="3"/>
  <c r="H1773" i="3"/>
  <c r="H1774" i="3"/>
  <c r="H1775" i="3"/>
  <c r="H1776" i="3"/>
  <c r="H1777" i="3"/>
  <c r="H1778" i="3"/>
  <c r="H1779" i="3"/>
  <c r="H1780" i="3"/>
  <c r="H1781" i="3"/>
  <c r="H1782" i="3"/>
  <c r="H1783" i="3"/>
  <c r="H1784" i="3"/>
  <c r="H1785" i="3"/>
  <c r="H1786" i="3"/>
  <c r="H1787" i="3"/>
  <c r="H1788" i="3"/>
  <c r="H1789" i="3"/>
  <c r="H1790" i="3"/>
  <c r="H1791" i="3"/>
  <c r="H1792" i="3"/>
  <c r="H1793" i="3"/>
  <c r="H1794" i="3"/>
  <c r="H1795" i="3"/>
  <c r="H1796" i="3"/>
  <c r="H1797" i="3"/>
  <c r="H1798" i="3"/>
  <c r="H1799" i="3"/>
  <c r="H1800" i="3"/>
  <c r="H1801" i="3"/>
  <c r="H1802" i="3"/>
  <c r="H1803" i="3"/>
  <c r="H1804" i="3"/>
  <c r="H1805" i="3"/>
  <c r="H1806" i="3"/>
  <c r="H1807" i="3"/>
  <c r="H1808" i="3"/>
  <c r="H1809" i="3"/>
  <c r="H1810" i="3"/>
  <c r="H1811" i="3"/>
  <c r="H1812" i="3"/>
  <c r="H1813" i="3"/>
  <c r="H1814" i="3"/>
  <c r="H1815" i="3"/>
  <c r="H1816" i="3"/>
  <c r="H1817" i="3"/>
  <c r="H1818" i="3"/>
  <c r="H1819" i="3"/>
  <c r="H1820" i="3"/>
  <c r="H1821" i="3"/>
  <c r="H1822" i="3"/>
  <c r="H1823" i="3"/>
  <c r="H1824" i="3"/>
  <c r="H1825" i="3"/>
  <c r="H1826" i="3"/>
  <c r="H1827" i="3"/>
  <c r="H1828" i="3"/>
  <c r="H1829" i="3"/>
  <c r="H1830" i="3"/>
  <c r="H1831" i="3"/>
  <c r="H1832" i="3"/>
  <c r="H1833" i="3"/>
  <c r="H1834" i="3"/>
  <c r="H1835" i="3"/>
  <c r="H1836" i="3"/>
  <c r="H1837" i="3"/>
  <c r="H1838" i="3"/>
  <c r="H1839" i="3"/>
  <c r="H1840" i="3"/>
  <c r="H1841" i="3"/>
  <c r="H1842" i="3"/>
  <c r="H1843" i="3"/>
  <c r="H1844" i="3"/>
  <c r="H1845" i="3"/>
  <c r="H1846" i="3"/>
  <c r="H1847" i="3"/>
  <c r="H1848" i="3"/>
  <c r="H1849" i="3"/>
  <c r="H1850" i="3"/>
  <c r="H1851" i="3"/>
  <c r="H1852" i="3"/>
  <c r="H1853" i="3"/>
  <c r="H1854" i="3"/>
  <c r="H1855" i="3"/>
  <c r="H1856" i="3"/>
  <c r="H1857" i="3"/>
  <c r="H1858" i="3"/>
  <c r="H1859" i="3"/>
  <c r="H1860" i="3"/>
  <c r="H1861" i="3"/>
  <c r="H1862" i="3"/>
  <c r="H1863" i="3"/>
  <c r="H1864" i="3"/>
  <c r="H1865" i="3"/>
  <c r="H1866" i="3"/>
  <c r="H1867" i="3"/>
  <c r="H1868" i="3"/>
  <c r="H1869" i="3"/>
  <c r="H1870" i="3"/>
  <c r="H1871" i="3"/>
  <c r="H1872" i="3"/>
  <c r="H1873" i="3"/>
  <c r="H1874" i="3"/>
  <c r="H1875" i="3"/>
  <c r="H1876" i="3"/>
  <c r="H1877" i="3"/>
  <c r="H1878" i="3"/>
  <c r="H1879" i="3"/>
  <c r="H1880" i="3"/>
  <c r="H1881" i="3"/>
  <c r="H1882" i="3"/>
  <c r="H1883" i="3"/>
  <c r="H1884" i="3"/>
  <c r="H1885" i="3"/>
  <c r="H1886" i="3"/>
  <c r="H1887" i="3"/>
  <c r="H1888" i="3"/>
  <c r="H1889" i="3"/>
  <c r="H1890" i="3"/>
  <c r="H1891" i="3"/>
  <c r="H1892" i="3"/>
  <c r="H1893" i="3"/>
  <c r="H1894" i="3"/>
  <c r="H1895" i="3"/>
  <c r="H1896" i="3"/>
  <c r="H1897" i="3"/>
  <c r="H1898" i="3"/>
  <c r="H1899" i="3"/>
  <c r="H1900" i="3"/>
  <c r="H1901" i="3"/>
  <c r="H1902" i="3"/>
  <c r="H1903" i="3"/>
  <c r="H1904" i="3"/>
  <c r="H1905" i="3"/>
  <c r="H1906" i="3"/>
  <c r="H1907" i="3"/>
  <c r="H1908" i="3"/>
  <c r="H1909" i="3"/>
  <c r="H1910" i="3"/>
  <c r="H1911" i="3"/>
  <c r="H1912" i="3"/>
  <c r="H1913" i="3"/>
  <c r="H1914" i="3"/>
  <c r="H1915" i="3"/>
  <c r="H1916" i="3"/>
  <c r="H1917" i="3"/>
  <c r="H1918" i="3"/>
  <c r="H1919" i="3"/>
  <c r="H1920" i="3"/>
  <c r="H1921" i="3"/>
  <c r="H1922" i="3"/>
  <c r="H1923" i="3"/>
  <c r="H1924" i="3"/>
  <c r="H1925" i="3"/>
  <c r="H1926" i="3"/>
  <c r="H1927" i="3"/>
  <c r="H1928" i="3"/>
  <c r="H1929" i="3"/>
  <c r="H1930" i="3"/>
  <c r="H1931" i="3"/>
  <c r="H1932" i="3"/>
  <c r="H1933" i="3"/>
  <c r="H1934" i="3"/>
  <c r="H1935" i="3"/>
  <c r="H1936" i="3"/>
  <c r="H1937" i="3"/>
  <c r="H1938" i="3"/>
  <c r="H1939" i="3"/>
  <c r="H1940" i="3"/>
  <c r="H1941" i="3"/>
  <c r="H1942" i="3"/>
  <c r="H1943" i="3"/>
  <c r="H1944" i="3"/>
  <c r="H1945" i="3"/>
  <c r="H1946" i="3"/>
  <c r="H1947" i="3"/>
  <c r="H1948" i="3"/>
  <c r="H1949" i="3"/>
  <c r="H1950" i="3"/>
  <c r="H1951" i="3"/>
  <c r="H1952" i="3"/>
  <c r="H1953" i="3"/>
  <c r="H1954" i="3"/>
  <c r="H1955" i="3"/>
  <c r="H1956" i="3"/>
  <c r="H1957" i="3"/>
  <c r="H1958" i="3"/>
  <c r="H1959" i="3"/>
  <c r="H1960" i="3"/>
  <c r="H1961" i="3"/>
  <c r="H1962" i="3"/>
  <c r="H1963" i="3"/>
  <c r="H1964" i="3"/>
  <c r="H1965" i="3"/>
  <c r="H1966" i="3"/>
  <c r="H1967" i="3"/>
  <c r="H1968" i="3"/>
  <c r="H1969" i="3"/>
  <c r="H1970" i="3"/>
  <c r="H1971" i="3"/>
  <c r="H1972" i="3"/>
  <c r="H1973" i="3"/>
  <c r="H1974" i="3"/>
  <c r="H1975" i="3"/>
  <c r="H1976" i="3"/>
  <c r="H1977" i="3"/>
  <c r="H1978" i="3"/>
  <c r="H1979" i="3"/>
  <c r="H1980" i="3"/>
  <c r="H1981" i="3"/>
  <c r="H1982" i="3"/>
  <c r="H1983" i="3"/>
  <c r="H1984" i="3"/>
  <c r="H1985" i="3"/>
  <c r="H1986" i="3"/>
  <c r="H1987" i="3"/>
  <c r="H1988" i="3"/>
  <c r="H1989" i="3"/>
  <c r="H1990" i="3"/>
  <c r="H1991" i="3"/>
  <c r="H1992" i="3"/>
  <c r="H1993" i="3"/>
  <c r="H1994" i="3"/>
  <c r="H1995" i="3"/>
  <c r="H1996" i="3"/>
  <c r="H1997" i="3"/>
  <c r="H1998" i="3"/>
  <c r="H1999" i="3"/>
  <c r="H2000" i="3"/>
  <c r="H2001" i="3"/>
  <c r="H2002" i="3"/>
  <c r="H2003" i="3"/>
  <c r="H2004" i="3"/>
  <c r="H2005" i="3"/>
  <c r="H2006" i="3"/>
  <c r="H2007" i="3"/>
  <c r="H2008" i="3"/>
  <c r="H2009" i="3"/>
  <c r="H2010" i="3"/>
  <c r="H2011" i="3"/>
  <c r="H2012" i="3"/>
  <c r="H2013" i="3"/>
  <c r="H2014" i="3"/>
  <c r="H2015" i="3"/>
  <c r="H2016" i="3"/>
  <c r="H2017" i="3"/>
  <c r="H2018" i="3"/>
  <c r="H2019" i="3"/>
  <c r="H2020" i="3"/>
  <c r="H2021" i="3"/>
  <c r="H2022" i="3"/>
  <c r="H2023" i="3"/>
  <c r="H2024" i="3"/>
  <c r="H2025" i="3"/>
  <c r="H2026" i="3"/>
  <c r="H2027" i="3"/>
  <c r="H2028" i="3"/>
  <c r="H2029" i="3"/>
  <c r="H2030" i="3"/>
  <c r="H2031" i="3"/>
  <c r="H2032" i="3"/>
  <c r="H2033" i="3"/>
  <c r="H2034" i="3"/>
  <c r="H2035" i="3"/>
  <c r="H2036" i="3"/>
  <c r="H2037" i="3"/>
  <c r="H2038" i="3"/>
  <c r="H2039" i="3"/>
  <c r="H2040" i="3"/>
  <c r="H2041" i="3"/>
  <c r="H2042" i="3"/>
  <c r="H2043" i="3"/>
  <c r="H2044" i="3"/>
  <c r="H2045" i="3"/>
  <c r="H2046" i="3"/>
  <c r="H2047" i="3"/>
  <c r="H2048" i="3"/>
  <c r="H2049" i="3"/>
  <c r="H2050" i="3"/>
  <c r="H2051" i="3"/>
  <c r="H2052" i="3"/>
  <c r="H2053" i="3"/>
  <c r="H2054" i="3"/>
  <c r="H2055" i="3"/>
  <c r="H2056" i="3"/>
  <c r="H2057" i="3"/>
  <c r="H2058" i="3"/>
  <c r="H2059" i="3"/>
  <c r="H2060" i="3"/>
  <c r="H2061" i="3"/>
  <c r="H2062" i="3"/>
  <c r="H2063" i="3"/>
  <c r="H2064" i="3"/>
  <c r="H2065" i="3"/>
  <c r="H2066" i="3"/>
  <c r="H2067" i="3"/>
  <c r="H2068" i="3"/>
  <c r="H2069" i="3"/>
  <c r="H2070" i="3"/>
  <c r="H2071" i="3"/>
  <c r="H2072" i="3"/>
  <c r="H2073" i="3"/>
  <c r="H2074" i="3"/>
  <c r="H2075" i="3"/>
  <c r="H2076" i="3"/>
  <c r="H2077" i="3"/>
  <c r="H2078" i="3"/>
  <c r="H2079" i="3"/>
  <c r="H2080" i="3"/>
  <c r="H2081" i="3"/>
  <c r="H2082" i="3"/>
  <c r="H2083" i="3"/>
  <c r="H2084" i="3"/>
  <c r="H2085" i="3"/>
  <c r="H2086" i="3"/>
  <c r="H2087" i="3"/>
  <c r="H2088" i="3"/>
  <c r="H2089" i="3"/>
  <c r="H2090" i="3"/>
  <c r="H2091" i="3"/>
  <c r="H2092" i="3"/>
  <c r="H2093" i="3"/>
  <c r="H2094" i="3"/>
  <c r="H2095" i="3"/>
  <c r="H2096" i="3"/>
  <c r="H2097" i="3"/>
  <c r="H2098" i="3"/>
  <c r="H2099" i="3"/>
  <c r="H2100" i="3"/>
  <c r="H2101" i="3"/>
  <c r="H2102" i="3"/>
  <c r="H2103" i="3"/>
  <c r="H2104" i="3"/>
  <c r="H2105" i="3"/>
  <c r="H2106" i="3"/>
  <c r="H2107" i="3"/>
  <c r="H2108" i="3"/>
  <c r="H2109" i="3"/>
  <c r="H2110" i="3"/>
  <c r="H2111" i="3"/>
  <c r="H2112" i="3"/>
  <c r="H2113" i="3"/>
  <c r="H2114" i="3"/>
  <c r="H2115" i="3"/>
  <c r="H2116" i="3"/>
  <c r="H2117" i="3"/>
  <c r="H2118" i="3"/>
  <c r="H2119" i="3"/>
  <c r="H2120" i="3"/>
  <c r="H2121" i="3"/>
  <c r="H2122" i="3"/>
  <c r="H2123" i="3"/>
  <c r="H2124" i="3"/>
  <c r="H2125" i="3"/>
  <c r="H2126" i="3"/>
  <c r="H2127" i="3"/>
  <c r="H2128" i="3"/>
  <c r="H2129" i="3"/>
  <c r="H2130" i="3"/>
  <c r="H2131" i="3"/>
  <c r="H2132" i="3"/>
  <c r="H2133" i="3"/>
  <c r="H2134" i="3"/>
  <c r="H2135" i="3"/>
  <c r="H2136" i="3"/>
  <c r="H2137" i="3"/>
  <c r="H2138" i="3"/>
  <c r="H2139" i="3"/>
  <c r="H2140" i="3"/>
  <c r="H2141" i="3"/>
  <c r="H2142" i="3"/>
  <c r="H2143" i="3"/>
  <c r="H2144" i="3"/>
  <c r="H2145" i="3"/>
  <c r="H2146" i="3"/>
  <c r="H2147" i="3"/>
  <c r="H2148" i="3"/>
  <c r="H2149" i="3"/>
  <c r="H2150" i="3"/>
  <c r="H2151" i="3"/>
  <c r="H2152" i="3"/>
  <c r="H2153" i="3"/>
  <c r="H2154" i="3"/>
  <c r="H2155" i="3"/>
  <c r="H2156" i="3"/>
  <c r="H2157" i="3"/>
  <c r="H2158" i="3"/>
  <c r="H2159" i="3"/>
  <c r="H2160" i="3"/>
  <c r="H2161" i="3"/>
  <c r="H2162" i="3"/>
  <c r="H2163" i="3"/>
  <c r="H2164" i="3"/>
  <c r="H2165" i="3"/>
  <c r="H2166" i="3"/>
  <c r="H2167" i="3"/>
  <c r="H2168" i="3"/>
  <c r="H2169" i="3"/>
  <c r="H2170" i="3"/>
  <c r="H2171" i="3"/>
  <c r="H2172" i="3"/>
  <c r="H2173" i="3"/>
  <c r="H2174" i="3"/>
  <c r="H2175" i="3"/>
  <c r="H2176" i="3"/>
  <c r="H2177" i="3"/>
  <c r="H2178" i="3"/>
  <c r="H2179" i="3"/>
  <c r="H2180" i="3"/>
  <c r="H2181" i="3"/>
  <c r="H2182" i="3"/>
  <c r="H2183" i="3"/>
  <c r="H2184" i="3"/>
  <c r="H2185" i="3"/>
  <c r="H2186" i="3"/>
  <c r="H2187" i="3"/>
  <c r="H2188" i="3"/>
  <c r="H2189" i="3"/>
  <c r="H2190" i="3"/>
  <c r="H2191" i="3"/>
  <c r="H2192" i="3"/>
  <c r="H2193" i="3"/>
  <c r="H2194" i="3"/>
  <c r="H2195" i="3"/>
  <c r="H2196" i="3"/>
  <c r="H2197" i="3"/>
  <c r="H2198" i="3"/>
  <c r="H2199" i="3"/>
  <c r="H2200" i="3"/>
  <c r="H2201" i="3"/>
  <c r="H2202" i="3"/>
  <c r="H2203" i="3"/>
  <c r="H2204" i="3"/>
  <c r="H2205" i="3"/>
  <c r="H2206" i="3"/>
  <c r="H2207" i="3"/>
  <c r="H2208" i="3"/>
  <c r="H2209" i="3"/>
  <c r="H2210" i="3"/>
  <c r="H2211" i="3"/>
  <c r="H2212" i="3"/>
  <c r="H2213" i="3"/>
  <c r="H2214" i="3"/>
  <c r="H2215" i="3"/>
  <c r="H2216" i="3"/>
  <c r="H2217" i="3"/>
  <c r="H2218" i="3"/>
  <c r="H2219" i="3"/>
  <c r="H2220" i="3"/>
  <c r="H2221" i="3"/>
  <c r="H2222" i="3"/>
  <c r="H2223" i="3"/>
  <c r="H2224" i="3"/>
  <c r="H2225" i="3"/>
  <c r="H2226" i="3"/>
  <c r="H2227" i="3"/>
  <c r="H2228" i="3"/>
  <c r="H2229" i="3"/>
  <c r="H2230" i="3"/>
  <c r="H2231" i="3"/>
  <c r="H2232" i="3"/>
  <c r="H2233" i="3"/>
  <c r="H2234" i="3"/>
  <c r="H2235" i="3"/>
  <c r="H2236" i="3"/>
  <c r="H2237" i="3"/>
  <c r="H2238" i="3"/>
  <c r="H2239" i="3"/>
  <c r="H2240" i="3"/>
  <c r="H2241" i="3"/>
  <c r="H2242" i="3"/>
  <c r="H2243" i="3"/>
  <c r="H2244" i="3"/>
  <c r="H2245" i="3"/>
  <c r="H2246" i="3"/>
  <c r="H2247" i="3"/>
  <c r="H2248" i="3"/>
  <c r="H2249" i="3"/>
  <c r="H2250" i="3"/>
  <c r="H2251" i="3"/>
  <c r="H2252" i="3"/>
  <c r="H2253" i="3"/>
  <c r="H2254" i="3"/>
  <c r="H2255" i="3"/>
  <c r="H2256" i="3"/>
  <c r="H2257" i="3"/>
  <c r="H2258" i="3"/>
  <c r="H2259" i="3"/>
  <c r="H2260" i="3"/>
  <c r="H2261" i="3"/>
  <c r="H2262" i="3"/>
  <c r="H2263" i="3"/>
  <c r="H2264" i="3"/>
  <c r="H2265" i="3"/>
  <c r="H2266" i="3"/>
  <c r="H2267" i="3"/>
  <c r="H2268" i="3"/>
  <c r="H2269" i="3"/>
  <c r="H2270" i="3"/>
  <c r="H2271" i="3"/>
  <c r="H2272" i="3"/>
  <c r="H2273" i="3"/>
  <c r="H2274" i="3"/>
  <c r="H2275" i="3"/>
  <c r="H2276" i="3"/>
  <c r="H2277" i="3"/>
  <c r="H2278" i="3"/>
  <c r="H2279" i="3"/>
  <c r="H2280" i="3"/>
  <c r="H2281" i="3"/>
  <c r="H2282" i="3"/>
  <c r="H2283" i="3"/>
  <c r="H2284" i="3"/>
  <c r="H2285" i="3"/>
  <c r="H2286" i="3"/>
  <c r="H2287" i="3"/>
  <c r="H2288" i="3"/>
  <c r="H2289" i="3"/>
  <c r="H2290" i="3"/>
  <c r="H2291" i="3"/>
  <c r="H2292" i="3"/>
  <c r="H2293" i="3"/>
  <c r="H2294" i="3"/>
  <c r="H2295" i="3"/>
  <c r="H2296" i="3"/>
  <c r="H2297" i="3"/>
  <c r="H2298" i="3"/>
  <c r="H2299" i="3"/>
  <c r="H2300" i="3"/>
  <c r="H2301" i="3"/>
  <c r="H2302" i="3"/>
  <c r="H2303" i="3"/>
  <c r="H2304" i="3"/>
  <c r="H2305" i="3"/>
  <c r="H2306" i="3"/>
  <c r="H2307" i="3"/>
  <c r="H2308" i="3"/>
  <c r="H2309" i="3"/>
  <c r="H2310" i="3"/>
  <c r="H2311" i="3"/>
  <c r="H2312" i="3"/>
  <c r="H2313" i="3"/>
  <c r="H2314" i="3"/>
  <c r="H2315" i="3"/>
  <c r="H2316" i="3"/>
  <c r="H2317" i="3"/>
  <c r="H2318" i="3"/>
  <c r="H2319" i="3"/>
  <c r="H2320" i="3"/>
  <c r="H2321" i="3"/>
  <c r="H2322" i="3"/>
  <c r="H2323" i="3"/>
  <c r="H2324" i="3"/>
  <c r="H2325" i="3"/>
  <c r="H2326" i="3"/>
  <c r="H2327" i="3"/>
  <c r="H2328" i="3"/>
  <c r="H2329" i="3"/>
  <c r="H2330" i="3"/>
  <c r="H2331" i="3"/>
  <c r="H2332" i="3"/>
  <c r="H2333" i="3"/>
  <c r="H2334" i="3"/>
  <c r="H2335" i="3"/>
  <c r="H2336" i="3"/>
  <c r="H2337" i="3"/>
  <c r="H2338" i="3"/>
  <c r="H2339" i="3"/>
  <c r="H2340" i="3"/>
  <c r="H2341" i="3"/>
  <c r="H2342" i="3"/>
  <c r="H2343" i="3"/>
  <c r="H2344" i="3"/>
  <c r="H2345" i="3"/>
  <c r="H2346" i="3"/>
  <c r="H2347" i="3"/>
  <c r="H2348" i="3"/>
  <c r="H2349" i="3"/>
  <c r="H2350" i="3"/>
  <c r="H2351" i="3"/>
  <c r="H2352" i="3"/>
  <c r="H2353" i="3"/>
  <c r="H2354" i="3"/>
  <c r="H2355" i="3"/>
  <c r="H2356" i="3"/>
  <c r="H2357" i="3"/>
  <c r="H2358" i="3"/>
  <c r="H2359" i="3"/>
  <c r="H2360" i="3"/>
  <c r="H2361" i="3"/>
  <c r="H2362" i="3"/>
  <c r="H2363" i="3"/>
  <c r="H2364" i="3"/>
  <c r="H2365" i="3"/>
  <c r="H2366" i="3"/>
  <c r="H2367" i="3"/>
  <c r="H2368" i="3"/>
  <c r="H2369" i="3"/>
  <c r="H2370" i="3"/>
  <c r="H2371" i="3"/>
  <c r="H2372" i="3"/>
  <c r="H2373" i="3"/>
  <c r="H2374" i="3"/>
  <c r="H2375" i="3"/>
  <c r="H2376" i="3"/>
  <c r="H2377" i="3"/>
  <c r="H2378" i="3"/>
  <c r="H2379" i="3"/>
  <c r="H2380" i="3"/>
  <c r="H2381" i="3"/>
  <c r="H2382" i="3"/>
  <c r="H2383" i="3"/>
  <c r="H2384" i="3"/>
  <c r="H2385" i="3"/>
  <c r="H2386" i="3"/>
  <c r="H2387" i="3"/>
  <c r="H2388" i="3"/>
  <c r="H2389" i="3"/>
  <c r="H2390" i="3"/>
  <c r="H2391" i="3"/>
  <c r="H2392" i="3"/>
  <c r="H2393" i="3"/>
  <c r="H2394" i="3"/>
  <c r="H2395" i="3"/>
  <c r="H2396" i="3"/>
  <c r="H2397" i="3"/>
  <c r="H2398" i="3"/>
  <c r="H2399" i="3"/>
  <c r="H2400" i="3"/>
  <c r="H2401" i="3"/>
  <c r="H2402" i="3"/>
  <c r="H2403" i="3"/>
  <c r="H2404" i="3"/>
  <c r="H2405" i="3"/>
  <c r="H2406" i="3"/>
  <c r="H2407" i="3"/>
  <c r="H2408" i="3"/>
  <c r="H2409" i="3"/>
  <c r="H2410" i="3"/>
  <c r="H2411" i="3"/>
  <c r="H2412" i="3"/>
  <c r="H2413" i="3"/>
  <c r="H2414" i="3"/>
  <c r="H2415" i="3"/>
  <c r="H2416" i="3"/>
  <c r="H2417" i="3"/>
  <c r="H2418" i="3"/>
  <c r="H2419" i="3"/>
  <c r="H2420" i="3"/>
  <c r="H2421" i="3"/>
  <c r="H2422" i="3"/>
  <c r="H2423" i="3"/>
  <c r="H2424" i="3"/>
  <c r="H2425" i="3"/>
  <c r="H2426" i="3"/>
  <c r="H2427" i="3"/>
  <c r="H2428" i="3"/>
  <c r="H2429" i="3"/>
  <c r="H2430" i="3"/>
  <c r="H2431" i="3"/>
  <c r="H2432" i="3"/>
  <c r="H2433" i="3"/>
  <c r="H2434" i="3"/>
  <c r="H2435" i="3"/>
  <c r="H2436" i="3"/>
  <c r="H2437" i="3"/>
  <c r="H2438" i="3"/>
  <c r="H2439" i="3"/>
  <c r="H2440" i="3"/>
  <c r="H2441" i="3"/>
  <c r="H2442" i="3"/>
  <c r="H2443" i="3"/>
  <c r="H2444" i="3"/>
  <c r="H2445" i="3"/>
  <c r="H2446" i="3"/>
  <c r="H2447" i="3"/>
  <c r="H2448" i="3"/>
  <c r="H2449" i="3"/>
  <c r="H2450" i="3"/>
  <c r="H2451" i="3"/>
  <c r="H2452" i="3"/>
  <c r="H2453" i="3"/>
  <c r="H2454" i="3"/>
  <c r="H2455" i="3"/>
  <c r="H2456" i="3"/>
  <c r="H2457" i="3"/>
  <c r="H2458" i="3"/>
  <c r="H2459" i="3"/>
  <c r="H2460" i="3"/>
  <c r="H2461" i="3"/>
  <c r="H2462" i="3"/>
  <c r="H2463" i="3"/>
  <c r="H2464" i="3"/>
  <c r="H2465" i="3"/>
  <c r="H2466" i="3"/>
  <c r="H2467" i="3"/>
  <c r="H2468" i="3"/>
  <c r="H2469" i="3"/>
  <c r="H2470" i="3"/>
  <c r="H2471" i="3"/>
  <c r="H2472" i="3"/>
  <c r="H2473" i="3"/>
  <c r="H2474" i="3"/>
  <c r="H2475" i="3"/>
  <c r="H2476" i="3"/>
  <c r="H2477" i="3"/>
  <c r="H2478" i="3"/>
  <c r="H2479" i="3"/>
  <c r="H2480" i="3"/>
  <c r="H2481" i="3"/>
  <c r="H2482" i="3"/>
  <c r="H2483" i="3"/>
  <c r="H2484" i="3"/>
  <c r="H2485" i="3"/>
  <c r="H2486" i="3"/>
  <c r="H2487" i="3"/>
  <c r="H2488" i="3"/>
  <c r="H2489" i="3"/>
  <c r="H2490" i="3"/>
  <c r="H2491" i="3"/>
  <c r="H2492" i="3"/>
  <c r="H2493" i="3"/>
  <c r="H2494" i="3"/>
  <c r="H2495" i="3"/>
  <c r="H2496" i="3"/>
  <c r="H2497" i="3"/>
  <c r="H2498" i="3"/>
  <c r="H2499" i="3"/>
  <c r="H2500" i="3"/>
  <c r="H2501" i="3"/>
  <c r="H2502" i="3"/>
  <c r="H4" i="3"/>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6" i="2"/>
  <c r="G7" i="2"/>
  <c r="G8" i="2"/>
  <c r="G9" i="2"/>
  <c r="G10" i="2"/>
  <c r="G11" i="2"/>
  <c r="G12" i="2"/>
  <c r="G13" i="2"/>
  <c r="G14" i="2"/>
  <c r="G15" i="2"/>
  <c r="G16" i="2"/>
  <c r="G17" i="2"/>
  <c r="G18" i="2"/>
  <c r="G5" i="2"/>
  <c r="J20" i="40"/>
  <c r="J19" i="40"/>
  <c r="J18" i="40"/>
  <c r="J17" i="40"/>
  <c r="J12" i="40"/>
  <c r="J11" i="40"/>
  <c r="J10" i="40"/>
  <c r="J9" i="40"/>
  <c r="V8" i="2"/>
  <c r="U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2"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430" i="2"/>
  <c r="S431" i="2"/>
  <c r="S432" i="2"/>
  <c r="S433" i="2"/>
  <c r="S434" i="2"/>
  <c r="S435" i="2"/>
  <c r="S436" i="2"/>
  <c r="S437" i="2"/>
  <c r="S438" i="2"/>
  <c r="S439" i="2"/>
  <c r="S440" i="2"/>
  <c r="S441" i="2"/>
  <c r="S442" i="2"/>
  <c r="S443" i="2"/>
  <c r="S444" i="2"/>
  <c r="S445" i="2"/>
  <c r="S446" i="2"/>
  <c r="S447" i="2"/>
  <c r="S448" i="2"/>
  <c r="S449" i="2"/>
  <c r="S450" i="2"/>
  <c r="S451" i="2"/>
  <c r="S452" i="2"/>
  <c r="S453" i="2"/>
  <c r="S454" i="2"/>
  <c r="S455" i="2"/>
  <c r="S456" i="2"/>
  <c r="S457" i="2"/>
  <c r="S458" i="2"/>
  <c r="S459" i="2"/>
  <c r="S460" i="2"/>
  <c r="S461" i="2"/>
  <c r="S462" i="2"/>
  <c r="S463" i="2"/>
  <c r="S464" i="2"/>
  <c r="S465" i="2"/>
  <c r="S466" i="2"/>
  <c r="S467" i="2"/>
  <c r="S468" i="2"/>
  <c r="S469" i="2"/>
  <c r="S470" i="2"/>
  <c r="S471" i="2"/>
  <c r="S472" i="2"/>
  <c r="S473" i="2"/>
  <c r="S474" i="2"/>
  <c r="S475" i="2"/>
  <c r="S476" i="2"/>
  <c r="S477" i="2"/>
  <c r="S478" i="2"/>
  <c r="S479" i="2"/>
  <c r="S480" i="2"/>
  <c r="S481" i="2"/>
  <c r="S482" i="2"/>
  <c r="S483" i="2"/>
  <c r="S484" i="2"/>
  <c r="S485" i="2"/>
  <c r="S486" i="2"/>
  <c r="S487" i="2"/>
  <c r="S488" i="2"/>
  <c r="S489" i="2"/>
  <c r="S490" i="2"/>
  <c r="S491" i="2"/>
  <c r="S492" i="2"/>
  <c r="S493" i="2"/>
  <c r="S494" i="2"/>
  <c r="S495" i="2"/>
  <c r="S496" i="2"/>
  <c r="S497" i="2"/>
  <c r="S498" i="2"/>
  <c r="S499" i="2"/>
  <c r="S500" i="2"/>
  <c r="S501" i="2"/>
  <c r="S502" i="2"/>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T128" i="2"/>
  <c r="T129" i="2"/>
  <c r="T130" i="2"/>
  <c r="T131" i="2"/>
  <c r="T132" i="2"/>
  <c r="T133" i="2"/>
  <c r="T134" i="2"/>
  <c r="T135" i="2"/>
  <c r="T136" i="2"/>
  <c r="T137" i="2"/>
  <c r="T138" i="2"/>
  <c r="T139" i="2"/>
  <c r="T140" i="2"/>
  <c r="T141" i="2"/>
  <c r="T142" i="2"/>
  <c r="T143" i="2"/>
  <c r="T144" i="2"/>
  <c r="T145" i="2"/>
  <c r="T146" i="2"/>
  <c r="T147" i="2"/>
  <c r="T148" i="2"/>
  <c r="T149" i="2"/>
  <c r="T150" i="2"/>
  <c r="T151" i="2"/>
  <c r="T152" i="2"/>
  <c r="T153" i="2"/>
  <c r="T154" i="2"/>
  <c r="T155" i="2"/>
  <c r="T156" i="2"/>
  <c r="T157" i="2"/>
  <c r="T158" i="2"/>
  <c r="T159" i="2"/>
  <c r="T160" i="2"/>
  <c r="T161" i="2"/>
  <c r="T162" i="2"/>
  <c r="T163" i="2"/>
  <c r="T164" i="2"/>
  <c r="T165" i="2"/>
  <c r="T166" i="2"/>
  <c r="T167" i="2"/>
  <c r="T168" i="2"/>
  <c r="T169" i="2"/>
  <c r="T170" i="2"/>
  <c r="T171" i="2"/>
  <c r="T172" i="2"/>
  <c r="T173" i="2"/>
  <c r="T174" i="2"/>
  <c r="T175" i="2"/>
  <c r="T176" i="2"/>
  <c r="T177" i="2"/>
  <c r="T178" i="2"/>
  <c r="T179" i="2"/>
  <c r="T180" i="2"/>
  <c r="T181" i="2"/>
  <c r="T182" i="2"/>
  <c r="T183" i="2"/>
  <c r="T184" i="2"/>
  <c r="T185" i="2"/>
  <c r="T186" i="2"/>
  <c r="T187" i="2"/>
  <c r="T188" i="2"/>
  <c r="T189" i="2"/>
  <c r="T190" i="2"/>
  <c r="T191" i="2"/>
  <c r="T192" i="2"/>
  <c r="T193" i="2"/>
  <c r="T194" i="2"/>
  <c r="T195" i="2"/>
  <c r="T196" i="2"/>
  <c r="T197" i="2"/>
  <c r="T198" i="2"/>
  <c r="T199" i="2"/>
  <c r="T200" i="2"/>
  <c r="T201" i="2"/>
  <c r="T202" i="2"/>
  <c r="T203" i="2"/>
  <c r="T204" i="2"/>
  <c r="T205" i="2"/>
  <c r="T206" i="2"/>
  <c r="T207" i="2"/>
  <c r="T208" i="2"/>
  <c r="T209" i="2"/>
  <c r="T210" i="2"/>
  <c r="T211" i="2"/>
  <c r="T212" i="2"/>
  <c r="T213" i="2"/>
  <c r="T214" i="2"/>
  <c r="T215" i="2"/>
  <c r="T216" i="2"/>
  <c r="T217" i="2"/>
  <c r="T218" i="2"/>
  <c r="T219" i="2"/>
  <c r="T220" i="2"/>
  <c r="T221" i="2"/>
  <c r="T222" i="2"/>
  <c r="T223" i="2"/>
  <c r="T224" i="2"/>
  <c r="T225" i="2"/>
  <c r="T226" i="2"/>
  <c r="T227" i="2"/>
  <c r="T228" i="2"/>
  <c r="T229" i="2"/>
  <c r="T230" i="2"/>
  <c r="T231" i="2"/>
  <c r="T232" i="2"/>
  <c r="T233" i="2"/>
  <c r="T234" i="2"/>
  <c r="T235" i="2"/>
  <c r="T236" i="2"/>
  <c r="T237" i="2"/>
  <c r="T238" i="2"/>
  <c r="T239" i="2"/>
  <c r="T240" i="2"/>
  <c r="T241" i="2"/>
  <c r="T242" i="2"/>
  <c r="T243" i="2"/>
  <c r="T244" i="2"/>
  <c r="T245" i="2"/>
  <c r="T246" i="2"/>
  <c r="T247" i="2"/>
  <c r="T248" i="2"/>
  <c r="T249" i="2"/>
  <c r="T250" i="2"/>
  <c r="T251" i="2"/>
  <c r="T252" i="2"/>
  <c r="T253" i="2"/>
  <c r="T254" i="2"/>
  <c r="T255" i="2"/>
  <c r="T256" i="2"/>
  <c r="T257" i="2"/>
  <c r="T258" i="2"/>
  <c r="T259" i="2"/>
  <c r="T260" i="2"/>
  <c r="T261" i="2"/>
  <c r="T262" i="2"/>
  <c r="T263" i="2"/>
  <c r="T264" i="2"/>
  <c r="T265" i="2"/>
  <c r="T266" i="2"/>
  <c r="T267" i="2"/>
  <c r="T268" i="2"/>
  <c r="T269" i="2"/>
  <c r="T270" i="2"/>
  <c r="T271" i="2"/>
  <c r="T272" i="2"/>
  <c r="T273" i="2"/>
  <c r="T274" i="2"/>
  <c r="T275" i="2"/>
  <c r="T276" i="2"/>
  <c r="T277" i="2"/>
  <c r="T278" i="2"/>
  <c r="T279" i="2"/>
  <c r="T280" i="2"/>
  <c r="T281" i="2"/>
  <c r="T282" i="2"/>
  <c r="T283" i="2"/>
  <c r="T284" i="2"/>
  <c r="T285" i="2"/>
  <c r="T286" i="2"/>
  <c r="T287" i="2"/>
  <c r="T288" i="2"/>
  <c r="T289" i="2"/>
  <c r="T290" i="2"/>
  <c r="T291" i="2"/>
  <c r="T292" i="2"/>
  <c r="T293" i="2"/>
  <c r="T294" i="2"/>
  <c r="T295" i="2"/>
  <c r="T296" i="2"/>
  <c r="T297" i="2"/>
  <c r="T298" i="2"/>
  <c r="T299" i="2"/>
  <c r="T300" i="2"/>
  <c r="T301" i="2"/>
  <c r="T302" i="2"/>
  <c r="T303" i="2"/>
  <c r="T304" i="2"/>
  <c r="T305" i="2"/>
  <c r="T306" i="2"/>
  <c r="T307" i="2"/>
  <c r="T308" i="2"/>
  <c r="T309" i="2"/>
  <c r="T310" i="2"/>
  <c r="T311" i="2"/>
  <c r="T312" i="2"/>
  <c r="T313" i="2"/>
  <c r="T314" i="2"/>
  <c r="T315" i="2"/>
  <c r="T316" i="2"/>
  <c r="T317" i="2"/>
  <c r="T318" i="2"/>
  <c r="T319" i="2"/>
  <c r="T320" i="2"/>
  <c r="T321" i="2"/>
  <c r="T322" i="2"/>
  <c r="T323" i="2"/>
  <c r="T324" i="2"/>
  <c r="T325" i="2"/>
  <c r="T326" i="2"/>
  <c r="T327" i="2"/>
  <c r="T328" i="2"/>
  <c r="T329" i="2"/>
  <c r="T330" i="2"/>
  <c r="T331" i="2"/>
  <c r="T332" i="2"/>
  <c r="T333" i="2"/>
  <c r="T334" i="2"/>
  <c r="T335" i="2"/>
  <c r="T336" i="2"/>
  <c r="T337" i="2"/>
  <c r="T338" i="2"/>
  <c r="T339" i="2"/>
  <c r="T340" i="2"/>
  <c r="T341" i="2"/>
  <c r="T342" i="2"/>
  <c r="T343" i="2"/>
  <c r="T344" i="2"/>
  <c r="T345" i="2"/>
  <c r="T346" i="2"/>
  <c r="T347" i="2"/>
  <c r="T348" i="2"/>
  <c r="T349" i="2"/>
  <c r="T350" i="2"/>
  <c r="T351" i="2"/>
  <c r="T352" i="2"/>
  <c r="T353" i="2"/>
  <c r="T354" i="2"/>
  <c r="T355" i="2"/>
  <c r="T356" i="2"/>
  <c r="T357" i="2"/>
  <c r="T358" i="2"/>
  <c r="T359" i="2"/>
  <c r="T360" i="2"/>
  <c r="T361" i="2"/>
  <c r="T362" i="2"/>
  <c r="T363" i="2"/>
  <c r="T364" i="2"/>
  <c r="T365" i="2"/>
  <c r="T366" i="2"/>
  <c r="T367" i="2"/>
  <c r="T368" i="2"/>
  <c r="T369" i="2"/>
  <c r="T370" i="2"/>
  <c r="T371" i="2"/>
  <c r="T372" i="2"/>
  <c r="T373" i="2"/>
  <c r="T374" i="2"/>
  <c r="T375" i="2"/>
  <c r="T376" i="2"/>
  <c r="T377" i="2"/>
  <c r="T378" i="2"/>
  <c r="T379" i="2"/>
  <c r="T380" i="2"/>
  <c r="T381" i="2"/>
  <c r="T382" i="2"/>
  <c r="T383" i="2"/>
  <c r="T384" i="2"/>
  <c r="T385" i="2"/>
  <c r="T386" i="2"/>
  <c r="T387" i="2"/>
  <c r="T388" i="2"/>
  <c r="T389" i="2"/>
  <c r="T390" i="2"/>
  <c r="T391" i="2"/>
  <c r="T392" i="2"/>
  <c r="T393" i="2"/>
  <c r="T394" i="2"/>
  <c r="T395" i="2"/>
  <c r="T396" i="2"/>
  <c r="T397" i="2"/>
  <c r="T398" i="2"/>
  <c r="T399" i="2"/>
  <c r="T400" i="2"/>
  <c r="T401" i="2"/>
  <c r="T402" i="2"/>
  <c r="T403" i="2"/>
  <c r="T404" i="2"/>
  <c r="T405" i="2"/>
  <c r="T406" i="2"/>
  <c r="T407" i="2"/>
  <c r="T408" i="2"/>
  <c r="T409" i="2"/>
  <c r="T410" i="2"/>
  <c r="T411" i="2"/>
  <c r="T412" i="2"/>
  <c r="T413" i="2"/>
  <c r="T414" i="2"/>
  <c r="T415" i="2"/>
  <c r="T416" i="2"/>
  <c r="T417" i="2"/>
  <c r="T418" i="2"/>
  <c r="T419" i="2"/>
  <c r="T420" i="2"/>
  <c r="T421" i="2"/>
  <c r="T422" i="2"/>
  <c r="T423" i="2"/>
  <c r="T424" i="2"/>
  <c r="T425" i="2"/>
  <c r="T426" i="2"/>
  <c r="T427" i="2"/>
  <c r="T428" i="2"/>
  <c r="T429" i="2"/>
  <c r="T430" i="2"/>
  <c r="T431" i="2"/>
  <c r="T432" i="2"/>
  <c r="T433" i="2"/>
  <c r="T434" i="2"/>
  <c r="T435" i="2"/>
  <c r="T436" i="2"/>
  <c r="T437" i="2"/>
  <c r="T438" i="2"/>
  <c r="T439" i="2"/>
  <c r="T440" i="2"/>
  <c r="T441" i="2"/>
  <c r="T442" i="2"/>
  <c r="T443" i="2"/>
  <c r="T444" i="2"/>
  <c r="T445" i="2"/>
  <c r="T446" i="2"/>
  <c r="T447" i="2"/>
  <c r="T448" i="2"/>
  <c r="T449" i="2"/>
  <c r="T450" i="2"/>
  <c r="T451" i="2"/>
  <c r="T452" i="2"/>
  <c r="T453" i="2"/>
  <c r="T454" i="2"/>
  <c r="T455" i="2"/>
  <c r="T456" i="2"/>
  <c r="T457" i="2"/>
  <c r="T458" i="2"/>
  <c r="T459" i="2"/>
  <c r="T460" i="2"/>
  <c r="T461" i="2"/>
  <c r="T462" i="2"/>
  <c r="T463" i="2"/>
  <c r="T464" i="2"/>
  <c r="T465" i="2"/>
  <c r="T466" i="2"/>
  <c r="T467" i="2"/>
  <c r="T468" i="2"/>
  <c r="T469" i="2"/>
  <c r="T470" i="2"/>
  <c r="T471" i="2"/>
  <c r="T472" i="2"/>
  <c r="T473" i="2"/>
  <c r="T474" i="2"/>
  <c r="T475" i="2"/>
  <c r="T476" i="2"/>
  <c r="T477" i="2"/>
  <c r="T478" i="2"/>
  <c r="T479" i="2"/>
  <c r="T480" i="2"/>
  <c r="T481" i="2"/>
  <c r="T482" i="2"/>
  <c r="T483" i="2"/>
  <c r="T484" i="2"/>
  <c r="T485" i="2"/>
  <c r="T486" i="2"/>
  <c r="T487" i="2"/>
  <c r="T488" i="2"/>
  <c r="T489" i="2"/>
  <c r="T490" i="2"/>
  <c r="T491" i="2"/>
  <c r="T492" i="2"/>
  <c r="T493" i="2"/>
  <c r="T494" i="2"/>
  <c r="T495" i="2"/>
  <c r="T496" i="2"/>
  <c r="T497" i="2"/>
  <c r="T498" i="2"/>
  <c r="T499" i="2"/>
  <c r="T500" i="2"/>
  <c r="T501" i="2"/>
  <c r="T502" i="2"/>
  <c r="T4" i="2"/>
  <c r="U5" i="2"/>
  <c r="U6"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U94" i="2"/>
  <c r="U95" i="2"/>
  <c r="U96" i="2"/>
  <c r="U97" i="2"/>
  <c r="U98" i="2"/>
  <c r="U99" i="2"/>
  <c r="U100" i="2"/>
  <c r="U101" i="2"/>
  <c r="U102" i="2"/>
  <c r="U103" i="2"/>
  <c r="U104" i="2"/>
  <c r="U105" i="2"/>
  <c r="U106" i="2"/>
  <c r="U107" i="2"/>
  <c r="U108" i="2"/>
  <c r="U109" i="2"/>
  <c r="U110" i="2"/>
  <c r="U111" i="2"/>
  <c r="U112" i="2"/>
  <c r="U113" i="2"/>
  <c r="U114" i="2"/>
  <c r="U115" i="2"/>
  <c r="U116" i="2"/>
  <c r="U117" i="2"/>
  <c r="U118" i="2"/>
  <c r="U119" i="2"/>
  <c r="U120" i="2"/>
  <c r="U121" i="2"/>
  <c r="U122" i="2"/>
  <c r="U123" i="2"/>
  <c r="U124" i="2"/>
  <c r="U125" i="2"/>
  <c r="U126" i="2"/>
  <c r="U127" i="2"/>
  <c r="U128" i="2"/>
  <c r="U129" i="2"/>
  <c r="U130" i="2"/>
  <c r="U131" i="2"/>
  <c r="U132" i="2"/>
  <c r="U133" i="2"/>
  <c r="U134" i="2"/>
  <c r="U135" i="2"/>
  <c r="U136" i="2"/>
  <c r="U137" i="2"/>
  <c r="U138" i="2"/>
  <c r="U139" i="2"/>
  <c r="U140" i="2"/>
  <c r="U141" i="2"/>
  <c r="U142" i="2"/>
  <c r="U143" i="2"/>
  <c r="U144" i="2"/>
  <c r="U145" i="2"/>
  <c r="U146" i="2"/>
  <c r="U147" i="2"/>
  <c r="U148" i="2"/>
  <c r="U149" i="2"/>
  <c r="U150" i="2"/>
  <c r="U151" i="2"/>
  <c r="U152" i="2"/>
  <c r="U153" i="2"/>
  <c r="U154" i="2"/>
  <c r="U155" i="2"/>
  <c r="U156" i="2"/>
  <c r="U157" i="2"/>
  <c r="U158" i="2"/>
  <c r="U159" i="2"/>
  <c r="U160" i="2"/>
  <c r="U161" i="2"/>
  <c r="U162" i="2"/>
  <c r="U163" i="2"/>
  <c r="U164" i="2"/>
  <c r="U165" i="2"/>
  <c r="U166" i="2"/>
  <c r="U167" i="2"/>
  <c r="U168" i="2"/>
  <c r="U169" i="2"/>
  <c r="U170" i="2"/>
  <c r="U171" i="2"/>
  <c r="U172" i="2"/>
  <c r="U173" i="2"/>
  <c r="U174" i="2"/>
  <c r="U175" i="2"/>
  <c r="U176" i="2"/>
  <c r="U177" i="2"/>
  <c r="U178" i="2"/>
  <c r="U179" i="2"/>
  <c r="U180" i="2"/>
  <c r="U181" i="2"/>
  <c r="U182" i="2"/>
  <c r="U183" i="2"/>
  <c r="U184" i="2"/>
  <c r="U185" i="2"/>
  <c r="U186" i="2"/>
  <c r="U187" i="2"/>
  <c r="U188" i="2"/>
  <c r="U189" i="2"/>
  <c r="U190" i="2"/>
  <c r="U191" i="2"/>
  <c r="U192" i="2"/>
  <c r="U193" i="2"/>
  <c r="U194" i="2"/>
  <c r="U195" i="2"/>
  <c r="U196" i="2"/>
  <c r="U197" i="2"/>
  <c r="U198" i="2"/>
  <c r="U199" i="2"/>
  <c r="U200" i="2"/>
  <c r="U201" i="2"/>
  <c r="U202" i="2"/>
  <c r="U203" i="2"/>
  <c r="U204" i="2"/>
  <c r="U205" i="2"/>
  <c r="U206" i="2"/>
  <c r="U207" i="2"/>
  <c r="U208" i="2"/>
  <c r="U209" i="2"/>
  <c r="U210" i="2"/>
  <c r="U211" i="2"/>
  <c r="U212" i="2"/>
  <c r="U213" i="2"/>
  <c r="U214" i="2"/>
  <c r="U215" i="2"/>
  <c r="U216" i="2"/>
  <c r="U217" i="2"/>
  <c r="U218" i="2"/>
  <c r="U219" i="2"/>
  <c r="U220" i="2"/>
  <c r="U221" i="2"/>
  <c r="U222" i="2"/>
  <c r="U223" i="2"/>
  <c r="U224" i="2"/>
  <c r="U225" i="2"/>
  <c r="U226" i="2"/>
  <c r="U227" i="2"/>
  <c r="U228" i="2"/>
  <c r="U229" i="2"/>
  <c r="U230" i="2"/>
  <c r="U231" i="2"/>
  <c r="U232" i="2"/>
  <c r="U233" i="2"/>
  <c r="U234" i="2"/>
  <c r="U235" i="2"/>
  <c r="U236" i="2"/>
  <c r="U237" i="2"/>
  <c r="U238" i="2"/>
  <c r="U239" i="2"/>
  <c r="U240" i="2"/>
  <c r="U241" i="2"/>
  <c r="U242" i="2"/>
  <c r="U243" i="2"/>
  <c r="U244" i="2"/>
  <c r="U245" i="2"/>
  <c r="U246" i="2"/>
  <c r="U247" i="2"/>
  <c r="U248" i="2"/>
  <c r="U249" i="2"/>
  <c r="U250" i="2"/>
  <c r="U251" i="2"/>
  <c r="U252" i="2"/>
  <c r="U253" i="2"/>
  <c r="U254" i="2"/>
  <c r="U255" i="2"/>
  <c r="U256" i="2"/>
  <c r="U257" i="2"/>
  <c r="U258" i="2"/>
  <c r="U259" i="2"/>
  <c r="U260" i="2"/>
  <c r="U261" i="2"/>
  <c r="U262" i="2"/>
  <c r="U263" i="2"/>
  <c r="U264" i="2"/>
  <c r="U265" i="2"/>
  <c r="U266" i="2"/>
  <c r="U267" i="2"/>
  <c r="U268" i="2"/>
  <c r="U269" i="2"/>
  <c r="U270" i="2"/>
  <c r="U271" i="2"/>
  <c r="U272" i="2"/>
  <c r="U273" i="2"/>
  <c r="U274" i="2"/>
  <c r="U275" i="2"/>
  <c r="U276" i="2"/>
  <c r="U277" i="2"/>
  <c r="U278" i="2"/>
  <c r="U279" i="2"/>
  <c r="U280" i="2"/>
  <c r="U281" i="2"/>
  <c r="U282" i="2"/>
  <c r="U283" i="2"/>
  <c r="U284" i="2"/>
  <c r="U285" i="2"/>
  <c r="U286" i="2"/>
  <c r="U287" i="2"/>
  <c r="U288" i="2"/>
  <c r="U289" i="2"/>
  <c r="U290" i="2"/>
  <c r="U291" i="2"/>
  <c r="U292" i="2"/>
  <c r="U293" i="2"/>
  <c r="U294" i="2"/>
  <c r="U295" i="2"/>
  <c r="U296" i="2"/>
  <c r="U297" i="2"/>
  <c r="U298" i="2"/>
  <c r="U299" i="2"/>
  <c r="U300" i="2"/>
  <c r="U301" i="2"/>
  <c r="U302" i="2"/>
  <c r="U303" i="2"/>
  <c r="U304" i="2"/>
  <c r="U305" i="2"/>
  <c r="U306" i="2"/>
  <c r="U307" i="2"/>
  <c r="U308" i="2"/>
  <c r="U309" i="2"/>
  <c r="U310" i="2"/>
  <c r="U311" i="2"/>
  <c r="U312" i="2"/>
  <c r="U313" i="2"/>
  <c r="U314" i="2"/>
  <c r="U315" i="2"/>
  <c r="U316" i="2"/>
  <c r="U317" i="2"/>
  <c r="U318" i="2"/>
  <c r="U319" i="2"/>
  <c r="U320" i="2"/>
  <c r="U321" i="2"/>
  <c r="U322" i="2"/>
  <c r="U323" i="2"/>
  <c r="U324" i="2"/>
  <c r="U325" i="2"/>
  <c r="U326" i="2"/>
  <c r="U327" i="2"/>
  <c r="U328" i="2"/>
  <c r="U329" i="2"/>
  <c r="U330" i="2"/>
  <c r="U331" i="2"/>
  <c r="U332" i="2"/>
  <c r="U333" i="2"/>
  <c r="U334" i="2"/>
  <c r="U335" i="2"/>
  <c r="U336" i="2"/>
  <c r="U337" i="2"/>
  <c r="U338" i="2"/>
  <c r="U339" i="2"/>
  <c r="U340" i="2"/>
  <c r="U341" i="2"/>
  <c r="U342" i="2"/>
  <c r="U343" i="2"/>
  <c r="U344" i="2"/>
  <c r="U345" i="2"/>
  <c r="U346" i="2"/>
  <c r="U347" i="2"/>
  <c r="U348" i="2"/>
  <c r="U349" i="2"/>
  <c r="U350" i="2"/>
  <c r="U351" i="2"/>
  <c r="U352" i="2"/>
  <c r="U353" i="2"/>
  <c r="U354" i="2"/>
  <c r="U355" i="2"/>
  <c r="U356" i="2"/>
  <c r="U357" i="2"/>
  <c r="U358" i="2"/>
  <c r="U359" i="2"/>
  <c r="U360" i="2"/>
  <c r="U361" i="2"/>
  <c r="U362" i="2"/>
  <c r="U363" i="2"/>
  <c r="U364" i="2"/>
  <c r="U365" i="2"/>
  <c r="U366" i="2"/>
  <c r="U367" i="2"/>
  <c r="U368" i="2"/>
  <c r="U369" i="2"/>
  <c r="U370" i="2"/>
  <c r="U371" i="2"/>
  <c r="U372" i="2"/>
  <c r="U373" i="2"/>
  <c r="U374" i="2"/>
  <c r="U375" i="2"/>
  <c r="U376" i="2"/>
  <c r="U377" i="2"/>
  <c r="U378" i="2"/>
  <c r="U379" i="2"/>
  <c r="U380" i="2"/>
  <c r="U381" i="2"/>
  <c r="U382" i="2"/>
  <c r="U383" i="2"/>
  <c r="U384" i="2"/>
  <c r="U385" i="2"/>
  <c r="U386" i="2"/>
  <c r="U387" i="2"/>
  <c r="U388" i="2"/>
  <c r="U389" i="2"/>
  <c r="U390" i="2"/>
  <c r="U391" i="2"/>
  <c r="U392" i="2"/>
  <c r="U393" i="2"/>
  <c r="U394" i="2"/>
  <c r="U395" i="2"/>
  <c r="U396" i="2"/>
  <c r="U397" i="2"/>
  <c r="U398" i="2"/>
  <c r="U399" i="2"/>
  <c r="U400" i="2"/>
  <c r="U401" i="2"/>
  <c r="U402" i="2"/>
  <c r="U403" i="2"/>
  <c r="U404" i="2"/>
  <c r="U405" i="2"/>
  <c r="U406" i="2"/>
  <c r="U407" i="2"/>
  <c r="U408" i="2"/>
  <c r="U409" i="2"/>
  <c r="U410" i="2"/>
  <c r="U411" i="2"/>
  <c r="U412" i="2"/>
  <c r="U413" i="2"/>
  <c r="U414" i="2"/>
  <c r="U415" i="2"/>
  <c r="U416" i="2"/>
  <c r="U417" i="2"/>
  <c r="U418" i="2"/>
  <c r="U419" i="2"/>
  <c r="U420" i="2"/>
  <c r="U421" i="2"/>
  <c r="U422" i="2"/>
  <c r="U423" i="2"/>
  <c r="U424" i="2"/>
  <c r="U425" i="2"/>
  <c r="U426" i="2"/>
  <c r="U427" i="2"/>
  <c r="U428" i="2"/>
  <c r="U429" i="2"/>
  <c r="U430" i="2"/>
  <c r="U431" i="2"/>
  <c r="U432" i="2"/>
  <c r="U433" i="2"/>
  <c r="U434" i="2"/>
  <c r="U435" i="2"/>
  <c r="U436" i="2"/>
  <c r="U437" i="2"/>
  <c r="U438" i="2"/>
  <c r="U439" i="2"/>
  <c r="U440" i="2"/>
  <c r="U441" i="2"/>
  <c r="U442" i="2"/>
  <c r="U443" i="2"/>
  <c r="U444" i="2"/>
  <c r="U445" i="2"/>
  <c r="U446" i="2"/>
  <c r="U447" i="2"/>
  <c r="U448" i="2"/>
  <c r="U449" i="2"/>
  <c r="U450" i="2"/>
  <c r="U451" i="2"/>
  <c r="U452" i="2"/>
  <c r="U453" i="2"/>
  <c r="U454" i="2"/>
  <c r="U455" i="2"/>
  <c r="U456" i="2"/>
  <c r="U457" i="2"/>
  <c r="U458" i="2"/>
  <c r="U459" i="2"/>
  <c r="U460" i="2"/>
  <c r="U461" i="2"/>
  <c r="U462" i="2"/>
  <c r="U463" i="2"/>
  <c r="U464" i="2"/>
  <c r="U465" i="2"/>
  <c r="U466" i="2"/>
  <c r="U467" i="2"/>
  <c r="U468" i="2"/>
  <c r="U469" i="2"/>
  <c r="U470" i="2"/>
  <c r="U471" i="2"/>
  <c r="U472" i="2"/>
  <c r="U473" i="2"/>
  <c r="U474" i="2"/>
  <c r="U475" i="2"/>
  <c r="U476" i="2"/>
  <c r="U477" i="2"/>
  <c r="U478" i="2"/>
  <c r="U479" i="2"/>
  <c r="U480" i="2"/>
  <c r="U481" i="2"/>
  <c r="U482" i="2"/>
  <c r="U483" i="2"/>
  <c r="U484" i="2"/>
  <c r="U485" i="2"/>
  <c r="U486" i="2"/>
  <c r="U487" i="2"/>
  <c r="U488" i="2"/>
  <c r="U489" i="2"/>
  <c r="U490" i="2"/>
  <c r="U491" i="2"/>
  <c r="U492" i="2"/>
  <c r="U493" i="2"/>
  <c r="U494" i="2"/>
  <c r="U495" i="2"/>
  <c r="U496" i="2"/>
  <c r="U497" i="2"/>
  <c r="U498" i="2"/>
  <c r="U499" i="2"/>
  <c r="U500" i="2"/>
  <c r="U501" i="2"/>
  <c r="U502" i="2"/>
  <c r="V5" i="2"/>
  <c r="V6" i="2"/>
  <c r="V7" i="2"/>
  <c r="V9" i="2"/>
  <c r="V10" i="2"/>
  <c r="V11" i="2"/>
  <c r="V12" i="2"/>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4" i="2"/>
  <c r="V75" i="2"/>
  <c r="V76" i="2"/>
  <c r="V77" i="2"/>
  <c r="V78" i="2"/>
  <c r="V79" i="2"/>
  <c r="V80" i="2"/>
  <c r="V81" i="2"/>
  <c r="V82" i="2"/>
  <c r="V83" i="2"/>
  <c r="V84" i="2"/>
  <c r="V85" i="2"/>
  <c r="V86" i="2"/>
  <c r="V87" i="2"/>
  <c r="V88" i="2"/>
  <c r="V89" i="2"/>
  <c r="V90" i="2"/>
  <c r="V91" i="2"/>
  <c r="V92" i="2"/>
  <c r="V93" i="2"/>
  <c r="V94" i="2"/>
  <c r="V95" i="2"/>
  <c r="V96" i="2"/>
  <c r="V97" i="2"/>
  <c r="V98" i="2"/>
  <c r="V99" i="2"/>
  <c r="V100" i="2"/>
  <c r="V101" i="2"/>
  <c r="V102" i="2"/>
  <c r="V103" i="2"/>
  <c r="V104" i="2"/>
  <c r="V105" i="2"/>
  <c r="V106" i="2"/>
  <c r="V107" i="2"/>
  <c r="V108" i="2"/>
  <c r="V109" i="2"/>
  <c r="V110" i="2"/>
  <c r="V111" i="2"/>
  <c r="V112" i="2"/>
  <c r="V113" i="2"/>
  <c r="V114" i="2"/>
  <c r="V115" i="2"/>
  <c r="V116" i="2"/>
  <c r="V117" i="2"/>
  <c r="V118" i="2"/>
  <c r="V119" i="2"/>
  <c r="V120" i="2"/>
  <c r="V121" i="2"/>
  <c r="V122" i="2"/>
  <c r="V123" i="2"/>
  <c r="V124" i="2"/>
  <c r="V125" i="2"/>
  <c r="V126" i="2"/>
  <c r="V127" i="2"/>
  <c r="V128" i="2"/>
  <c r="V129" i="2"/>
  <c r="V130" i="2"/>
  <c r="V131" i="2"/>
  <c r="V132" i="2"/>
  <c r="V133" i="2"/>
  <c r="V134" i="2"/>
  <c r="V135" i="2"/>
  <c r="V136" i="2"/>
  <c r="V137" i="2"/>
  <c r="V138" i="2"/>
  <c r="V139" i="2"/>
  <c r="V140" i="2"/>
  <c r="V141" i="2"/>
  <c r="V142" i="2"/>
  <c r="V143" i="2"/>
  <c r="V144" i="2"/>
  <c r="V145" i="2"/>
  <c r="V146" i="2"/>
  <c r="V147" i="2"/>
  <c r="V148" i="2"/>
  <c r="V149" i="2"/>
  <c r="V150" i="2"/>
  <c r="V151" i="2"/>
  <c r="V152" i="2"/>
  <c r="V153" i="2"/>
  <c r="V154" i="2"/>
  <c r="V155" i="2"/>
  <c r="V156" i="2"/>
  <c r="V157" i="2"/>
  <c r="V158" i="2"/>
  <c r="V159" i="2"/>
  <c r="V160" i="2"/>
  <c r="V161" i="2"/>
  <c r="V162" i="2"/>
  <c r="V163" i="2"/>
  <c r="V164" i="2"/>
  <c r="V165" i="2"/>
  <c r="V166" i="2"/>
  <c r="V167" i="2"/>
  <c r="V168" i="2"/>
  <c r="V169" i="2"/>
  <c r="V170" i="2"/>
  <c r="V171" i="2"/>
  <c r="V172" i="2"/>
  <c r="V173" i="2"/>
  <c r="V174" i="2"/>
  <c r="V175" i="2"/>
  <c r="V176" i="2"/>
  <c r="V177" i="2"/>
  <c r="V178" i="2"/>
  <c r="V179" i="2"/>
  <c r="V180" i="2"/>
  <c r="V181" i="2"/>
  <c r="V182" i="2"/>
  <c r="V183" i="2"/>
  <c r="V184" i="2"/>
  <c r="V185" i="2"/>
  <c r="V186" i="2"/>
  <c r="V187" i="2"/>
  <c r="V188" i="2"/>
  <c r="V189" i="2"/>
  <c r="V190" i="2"/>
  <c r="V191" i="2"/>
  <c r="V192" i="2"/>
  <c r="V193" i="2"/>
  <c r="V194" i="2"/>
  <c r="V195" i="2"/>
  <c r="V196" i="2"/>
  <c r="V197" i="2"/>
  <c r="V198" i="2"/>
  <c r="V199" i="2"/>
  <c r="V200" i="2"/>
  <c r="V201" i="2"/>
  <c r="V202" i="2"/>
  <c r="V203" i="2"/>
  <c r="V204" i="2"/>
  <c r="V205" i="2"/>
  <c r="V206" i="2"/>
  <c r="V207" i="2"/>
  <c r="V208" i="2"/>
  <c r="V209" i="2"/>
  <c r="V210" i="2"/>
  <c r="V211" i="2"/>
  <c r="V212" i="2"/>
  <c r="V213" i="2"/>
  <c r="V214" i="2"/>
  <c r="V215" i="2"/>
  <c r="V216" i="2"/>
  <c r="V217" i="2"/>
  <c r="V218" i="2"/>
  <c r="V219" i="2"/>
  <c r="V220" i="2"/>
  <c r="V221" i="2"/>
  <c r="V222" i="2"/>
  <c r="V223" i="2"/>
  <c r="V224" i="2"/>
  <c r="V225" i="2"/>
  <c r="V226" i="2"/>
  <c r="V227" i="2"/>
  <c r="V228" i="2"/>
  <c r="V229" i="2"/>
  <c r="V230" i="2"/>
  <c r="V231" i="2"/>
  <c r="V232" i="2"/>
  <c r="V233" i="2"/>
  <c r="V234" i="2"/>
  <c r="V235" i="2"/>
  <c r="V236" i="2"/>
  <c r="V237" i="2"/>
  <c r="V238" i="2"/>
  <c r="V239" i="2"/>
  <c r="V240" i="2"/>
  <c r="V241" i="2"/>
  <c r="V242" i="2"/>
  <c r="V243" i="2"/>
  <c r="V244" i="2"/>
  <c r="V245" i="2"/>
  <c r="V246" i="2"/>
  <c r="V247" i="2"/>
  <c r="V248" i="2"/>
  <c r="V249" i="2"/>
  <c r="V250" i="2"/>
  <c r="V251" i="2"/>
  <c r="V252" i="2"/>
  <c r="V253" i="2"/>
  <c r="V254" i="2"/>
  <c r="V255" i="2"/>
  <c r="V256" i="2"/>
  <c r="V257" i="2"/>
  <c r="V258" i="2"/>
  <c r="V259" i="2"/>
  <c r="V260" i="2"/>
  <c r="V261" i="2"/>
  <c r="V262" i="2"/>
  <c r="V263" i="2"/>
  <c r="V264" i="2"/>
  <c r="V265" i="2"/>
  <c r="V266" i="2"/>
  <c r="V267" i="2"/>
  <c r="V268" i="2"/>
  <c r="V269" i="2"/>
  <c r="V270" i="2"/>
  <c r="V271" i="2"/>
  <c r="V272" i="2"/>
  <c r="V273" i="2"/>
  <c r="V274" i="2"/>
  <c r="V275" i="2"/>
  <c r="V276" i="2"/>
  <c r="V277" i="2"/>
  <c r="V278" i="2"/>
  <c r="V279" i="2"/>
  <c r="V280" i="2"/>
  <c r="V281" i="2"/>
  <c r="V282" i="2"/>
  <c r="V283" i="2"/>
  <c r="V284" i="2"/>
  <c r="V285" i="2"/>
  <c r="V286" i="2"/>
  <c r="V287" i="2"/>
  <c r="V288" i="2"/>
  <c r="V289" i="2"/>
  <c r="V290" i="2"/>
  <c r="V291" i="2"/>
  <c r="V292" i="2"/>
  <c r="V293" i="2"/>
  <c r="V294" i="2"/>
  <c r="V295" i="2"/>
  <c r="V296" i="2"/>
  <c r="V297" i="2"/>
  <c r="V298" i="2"/>
  <c r="V299" i="2"/>
  <c r="V300" i="2"/>
  <c r="V301" i="2"/>
  <c r="V302" i="2"/>
  <c r="V303" i="2"/>
  <c r="V304" i="2"/>
  <c r="V305" i="2"/>
  <c r="V306" i="2"/>
  <c r="V307" i="2"/>
  <c r="V308" i="2"/>
  <c r="V309" i="2"/>
  <c r="V310" i="2"/>
  <c r="V311" i="2"/>
  <c r="V312" i="2"/>
  <c r="V313" i="2"/>
  <c r="V314" i="2"/>
  <c r="V315" i="2"/>
  <c r="V316" i="2"/>
  <c r="V317" i="2"/>
  <c r="V318" i="2"/>
  <c r="V319" i="2"/>
  <c r="V320" i="2"/>
  <c r="V321" i="2"/>
  <c r="V322" i="2"/>
  <c r="V323" i="2"/>
  <c r="V324" i="2"/>
  <c r="V325" i="2"/>
  <c r="V326" i="2"/>
  <c r="V327" i="2"/>
  <c r="V328" i="2"/>
  <c r="V329" i="2"/>
  <c r="V330" i="2"/>
  <c r="V331" i="2"/>
  <c r="V332" i="2"/>
  <c r="V333" i="2"/>
  <c r="V334" i="2"/>
  <c r="V335" i="2"/>
  <c r="V336" i="2"/>
  <c r="V337" i="2"/>
  <c r="V338" i="2"/>
  <c r="V339" i="2"/>
  <c r="V340" i="2"/>
  <c r="V341" i="2"/>
  <c r="V342" i="2"/>
  <c r="V343" i="2"/>
  <c r="V344" i="2"/>
  <c r="V345" i="2"/>
  <c r="V346" i="2"/>
  <c r="V347" i="2"/>
  <c r="V348" i="2"/>
  <c r="V349" i="2"/>
  <c r="V350" i="2"/>
  <c r="V351" i="2"/>
  <c r="V352" i="2"/>
  <c r="V353" i="2"/>
  <c r="V354" i="2"/>
  <c r="V355" i="2"/>
  <c r="V356" i="2"/>
  <c r="V357" i="2"/>
  <c r="V358" i="2"/>
  <c r="V359" i="2"/>
  <c r="V360" i="2"/>
  <c r="V361" i="2"/>
  <c r="V362" i="2"/>
  <c r="V363" i="2"/>
  <c r="V364" i="2"/>
  <c r="V365" i="2"/>
  <c r="V366" i="2"/>
  <c r="V367" i="2"/>
  <c r="V368" i="2"/>
  <c r="V369" i="2"/>
  <c r="V370" i="2"/>
  <c r="V371" i="2"/>
  <c r="V372" i="2"/>
  <c r="V373" i="2"/>
  <c r="V374" i="2"/>
  <c r="V375" i="2"/>
  <c r="V376" i="2"/>
  <c r="V377" i="2"/>
  <c r="V378" i="2"/>
  <c r="V379" i="2"/>
  <c r="V380" i="2"/>
  <c r="V381" i="2"/>
  <c r="V382" i="2"/>
  <c r="V383" i="2"/>
  <c r="V384" i="2"/>
  <c r="V385" i="2"/>
  <c r="V386" i="2"/>
  <c r="V387" i="2"/>
  <c r="V388" i="2"/>
  <c r="V389" i="2"/>
  <c r="V390" i="2"/>
  <c r="V391" i="2"/>
  <c r="V392" i="2"/>
  <c r="V393" i="2"/>
  <c r="V394" i="2"/>
  <c r="V395" i="2"/>
  <c r="V396" i="2"/>
  <c r="V397" i="2"/>
  <c r="V398" i="2"/>
  <c r="V399" i="2"/>
  <c r="V400" i="2"/>
  <c r="V401" i="2"/>
  <c r="V402" i="2"/>
  <c r="V403" i="2"/>
  <c r="V404" i="2"/>
  <c r="V405" i="2"/>
  <c r="V406" i="2"/>
  <c r="V407" i="2"/>
  <c r="V408" i="2"/>
  <c r="V409" i="2"/>
  <c r="V410" i="2"/>
  <c r="V411" i="2"/>
  <c r="V412" i="2"/>
  <c r="V413" i="2"/>
  <c r="V414" i="2"/>
  <c r="V415" i="2"/>
  <c r="V416" i="2"/>
  <c r="V417" i="2"/>
  <c r="V418" i="2"/>
  <c r="V419" i="2"/>
  <c r="V420" i="2"/>
  <c r="V421" i="2"/>
  <c r="V422" i="2"/>
  <c r="V423" i="2"/>
  <c r="V424" i="2"/>
  <c r="V425" i="2"/>
  <c r="V426" i="2"/>
  <c r="V427" i="2"/>
  <c r="V428" i="2"/>
  <c r="V429" i="2"/>
  <c r="V430" i="2"/>
  <c r="V431" i="2"/>
  <c r="V432" i="2"/>
  <c r="V433" i="2"/>
  <c r="V434" i="2"/>
  <c r="V435" i="2"/>
  <c r="V436" i="2"/>
  <c r="V437" i="2"/>
  <c r="V438" i="2"/>
  <c r="V439" i="2"/>
  <c r="V440" i="2"/>
  <c r="V441" i="2"/>
  <c r="V442" i="2"/>
  <c r="V443" i="2"/>
  <c r="V444" i="2"/>
  <c r="V445" i="2"/>
  <c r="V446" i="2"/>
  <c r="V447" i="2"/>
  <c r="V448" i="2"/>
  <c r="V449" i="2"/>
  <c r="V450" i="2"/>
  <c r="V451" i="2"/>
  <c r="V452" i="2"/>
  <c r="V453" i="2"/>
  <c r="V454" i="2"/>
  <c r="V455" i="2"/>
  <c r="V456" i="2"/>
  <c r="V457" i="2"/>
  <c r="V458" i="2"/>
  <c r="V459" i="2"/>
  <c r="V460" i="2"/>
  <c r="V461" i="2"/>
  <c r="V462" i="2"/>
  <c r="V463" i="2"/>
  <c r="V464" i="2"/>
  <c r="V465" i="2"/>
  <c r="V466" i="2"/>
  <c r="V467" i="2"/>
  <c r="V468" i="2"/>
  <c r="V469" i="2"/>
  <c r="V470" i="2"/>
  <c r="V471" i="2"/>
  <c r="V472" i="2"/>
  <c r="V473" i="2"/>
  <c r="V474" i="2"/>
  <c r="V475" i="2"/>
  <c r="V476" i="2"/>
  <c r="V477" i="2"/>
  <c r="V478" i="2"/>
  <c r="V479" i="2"/>
  <c r="V480" i="2"/>
  <c r="V481" i="2"/>
  <c r="V482" i="2"/>
  <c r="V483" i="2"/>
  <c r="V484" i="2"/>
  <c r="V485" i="2"/>
  <c r="V486" i="2"/>
  <c r="V487" i="2"/>
  <c r="V488" i="2"/>
  <c r="V489" i="2"/>
  <c r="V490" i="2"/>
  <c r="V491" i="2"/>
  <c r="V492" i="2"/>
  <c r="V493" i="2"/>
  <c r="V494" i="2"/>
  <c r="V495" i="2"/>
  <c r="V496" i="2"/>
  <c r="V497" i="2"/>
  <c r="V498" i="2"/>
  <c r="V499" i="2"/>
  <c r="V500" i="2"/>
  <c r="V501" i="2"/>
  <c r="V502" i="2"/>
  <c r="V4" i="2"/>
  <c r="L20" i="32" l="1"/>
  <c r="H4" i="32"/>
  <c r="CC1" i="11"/>
  <c r="H6" i="40"/>
  <c r="H7" i="40"/>
  <c r="H8" i="40"/>
  <c r="H9" i="40"/>
  <c r="H10" i="40"/>
  <c r="H11" i="40"/>
  <c r="H12" i="40"/>
  <c r="H5" i="40"/>
  <c r="O18" i="2"/>
  <c r="P18" i="2" s="1"/>
  <c r="O19" i="2"/>
  <c r="P19" i="2" s="1"/>
  <c r="O20" i="2"/>
  <c r="P20" i="2" s="1"/>
  <c r="O21" i="2"/>
  <c r="P21" i="2" s="1"/>
  <c r="O22" i="2"/>
  <c r="P22" i="2" s="1"/>
  <c r="O23" i="2"/>
  <c r="P23" i="2" s="1"/>
  <c r="O24" i="2"/>
  <c r="P24" i="2" s="1"/>
  <c r="O25" i="2"/>
  <c r="P25" i="2" s="1"/>
  <c r="O26" i="2"/>
  <c r="P26" i="2" s="1"/>
  <c r="O27" i="2"/>
  <c r="P27" i="2" s="1"/>
  <c r="O28" i="2"/>
  <c r="P28" i="2" s="1"/>
  <c r="O29" i="2"/>
  <c r="P29" i="2" s="1"/>
  <c r="O30" i="2"/>
  <c r="P30" i="2" s="1"/>
  <c r="O31" i="2"/>
  <c r="P31" i="2" s="1"/>
  <c r="O32" i="2"/>
  <c r="P32" i="2" s="1"/>
  <c r="O33" i="2"/>
  <c r="P33" i="2" s="1"/>
  <c r="O34" i="2"/>
  <c r="P34" i="2" s="1"/>
  <c r="O35" i="2"/>
  <c r="P35" i="2" s="1"/>
  <c r="O36" i="2"/>
  <c r="P36" i="2" s="1"/>
  <c r="O37" i="2"/>
  <c r="P37" i="2" s="1"/>
  <c r="O38" i="2"/>
  <c r="P38" i="2" s="1"/>
  <c r="O39" i="2"/>
  <c r="P39" i="2" s="1"/>
  <c r="O40" i="2"/>
  <c r="P40" i="2" s="1"/>
  <c r="O41" i="2"/>
  <c r="P41" i="2" s="1"/>
  <c r="O42" i="2"/>
  <c r="P42" i="2" s="1"/>
  <c r="O43" i="2"/>
  <c r="P43" i="2" s="1"/>
  <c r="O44" i="2"/>
  <c r="P44" i="2" s="1"/>
  <c r="O45" i="2"/>
  <c r="P45" i="2" s="1"/>
  <c r="O46" i="2"/>
  <c r="P46" i="2" s="1"/>
  <c r="O47" i="2"/>
  <c r="P47" i="2" s="1"/>
  <c r="O48" i="2"/>
  <c r="P48" i="2" s="1"/>
  <c r="O49" i="2"/>
  <c r="P49" i="2" s="1"/>
  <c r="O50" i="2"/>
  <c r="P50" i="2" s="1"/>
  <c r="O51" i="2"/>
  <c r="P51" i="2" s="1"/>
  <c r="O52" i="2"/>
  <c r="P52" i="2" s="1"/>
  <c r="O53" i="2"/>
  <c r="P53" i="2" s="1"/>
  <c r="O54" i="2"/>
  <c r="P54" i="2" s="1"/>
  <c r="O55" i="2"/>
  <c r="P55" i="2" s="1"/>
  <c r="O56" i="2"/>
  <c r="P56" i="2" s="1"/>
  <c r="O57" i="2"/>
  <c r="P57" i="2" s="1"/>
  <c r="O58" i="2"/>
  <c r="P58" i="2" s="1"/>
  <c r="O59" i="2"/>
  <c r="P59" i="2" s="1"/>
  <c r="O60" i="2"/>
  <c r="P60" i="2" s="1"/>
  <c r="O61" i="2"/>
  <c r="P61" i="2" s="1"/>
  <c r="O62" i="2"/>
  <c r="P62" i="2" s="1"/>
  <c r="O63" i="2"/>
  <c r="P63" i="2" s="1"/>
  <c r="O64" i="2"/>
  <c r="P64" i="2" s="1"/>
  <c r="O65" i="2"/>
  <c r="P65" i="2" s="1"/>
  <c r="O66" i="2"/>
  <c r="P66" i="2" s="1"/>
  <c r="O67" i="2"/>
  <c r="P67" i="2" s="1"/>
  <c r="O68" i="2"/>
  <c r="P68" i="2" s="1"/>
  <c r="O69" i="2"/>
  <c r="P69" i="2" s="1"/>
  <c r="O70" i="2"/>
  <c r="P70" i="2" s="1"/>
  <c r="O71" i="2"/>
  <c r="P71" i="2" s="1"/>
  <c r="O72" i="2"/>
  <c r="P72" i="2" s="1"/>
  <c r="O73" i="2"/>
  <c r="P73" i="2" s="1"/>
  <c r="O74" i="2"/>
  <c r="P74" i="2" s="1"/>
  <c r="O75" i="2"/>
  <c r="P75" i="2" s="1"/>
  <c r="O76" i="2"/>
  <c r="P76" i="2" s="1"/>
  <c r="O77" i="2"/>
  <c r="P77" i="2" s="1"/>
  <c r="O78" i="2"/>
  <c r="P78" i="2" s="1"/>
  <c r="O79" i="2"/>
  <c r="P79" i="2" s="1"/>
  <c r="O80" i="2"/>
  <c r="P80" i="2" s="1"/>
  <c r="O81" i="2"/>
  <c r="P81" i="2" s="1"/>
  <c r="O82" i="2"/>
  <c r="P82" i="2" s="1"/>
  <c r="O83" i="2"/>
  <c r="P83" i="2" s="1"/>
  <c r="O84" i="2"/>
  <c r="P84" i="2" s="1"/>
  <c r="O85" i="2"/>
  <c r="P85" i="2" s="1"/>
  <c r="O86" i="2"/>
  <c r="P86" i="2" s="1"/>
  <c r="O87" i="2"/>
  <c r="P87" i="2" s="1"/>
  <c r="O88" i="2"/>
  <c r="P88" i="2" s="1"/>
  <c r="O89" i="2"/>
  <c r="P89" i="2" s="1"/>
  <c r="O90" i="2"/>
  <c r="P90" i="2" s="1"/>
  <c r="O91" i="2"/>
  <c r="P91" i="2" s="1"/>
  <c r="O92" i="2"/>
  <c r="P92" i="2" s="1"/>
  <c r="O93" i="2"/>
  <c r="P93" i="2" s="1"/>
  <c r="O94" i="2"/>
  <c r="P94" i="2" s="1"/>
  <c r="O95" i="2"/>
  <c r="P95" i="2" s="1"/>
  <c r="O96" i="2"/>
  <c r="P96" i="2" s="1"/>
  <c r="O97" i="2"/>
  <c r="P97" i="2" s="1"/>
  <c r="O98" i="2"/>
  <c r="P98" i="2" s="1"/>
  <c r="O99" i="2"/>
  <c r="P99" i="2" s="1"/>
  <c r="O100" i="2"/>
  <c r="P100" i="2" s="1"/>
  <c r="O101" i="2"/>
  <c r="P101" i="2" s="1"/>
  <c r="O102" i="2"/>
  <c r="P102" i="2" s="1"/>
  <c r="O103" i="2"/>
  <c r="P103" i="2" s="1"/>
  <c r="O104" i="2"/>
  <c r="P104" i="2" s="1"/>
  <c r="O105" i="2"/>
  <c r="P105" i="2" s="1"/>
  <c r="O106" i="2"/>
  <c r="P106" i="2" s="1"/>
  <c r="O107" i="2"/>
  <c r="P107" i="2" s="1"/>
  <c r="O108" i="2"/>
  <c r="P108" i="2" s="1"/>
  <c r="O109" i="2"/>
  <c r="P109" i="2" s="1"/>
  <c r="O110" i="2"/>
  <c r="P110" i="2" s="1"/>
  <c r="O111" i="2"/>
  <c r="P111" i="2" s="1"/>
  <c r="O112" i="2"/>
  <c r="P112" i="2" s="1"/>
  <c r="O113" i="2"/>
  <c r="P113" i="2" s="1"/>
  <c r="O114" i="2"/>
  <c r="P114" i="2" s="1"/>
  <c r="O115" i="2"/>
  <c r="P115" i="2" s="1"/>
  <c r="O116" i="2"/>
  <c r="P116" i="2" s="1"/>
  <c r="O117" i="2"/>
  <c r="P117" i="2" s="1"/>
  <c r="O118" i="2"/>
  <c r="P118" i="2" s="1"/>
  <c r="O119" i="2"/>
  <c r="P119" i="2" s="1"/>
  <c r="O120" i="2"/>
  <c r="P120" i="2" s="1"/>
  <c r="O121" i="2"/>
  <c r="P121" i="2" s="1"/>
  <c r="O122" i="2"/>
  <c r="P122" i="2" s="1"/>
  <c r="O123" i="2"/>
  <c r="P123" i="2" s="1"/>
  <c r="O124" i="2"/>
  <c r="P124" i="2" s="1"/>
  <c r="O125" i="2"/>
  <c r="P125" i="2" s="1"/>
  <c r="O126" i="2"/>
  <c r="P126" i="2" s="1"/>
  <c r="O127" i="2"/>
  <c r="P127" i="2" s="1"/>
  <c r="O128" i="2"/>
  <c r="P128" i="2" s="1"/>
  <c r="O129" i="2"/>
  <c r="P129" i="2" s="1"/>
  <c r="O130" i="2"/>
  <c r="P130" i="2" s="1"/>
  <c r="O131" i="2"/>
  <c r="P131" i="2" s="1"/>
  <c r="O132" i="2"/>
  <c r="P132" i="2" s="1"/>
  <c r="O133" i="2"/>
  <c r="P133" i="2" s="1"/>
  <c r="O134" i="2"/>
  <c r="P134" i="2" s="1"/>
  <c r="O135" i="2"/>
  <c r="P135" i="2" s="1"/>
  <c r="O136" i="2"/>
  <c r="P136" i="2" s="1"/>
  <c r="O137" i="2"/>
  <c r="P137" i="2" s="1"/>
  <c r="O138" i="2"/>
  <c r="P138" i="2" s="1"/>
  <c r="O139" i="2"/>
  <c r="P139" i="2" s="1"/>
  <c r="O140" i="2"/>
  <c r="P140" i="2" s="1"/>
  <c r="O141" i="2"/>
  <c r="P141" i="2" s="1"/>
  <c r="O142" i="2"/>
  <c r="P142" i="2" s="1"/>
  <c r="O143" i="2"/>
  <c r="P143" i="2" s="1"/>
  <c r="O144" i="2"/>
  <c r="P144" i="2" s="1"/>
  <c r="O145" i="2"/>
  <c r="P145" i="2" s="1"/>
  <c r="O146" i="2"/>
  <c r="P146" i="2" s="1"/>
  <c r="O147" i="2"/>
  <c r="P147" i="2" s="1"/>
  <c r="O148" i="2"/>
  <c r="P148" i="2" s="1"/>
  <c r="O149" i="2"/>
  <c r="P149" i="2" s="1"/>
  <c r="O150" i="2"/>
  <c r="P150" i="2" s="1"/>
  <c r="O151" i="2"/>
  <c r="P151" i="2" s="1"/>
  <c r="O152" i="2"/>
  <c r="P152" i="2" s="1"/>
  <c r="O153" i="2"/>
  <c r="P153" i="2" s="1"/>
  <c r="O154" i="2"/>
  <c r="P154" i="2" s="1"/>
  <c r="O155" i="2"/>
  <c r="P155" i="2" s="1"/>
  <c r="O156" i="2"/>
  <c r="P156" i="2" s="1"/>
  <c r="O157" i="2"/>
  <c r="P157" i="2" s="1"/>
  <c r="O158" i="2"/>
  <c r="P158" i="2" s="1"/>
  <c r="O159" i="2"/>
  <c r="P159" i="2" s="1"/>
  <c r="O160" i="2"/>
  <c r="P160" i="2" s="1"/>
  <c r="O161" i="2"/>
  <c r="P161" i="2" s="1"/>
  <c r="O162" i="2"/>
  <c r="P162" i="2" s="1"/>
  <c r="O163" i="2"/>
  <c r="P163" i="2" s="1"/>
  <c r="O164" i="2"/>
  <c r="P164" i="2" s="1"/>
  <c r="O165" i="2"/>
  <c r="P165" i="2" s="1"/>
  <c r="O166" i="2"/>
  <c r="P166" i="2" s="1"/>
  <c r="O167" i="2"/>
  <c r="P167" i="2" s="1"/>
  <c r="O168" i="2"/>
  <c r="P168" i="2" s="1"/>
  <c r="O169" i="2"/>
  <c r="P169" i="2" s="1"/>
  <c r="O170" i="2"/>
  <c r="P170" i="2" s="1"/>
  <c r="O171" i="2"/>
  <c r="P171" i="2" s="1"/>
  <c r="O172" i="2"/>
  <c r="P172" i="2" s="1"/>
  <c r="O173" i="2"/>
  <c r="P173" i="2" s="1"/>
  <c r="O174" i="2"/>
  <c r="P174" i="2" s="1"/>
  <c r="O175" i="2"/>
  <c r="P175" i="2" s="1"/>
  <c r="O176" i="2"/>
  <c r="P176" i="2" s="1"/>
  <c r="O177" i="2"/>
  <c r="P177" i="2" s="1"/>
  <c r="O178" i="2"/>
  <c r="P178" i="2" s="1"/>
  <c r="O179" i="2"/>
  <c r="P179" i="2" s="1"/>
  <c r="O180" i="2"/>
  <c r="P180" i="2" s="1"/>
  <c r="O181" i="2"/>
  <c r="P181" i="2" s="1"/>
  <c r="O182" i="2"/>
  <c r="P182" i="2" s="1"/>
  <c r="O183" i="2"/>
  <c r="P183" i="2" s="1"/>
  <c r="O184" i="2"/>
  <c r="P184" i="2" s="1"/>
  <c r="O185" i="2"/>
  <c r="P185" i="2" s="1"/>
  <c r="O186" i="2"/>
  <c r="P186" i="2" s="1"/>
  <c r="O187" i="2"/>
  <c r="P187" i="2" s="1"/>
  <c r="O188" i="2"/>
  <c r="P188" i="2" s="1"/>
  <c r="O189" i="2"/>
  <c r="P189" i="2" s="1"/>
  <c r="O190" i="2"/>
  <c r="P190" i="2" s="1"/>
  <c r="O191" i="2"/>
  <c r="P191" i="2" s="1"/>
  <c r="O192" i="2"/>
  <c r="P192" i="2" s="1"/>
  <c r="O193" i="2"/>
  <c r="P193" i="2" s="1"/>
  <c r="O194" i="2"/>
  <c r="P194" i="2" s="1"/>
  <c r="O195" i="2"/>
  <c r="P195" i="2" s="1"/>
  <c r="O196" i="2"/>
  <c r="P196" i="2" s="1"/>
  <c r="O197" i="2"/>
  <c r="P197" i="2" s="1"/>
  <c r="O198" i="2"/>
  <c r="P198" i="2" s="1"/>
  <c r="O199" i="2"/>
  <c r="P199" i="2" s="1"/>
  <c r="O200" i="2"/>
  <c r="P200" i="2" s="1"/>
  <c r="O201" i="2"/>
  <c r="P201" i="2" s="1"/>
  <c r="O202" i="2"/>
  <c r="P202" i="2" s="1"/>
  <c r="O203" i="2"/>
  <c r="P203" i="2" s="1"/>
  <c r="O204" i="2"/>
  <c r="P204" i="2" s="1"/>
  <c r="O205" i="2"/>
  <c r="P205" i="2" s="1"/>
  <c r="O206" i="2"/>
  <c r="P206" i="2" s="1"/>
  <c r="O207" i="2"/>
  <c r="P207" i="2" s="1"/>
  <c r="O208" i="2"/>
  <c r="P208" i="2" s="1"/>
  <c r="O209" i="2"/>
  <c r="P209" i="2" s="1"/>
  <c r="O210" i="2"/>
  <c r="P210" i="2" s="1"/>
  <c r="O211" i="2"/>
  <c r="P211" i="2" s="1"/>
  <c r="O212" i="2"/>
  <c r="P212" i="2" s="1"/>
  <c r="O213" i="2"/>
  <c r="P213" i="2" s="1"/>
  <c r="O214" i="2"/>
  <c r="P214" i="2" s="1"/>
  <c r="O215" i="2"/>
  <c r="P215" i="2" s="1"/>
  <c r="O216" i="2"/>
  <c r="P216" i="2" s="1"/>
  <c r="O217" i="2"/>
  <c r="P217" i="2" s="1"/>
  <c r="O218" i="2"/>
  <c r="P218" i="2" s="1"/>
  <c r="O219" i="2"/>
  <c r="P219" i="2" s="1"/>
  <c r="O220" i="2"/>
  <c r="P220" i="2" s="1"/>
  <c r="O221" i="2"/>
  <c r="P221" i="2" s="1"/>
  <c r="O222" i="2"/>
  <c r="P222" i="2" s="1"/>
  <c r="O223" i="2"/>
  <c r="P223" i="2" s="1"/>
  <c r="O224" i="2"/>
  <c r="P224" i="2" s="1"/>
  <c r="O225" i="2"/>
  <c r="P225" i="2" s="1"/>
  <c r="O226" i="2"/>
  <c r="P226" i="2" s="1"/>
  <c r="O227" i="2"/>
  <c r="P227" i="2" s="1"/>
  <c r="O228" i="2"/>
  <c r="P228" i="2" s="1"/>
  <c r="O229" i="2"/>
  <c r="P229" i="2" s="1"/>
  <c r="O230" i="2"/>
  <c r="P230" i="2" s="1"/>
  <c r="O231" i="2"/>
  <c r="P231" i="2" s="1"/>
  <c r="O232" i="2"/>
  <c r="P232" i="2" s="1"/>
  <c r="O233" i="2"/>
  <c r="P233" i="2" s="1"/>
  <c r="O234" i="2"/>
  <c r="P234" i="2" s="1"/>
  <c r="O235" i="2"/>
  <c r="P235" i="2" s="1"/>
  <c r="O236" i="2"/>
  <c r="P236" i="2" s="1"/>
  <c r="O237" i="2"/>
  <c r="P237" i="2" s="1"/>
  <c r="O238" i="2"/>
  <c r="P238" i="2" s="1"/>
  <c r="O239" i="2"/>
  <c r="P239" i="2" s="1"/>
  <c r="O240" i="2"/>
  <c r="P240" i="2" s="1"/>
  <c r="O241" i="2"/>
  <c r="P241" i="2" s="1"/>
  <c r="O242" i="2"/>
  <c r="P242" i="2" s="1"/>
  <c r="O243" i="2"/>
  <c r="P243" i="2" s="1"/>
  <c r="O244" i="2"/>
  <c r="P244" i="2" s="1"/>
  <c r="O245" i="2"/>
  <c r="P245" i="2" s="1"/>
  <c r="O246" i="2"/>
  <c r="P246" i="2" s="1"/>
  <c r="O247" i="2"/>
  <c r="P247" i="2" s="1"/>
  <c r="O248" i="2"/>
  <c r="P248" i="2" s="1"/>
  <c r="O249" i="2"/>
  <c r="P249" i="2" s="1"/>
  <c r="O250" i="2"/>
  <c r="P250" i="2" s="1"/>
  <c r="O251" i="2"/>
  <c r="P251" i="2" s="1"/>
  <c r="O252" i="2"/>
  <c r="P252" i="2" s="1"/>
  <c r="O253" i="2"/>
  <c r="P253" i="2" s="1"/>
  <c r="O254" i="2"/>
  <c r="P254" i="2" s="1"/>
  <c r="O255" i="2"/>
  <c r="P255" i="2" s="1"/>
  <c r="O256" i="2"/>
  <c r="P256" i="2" s="1"/>
  <c r="O257" i="2"/>
  <c r="P257" i="2" s="1"/>
  <c r="O258" i="2"/>
  <c r="P258" i="2" s="1"/>
  <c r="O259" i="2"/>
  <c r="P259" i="2" s="1"/>
  <c r="O260" i="2"/>
  <c r="P260" i="2" s="1"/>
  <c r="O261" i="2"/>
  <c r="P261" i="2" s="1"/>
  <c r="O262" i="2"/>
  <c r="P262" i="2" s="1"/>
  <c r="O263" i="2"/>
  <c r="P263" i="2" s="1"/>
  <c r="O264" i="2"/>
  <c r="P264" i="2" s="1"/>
  <c r="O265" i="2"/>
  <c r="P265" i="2" s="1"/>
  <c r="O266" i="2"/>
  <c r="P266" i="2" s="1"/>
  <c r="O267" i="2"/>
  <c r="P267" i="2" s="1"/>
  <c r="O268" i="2"/>
  <c r="P268" i="2" s="1"/>
  <c r="O269" i="2"/>
  <c r="P269" i="2" s="1"/>
  <c r="O270" i="2"/>
  <c r="P270" i="2" s="1"/>
  <c r="O271" i="2"/>
  <c r="P271" i="2" s="1"/>
  <c r="O272" i="2"/>
  <c r="P272" i="2" s="1"/>
  <c r="O273" i="2"/>
  <c r="P273" i="2" s="1"/>
  <c r="O274" i="2"/>
  <c r="P274" i="2" s="1"/>
  <c r="O275" i="2"/>
  <c r="P275" i="2" s="1"/>
  <c r="O276" i="2"/>
  <c r="P276" i="2" s="1"/>
  <c r="O277" i="2"/>
  <c r="P277" i="2" s="1"/>
  <c r="O278" i="2"/>
  <c r="P278" i="2" s="1"/>
  <c r="O279" i="2"/>
  <c r="P279" i="2" s="1"/>
  <c r="O280" i="2"/>
  <c r="P280" i="2" s="1"/>
  <c r="O281" i="2"/>
  <c r="P281" i="2" s="1"/>
  <c r="O282" i="2"/>
  <c r="P282" i="2" s="1"/>
  <c r="O283" i="2"/>
  <c r="P283" i="2" s="1"/>
  <c r="O284" i="2"/>
  <c r="P284" i="2" s="1"/>
  <c r="O285" i="2"/>
  <c r="P285" i="2" s="1"/>
  <c r="O286" i="2"/>
  <c r="P286" i="2" s="1"/>
  <c r="O287" i="2"/>
  <c r="P287" i="2" s="1"/>
  <c r="O288" i="2"/>
  <c r="P288" i="2" s="1"/>
  <c r="O289" i="2"/>
  <c r="P289" i="2" s="1"/>
  <c r="O290" i="2"/>
  <c r="P290" i="2" s="1"/>
  <c r="O291" i="2"/>
  <c r="P291" i="2" s="1"/>
  <c r="O292" i="2"/>
  <c r="P292" i="2" s="1"/>
  <c r="O293" i="2"/>
  <c r="P293" i="2" s="1"/>
  <c r="O294" i="2"/>
  <c r="P294" i="2" s="1"/>
  <c r="O295" i="2"/>
  <c r="P295" i="2" s="1"/>
  <c r="O296" i="2"/>
  <c r="P296" i="2" s="1"/>
  <c r="O297" i="2"/>
  <c r="P297" i="2" s="1"/>
  <c r="O298" i="2"/>
  <c r="P298" i="2" s="1"/>
  <c r="O299" i="2"/>
  <c r="P299" i="2" s="1"/>
  <c r="O300" i="2"/>
  <c r="P300" i="2" s="1"/>
  <c r="O301" i="2"/>
  <c r="P301" i="2" s="1"/>
  <c r="O302" i="2"/>
  <c r="P302" i="2" s="1"/>
  <c r="O303" i="2"/>
  <c r="P303" i="2" s="1"/>
  <c r="O304" i="2"/>
  <c r="P304" i="2" s="1"/>
  <c r="O305" i="2"/>
  <c r="P305" i="2" s="1"/>
  <c r="O306" i="2"/>
  <c r="P306" i="2" s="1"/>
  <c r="O307" i="2"/>
  <c r="P307" i="2" s="1"/>
  <c r="O308" i="2"/>
  <c r="P308" i="2" s="1"/>
  <c r="O309" i="2"/>
  <c r="P309" i="2" s="1"/>
  <c r="O310" i="2"/>
  <c r="P310" i="2" s="1"/>
  <c r="O311" i="2"/>
  <c r="P311" i="2" s="1"/>
  <c r="O312" i="2"/>
  <c r="P312" i="2" s="1"/>
  <c r="O313" i="2"/>
  <c r="P313" i="2" s="1"/>
  <c r="O314" i="2"/>
  <c r="P314" i="2" s="1"/>
  <c r="O315" i="2"/>
  <c r="P315" i="2" s="1"/>
  <c r="O316" i="2"/>
  <c r="P316" i="2" s="1"/>
  <c r="O317" i="2"/>
  <c r="P317" i="2" s="1"/>
  <c r="O318" i="2"/>
  <c r="P318" i="2" s="1"/>
  <c r="O319" i="2"/>
  <c r="P319" i="2" s="1"/>
  <c r="O320" i="2"/>
  <c r="P320" i="2" s="1"/>
  <c r="O321" i="2"/>
  <c r="P321" i="2" s="1"/>
  <c r="O322" i="2"/>
  <c r="P322" i="2" s="1"/>
  <c r="O323" i="2"/>
  <c r="P323" i="2" s="1"/>
  <c r="O324" i="2"/>
  <c r="P324" i="2" s="1"/>
  <c r="O325" i="2"/>
  <c r="P325" i="2" s="1"/>
  <c r="O326" i="2"/>
  <c r="P326" i="2" s="1"/>
  <c r="O327" i="2"/>
  <c r="P327" i="2" s="1"/>
  <c r="O328" i="2"/>
  <c r="P328" i="2" s="1"/>
  <c r="O329" i="2"/>
  <c r="P329" i="2" s="1"/>
  <c r="O330" i="2"/>
  <c r="P330" i="2" s="1"/>
  <c r="O331" i="2"/>
  <c r="P331" i="2" s="1"/>
  <c r="O332" i="2"/>
  <c r="P332" i="2" s="1"/>
  <c r="O333" i="2"/>
  <c r="P333" i="2" s="1"/>
  <c r="O334" i="2"/>
  <c r="P334" i="2" s="1"/>
  <c r="O335" i="2"/>
  <c r="P335" i="2" s="1"/>
  <c r="O336" i="2"/>
  <c r="P336" i="2" s="1"/>
  <c r="O337" i="2"/>
  <c r="P337" i="2" s="1"/>
  <c r="O338" i="2"/>
  <c r="P338" i="2" s="1"/>
  <c r="O339" i="2"/>
  <c r="P339" i="2" s="1"/>
  <c r="O340" i="2"/>
  <c r="P340" i="2" s="1"/>
  <c r="O341" i="2"/>
  <c r="P341" i="2" s="1"/>
  <c r="O342" i="2"/>
  <c r="P342" i="2" s="1"/>
  <c r="O343" i="2"/>
  <c r="P343" i="2" s="1"/>
  <c r="O344" i="2"/>
  <c r="P344" i="2" s="1"/>
  <c r="O345" i="2"/>
  <c r="P345" i="2" s="1"/>
  <c r="O346" i="2"/>
  <c r="P346" i="2" s="1"/>
  <c r="O347" i="2"/>
  <c r="P347" i="2" s="1"/>
  <c r="O348" i="2"/>
  <c r="P348" i="2" s="1"/>
  <c r="O349" i="2"/>
  <c r="P349" i="2" s="1"/>
  <c r="O350" i="2"/>
  <c r="P350" i="2" s="1"/>
  <c r="O351" i="2"/>
  <c r="P351" i="2" s="1"/>
  <c r="O352" i="2"/>
  <c r="P352" i="2" s="1"/>
  <c r="O353" i="2"/>
  <c r="P353" i="2" s="1"/>
  <c r="O354" i="2"/>
  <c r="P354" i="2" s="1"/>
  <c r="O355" i="2"/>
  <c r="P355" i="2" s="1"/>
  <c r="O356" i="2"/>
  <c r="P356" i="2" s="1"/>
  <c r="O357" i="2"/>
  <c r="P357" i="2" s="1"/>
  <c r="O358" i="2"/>
  <c r="P358" i="2" s="1"/>
  <c r="O359" i="2"/>
  <c r="P359" i="2" s="1"/>
  <c r="O360" i="2"/>
  <c r="P360" i="2" s="1"/>
  <c r="O361" i="2"/>
  <c r="P361" i="2" s="1"/>
  <c r="O362" i="2"/>
  <c r="P362" i="2" s="1"/>
  <c r="O363" i="2"/>
  <c r="P363" i="2" s="1"/>
  <c r="O364" i="2"/>
  <c r="P364" i="2" s="1"/>
  <c r="O365" i="2"/>
  <c r="P365" i="2" s="1"/>
  <c r="O366" i="2"/>
  <c r="P366" i="2" s="1"/>
  <c r="O367" i="2"/>
  <c r="P367" i="2" s="1"/>
  <c r="O368" i="2"/>
  <c r="P368" i="2" s="1"/>
  <c r="O369" i="2"/>
  <c r="P369" i="2" s="1"/>
  <c r="O370" i="2"/>
  <c r="P370" i="2" s="1"/>
  <c r="O371" i="2"/>
  <c r="P371" i="2" s="1"/>
  <c r="O372" i="2"/>
  <c r="P372" i="2" s="1"/>
  <c r="O373" i="2"/>
  <c r="P373" i="2" s="1"/>
  <c r="O374" i="2"/>
  <c r="P374" i="2" s="1"/>
  <c r="O375" i="2"/>
  <c r="P375" i="2" s="1"/>
  <c r="O376" i="2"/>
  <c r="P376" i="2" s="1"/>
  <c r="O377" i="2"/>
  <c r="P377" i="2" s="1"/>
  <c r="O378" i="2"/>
  <c r="P378" i="2" s="1"/>
  <c r="O379" i="2"/>
  <c r="P379" i="2" s="1"/>
  <c r="O380" i="2"/>
  <c r="P380" i="2" s="1"/>
  <c r="O381" i="2"/>
  <c r="P381" i="2" s="1"/>
  <c r="O382" i="2"/>
  <c r="P382" i="2" s="1"/>
  <c r="O383" i="2"/>
  <c r="P383" i="2" s="1"/>
  <c r="O384" i="2"/>
  <c r="P384" i="2" s="1"/>
  <c r="O385" i="2"/>
  <c r="P385" i="2" s="1"/>
  <c r="O386" i="2"/>
  <c r="P386" i="2" s="1"/>
  <c r="O387" i="2"/>
  <c r="P387" i="2" s="1"/>
  <c r="O388" i="2"/>
  <c r="P388" i="2" s="1"/>
  <c r="O389" i="2"/>
  <c r="P389" i="2" s="1"/>
  <c r="O390" i="2"/>
  <c r="P390" i="2" s="1"/>
  <c r="O391" i="2"/>
  <c r="P391" i="2" s="1"/>
  <c r="O392" i="2"/>
  <c r="P392" i="2" s="1"/>
  <c r="O393" i="2"/>
  <c r="P393" i="2" s="1"/>
  <c r="O394" i="2"/>
  <c r="P394" i="2" s="1"/>
  <c r="O395" i="2"/>
  <c r="P395" i="2" s="1"/>
  <c r="O396" i="2"/>
  <c r="P396" i="2" s="1"/>
  <c r="O397" i="2"/>
  <c r="P397" i="2" s="1"/>
  <c r="O398" i="2"/>
  <c r="P398" i="2" s="1"/>
  <c r="O399" i="2"/>
  <c r="P399" i="2" s="1"/>
  <c r="O400" i="2"/>
  <c r="P400" i="2" s="1"/>
  <c r="O401" i="2"/>
  <c r="P401" i="2" s="1"/>
  <c r="O402" i="2"/>
  <c r="P402" i="2" s="1"/>
  <c r="O403" i="2"/>
  <c r="P403" i="2" s="1"/>
  <c r="O404" i="2"/>
  <c r="P404" i="2" s="1"/>
  <c r="O405" i="2"/>
  <c r="P405" i="2" s="1"/>
  <c r="O406" i="2"/>
  <c r="P406" i="2" s="1"/>
  <c r="O407" i="2"/>
  <c r="P407" i="2" s="1"/>
  <c r="O408" i="2"/>
  <c r="P408" i="2" s="1"/>
  <c r="O409" i="2"/>
  <c r="P409" i="2" s="1"/>
  <c r="O410" i="2"/>
  <c r="P410" i="2" s="1"/>
  <c r="O411" i="2"/>
  <c r="P411" i="2" s="1"/>
  <c r="O412" i="2"/>
  <c r="P412" i="2" s="1"/>
  <c r="O413" i="2"/>
  <c r="P413" i="2" s="1"/>
  <c r="O414" i="2"/>
  <c r="P414" i="2" s="1"/>
  <c r="O415" i="2"/>
  <c r="P415" i="2" s="1"/>
  <c r="O416" i="2"/>
  <c r="P416" i="2" s="1"/>
  <c r="O417" i="2"/>
  <c r="P417" i="2" s="1"/>
  <c r="O418" i="2"/>
  <c r="P418" i="2" s="1"/>
  <c r="O419" i="2"/>
  <c r="P419" i="2" s="1"/>
  <c r="O420" i="2"/>
  <c r="P420" i="2" s="1"/>
  <c r="O421" i="2"/>
  <c r="P421" i="2" s="1"/>
  <c r="O422" i="2"/>
  <c r="P422" i="2" s="1"/>
  <c r="O423" i="2"/>
  <c r="P423" i="2" s="1"/>
  <c r="O424" i="2"/>
  <c r="P424" i="2" s="1"/>
  <c r="O425" i="2"/>
  <c r="P425" i="2" s="1"/>
  <c r="O426" i="2"/>
  <c r="P426" i="2" s="1"/>
  <c r="O427" i="2"/>
  <c r="P427" i="2" s="1"/>
  <c r="O428" i="2"/>
  <c r="P428" i="2" s="1"/>
  <c r="O429" i="2"/>
  <c r="P429" i="2" s="1"/>
  <c r="O430" i="2"/>
  <c r="P430" i="2" s="1"/>
  <c r="O431" i="2"/>
  <c r="P431" i="2" s="1"/>
  <c r="O432" i="2"/>
  <c r="P432" i="2" s="1"/>
  <c r="O433" i="2"/>
  <c r="P433" i="2" s="1"/>
  <c r="O434" i="2"/>
  <c r="P434" i="2" s="1"/>
  <c r="O435" i="2"/>
  <c r="P435" i="2" s="1"/>
  <c r="O436" i="2"/>
  <c r="P436" i="2" s="1"/>
  <c r="O437" i="2"/>
  <c r="P437" i="2" s="1"/>
  <c r="O438" i="2"/>
  <c r="P438" i="2" s="1"/>
  <c r="O439" i="2"/>
  <c r="P439" i="2" s="1"/>
  <c r="O440" i="2"/>
  <c r="P440" i="2" s="1"/>
  <c r="O441" i="2"/>
  <c r="P441" i="2" s="1"/>
  <c r="O442" i="2"/>
  <c r="P442" i="2" s="1"/>
  <c r="O443" i="2"/>
  <c r="P443" i="2" s="1"/>
  <c r="O444" i="2"/>
  <c r="P444" i="2" s="1"/>
  <c r="O445" i="2"/>
  <c r="P445" i="2" s="1"/>
  <c r="O446" i="2"/>
  <c r="P446" i="2" s="1"/>
  <c r="O447" i="2"/>
  <c r="P447" i="2" s="1"/>
  <c r="O448" i="2"/>
  <c r="P448" i="2" s="1"/>
  <c r="O449" i="2"/>
  <c r="P449" i="2" s="1"/>
  <c r="O450" i="2"/>
  <c r="P450" i="2" s="1"/>
  <c r="O451" i="2"/>
  <c r="P451" i="2" s="1"/>
  <c r="O452" i="2"/>
  <c r="P452" i="2" s="1"/>
  <c r="O453" i="2"/>
  <c r="P453" i="2" s="1"/>
  <c r="O454" i="2"/>
  <c r="P454" i="2" s="1"/>
  <c r="O455" i="2"/>
  <c r="P455" i="2" s="1"/>
  <c r="O456" i="2"/>
  <c r="P456" i="2" s="1"/>
  <c r="O457" i="2"/>
  <c r="P457" i="2" s="1"/>
  <c r="O458" i="2"/>
  <c r="P458" i="2" s="1"/>
  <c r="O459" i="2"/>
  <c r="P459" i="2" s="1"/>
  <c r="O460" i="2"/>
  <c r="P460" i="2" s="1"/>
  <c r="O461" i="2"/>
  <c r="P461" i="2" s="1"/>
  <c r="O462" i="2"/>
  <c r="P462" i="2" s="1"/>
  <c r="O463" i="2"/>
  <c r="P463" i="2" s="1"/>
  <c r="O464" i="2"/>
  <c r="P464" i="2" s="1"/>
  <c r="O465" i="2"/>
  <c r="P465" i="2" s="1"/>
  <c r="O466" i="2"/>
  <c r="P466" i="2" s="1"/>
  <c r="O467" i="2"/>
  <c r="P467" i="2" s="1"/>
  <c r="O468" i="2"/>
  <c r="P468" i="2" s="1"/>
  <c r="O469" i="2"/>
  <c r="P469" i="2" s="1"/>
  <c r="O470" i="2"/>
  <c r="P470" i="2" s="1"/>
  <c r="O471" i="2"/>
  <c r="P471" i="2" s="1"/>
  <c r="O472" i="2"/>
  <c r="P472" i="2" s="1"/>
  <c r="O473" i="2"/>
  <c r="P473" i="2" s="1"/>
  <c r="O474" i="2"/>
  <c r="P474" i="2" s="1"/>
  <c r="O475" i="2"/>
  <c r="P475" i="2" s="1"/>
  <c r="O476" i="2"/>
  <c r="P476" i="2" s="1"/>
  <c r="O477" i="2"/>
  <c r="P477" i="2" s="1"/>
  <c r="O478" i="2"/>
  <c r="P478" i="2" s="1"/>
  <c r="O479" i="2"/>
  <c r="P479" i="2" s="1"/>
  <c r="O480" i="2"/>
  <c r="P480" i="2" s="1"/>
  <c r="O481" i="2"/>
  <c r="P481" i="2" s="1"/>
  <c r="O482" i="2"/>
  <c r="P482" i="2" s="1"/>
  <c r="O483" i="2"/>
  <c r="P483" i="2" s="1"/>
  <c r="O484" i="2"/>
  <c r="P484" i="2" s="1"/>
  <c r="O485" i="2"/>
  <c r="P485" i="2" s="1"/>
  <c r="O486" i="2"/>
  <c r="P486" i="2" s="1"/>
  <c r="O487" i="2"/>
  <c r="P487" i="2" s="1"/>
  <c r="O488" i="2"/>
  <c r="P488" i="2" s="1"/>
  <c r="O489" i="2"/>
  <c r="P489" i="2" s="1"/>
  <c r="O490" i="2"/>
  <c r="P490" i="2" s="1"/>
  <c r="O491" i="2"/>
  <c r="P491" i="2" s="1"/>
  <c r="O492" i="2"/>
  <c r="P492" i="2" s="1"/>
  <c r="O493" i="2"/>
  <c r="P493" i="2" s="1"/>
  <c r="O494" i="2"/>
  <c r="P494" i="2" s="1"/>
  <c r="O495" i="2"/>
  <c r="P495" i="2" s="1"/>
  <c r="O496" i="2"/>
  <c r="P496" i="2" s="1"/>
  <c r="O497" i="2"/>
  <c r="P497" i="2" s="1"/>
  <c r="O498" i="2"/>
  <c r="P498" i="2" s="1"/>
  <c r="O499" i="2"/>
  <c r="P499" i="2" s="1"/>
  <c r="O500" i="2"/>
  <c r="P500" i="2" s="1"/>
  <c r="O501" i="2"/>
  <c r="P501" i="2" s="1"/>
  <c r="O502" i="2"/>
  <c r="P502" i="2" s="1"/>
  <c r="I4" i="2"/>
  <c r="J4" i="2" s="1"/>
  <c r="O5" i="2"/>
  <c r="O6" i="2"/>
  <c r="O7" i="2"/>
  <c r="O8" i="2"/>
  <c r="O9" i="2"/>
  <c r="O10" i="2"/>
  <c r="O11" i="2"/>
  <c r="O12" i="2"/>
  <c r="O13" i="2"/>
  <c r="O14" i="2"/>
  <c r="O15" i="2"/>
  <c r="P15" i="2" s="1"/>
  <c r="O16" i="2"/>
  <c r="P16" i="2" s="1"/>
  <c r="O17" i="2"/>
  <c r="P17" i="2" s="1"/>
  <c r="J16" i="40" l="1"/>
  <c r="J15" i="40"/>
  <c r="J14" i="40"/>
  <c r="J8" i="40"/>
  <c r="J7" i="40"/>
  <c r="J6" i="40"/>
  <c r="T24" i="7"/>
  <c r="T25" i="7" s="1"/>
  <c r="T26" i="7"/>
  <c r="K20" i="40" l="1"/>
  <c r="K19" i="40"/>
  <c r="K18" i="40"/>
  <c r="K17" i="40"/>
  <c r="K11" i="40"/>
  <c r="K12" i="40"/>
  <c r="K10" i="40"/>
  <c r="I15" i="40"/>
  <c r="I7" i="40"/>
  <c r="I16" i="40"/>
  <c r="I8" i="40"/>
  <c r="I17" i="40"/>
  <c r="I9" i="40"/>
  <c r="I18" i="40"/>
  <c r="I10" i="40"/>
  <c r="I19" i="40"/>
  <c r="I11" i="40"/>
  <c r="I20" i="40"/>
  <c r="I12" i="40"/>
  <c r="I14" i="40"/>
  <c r="I6" i="40"/>
  <c r="I13" i="40"/>
  <c r="I5" i="40"/>
  <c r="K9" i="40"/>
  <c r="G6" i="40" l="1"/>
  <c r="G7" i="40"/>
  <c r="G8" i="40"/>
  <c r="G9" i="40"/>
  <c r="G10" i="40"/>
  <c r="G11" i="40"/>
  <c r="G12" i="40"/>
  <c r="G13" i="40"/>
  <c r="G14" i="40"/>
  <c r="G15" i="40"/>
  <c r="G16" i="40"/>
  <c r="G17" i="40"/>
  <c r="G18" i="40"/>
  <c r="G19" i="40"/>
  <c r="G20" i="40"/>
  <c r="G5" i="40"/>
  <c r="T10" i="7"/>
  <c r="H4" i="40"/>
  <c r="G4" i="40"/>
  <c r="G3" i="40"/>
  <c r="G2" i="40"/>
  <c r="N17" i="40" l="1"/>
  <c r="M17" i="40"/>
  <c r="N9" i="40"/>
  <c r="M9" i="40"/>
  <c r="M5" i="40"/>
  <c r="N5" i="40"/>
  <c r="M13" i="40"/>
  <c r="N13" i="40"/>
  <c r="M2" i="40"/>
  <c r="N2" i="40"/>
  <c r="M4" i="40"/>
  <c r="N4" i="40"/>
  <c r="M3" i="40"/>
  <c r="N3" i="40"/>
  <c r="BL31" i="7"/>
  <c r="K9" i="32" l="1"/>
  <c r="K10" i="32"/>
  <c r="K11" i="32"/>
  <c r="K8" i="32"/>
  <c r="J11" i="32"/>
  <c r="J9" i="32"/>
  <c r="J8" i="32"/>
  <c r="I9" i="32"/>
  <c r="I10" i="32"/>
  <c r="I11" i="32"/>
  <c r="I8" i="32"/>
  <c r="H9" i="32"/>
  <c r="H10" i="32"/>
  <c r="H11" i="32"/>
  <c r="H8" i="32"/>
  <c r="F9" i="32"/>
  <c r="F10" i="32"/>
  <c r="F11" i="32"/>
  <c r="F8" i="32"/>
  <c r="D9" i="32"/>
  <c r="D10" i="32"/>
  <c r="D11" i="32"/>
  <c r="D12" i="32"/>
  <c r="D13" i="32"/>
  <c r="D14" i="32"/>
  <c r="D15" i="32"/>
  <c r="D16" i="32"/>
  <c r="D8" i="32"/>
  <c r="B10" i="32"/>
  <c r="B8" i="32"/>
  <c r="B9" i="32"/>
  <c r="J2" i="38"/>
  <c r="F9" i="12"/>
  <c r="I9" i="12" s="1"/>
  <c r="T11" i="7"/>
  <c r="T9" i="7"/>
  <c r="C54" i="7"/>
  <c r="D34" i="11" s="1"/>
  <c r="P9" i="12" l="1"/>
  <c r="N9" i="12"/>
  <c r="G46" i="12"/>
  <c r="F10" i="12"/>
  <c r="F48" i="12"/>
  <c r="N47" i="12"/>
  <c r="F44" i="12"/>
  <c r="G49" i="12"/>
  <c r="C17" i="32"/>
  <c r="F33" i="12"/>
  <c r="F49" i="12"/>
  <c r="N49" i="12" s="1"/>
  <c r="G33" i="12"/>
  <c r="O33" i="12" s="1"/>
  <c r="O45" i="12"/>
  <c r="I28" i="12"/>
  <c r="F36" i="12"/>
  <c r="O28" i="12"/>
  <c r="G36" i="12"/>
  <c r="O36" i="12" s="1"/>
  <c r="F29" i="12"/>
  <c r="G29" i="12"/>
  <c r="O29" i="12" s="1"/>
  <c r="G44" i="12"/>
  <c r="O44" i="12" s="1"/>
  <c r="F32" i="12"/>
  <c r="I32" i="12" s="1"/>
  <c r="G31" i="12"/>
  <c r="O31" i="12" s="1"/>
  <c r="G35" i="12"/>
  <c r="O35" i="12" s="1"/>
  <c r="G48" i="12"/>
  <c r="O48" i="12" s="1"/>
  <c r="F30" i="12"/>
  <c r="F34" i="12"/>
  <c r="F46" i="12"/>
  <c r="G30" i="12"/>
  <c r="O30" i="12" s="1"/>
  <c r="G34" i="12"/>
  <c r="O34" i="12" s="1"/>
  <c r="F31" i="12"/>
  <c r="I31" i="12" s="1"/>
  <c r="F35" i="12"/>
  <c r="I35" i="12" s="1"/>
  <c r="F19" i="12"/>
  <c r="I19" i="12" s="1"/>
  <c r="G20" i="12"/>
  <c r="O20" i="12" s="1"/>
  <c r="F21" i="12"/>
  <c r="G21" i="12"/>
  <c r="O21" i="12" s="1"/>
  <c r="F11" i="12"/>
  <c r="G10" i="12"/>
  <c r="G11" i="12"/>
  <c r="D36" i="11"/>
  <c r="N46" i="12" l="1"/>
  <c r="I46" i="12"/>
  <c r="I11" i="12"/>
  <c r="I21" i="12"/>
  <c r="I20" i="12"/>
  <c r="I34" i="12"/>
  <c r="I30" i="12"/>
  <c r="I29" i="12"/>
  <c r="I36" i="12"/>
  <c r="N45" i="12"/>
  <c r="I33" i="12"/>
  <c r="N44" i="12"/>
  <c r="N48" i="12"/>
  <c r="I10" i="12"/>
  <c r="O49" i="12"/>
  <c r="O46" i="12"/>
  <c r="N11" i="12"/>
  <c r="N10" i="12"/>
  <c r="N21" i="12"/>
  <c r="P21" i="12" s="1"/>
  <c r="N20" i="12"/>
  <c r="P20" i="12" s="1"/>
  <c r="N19" i="12"/>
  <c r="P19" i="12" s="1"/>
  <c r="N35" i="12"/>
  <c r="N31" i="12"/>
  <c r="AY39" i="11"/>
  <c r="N34" i="12"/>
  <c r="N30" i="12"/>
  <c r="N32" i="12"/>
  <c r="N29" i="12"/>
  <c r="N36" i="12"/>
  <c r="N28" i="12"/>
  <c r="I49" i="12"/>
  <c r="AY40" i="11" s="1"/>
  <c r="I45" i="12"/>
  <c r="N33" i="12"/>
  <c r="I44" i="12"/>
  <c r="I47" i="12"/>
  <c r="I48" i="12"/>
  <c r="N22" i="12"/>
  <c r="N23" i="12" s="1"/>
  <c r="P10" i="12"/>
  <c r="P11" i="12"/>
  <c r="J16" i="10"/>
  <c r="J15" i="10"/>
  <c r="J14" i="10"/>
  <c r="N37" i="12" l="1"/>
  <c r="N38" i="12" s="1"/>
  <c r="P35" i="12"/>
  <c r="P32" i="12"/>
  <c r="P33" i="12"/>
  <c r="P28" i="12"/>
  <c r="P36" i="12"/>
  <c r="P29" i="12"/>
  <c r="P30" i="12"/>
  <c r="P34" i="12"/>
  <c r="P31" i="12"/>
  <c r="O22" i="12"/>
  <c r="O23" i="12" s="1"/>
  <c r="P37" i="12"/>
  <c r="P38" i="12" s="1"/>
  <c r="O37" i="12"/>
  <c r="O38" i="12" s="1"/>
  <c r="N12" i="12"/>
  <c r="N13" i="12" s="1"/>
  <c r="AY36" i="11"/>
  <c r="AY35" i="11"/>
  <c r="P22" i="12"/>
  <c r="P23" i="12" s="1"/>
  <c r="AY38" i="11"/>
  <c r="AY34" i="11"/>
  <c r="AS8" i="11"/>
  <c r="AS10" i="11"/>
  <c r="AF8" i="11"/>
  <c r="AY37" i="11"/>
  <c r="C50" i="7"/>
  <c r="C49" i="7"/>
  <c r="C48" i="7"/>
  <c r="C47" i="7"/>
  <c r="L5"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0" i="2"/>
  <c r="L311" i="2"/>
  <c r="L312" i="2"/>
  <c r="L313" i="2"/>
  <c r="L314" i="2"/>
  <c r="L315" i="2"/>
  <c r="L316" i="2"/>
  <c r="L317" i="2"/>
  <c r="L318" i="2"/>
  <c r="L319" i="2"/>
  <c r="L320" i="2"/>
  <c r="L321" i="2"/>
  <c r="L322" i="2"/>
  <c r="L323" i="2"/>
  <c r="L324" i="2"/>
  <c r="L325" i="2"/>
  <c r="L326" i="2"/>
  <c r="L327" i="2"/>
  <c r="L328" i="2"/>
  <c r="L329" i="2"/>
  <c r="L330" i="2"/>
  <c r="L331" i="2"/>
  <c r="L332" i="2"/>
  <c r="L333" i="2"/>
  <c r="L334" i="2"/>
  <c r="L335" i="2"/>
  <c r="L336" i="2"/>
  <c r="L337" i="2"/>
  <c r="L338" i="2"/>
  <c r="L339" i="2"/>
  <c r="L340" i="2"/>
  <c r="L341" i="2"/>
  <c r="L342" i="2"/>
  <c r="L343" i="2"/>
  <c r="L344" i="2"/>
  <c r="L345" i="2"/>
  <c r="L346" i="2"/>
  <c r="L347" i="2"/>
  <c r="L348" i="2"/>
  <c r="L349" i="2"/>
  <c r="L350" i="2"/>
  <c r="L351" i="2"/>
  <c r="L352" i="2"/>
  <c r="L353" i="2"/>
  <c r="L354" i="2"/>
  <c r="L355" i="2"/>
  <c r="L356" i="2"/>
  <c r="L357" i="2"/>
  <c r="L358" i="2"/>
  <c r="L359" i="2"/>
  <c r="L360" i="2"/>
  <c r="L361" i="2"/>
  <c r="L362" i="2"/>
  <c r="L363" i="2"/>
  <c r="L364" i="2"/>
  <c r="L365" i="2"/>
  <c r="L366" i="2"/>
  <c r="L367" i="2"/>
  <c r="L368" i="2"/>
  <c r="L369" i="2"/>
  <c r="L370" i="2"/>
  <c r="L371" i="2"/>
  <c r="L372" i="2"/>
  <c r="L373" i="2"/>
  <c r="L374" i="2"/>
  <c r="L375" i="2"/>
  <c r="L376" i="2"/>
  <c r="L377" i="2"/>
  <c r="L378" i="2"/>
  <c r="L379" i="2"/>
  <c r="L380" i="2"/>
  <c r="L381" i="2"/>
  <c r="L382" i="2"/>
  <c r="L383" i="2"/>
  <c r="L384" i="2"/>
  <c r="L385" i="2"/>
  <c r="L386" i="2"/>
  <c r="L387" i="2"/>
  <c r="L388" i="2"/>
  <c r="L389" i="2"/>
  <c r="L390" i="2"/>
  <c r="L391" i="2"/>
  <c r="L392" i="2"/>
  <c r="L393" i="2"/>
  <c r="L394" i="2"/>
  <c r="L395" i="2"/>
  <c r="L396" i="2"/>
  <c r="L397" i="2"/>
  <c r="L398" i="2"/>
  <c r="L399" i="2"/>
  <c r="L400" i="2"/>
  <c r="L401" i="2"/>
  <c r="L402" i="2"/>
  <c r="L403" i="2"/>
  <c r="L404" i="2"/>
  <c r="L405" i="2"/>
  <c r="L406" i="2"/>
  <c r="L407" i="2"/>
  <c r="L408" i="2"/>
  <c r="L409" i="2"/>
  <c r="L410" i="2"/>
  <c r="L411" i="2"/>
  <c r="L412" i="2"/>
  <c r="L413" i="2"/>
  <c r="L414" i="2"/>
  <c r="L415" i="2"/>
  <c r="L416" i="2"/>
  <c r="L417" i="2"/>
  <c r="L418" i="2"/>
  <c r="L419" i="2"/>
  <c r="L420" i="2"/>
  <c r="L421" i="2"/>
  <c r="L422" i="2"/>
  <c r="L423" i="2"/>
  <c r="L424" i="2"/>
  <c r="L425" i="2"/>
  <c r="L426" i="2"/>
  <c r="L427" i="2"/>
  <c r="L428" i="2"/>
  <c r="L429" i="2"/>
  <c r="L430" i="2"/>
  <c r="L431" i="2"/>
  <c r="L432" i="2"/>
  <c r="L433" i="2"/>
  <c r="L434" i="2"/>
  <c r="L435" i="2"/>
  <c r="L436" i="2"/>
  <c r="L437" i="2"/>
  <c r="L438" i="2"/>
  <c r="L439" i="2"/>
  <c r="L440" i="2"/>
  <c r="L441" i="2"/>
  <c r="L442" i="2"/>
  <c r="L443" i="2"/>
  <c r="L444" i="2"/>
  <c r="L445" i="2"/>
  <c r="L446" i="2"/>
  <c r="L447" i="2"/>
  <c r="L448" i="2"/>
  <c r="L449" i="2"/>
  <c r="L450" i="2"/>
  <c r="L451" i="2"/>
  <c r="L452" i="2"/>
  <c r="L453" i="2"/>
  <c r="L454" i="2"/>
  <c r="L455" i="2"/>
  <c r="L456" i="2"/>
  <c r="L457" i="2"/>
  <c r="L458" i="2"/>
  <c r="L459" i="2"/>
  <c r="L460" i="2"/>
  <c r="L461" i="2"/>
  <c r="L462" i="2"/>
  <c r="L463" i="2"/>
  <c r="L464" i="2"/>
  <c r="L465" i="2"/>
  <c r="L466" i="2"/>
  <c r="L467" i="2"/>
  <c r="L468" i="2"/>
  <c r="L469" i="2"/>
  <c r="L470" i="2"/>
  <c r="L471" i="2"/>
  <c r="L472" i="2"/>
  <c r="L473" i="2"/>
  <c r="L474" i="2"/>
  <c r="L475" i="2"/>
  <c r="L476" i="2"/>
  <c r="L477" i="2"/>
  <c r="L478" i="2"/>
  <c r="L479" i="2"/>
  <c r="L480" i="2"/>
  <c r="L481" i="2"/>
  <c r="L482" i="2"/>
  <c r="L483" i="2"/>
  <c r="L484" i="2"/>
  <c r="L485" i="2"/>
  <c r="L486" i="2"/>
  <c r="L487" i="2"/>
  <c r="L488" i="2"/>
  <c r="L489" i="2"/>
  <c r="L490" i="2"/>
  <c r="L491" i="2"/>
  <c r="L492" i="2"/>
  <c r="L493" i="2"/>
  <c r="L494" i="2"/>
  <c r="L495" i="2"/>
  <c r="L496" i="2"/>
  <c r="L497" i="2"/>
  <c r="L498" i="2"/>
  <c r="L499" i="2"/>
  <c r="L500" i="2"/>
  <c r="L501" i="2"/>
  <c r="L502" i="2"/>
  <c r="L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4" i="2"/>
  <c r="I5" i="2"/>
  <c r="J5" i="2" s="1"/>
  <c r="F5" i="2" s="1"/>
  <c r="I6" i="2"/>
  <c r="J6" i="2" s="1"/>
  <c r="F6" i="2" s="1"/>
  <c r="I7" i="2"/>
  <c r="J7" i="2" s="1"/>
  <c r="F7" i="2" s="1"/>
  <c r="I8" i="2"/>
  <c r="J8" i="2" s="1"/>
  <c r="F8" i="2" s="1"/>
  <c r="I9" i="2"/>
  <c r="J9" i="2" s="1"/>
  <c r="F9" i="2" s="1"/>
  <c r="I10" i="2"/>
  <c r="J10" i="2" s="1"/>
  <c r="F10" i="2" s="1"/>
  <c r="I11" i="2"/>
  <c r="J11" i="2" s="1"/>
  <c r="F11" i="2" s="1"/>
  <c r="I12" i="2"/>
  <c r="J12" i="2" s="1"/>
  <c r="F12" i="2" s="1"/>
  <c r="I13" i="2"/>
  <c r="J13" i="2" s="1"/>
  <c r="F13" i="2" s="1"/>
  <c r="I14" i="2"/>
  <c r="J14" i="2" s="1"/>
  <c r="F14" i="2" s="1"/>
  <c r="I15" i="2"/>
  <c r="J15" i="2" s="1"/>
  <c r="F15" i="2" s="1"/>
  <c r="I16" i="2"/>
  <c r="J16" i="2" s="1"/>
  <c r="F16" i="2" s="1"/>
  <c r="I17" i="2"/>
  <c r="J17" i="2" s="1"/>
  <c r="F17" i="2" s="1"/>
  <c r="I18" i="2"/>
  <c r="J18" i="2" s="1"/>
  <c r="F18" i="2" s="1"/>
  <c r="I19" i="2"/>
  <c r="J19" i="2" s="1"/>
  <c r="F19" i="2" s="1"/>
  <c r="I20" i="2"/>
  <c r="J20" i="2" s="1"/>
  <c r="F20" i="2" s="1"/>
  <c r="I21" i="2"/>
  <c r="J21" i="2" s="1"/>
  <c r="F21" i="2" s="1"/>
  <c r="I22" i="2"/>
  <c r="J22" i="2" s="1"/>
  <c r="F22" i="2" s="1"/>
  <c r="I23" i="2"/>
  <c r="J23" i="2" s="1"/>
  <c r="F23" i="2" s="1"/>
  <c r="I24" i="2"/>
  <c r="J24" i="2" s="1"/>
  <c r="F24" i="2" s="1"/>
  <c r="I25" i="2"/>
  <c r="J25" i="2" s="1"/>
  <c r="F25" i="2" s="1"/>
  <c r="I26" i="2"/>
  <c r="J26" i="2" s="1"/>
  <c r="F26" i="2" s="1"/>
  <c r="I27" i="2"/>
  <c r="J27" i="2" s="1"/>
  <c r="F27" i="2" s="1"/>
  <c r="I28" i="2"/>
  <c r="J28" i="2" s="1"/>
  <c r="F28" i="2" s="1"/>
  <c r="I29" i="2"/>
  <c r="J29" i="2" s="1"/>
  <c r="F29" i="2" s="1"/>
  <c r="I30" i="2"/>
  <c r="J30" i="2" s="1"/>
  <c r="F30" i="2" s="1"/>
  <c r="I31" i="2"/>
  <c r="J31" i="2" s="1"/>
  <c r="F31" i="2" s="1"/>
  <c r="I32" i="2"/>
  <c r="J32" i="2" s="1"/>
  <c r="F32" i="2" s="1"/>
  <c r="I33" i="2"/>
  <c r="J33" i="2" s="1"/>
  <c r="F33" i="2" s="1"/>
  <c r="I34" i="2"/>
  <c r="J34" i="2" s="1"/>
  <c r="F34" i="2" s="1"/>
  <c r="I35" i="2"/>
  <c r="J35" i="2" s="1"/>
  <c r="F35" i="2" s="1"/>
  <c r="I36" i="2"/>
  <c r="J36" i="2" s="1"/>
  <c r="F36" i="2" s="1"/>
  <c r="I37" i="2"/>
  <c r="J37" i="2" s="1"/>
  <c r="F37" i="2" s="1"/>
  <c r="I38" i="2"/>
  <c r="J38" i="2" s="1"/>
  <c r="F38" i="2" s="1"/>
  <c r="I39" i="2"/>
  <c r="J39" i="2" s="1"/>
  <c r="F39" i="2" s="1"/>
  <c r="I40" i="2"/>
  <c r="J40" i="2" s="1"/>
  <c r="F40" i="2" s="1"/>
  <c r="I41" i="2"/>
  <c r="J41" i="2" s="1"/>
  <c r="F41" i="2" s="1"/>
  <c r="I42" i="2"/>
  <c r="J42" i="2" s="1"/>
  <c r="F42" i="2" s="1"/>
  <c r="I43" i="2"/>
  <c r="J43" i="2" s="1"/>
  <c r="F43" i="2" s="1"/>
  <c r="I44" i="2"/>
  <c r="J44" i="2" s="1"/>
  <c r="F44" i="2" s="1"/>
  <c r="I45" i="2"/>
  <c r="J45" i="2" s="1"/>
  <c r="F45" i="2" s="1"/>
  <c r="I46" i="2"/>
  <c r="J46" i="2" s="1"/>
  <c r="F46" i="2" s="1"/>
  <c r="I47" i="2"/>
  <c r="J47" i="2" s="1"/>
  <c r="F47" i="2" s="1"/>
  <c r="I48" i="2"/>
  <c r="J48" i="2" s="1"/>
  <c r="F48" i="2" s="1"/>
  <c r="I49" i="2"/>
  <c r="J49" i="2" s="1"/>
  <c r="F49" i="2" s="1"/>
  <c r="I50" i="2"/>
  <c r="J50" i="2" s="1"/>
  <c r="F50" i="2" s="1"/>
  <c r="I51" i="2"/>
  <c r="J51" i="2" s="1"/>
  <c r="F51" i="2" s="1"/>
  <c r="I52" i="2"/>
  <c r="J52" i="2" s="1"/>
  <c r="F52" i="2" s="1"/>
  <c r="I53" i="2"/>
  <c r="J53" i="2" s="1"/>
  <c r="F53" i="2" s="1"/>
  <c r="I54" i="2"/>
  <c r="J54" i="2" s="1"/>
  <c r="F54" i="2" s="1"/>
  <c r="I55" i="2"/>
  <c r="J55" i="2" s="1"/>
  <c r="F55" i="2" s="1"/>
  <c r="I56" i="2"/>
  <c r="J56" i="2" s="1"/>
  <c r="F56" i="2" s="1"/>
  <c r="I57" i="2"/>
  <c r="J57" i="2" s="1"/>
  <c r="F57" i="2" s="1"/>
  <c r="I58" i="2"/>
  <c r="J58" i="2" s="1"/>
  <c r="F58" i="2" s="1"/>
  <c r="I59" i="2"/>
  <c r="J59" i="2" s="1"/>
  <c r="F59" i="2" s="1"/>
  <c r="I60" i="2"/>
  <c r="J60" i="2" s="1"/>
  <c r="F60" i="2" s="1"/>
  <c r="I61" i="2"/>
  <c r="J61" i="2" s="1"/>
  <c r="F61" i="2" s="1"/>
  <c r="I62" i="2"/>
  <c r="J62" i="2" s="1"/>
  <c r="F62" i="2" s="1"/>
  <c r="I63" i="2"/>
  <c r="J63" i="2" s="1"/>
  <c r="F63" i="2" s="1"/>
  <c r="I64" i="2"/>
  <c r="J64" i="2" s="1"/>
  <c r="F64" i="2" s="1"/>
  <c r="I65" i="2"/>
  <c r="J65" i="2" s="1"/>
  <c r="F65" i="2" s="1"/>
  <c r="I66" i="2"/>
  <c r="J66" i="2" s="1"/>
  <c r="F66" i="2" s="1"/>
  <c r="I67" i="2"/>
  <c r="J67" i="2" s="1"/>
  <c r="F67" i="2" s="1"/>
  <c r="I68" i="2"/>
  <c r="J68" i="2" s="1"/>
  <c r="F68" i="2" s="1"/>
  <c r="I69" i="2"/>
  <c r="J69" i="2" s="1"/>
  <c r="F69" i="2" s="1"/>
  <c r="I70" i="2"/>
  <c r="J70" i="2" s="1"/>
  <c r="F70" i="2" s="1"/>
  <c r="I71" i="2"/>
  <c r="J71" i="2" s="1"/>
  <c r="F71" i="2" s="1"/>
  <c r="I72" i="2"/>
  <c r="J72" i="2" s="1"/>
  <c r="F72" i="2" s="1"/>
  <c r="I73" i="2"/>
  <c r="J73" i="2" s="1"/>
  <c r="F73" i="2" s="1"/>
  <c r="I74" i="2"/>
  <c r="J74" i="2" s="1"/>
  <c r="F74" i="2" s="1"/>
  <c r="I75" i="2"/>
  <c r="J75" i="2" s="1"/>
  <c r="F75" i="2" s="1"/>
  <c r="I76" i="2"/>
  <c r="J76" i="2" s="1"/>
  <c r="F76" i="2" s="1"/>
  <c r="I77" i="2"/>
  <c r="J77" i="2" s="1"/>
  <c r="F77" i="2" s="1"/>
  <c r="I78" i="2"/>
  <c r="J78" i="2" s="1"/>
  <c r="F78" i="2" s="1"/>
  <c r="I79" i="2"/>
  <c r="J79" i="2" s="1"/>
  <c r="F79" i="2" s="1"/>
  <c r="I80" i="2"/>
  <c r="J80" i="2" s="1"/>
  <c r="F80" i="2" s="1"/>
  <c r="I81" i="2"/>
  <c r="J81" i="2" s="1"/>
  <c r="F81" i="2" s="1"/>
  <c r="I82" i="2"/>
  <c r="J82" i="2" s="1"/>
  <c r="F82" i="2" s="1"/>
  <c r="I83" i="2"/>
  <c r="J83" i="2" s="1"/>
  <c r="F83" i="2" s="1"/>
  <c r="I84" i="2"/>
  <c r="J84" i="2" s="1"/>
  <c r="F84" i="2" s="1"/>
  <c r="I85" i="2"/>
  <c r="J85" i="2" s="1"/>
  <c r="F85" i="2" s="1"/>
  <c r="I86" i="2"/>
  <c r="J86" i="2" s="1"/>
  <c r="F86" i="2" s="1"/>
  <c r="I87" i="2"/>
  <c r="J87" i="2" s="1"/>
  <c r="F87" i="2" s="1"/>
  <c r="I88" i="2"/>
  <c r="J88" i="2" s="1"/>
  <c r="F88" i="2" s="1"/>
  <c r="I89" i="2"/>
  <c r="J89" i="2" s="1"/>
  <c r="F89" i="2" s="1"/>
  <c r="I90" i="2"/>
  <c r="J90" i="2" s="1"/>
  <c r="F90" i="2" s="1"/>
  <c r="I91" i="2"/>
  <c r="J91" i="2" s="1"/>
  <c r="F91" i="2" s="1"/>
  <c r="I92" i="2"/>
  <c r="J92" i="2" s="1"/>
  <c r="F92" i="2" s="1"/>
  <c r="I93" i="2"/>
  <c r="J93" i="2" s="1"/>
  <c r="F93" i="2" s="1"/>
  <c r="I94" i="2"/>
  <c r="J94" i="2" s="1"/>
  <c r="F94" i="2" s="1"/>
  <c r="I95" i="2"/>
  <c r="J95" i="2" s="1"/>
  <c r="F95" i="2" s="1"/>
  <c r="I96" i="2"/>
  <c r="J96" i="2" s="1"/>
  <c r="F96" i="2" s="1"/>
  <c r="I97" i="2"/>
  <c r="J97" i="2" s="1"/>
  <c r="F97" i="2" s="1"/>
  <c r="I98" i="2"/>
  <c r="J98" i="2" s="1"/>
  <c r="F98" i="2" s="1"/>
  <c r="I99" i="2"/>
  <c r="J99" i="2" s="1"/>
  <c r="F99" i="2" s="1"/>
  <c r="I100" i="2"/>
  <c r="J100" i="2" s="1"/>
  <c r="F100" i="2" s="1"/>
  <c r="I101" i="2"/>
  <c r="J101" i="2" s="1"/>
  <c r="F101" i="2" s="1"/>
  <c r="I102" i="2"/>
  <c r="J102" i="2" s="1"/>
  <c r="F102" i="2" s="1"/>
  <c r="I103" i="2"/>
  <c r="J103" i="2" s="1"/>
  <c r="F103" i="2" s="1"/>
  <c r="I104" i="2"/>
  <c r="J104" i="2" s="1"/>
  <c r="F104" i="2" s="1"/>
  <c r="I105" i="2"/>
  <c r="J105" i="2" s="1"/>
  <c r="F105" i="2" s="1"/>
  <c r="I106" i="2"/>
  <c r="J106" i="2" s="1"/>
  <c r="F106" i="2" s="1"/>
  <c r="I107" i="2"/>
  <c r="J107" i="2" s="1"/>
  <c r="F107" i="2" s="1"/>
  <c r="I108" i="2"/>
  <c r="J108" i="2" s="1"/>
  <c r="F108" i="2" s="1"/>
  <c r="I109" i="2"/>
  <c r="J109" i="2" s="1"/>
  <c r="F109" i="2" s="1"/>
  <c r="I110" i="2"/>
  <c r="J110" i="2" s="1"/>
  <c r="F110" i="2" s="1"/>
  <c r="I111" i="2"/>
  <c r="J111" i="2" s="1"/>
  <c r="F111" i="2" s="1"/>
  <c r="I112" i="2"/>
  <c r="J112" i="2" s="1"/>
  <c r="F112" i="2" s="1"/>
  <c r="I113" i="2"/>
  <c r="J113" i="2" s="1"/>
  <c r="F113" i="2" s="1"/>
  <c r="I114" i="2"/>
  <c r="J114" i="2" s="1"/>
  <c r="F114" i="2" s="1"/>
  <c r="I115" i="2"/>
  <c r="J115" i="2" s="1"/>
  <c r="F115" i="2" s="1"/>
  <c r="I116" i="2"/>
  <c r="J116" i="2" s="1"/>
  <c r="F116" i="2" s="1"/>
  <c r="I117" i="2"/>
  <c r="J117" i="2" s="1"/>
  <c r="F117" i="2" s="1"/>
  <c r="I118" i="2"/>
  <c r="J118" i="2" s="1"/>
  <c r="F118" i="2" s="1"/>
  <c r="I119" i="2"/>
  <c r="J119" i="2" s="1"/>
  <c r="F119" i="2" s="1"/>
  <c r="I120" i="2"/>
  <c r="J120" i="2" s="1"/>
  <c r="F120" i="2" s="1"/>
  <c r="I121" i="2"/>
  <c r="J121" i="2" s="1"/>
  <c r="F121" i="2" s="1"/>
  <c r="I122" i="2"/>
  <c r="J122" i="2" s="1"/>
  <c r="F122" i="2" s="1"/>
  <c r="I123" i="2"/>
  <c r="J123" i="2" s="1"/>
  <c r="F123" i="2" s="1"/>
  <c r="I124" i="2"/>
  <c r="J124" i="2" s="1"/>
  <c r="F124" i="2" s="1"/>
  <c r="I125" i="2"/>
  <c r="J125" i="2" s="1"/>
  <c r="F125" i="2" s="1"/>
  <c r="I126" i="2"/>
  <c r="J126" i="2" s="1"/>
  <c r="F126" i="2" s="1"/>
  <c r="I127" i="2"/>
  <c r="J127" i="2" s="1"/>
  <c r="F127" i="2" s="1"/>
  <c r="I128" i="2"/>
  <c r="J128" i="2" s="1"/>
  <c r="F128" i="2" s="1"/>
  <c r="I129" i="2"/>
  <c r="J129" i="2" s="1"/>
  <c r="F129" i="2" s="1"/>
  <c r="I130" i="2"/>
  <c r="J130" i="2" s="1"/>
  <c r="F130" i="2" s="1"/>
  <c r="I131" i="2"/>
  <c r="J131" i="2" s="1"/>
  <c r="F131" i="2" s="1"/>
  <c r="I132" i="2"/>
  <c r="J132" i="2" s="1"/>
  <c r="F132" i="2" s="1"/>
  <c r="I133" i="2"/>
  <c r="J133" i="2" s="1"/>
  <c r="F133" i="2" s="1"/>
  <c r="I134" i="2"/>
  <c r="J134" i="2" s="1"/>
  <c r="F134" i="2" s="1"/>
  <c r="I135" i="2"/>
  <c r="J135" i="2" s="1"/>
  <c r="F135" i="2" s="1"/>
  <c r="I136" i="2"/>
  <c r="J136" i="2" s="1"/>
  <c r="F136" i="2" s="1"/>
  <c r="I137" i="2"/>
  <c r="J137" i="2" s="1"/>
  <c r="F137" i="2" s="1"/>
  <c r="I138" i="2"/>
  <c r="J138" i="2" s="1"/>
  <c r="F138" i="2" s="1"/>
  <c r="I139" i="2"/>
  <c r="J139" i="2" s="1"/>
  <c r="F139" i="2" s="1"/>
  <c r="I140" i="2"/>
  <c r="J140" i="2" s="1"/>
  <c r="F140" i="2" s="1"/>
  <c r="I141" i="2"/>
  <c r="J141" i="2" s="1"/>
  <c r="F141" i="2" s="1"/>
  <c r="I142" i="2"/>
  <c r="J142" i="2" s="1"/>
  <c r="F142" i="2" s="1"/>
  <c r="I143" i="2"/>
  <c r="J143" i="2" s="1"/>
  <c r="F143" i="2" s="1"/>
  <c r="I144" i="2"/>
  <c r="J144" i="2" s="1"/>
  <c r="F144" i="2" s="1"/>
  <c r="I145" i="2"/>
  <c r="J145" i="2" s="1"/>
  <c r="F145" i="2" s="1"/>
  <c r="I146" i="2"/>
  <c r="J146" i="2" s="1"/>
  <c r="F146" i="2" s="1"/>
  <c r="I147" i="2"/>
  <c r="J147" i="2" s="1"/>
  <c r="F147" i="2" s="1"/>
  <c r="I148" i="2"/>
  <c r="J148" i="2" s="1"/>
  <c r="F148" i="2" s="1"/>
  <c r="I149" i="2"/>
  <c r="J149" i="2" s="1"/>
  <c r="F149" i="2" s="1"/>
  <c r="I150" i="2"/>
  <c r="J150" i="2" s="1"/>
  <c r="F150" i="2" s="1"/>
  <c r="I151" i="2"/>
  <c r="J151" i="2" s="1"/>
  <c r="F151" i="2" s="1"/>
  <c r="I152" i="2"/>
  <c r="J152" i="2" s="1"/>
  <c r="F152" i="2" s="1"/>
  <c r="I153" i="2"/>
  <c r="J153" i="2" s="1"/>
  <c r="F153" i="2" s="1"/>
  <c r="I154" i="2"/>
  <c r="J154" i="2" s="1"/>
  <c r="F154" i="2" s="1"/>
  <c r="I155" i="2"/>
  <c r="J155" i="2" s="1"/>
  <c r="F155" i="2" s="1"/>
  <c r="I156" i="2"/>
  <c r="J156" i="2" s="1"/>
  <c r="F156" i="2" s="1"/>
  <c r="I157" i="2"/>
  <c r="J157" i="2" s="1"/>
  <c r="F157" i="2" s="1"/>
  <c r="I158" i="2"/>
  <c r="J158" i="2" s="1"/>
  <c r="F158" i="2" s="1"/>
  <c r="I159" i="2"/>
  <c r="J159" i="2" s="1"/>
  <c r="F159" i="2" s="1"/>
  <c r="I160" i="2"/>
  <c r="J160" i="2" s="1"/>
  <c r="F160" i="2" s="1"/>
  <c r="I161" i="2"/>
  <c r="J161" i="2" s="1"/>
  <c r="F161" i="2" s="1"/>
  <c r="I162" i="2"/>
  <c r="J162" i="2" s="1"/>
  <c r="F162" i="2" s="1"/>
  <c r="I163" i="2"/>
  <c r="J163" i="2" s="1"/>
  <c r="F163" i="2" s="1"/>
  <c r="I164" i="2"/>
  <c r="J164" i="2" s="1"/>
  <c r="F164" i="2" s="1"/>
  <c r="I165" i="2"/>
  <c r="J165" i="2" s="1"/>
  <c r="F165" i="2" s="1"/>
  <c r="I166" i="2"/>
  <c r="J166" i="2" s="1"/>
  <c r="F166" i="2" s="1"/>
  <c r="I167" i="2"/>
  <c r="J167" i="2" s="1"/>
  <c r="F167" i="2" s="1"/>
  <c r="I168" i="2"/>
  <c r="J168" i="2" s="1"/>
  <c r="F168" i="2" s="1"/>
  <c r="I169" i="2"/>
  <c r="J169" i="2" s="1"/>
  <c r="F169" i="2" s="1"/>
  <c r="I170" i="2"/>
  <c r="J170" i="2" s="1"/>
  <c r="F170" i="2" s="1"/>
  <c r="I171" i="2"/>
  <c r="J171" i="2" s="1"/>
  <c r="F171" i="2" s="1"/>
  <c r="I172" i="2"/>
  <c r="J172" i="2" s="1"/>
  <c r="F172" i="2" s="1"/>
  <c r="I173" i="2"/>
  <c r="J173" i="2" s="1"/>
  <c r="F173" i="2" s="1"/>
  <c r="I174" i="2"/>
  <c r="J174" i="2" s="1"/>
  <c r="F174" i="2" s="1"/>
  <c r="I175" i="2"/>
  <c r="J175" i="2" s="1"/>
  <c r="F175" i="2" s="1"/>
  <c r="I176" i="2"/>
  <c r="J176" i="2" s="1"/>
  <c r="F176" i="2" s="1"/>
  <c r="I177" i="2"/>
  <c r="J177" i="2" s="1"/>
  <c r="F177" i="2" s="1"/>
  <c r="I178" i="2"/>
  <c r="J178" i="2" s="1"/>
  <c r="F178" i="2" s="1"/>
  <c r="I179" i="2"/>
  <c r="J179" i="2" s="1"/>
  <c r="F179" i="2" s="1"/>
  <c r="I180" i="2"/>
  <c r="J180" i="2" s="1"/>
  <c r="F180" i="2" s="1"/>
  <c r="I181" i="2"/>
  <c r="J181" i="2" s="1"/>
  <c r="F181" i="2" s="1"/>
  <c r="I182" i="2"/>
  <c r="J182" i="2" s="1"/>
  <c r="F182" i="2" s="1"/>
  <c r="I183" i="2"/>
  <c r="J183" i="2" s="1"/>
  <c r="F183" i="2" s="1"/>
  <c r="I184" i="2"/>
  <c r="J184" i="2" s="1"/>
  <c r="F184" i="2" s="1"/>
  <c r="I185" i="2"/>
  <c r="J185" i="2" s="1"/>
  <c r="F185" i="2" s="1"/>
  <c r="I186" i="2"/>
  <c r="J186" i="2" s="1"/>
  <c r="F186" i="2" s="1"/>
  <c r="I187" i="2"/>
  <c r="J187" i="2" s="1"/>
  <c r="F187" i="2" s="1"/>
  <c r="I188" i="2"/>
  <c r="J188" i="2" s="1"/>
  <c r="F188" i="2" s="1"/>
  <c r="I189" i="2"/>
  <c r="J189" i="2" s="1"/>
  <c r="F189" i="2" s="1"/>
  <c r="I190" i="2"/>
  <c r="J190" i="2" s="1"/>
  <c r="F190" i="2" s="1"/>
  <c r="I191" i="2"/>
  <c r="J191" i="2" s="1"/>
  <c r="F191" i="2" s="1"/>
  <c r="I192" i="2"/>
  <c r="J192" i="2" s="1"/>
  <c r="F192" i="2" s="1"/>
  <c r="I193" i="2"/>
  <c r="J193" i="2" s="1"/>
  <c r="F193" i="2" s="1"/>
  <c r="I194" i="2"/>
  <c r="J194" i="2" s="1"/>
  <c r="F194" i="2" s="1"/>
  <c r="I195" i="2"/>
  <c r="J195" i="2" s="1"/>
  <c r="F195" i="2" s="1"/>
  <c r="I196" i="2"/>
  <c r="J196" i="2" s="1"/>
  <c r="F196" i="2" s="1"/>
  <c r="I197" i="2"/>
  <c r="J197" i="2" s="1"/>
  <c r="F197" i="2" s="1"/>
  <c r="I198" i="2"/>
  <c r="J198" i="2" s="1"/>
  <c r="F198" i="2" s="1"/>
  <c r="I199" i="2"/>
  <c r="J199" i="2" s="1"/>
  <c r="F199" i="2" s="1"/>
  <c r="I200" i="2"/>
  <c r="J200" i="2" s="1"/>
  <c r="F200" i="2" s="1"/>
  <c r="I201" i="2"/>
  <c r="J201" i="2" s="1"/>
  <c r="F201" i="2" s="1"/>
  <c r="I202" i="2"/>
  <c r="J202" i="2" s="1"/>
  <c r="F202" i="2" s="1"/>
  <c r="I203" i="2"/>
  <c r="J203" i="2" s="1"/>
  <c r="F203" i="2" s="1"/>
  <c r="I204" i="2"/>
  <c r="J204" i="2" s="1"/>
  <c r="F204" i="2" s="1"/>
  <c r="I205" i="2"/>
  <c r="J205" i="2" s="1"/>
  <c r="F205" i="2" s="1"/>
  <c r="I206" i="2"/>
  <c r="J206" i="2" s="1"/>
  <c r="F206" i="2" s="1"/>
  <c r="I207" i="2"/>
  <c r="J207" i="2" s="1"/>
  <c r="F207" i="2" s="1"/>
  <c r="I208" i="2"/>
  <c r="J208" i="2" s="1"/>
  <c r="F208" i="2" s="1"/>
  <c r="I209" i="2"/>
  <c r="J209" i="2" s="1"/>
  <c r="F209" i="2" s="1"/>
  <c r="I210" i="2"/>
  <c r="J210" i="2" s="1"/>
  <c r="F210" i="2" s="1"/>
  <c r="I211" i="2"/>
  <c r="J211" i="2" s="1"/>
  <c r="F211" i="2" s="1"/>
  <c r="I212" i="2"/>
  <c r="J212" i="2" s="1"/>
  <c r="F212" i="2" s="1"/>
  <c r="I213" i="2"/>
  <c r="J213" i="2" s="1"/>
  <c r="F213" i="2" s="1"/>
  <c r="I214" i="2"/>
  <c r="J214" i="2" s="1"/>
  <c r="F214" i="2" s="1"/>
  <c r="I215" i="2"/>
  <c r="J215" i="2" s="1"/>
  <c r="F215" i="2" s="1"/>
  <c r="I216" i="2"/>
  <c r="J216" i="2" s="1"/>
  <c r="F216" i="2" s="1"/>
  <c r="I217" i="2"/>
  <c r="J217" i="2" s="1"/>
  <c r="F217" i="2" s="1"/>
  <c r="I218" i="2"/>
  <c r="J218" i="2" s="1"/>
  <c r="F218" i="2" s="1"/>
  <c r="I219" i="2"/>
  <c r="J219" i="2" s="1"/>
  <c r="F219" i="2" s="1"/>
  <c r="I220" i="2"/>
  <c r="J220" i="2" s="1"/>
  <c r="F220" i="2" s="1"/>
  <c r="I221" i="2"/>
  <c r="J221" i="2" s="1"/>
  <c r="F221" i="2" s="1"/>
  <c r="I222" i="2"/>
  <c r="J222" i="2" s="1"/>
  <c r="F222" i="2" s="1"/>
  <c r="I223" i="2"/>
  <c r="J223" i="2" s="1"/>
  <c r="F223" i="2" s="1"/>
  <c r="I224" i="2"/>
  <c r="J224" i="2" s="1"/>
  <c r="F224" i="2" s="1"/>
  <c r="I225" i="2"/>
  <c r="J225" i="2" s="1"/>
  <c r="F225" i="2" s="1"/>
  <c r="I226" i="2"/>
  <c r="J226" i="2" s="1"/>
  <c r="F226" i="2" s="1"/>
  <c r="I227" i="2"/>
  <c r="J227" i="2" s="1"/>
  <c r="F227" i="2" s="1"/>
  <c r="I228" i="2"/>
  <c r="J228" i="2" s="1"/>
  <c r="F228" i="2" s="1"/>
  <c r="I229" i="2"/>
  <c r="J229" i="2" s="1"/>
  <c r="F229" i="2" s="1"/>
  <c r="I230" i="2"/>
  <c r="J230" i="2" s="1"/>
  <c r="F230" i="2" s="1"/>
  <c r="I231" i="2"/>
  <c r="J231" i="2" s="1"/>
  <c r="F231" i="2" s="1"/>
  <c r="I232" i="2"/>
  <c r="J232" i="2" s="1"/>
  <c r="F232" i="2" s="1"/>
  <c r="I233" i="2"/>
  <c r="J233" i="2" s="1"/>
  <c r="F233" i="2" s="1"/>
  <c r="I234" i="2"/>
  <c r="J234" i="2" s="1"/>
  <c r="F234" i="2" s="1"/>
  <c r="I235" i="2"/>
  <c r="J235" i="2" s="1"/>
  <c r="F235" i="2" s="1"/>
  <c r="I236" i="2"/>
  <c r="J236" i="2" s="1"/>
  <c r="F236" i="2" s="1"/>
  <c r="I237" i="2"/>
  <c r="J237" i="2" s="1"/>
  <c r="F237" i="2" s="1"/>
  <c r="I238" i="2"/>
  <c r="J238" i="2" s="1"/>
  <c r="F238" i="2" s="1"/>
  <c r="I239" i="2"/>
  <c r="J239" i="2" s="1"/>
  <c r="F239" i="2" s="1"/>
  <c r="I240" i="2"/>
  <c r="J240" i="2" s="1"/>
  <c r="F240" i="2" s="1"/>
  <c r="I241" i="2"/>
  <c r="J241" i="2" s="1"/>
  <c r="F241" i="2" s="1"/>
  <c r="I242" i="2"/>
  <c r="J242" i="2" s="1"/>
  <c r="F242" i="2" s="1"/>
  <c r="I243" i="2"/>
  <c r="J243" i="2" s="1"/>
  <c r="F243" i="2" s="1"/>
  <c r="I244" i="2"/>
  <c r="J244" i="2" s="1"/>
  <c r="F244" i="2" s="1"/>
  <c r="I245" i="2"/>
  <c r="J245" i="2" s="1"/>
  <c r="F245" i="2" s="1"/>
  <c r="I246" i="2"/>
  <c r="J246" i="2" s="1"/>
  <c r="F246" i="2" s="1"/>
  <c r="I247" i="2"/>
  <c r="J247" i="2" s="1"/>
  <c r="F247" i="2" s="1"/>
  <c r="I248" i="2"/>
  <c r="J248" i="2" s="1"/>
  <c r="F248" i="2" s="1"/>
  <c r="I249" i="2"/>
  <c r="J249" i="2" s="1"/>
  <c r="F249" i="2" s="1"/>
  <c r="I250" i="2"/>
  <c r="J250" i="2" s="1"/>
  <c r="F250" i="2" s="1"/>
  <c r="I251" i="2"/>
  <c r="J251" i="2" s="1"/>
  <c r="F251" i="2" s="1"/>
  <c r="I252" i="2"/>
  <c r="J252" i="2" s="1"/>
  <c r="F252" i="2" s="1"/>
  <c r="I253" i="2"/>
  <c r="J253" i="2" s="1"/>
  <c r="F253" i="2" s="1"/>
  <c r="I254" i="2"/>
  <c r="J254" i="2" s="1"/>
  <c r="F254" i="2" s="1"/>
  <c r="I255" i="2"/>
  <c r="J255" i="2" s="1"/>
  <c r="F255" i="2" s="1"/>
  <c r="I256" i="2"/>
  <c r="J256" i="2" s="1"/>
  <c r="F256" i="2" s="1"/>
  <c r="I257" i="2"/>
  <c r="J257" i="2" s="1"/>
  <c r="F257" i="2" s="1"/>
  <c r="I258" i="2"/>
  <c r="J258" i="2" s="1"/>
  <c r="F258" i="2" s="1"/>
  <c r="I259" i="2"/>
  <c r="J259" i="2" s="1"/>
  <c r="F259" i="2" s="1"/>
  <c r="I260" i="2"/>
  <c r="J260" i="2" s="1"/>
  <c r="F260" i="2" s="1"/>
  <c r="I261" i="2"/>
  <c r="J261" i="2" s="1"/>
  <c r="F261" i="2" s="1"/>
  <c r="I262" i="2"/>
  <c r="J262" i="2" s="1"/>
  <c r="F262" i="2" s="1"/>
  <c r="I263" i="2"/>
  <c r="J263" i="2" s="1"/>
  <c r="F263" i="2" s="1"/>
  <c r="I264" i="2"/>
  <c r="J264" i="2" s="1"/>
  <c r="F264" i="2" s="1"/>
  <c r="I265" i="2"/>
  <c r="J265" i="2" s="1"/>
  <c r="F265" i="2" s="1"/>
  <c r="I266" i="2"/>
  <c r="J266" i="2" s="1"/>
  <c r="F266" i="2" s="1"/>
  <c r="I267" i="2"/>
  <c r="J267" i="2" s="1"/>
  <c r="F267" i="2" s="1"/>
  <c r="I268" i="2"/>
  <c r="J268" i="2" s="1"/>
  <c r="F268" i="2" s="1"/>
  <c r="I269" i="2"/>
  <c r="J269" i="2" s="1"/>
  <c r="F269" i="2" s="1"/>
  <c r="I270" i="2"/>
  <c r="J270" i="2" s="1"/>
  <c r="F270" i="2" s="1"/>
  <c r="I271" i="2"/>
  <c r="J271" i="2" s="1"/>
  <c r="F271" i="2" s="1"/>
  <c r="I272" i="2"/>
  <c r="J272" i="2" s="1"/>
  <c r="F272" i="2" s="1"/>
  <c r="I273" i="2"/>
  <c r="J273" i="2" s="1"/>
  <c r="F273" i="2" s="1"/>
  <c r="I274" i="2"/>
  <c r="J274" i="2" s="1"/>
  <c r="F274" i="2" s="1"/>
  <c r="I275" i="2"/>
  <c r="J275" i="2" s="1"/>
  <c r="F275" i="2" s="1"/>
  <c r="I276" i="2"/>
  <c r="J276" i="2" s="1"/>
  <c r="F276" i="2" s="1"/>
  <c r="I277" i="2"/>
  <c r="J277" i="2" s="1"/>
  <c r="F277" i="2" s="1"/>
  <c r="I278" i="2"/>
  <c r="J278" i="2" s="1"/>
  <c r="F278" i="2" s="1"/>
  <c r="I279" i="2"/>
  <c r="J279" i="2" s="1"/>
  <c r="F279" i="2" s="1"/>
  <c r="I280" i="2"/>
  <c r="J280" i="2" s="1"/>
  <c r="F280" i="2" s="1"/>
  <c r="I281" i="2"/>
  <c r="J281" i="2" s="1"/>
  <c r="F281" i="2" s="1"/>
  <c r="I282" i="2"/>
  <c r="J282" i="2" s="1"/>
  <c r="F282" i="2" s="1"/>
  <c r="I283" i="2"/>
  <c r="J283" i="2" s="1"/>
  <c r="F283" i="2" s="1"/>
  <c r="I284" i="2"/>
  <c r="J284" i="2" s="1"/>
  <c r="F284" i="2" s="1"/>
  <c r="I285" i="2"/>
  <c r="J285" i="2" s="1"/>
  <c r="F285" i="2" s="1"/>
  <c r="I286" i="2"/>
  <c r="J286" i="2" s="1"/>
  <c r="F286" i="2" s="1"/>
  <c r="I287" i="2"/>
  <c r="J287" i="2" s="1"/>
  <c r="F287" i="2" s="1"/>
  <c r="I288" i="2"/>
  <c r="J288" i="2" s="1"/>
  <c r="F288" i="2" s="1"/>
  <c r="I289" i="2"/>
  <c r="J289" i="2" s="1"/>
  <c r="F289" i="2" s="1"/>
  <c r="I290" i="2"/>
  <c r="J290" i="2" s="1"/>
  <c r="F290" i="2" s="1"/>
  <c r="I291" i="2"/>
  <c r="J291" i="2" s="1"/>
  <c r="F291" i="2" s="1"/>
  <c r="I292" i="2"/>
  <c r="J292" i="2" s="1"/>
  <c r="F292" i="2" s="1"/>
  <c r="I293" i="2"/>
  <c r="J293" i="2" s="1"/>
  <c r="F293" i="2" s="1"/>
  <c r="I294" i="2"/>
  <c r="J294" i="2" s="1"/>
  <c r="F294" i="2" s="1"/>
  <c r="I295" i="2"/>
  <c r="J295" i="2" s="1"/>
  <c r="F295" i="2" s="1"/>
  <c r="I296" i="2"/>
  <c r="J296" i="2" s="1"/>
  <c r="F296" i="2" s="1"/>
  <c r="I297" i="2"/>
  <c r="J297" i="2" s="1"/>
  <c r="F297" i="2" s="1"/>
  <c r="I298" i="2"/>
  <c r="J298" i="2" s="1"/>
  <c r="F298" i="2" s="1"/>
  <c r="I299" i="2"/>
  <c r="J299" i="2" s="1"/>
  <c r="F299" i="2" s="1"/>
  <c r="I300" i="2"/>
  <c r="J300" i="2" s="1"/>
  <c r="F300" i="2" s="1"/>
  <c r="I301" i="2"/>
  <c r="J301" i="2" s="1"/>
  <c r="F301" i="2" s="1"/>
  <c r="I302" i="2"/>
  <c r="J302" i="2" s="1"/>
  <c r="F302" i="2" s="1"/>
  <c r="I303" i="2"/>
  <c r="J303" i="2" s="1"/>
  <c r="F303" i="2" s="1"/>
  <c r="I304" i="2"/>
  <c r="J304" i="2" s="1"/>
  <c r="F304" i="2" s="1"/>
  <c r="I305" i="2"/>
  <c r="J305" i="2" s="1"/>
  <c r="F305" i="2" s="1"/>
  <c r="I306" i="2"/>
  <c r="J306" i="2" s="1"/>
  <c r="F306" i="2" s="1"/>
  <c r="I307" i="2"/>
  <c r="J307" i="2" s="1"/>
  <c r="F307" i="2" s="1"/>
  <c r="I308" i="2"/>
  <c r="J308" i="2" s="1"/>
  <c r="F308" i="2" s="1"/>
  <c r="I309" i="2"/>
  <c r="J309" i="2" s="1"/>
  <c r="F309" i="2" s="1"/>
  <c r="I310" i="2"/>
  <c r="J310" i="2" s="1"/>
  <c r="F310" i="2" s="1"/>
  <c r="I311" i="2"/>
  <c r="J311" i="2" s="1"/>
  <c r="F311" i="2" s="1"/>
  <c r="I312" i="2"/>
  <c r="J312" i="2" s="1"/>
  <c r="F312" i="2" s="1"/>
  <c r="I313" i="2"/>
  <c r="J313" i="2" s="1"/>
  <c r="F313" i="2" s="1"/>
  <c r="I314" i="2"/>
  <c r="J314" i="2" s="1"/>
  <c r="F314" i="2" s="1"/>
  <c r="I315" i="2"/>
  <c r="J315" i="2" s="1"/>
  <c r="F315" i="2" s="1"/>
  <c r="I316" i="2"/>
  <c r="J316" i="2" s="1"/>
  <c r="F316" i="2" s="1"/>
  <c r="I317" i="2"/>
  <c r="J317" i="2" s="1"/>
  <c r="F317" i="2" s="1"/>
  <c r="I318" i="2"/>
  <c r="J318" i="2" s="1"/>
  <c r="F318" i="2" s="1"/>
  <c r="I319" i="2"/>
  <c r="J319" i="2" s="1"/>
  <c r="F319" i="2" s="1"/>
  <c r="I320" i="2"/>
  <c r="J320" i="2" s="1"/>
  <c r="F320" i="2" s="1"/>
  <c r="I321" i="2"/>
  <c r="J321" i="2" s="1"/>
  <c r="F321" i="2" s="1"/>
  <c r="I322" i="2"/>
  <c r="J322" i="2" s="1"/>
  <c r="F322" i="2" s="1"/>
  <c r="I323" i="2"/>
  <c r="J323" i="2" s="1"/>
  <c r="F323" i="2" s="1"/>
  <c r="I324" i="2"/>
  <c r="J324" i="2" s="1"/>
  <c r="F324" i="2" s="1"/>
  <c r="I325" i="2"/>
  <c r="J325" i="2" s="1"/>
  <c r="F325" i="2" s="1"/>
  <c r="I326" i="2"/>
  <c r="J326" i="2" s="1"/>
  <c r="F326" i="2" s="1"/>
  <c r="I327" i="2"/>
  <c r="J327" i="2" s="1"/>
  <c r="F327" i="2" s="1"/>
  <c r="I328" i="2"/>
  <c r="J328" i="2" s="1"/>
  <c r="F328" i="2" s="1"/>
  <c r="I329" i="2"/>
  <c r="J329" i="2" s="1"/>
  <c r="F329" i="2" s="1"/>
  <c r="I330" i="2"/>
  <c r="J330" i="2" s="1"/>
  <c r="F330" i="2" s="1"/>
  <c r="I331" i="2"/>
  <c r="J331" i="2" s="1"/>
  <c r="F331" i="2" s="1"/>
  <c r="I332" i="2"/>
  <c r="J332" i="2" s="1"/>
  <c r="F332" i="2" s="1"/>
  <c r="I333" i="2"/>
  <c r="J333" i="2" s="1"/>
  <c r="F333" i="2" s="1"/>
  <c r="I334" i="2"/>
  <c r="J334" i="2" s="1"/>
  <c r="F334" i="2" s="1"/>
  <c r="I335" i="2"/>
  <c r="J335" i="2" s="1"/>
  <c r="F335" i="2" s="1"/>
  <c r="I336" i="2"/>
  <c r="J336" i="2" s="1"/>
  <c r="F336" i="2" s="1"/>
  <c r="I337" i="2"/>
  <c r="J337" i="2" s="1"/>
  <c r="F337" i="2" s="1"/>
  <c r="I338" i="2"/>
  <c r="J338" i="2" s="1"/>
  <c r="F338" i="2" s="1"/>
  <c r="I339" i="2"/>
  <c r="J339" i="2" s="1"/>
  <c r="F339" i="2" s="1"/>
  <c r="I340" i="2"/>
  <c r="J340" i="2" s="1"/>
  <c r="F340" i="2" s="1"/>
  <c r="I341" i="2"/>
  <c r="J341" i="2" s="1"/>
  <c r="F341" i="2" s="1"/>
  <c r="I342" i="2"/>
  <c r="J342" i="2" s="1"/>
  <c r="F342" i="2" s="1"/>
  <c r="I343" i="2"/>
  <c r="J343" i="2" s="1"/>
  <c r="F343" i="2" s="1"/>
  <c r="I344" i="2"/>
  <c r="J344" i="2" s="1"/>
  <c r="F344" i="2" s="1"/>
  <c r="I345" i="2"/>
  <c r="J345" i="2" s="1"/>
  <c r="F345" i="2" s="1"/>
  <c r="I346" i="2"/>
  <c r="J346" i="2" s="1"/>
  <c r="F346" i="2" s="1"/>
  <c r="I347" i="2"/>
  <c r="J347" i="2" s="1"/>
  <c r="F347" i="2" s="1"/>
  <c r="I348" i="2"/>
  <c r="J348" i="2" s="1"/>
  <c r="F348" i="2" s="1"/>
  <c r="I349" i="2"/>
  <c r="J349" i="2" s="1"/>
  <c r="F349" i="2" s="1"/>
  <c r="I350" i="2"/>
  <c r="J350" i="2" s="1"/>
  <c r="F350" i="2" s="1"/>
  <c r="I351" i="2"/>
  <c r="J351" i="2" s="1"/>
  <c r="F351" i="2" s="1"/>
  <c r="I352" i="2"/>
  <c r="J352" i="2" s="1"/>
  <c r="F352" i="2" s="1"/>
  <c r="I353" i="2"/>
  <c r="J353" i="2" s="1"/>
  <c r="F353" i="2" s="1"/>
  <c r="I354" i="2"/>
  <c r="J354" i="2" s="1"/>
  <c r="F354" i="2" s="1"/>
  <c r="I355" i="2"/>
  <c r="J355" i="2" s="1"/>
  <c r="F355" i="2" s="1"/>
  <c r="I356" i="2"/>
  <c r="J356" i="2" s="1"/>
  <c r="F356" i="2" s="1"/>
  <c r="I357" i="2"/>
  <c r="J357" i="2" s="1"/>
  <c r="F357" i="2" s="1"/>
  <c r="I358" i="2"/>
  <c r="J358" i="2" s="1"/>
  <c r="F358" i="2" s="1"/>
  <c r="I359" i="2"/>
  <c r="J359" i="2" s="1"/>
  <c r="F359" i="2" s="1"/>
  <c r="I360" i="2"/>
  <c r="J360" i="2" s="1"/>
  <c r="F360" i="2" s="1"/>
  <c r="I361" i="2"/>
  <c r="J361" i="2" s="1"/>
  <c r="F361" i="2" s="1"/>
  <c r="I362" i="2"/>
  <c r="J362" i="2" s="1"/>
  <c r="F362" i="2" s="1"/>
  <c r="I363" i="2"/>
  <c r="J363" i="2" s="1"/>
  <c r="F363" i="2" s="1"/>
  <c r="I364" i="2"/>
  <c r="J364" i="2" s="1"/>
  <c r="F364" i="2" s="1"/>
  <c r="I365" i="2"/>
  <c r="J365" i="2" s="1"/>
  <c r="F365" i="2" s="1"/>
  <c r="I366" i="2"/>
  <c r="J366" i="2" s="1"/>
  <c r="F366" i="2" s="1"/>
  <c r="I367" i="2"/>
  <c r="J367" i="2" s="1"/>
  <c r="F367" i="2" s="1"/>
  <c r="I368" i="2"/>
  <c r="J368" i="2" s="1"/>
  <c r="F368" i="2" s="1"/>
  <c r="I369" i="2"/>
  <c r="J369" i="2" s="1"/>
  <c r="F369" i="2" s="1"/>
  <c r="I370" i="2"/>
  <c r="J370" i="2" s="1"/>
  <c r="F370" i="2" s="1"/>
  <c r="I371" i="2"/>
  <c r="J371" i="2" s="1"/>
  <c r="F371" i="2" s="1"/>
  <c r="I372" i="2"/>
  <c r="J372" i="2" s="1"/>
  <c r="F372" i="2" s="1"/>
  <c r="I373" i="2"/>
  <c r="J373" i="2" s="1"/>
  <c r="F373" i="2" s="1"/>
  <c r="I374" i="2"/>
  <c r="J374" i="2" s="1"/>
  <c r="F374" i="2" s="1"/>
  <c r="I375" i="2"/>
  <c r="J375" i="2" s="1"/>
  <c r="F375" i="2" s="1"/>
  <c r="I376" i="2"/>
  <c r="J376" i="2" s="1"/>
  <c r="F376" i="2" s="1"/>
  <c r="I377" i="2"/>
  <c r="J377" i="2" s="1"/>
  <c r="F377" i="2" s="1"/>
  <c r="I378" i="2"/>
  <c r="J378" i="2" s="1"/>
  <c r="F378" i="2" s="1"/>
  <c r="I379" i="2"/>
  <c r="J379" i="2" s="1"/>
  <c r="F379" i="2" s="1"/>
  <c r="I380" i="2"/>
  <c r="J380" i="2" s="1"/>
  <c r="F380" i="2" s="1"/>
  <c r="I381" i="2"/>
  <c r="J381" i="2" s="1"/>
  <c r="F381" i="2" s="1"/>
  <c r="I382" i="2"/>
  <c r="J382" i="2" s="1"/>
  <c r="F382" i="2" s="1"/>
  <c r="I383" i="2"/>
  <c r="J383" i="2" s="1"/>
  <c r="F383" i="2" s="1"/>
  <c r="I384" i="2"/>
  <c r="J384" i="2" s="1"/>
  <c r="F384" i="2" s="1"/>
  <c r="I385" i="2"/>
  <c r="J385" i="2" s="1"/>
  <c r="F385" i="2" s="1"/>
  <c r="I386" i="2"/>
  <c r="J386" i="2" s="1"/>
  <c r="F386" i="2" s="1"/>
  <c r="I387" i="2"/>
  <c r="J387" i="2" s="1"/>
  <c r="F387" i="2" s="1"/>
  <c r="I388" i="2"/>
  <c r="J388" i="2" s="1"/>
  <c r="F388" i="2" s="1"/>
  <c r="I389" i="2"/>
  <c r="J389" i="2" s="1"/>
  <c r="F389" i="2" s="1"/>
  <c r="I390" i="2"/>
  <c r="J390" i="2" s="1"/>
  <c r="F390" i="2" s="1"/>
  <c r="I391" i="2"/>
  <c r="J391" i="2" s="1"/>
  <c r="F391" i="2" s="1"/>
  <c r="I392" i="2"/>
  <c r="J392" i="2" s="1"/>
  <c r="F392" i="2" s="1"/>
  <c r="I393" i="2"/>
  <c r="J393" i="2" s="1"/>
  <c r="F393" i="2" s="1"/>
  <c r="I394" i="2"/>
  <c r="J394" i="2" s="1"/>
  <c r="F394" i="2" s="1"/>
  <c r="I395" i="2"/>
  <c r="J395" i="2" s="1"/>
  <c r="F395" i="2" s="1"/>
  <c r="I396" i="2"/>
  <c r="J396" i="2" s="1"/>
  <c r="F396" i="2" s="1"/>
  <c r="I397" i="2"/>
  <c r="J397" i="2" s="1"/>
  <c r="F397" i="2" s="1"/>
  <c r="I398" i="2"/>
  <c r="J398" i="2" s="1"/>
  <c r="F398" i="2" s="1"/>
  <c r="I399" i="2"/>
  <c r="J399" i="2" s="1"/>
  <c r="F399" i="2" s="1"/>
  <c r="I400" i="2"/>
  <c r="J400" i="2" s="1"/>
  <c r="F400" i="2" s="1"/>
  <c r="I401" i="2"/>
  <c r="J401" i="2" s="1"/>
  <c r="F401" i="2" s="1"/>
  <c r="I402" i="2"/>
  <c r="J402" i="2" s="1"/>
  <c r="F402" i="2" s="1"/>
  <c r="I403" i="2"/>
  <c r="J403" i="2" s="1"/>
  <c r="F403" i="2" s="1"/>
  <c r="I404" i="2"/>
  <c r="J404" i="2" s="1"/>
  <c r="F404" i="2" s="1"/>
  <c r="I405" i="2"/>
  <c r="J405" i="2" s="1"/>
  <c r="F405" i="2" s="1"/>
  <c r="I406" i="2"/>
  <c r="J406" i="2" s="1"/>
  <c r="F406" i="2" s="1"/>
  <c r="I407" i="2"/>
  <c r="J407" i="2" s="1"/>
  <c r="F407" i="2" s="1"/>
  <c r="I408" i="2"/>
  <c r="J408" i="2" s="1"/>
  <c r="F408" i="2" s="1"/>
  <c r="I409" i="2"/>
  <c r="J409" i="2" s="1"/>
  <c r="F409" i="2" s="1"/>
  <c r="I410" i="2"/>
  <c r="J410" i="2" s="1"/>
  <c r="F410" i="2" s="1"/>
  <c r="I411" i="2"/>
  <c r="J411" i="2" s="1"/>
  <c r="F411" i="2" s="1"/>
  <c r="I412" i="2"/>
  <c r="J412" i="2" s="1"/>
  <c r="F412" i="2" s="1"/>
  <c r="I413" i="2"/>
  <c r="J413" i="2" s="1"/>
  <c r="F413" i="2" s="1"/>
  <c r="I414" i="2"/>
  <c r="J414" i="2" s="1"/>
  <c r="F414" i="2" s="1"/>
  <c r="I415" i="2"/>
  <c r="J415" i="2" s="1"/>
  <c r="F415" i="2" s="1"/>
  <c r="I416" i="2"/>
  <c r="J416" i="2" s="1"/>
  <c r="F416" i="2" s="1"/>
  <c r="I417" i="2"/>
  <c r="J417" i="2" s="1"/>
  <c r="F417" i="2" s="1"/>
  <c r="I418" i="2"/>
  <c r="J418" i="2" s="1"/>
  <c r="F418" i="2" s="1"/>
  <c r="I419" i="2"/>
  <c r="J419" i="2" s="1"/>
  <c r="F419" i="2" s="1"/>
  <c r="I420" i="2"/>
  <c r="J420" i="2" s="1"/>
  <c r="F420" i="2" s="1"/>
  <c r="I421" i="2"/>
  <c r="J421" i="2" s="1"/>
  <c r="F421" i="2" s="1"/>
  <c r="I422" i="2"/>
  <c r="J422" i="2" s="1"/>
  <c r="F422" i="2" s="1"/>
  <c r="I423" i="2"/>
  <c r="J423" i="2" s="1"/>
  <c r="F423" i="2" s="1"/>
  <c r="I424" i="2"/>
  <c r="J424" i="2" s="1"/>
  <c r="F424" i="2" s="1"/>
  <c r="I425" i="2"/>
  <c r="J425" i="2" s="1"/>
  <c r="F425" i="2" s="1"/>
  <c r="I426" i="2"/>
  <c r="J426" i="2" s="1"/>
  <c r="F426" i="2" s="1"/>
  <c r="I427" i="2"/>
  <c r="J427" i="2" s="1"/>
  <c r="F427" i="2" s="1"/>
  <c r="I428" i="2"/>
  <c r="J428" i="2" s="1"/>
  <c r="F428" i="2" s="1"/>
  <c r="I429" i="2"/>
  <c r="J429" i="2" s="1"/>
  <c r="F429" i="2" s="1"/>
  <c r="I430" i="2"/>
  <c r="J430" i="2" s="1"/>
  <c r="F430" i="2" s="1"/>
  <c r="I431" i="2"/>
  <c r="J431" i="2" s="1"/>
  <c r="F431" i="2" s="1"/>
  <c r="I432" i="2"/>
  <c r="J432" i="2" s="1"/>
  <c r="F432" i="2" s="1"/>
  <c r="I433" i="2"/>
  <c r="J433" i="2" s="1"/>
  <c r="F433" i="2" s="1"/>
  <c r="I434" i="2"/>
  <c r="J434" i="2" s="1"/>
  <c r="F434" i="2" s="1"/>
  <c r="I435" i="2"/>
  <c r="J435" i="2" s="1"/>
  <c r="F435" i="2" s="1"/>
  <c r="I436" i="2"/>
  <c r="J436" i="2" s="1"/>
  <c r="F436" i="2" s="1"/>
  <c r="I437" i="2"/>
  <c r="J437" i="2" s="1"/>
  <c r="F437" i="2" s="1"/>
  <c r="I438" i="2"/>
  <c r="J438" i="2" s="1"/>
  <c r="F438" i="2" s="1"/>
  <c r="I439" i="2"/>
  <c r="J439" i="2" s="1"/>
  <c r="F439" i="2" s="1"/>
  <c r="I440" i="2"/>
  <c r="J440" i="2" s="1"/>
  <c r="F440" i="2" s="1"/>
  <c r="I441" i="2"/>
  <c r="J441" i="2" s="1"/>
  <c r="F441" i="2" s="1"/>
  <c r="I442" i="2"/>
  <c r="J442" i="2" s="1"/>
  <c r="F442" i="2" s="1"/>
  <c r="I443" i="2"/>
  <c r="J443" i="2" s="1"/>
  <c r="F443" i="2" s="1"/>
  <c r="I444" i="2"/>
  <c r="J444" i="2" s="1"/>
  <c r="F444" i="2" s="1"/>
  <c r="I445" i="2"/>
  <c r="J445" i="2" s="1"/>
  <c r="F445" i="2" s="1"/>
  <c r="I446" i="2"/>
  <c r="J446" i="2" s="1"/>
  <c r="F446" i="2" s="1"/>
  <c r="I447" i="2"/>
  <c r="J447" i="2" s="1"/>
  <c r="F447" i="2" s="1"/>
  <c r="I448" i="2"/>
  <c r="J448" i="2" s="1"/>
  <c r="F448" i="2" s="1"/>
  <c r="I449" i="2"/>
  <c r="J449" i="2" s="1"/>
  <c r="F449" i="2" s="1"/>
  <c r="I450" i="2"/>
  <c r="J450" i="2" s="1"/>
  <c r="F450" i="2" s="1"/>
  <c r="I451" i="2"/>
  <c r="J451" i="2" s="1"/>
  <c r="F451" i="2" s="1"/>
  <c r="I452" i="2"/>
  <c r="J452" i="2" s="1"/>
  <c r="F452" i="2" s="1"/>
  <c r="I453" i="2"/>
  <c r="J453" i="2" s="1"/>
  <c r="F453" i="2" s="1"/>
  <c r="I454" i="2"/>
  <c r="J454" i="2" s="1"/>
  <c r="F454" i="2" s="1"/>
  <c r="I455" i="2"/>
  <c r="J455" i="2" s="1"/>
  <c r="F455" i="2" s="1"/>
  <c r="I456" i="2"/>
  <c r="J456" i="2" s="1"/>
  <c r="F456" i="2" s="1"/>
  <c r="I457" i="2"/>
  <c r="J457" i="2" s="1"/>
  <c r="F457" i="2" s="1"/>
  <c r="I458" i="2"/>
  <c r="J458" i="2" s="1"/>
  <c r="F458" i="2" s="1"/>
  <c r="I459" i="2"/>
  <c r="J459" i="2" s="1"/>
  <c r="F459" i="2" s="1"/>
  <c r="I460" i="2"/>
  <c r="J460" i="2" s="1"/>
  <c r="F460" i="2" s="1"/>
  <c r="I461" i="2"/>
  <c r="J461" i="2" s="1"/>
  <c r="F461" i="2" s="1"/>
  <c r="I462" i="2"/>
  <c r="J462" i="2" s="1"/>
  <c r="F462" i="2" s="1"/>
  <c r="I463" i="2"/>
  <c r="J463" i="2" s="1"/>
  <c r="F463" i="2" s="1"/>
  <c r="I464" i="2"/>
  <c r="J464" i="2" s="1"/>
  <c r="F464" i="2" s="1"/>
  <c r="I465" i="2"/>
  <c r="J465" i="2" s="1"/>
  <c r="F465" i="2" s="1"/>
  <c r="I466" i="2"/>
  <c r="J466" i="2" s="1"/>
  <c r="F466" i="2" s="1"/>
  <c r="I467" i="2"/>
  <c r="J467" i="2" s="1"/>
  <c r="F467" i="2" s="1"/>
  <c r="I468" i="2"/>
  <c r="J468" i="2" s="1"/>
  <c r="F468" i="2" s="1"/>
  <c r="I469" i="2"/>
  <c r="J469" i="2" s="1"/>
  <c r="F469" i="2" s="1"/>
  <c r="I470" i="2"/>
  <c r="J470" i="2" s="1"/>
  <c r="F470" i="2" s="1"/>
  <c r="I471" i="2"/>
  <c r="J471" i="2" s="1"/>
  <c r="F471" i="2" s="1"/>
  <c r="I472" i="2"/>
  <c r="J472" i="2" s="1"/>
  <c r="F472" i="2" s="1"/>
  <c r="I473" i="2"/>
  <c r="J473" i="2" s="1"/>
  <c r="F473" i="2" s="1"/>
  <c r="I474" i="2"/>
  <c r="J474" i="2" s="1"/>
  <c r="F474" i="2" s="1"/>
  <c r="I475" i="2"/>
  <c r="J475" i="2" s="1"/>
  <c r="F475" i="2" s="1"/>
  <c r="I476" i="2"/>
  <c r="J476" i="2" s="1"/>
  <c r="F476" i="2" s="1"/>
  <c r="I477" i="2"/>
  <c r="J477" i="2" s="1"/>
  <c r="F477" i="2" s="1"/>
  <c r="I478" i="2"/>
  <c r="J478" i="2" s="1"/>
  <c r="F478" i="2" s="1"/>
  <c r="I479" i="2"/>
  <c r="J479" i="2" s="1"/>
  <c r="F479" i="2" s="1"/>
  <c r="I480" i="2"/>
  <c r="J480" i="2" s="1"/>
  <c r="F480" i="2" s="1"/>
  <c r="I481" i="2"/>
  <c r="J481" i="2" s="1"/>
  <c r="F481" i="2" s="1"/>
  <c r="I482" i="2"/>
  <c r="J482" i="2" s="1"/>
  <c r="F482" i="2" s="1"/>
  <c r="I483" i="2"/>
  <c r="J483" i="2" s="1"/>
  <c r="F483" i="2" s="1"/>
  <c r="I484" i="2"/>
  <c r="J484" i="2" s="1"/>
  <c r="F484" i="2" s="1"/>
  <c r="I485" i="2"/>
  <c r="J485" i="2" s="1"/>
  <c r="F485" i="2" s="1"/>
  <c r="I486" i="2"/>
  <c r="J486" i="2" s="1"/>
  <c r="F486" i="2" s="1"/>
  <c r="I487" i="2"/>
  <c r="J487" i="2" s="1"/>
  <c r="F487" i="2" s="1"/>
  <c r="I488" i="2"/>
  <c r="J488" i="2" s="1"/>
  <c r="F488" i="2" s="1"/>
  <c r="I489" i="2"/>
  <c r="J489" i="2" s="1"/>
  <c r="F489" i="2" s="1"/>
  <c r="I490" i="2"/>
  <c r="J490" i="2" s="1"/>
  <c r="F490" i="2" s="1"/>
  <c r="I491" i="2"/>
  <c r="J491" i="2" s="1"/>
  <c r="F491" i="2" s="1"/>
  <c r="I492" i="2"/>
  <c r="J492" i="2" s="1"/>
  <c r="F492" i="2" s="1"/>
  <c r="I493" i="2"/>
  <c r="J493" i="2" s="1"/>
  <c r="F493" i="2" s="1"/>
  <c r="I494" i="2"/>
  <c r="J494" i="2" s="1"/>
  <c r="F494" i="2" s="1"/>
  <c r="I495" i="2"/>
  <c r="J495" i="2" s="1"/>
  <c r="F495" i="2" s="1"/>
  <c r="I496" i="2"/>
  <c r="J496" i="2" s="1"/>
  <c r="F496" i="2" s="1"/>
  <c r="I497" i="2"/>
  <c r="J497" i="2" s="1"/>
  <c r="F497" i="2" s="1"/>
  <c r="I498" i="2"/>
  <c r="J498" i="2" s="1"/>
  <c r="F498" i="2" s="1"/>
  <c r="I499" i="2"/>
  <c r="J499" i="2" s="1"/>
  <c r="F499" i="2" s="1"/>
  <c r="I500" i="2"/>
  <c r="J500" i="2" s="1"/>
  <c r="F500" i="2" s="1"/>
  <c r="I501" i="2"/>
  <c r="J501" i="2" s="1"/>
  <c r="F501" i="2" s="1"/>
  <c r="I502" i="2"/>
  <c r="J502" i="2" s="1"/>
  <c r="F502" i="2" s="1"/>
  <c r="K9" i="33"/>
  <c r="K10" i="33"/>
  <c r="P10" i="33"/>
  <c r="P9" i="33"/>
  <c r="P11" i="33"/>
  <c r="P12" i="33"/>
  <c r="P13" i="33"/>
  <c r="H9" i="33"/>
  <c r="I9" i="33"/>
  <c r="H10" i="33"/>
  <c r="I10" i="33"/>
  <c r="I8" i="34"/>
  <c r="I9" i="34"/>
  <c r="I10" i="34"/>
  <c r="I12" i="34"/>
  <c r="I11" i="34"/>
  <c r="I7" i="34"/>
  <c r="I6" i="34"/>
  <c r="I8" i="33"/>
  <c r="I11" i="33"/>
  <c r="I12" i="33"/>
  <c r="I13" i="33"/>
  <c r="I7" i="33"/>
  <c r="I6" i="3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508" i="3"/>
  <c r="M509" i="3"/>
  <c r="M510" i="3"/>
  <c r="M511" i="3"/>
  <c r="M512" i="3"/>
  <c r="M513" i="3"/>
  <c r="M514" i="3"/>
  <c r="M515" i="3"/>
  <c r="M516" i="3"/>
  <c r="M517" i="3"/>
  <c r="M518" i="3"/>
  <c r="M519" i="3"/>
  <c r="M520" i="3"/>
  <c r="M521" i="3"/>
  <c r="M522" i="3"/>
  <c r="M523" i="3"/>
  <c r="M524" i="3"/>
  <c r="M525" i="3"/>
  <c r="M526" i="3"/>
  <c r="M527" i="3"/>
  <c r="M528" i="3"/>
  <c r="M529" i="3"/>
  <c r="M530" i="3"/>
  <c r="M531" i="3"/>
  <c r="M532" i="3"/>
  <c r="M533" i="3"/>
  <c r="M534" i="3"/>
  <c r="M535" i="3"/>
  <c r="M536" i="3"/>
  <c r="M537" i="3"/>
  <c r="M538" i="3"/>
  <c r="M539" i="3"/>
  <c r="M540" i="3"/>
  <c r="M541" i="3"/>
  <c r="M542" i="3"/>
  <c r="M543" i="3"/>
  <c r="M544" i="3"/>
  <c r="M545" i="3"/>
  <c r="M546" i="3"/>
  <c r="M547" i="3"/>
  <c r="M548" i="3"/>
  <c r="M549" i="3"/>
  <c r="M550" i="3"/>
  <c r="M551" i="3"/>
  <c r="M552" i="3"/>
  <c r="M553" i="3"/>
  <c r="M554" i="3"/>
  <c r="M555" i="3"/>
  <c r="M556" i="3"/>
  <c r="M557" i="3"/>
  <c r="M558" i="3"/>
  <c r="M559" i="3"/>
  <c r="M560" i="3"/>
  <c r="M561" i="3"/>
  <c r="M562" i="3"/>
  <c r="M563" i="3"/>
  <c r="M564" i="3"/>
  <c r="M565" i="3"/>
  <c r="M566" i="3"/>
  <c r="M567" i="3"/>
  <c r="M568" i="3"/>
  <c r="M569" i="3"/>
  <c r="M570" i="3"/>
  <c r="M571" i="3"/>
  <c r="M572" i="3"/>
  <c r="M573" i="3"/>
  <c r="M574" i="3"/>
  <c r="M575" i="3"/>
  <c r="M576" i="3"/>
  <c r="M577" i="3"/>
  <c r="M578" i="3"/>
  <c r="M579" i="3"/>
  <c r="M580" i="3"/>
  <c r="M581" i="3"/>
  <c r="M582" i="3"/>
  <c r="M583" i="3"/>
  <c r="M584" i="3"/>
  <c r="M585" i="3"/>
  <c r="M586" i="3"/>
  <c r="M587" i="3"/>
  <c r="M588" i="3"/>
  <c r="M589" i="3"/>
  <c r="M590" i="3"/>
  <c r="M591" i="3"/>
  <c r="M592" i="3"/>
  <c r="M593" i="3"/>
  <c r="M594" i="3"/>
  <c r="M595" i="3"/>
  <c r="M596" i="3"/>
  <c r="M597" i="3"/>
  <c r="M598" i="3"/>
  <c r="M599" i="3"/>
  <c r="M600" i="3"/>
  <c r="M601" i="3"/>
  <c r="M602" i="3"/>
  <c r="M603" i="3"/>
  <c r="M604" i="3"/>
  <c r="M605" i="3"/>
  <c r="M606" i="3"/>
  <c r="M607" i="3"/>
  <c r="M608" i="3"/>
  <c r="M609" i="3"/>
  <c r="M610" i="3"/>
  <c r="M611" i="3"/>
  <c r="M612" i="3"/>
  <c r="M613" i="3"/>
  <c r="M614" i="3"/>
  <c r="M615" i="3"/>
  <c r="M616" i="3"/>
  <c r="M617" i="3"/>
  <c r="M618" i="3"/>
  <c r="M619" i="3"/>
  <c r="M620" i="3"/>
  <c r="M621" i="3"/>
  <c r="M622" i="3"/>
  <c r="M623" i="3"/>
  <c r="M624" i="3"/>
  <c r="M625" i="3"/>
  <c r="M626" i="3"/>
  <c r="M627" i="3"/>
  <c r="M628" i="3"/>
  <c r="M629" i="3"/>
  <c r="M630" i="3"/>
  <c r="M631" i="3"/>
  <c r="M632" i="3"/>
  <c r="M633" i="3"/>
  <c r="M634" i="3"/>
  <c r="M635" i="3"/>
  <c r="M636" i="3"/>
  <c r="M637" i="3"/>
  <c r="M638" i="3"/>
  <c r="M639" i="3"/>
  <c r="M640" i="3"/>
  <c r="M641" i="3"/>
  <c r="M642" i="3"/>
  <c r="M643" i="3"/>
  <c r="M644" i="3"/>
  <c r="M645" i="3"/>
  <c r="M646" i="3"/>
  <c r="M647" i="3"/>
  <c r="M648" i="3"/>
  <c r="M649" i="3"/>
  <c r="M650" i="3"/>
  <c r="M651" i="3"/>
  <c r="M652" i="3"/>
  <c r="M653" i="3"/>
  <c r="M654" i="3"/>
  <c r="M655" i="3"/>
  <c r="M656" i="3"/>
  <c r="M657" i="3"/>
  <c r="M658" i="3"/>
  <c r="M659" i="3"/>
  <c r="M660" i="3"/>
  <c r="M661" i="3"/>
  <c r="M662" i="3"/>
  <c r="M663" i="3"/>
  <c r="M664" i="3"/>
  <c r="M665" i="3"/>
  <c r="M666" i="3"/>
  <c r="M667" i="3"/>
  <c r="M668" i="3"/>
  <c r="M669" i="3"/>
  <c r="M670" i="3"/>
  <c r="M671" i="3"/>
  <c r="M672" i="3"/>
  <c r="M673" i="3"/>
  <c r="M674" i="3"/>
  <c r="M675" i="3"/>
  <c r="M676" i="3"/>
  <c r="M677" i="3"/>
  <c r="M678" i="3"/>
  <c r="M679" i="3"/>
  <c r="M680" i="3"/>
  <c r="M681" i="3"/>
  <c r="M682" i="3"/>
  <c r="M683" i="3"/>
  <c r="M684" i="3"/>
  <c r="M685" i="3"/>
  <c r="M686" i="3"/>
  <c r="M687" i="3"/>
  <c r="M688" i="3"/>
  <c r="M689" i="3"/>
  <c r="M690" i="3"/>
  <c r="M691" i="3"/>
  <c r="M692" i="3"/>
  <c r="M693" i="3"/>
  <c r="M694" i="3"/>
  <c r="M695" i="3"/>
  <c r="M696" i="3"/>
  <c r="M697" i="3"/>
  <c r="M698" i="3"/>
  <c r="M699" i="3"/>
  <c r="M700" i="3"/>
  <c r="M701" i="3"/>
  <c r="M702" i="3"/>
  <c r="M703" i="3"/>
  <c r="M704" i="3"/>
  <c r="M705" i="3"/>
  <c r="M706" i="3"/>
  <c r="M707" i="3"/>
  <c r="M708" i="3"/>
  <c r="M709" i="3"/>
  <c r="M710" i="3"/>
  <c r="M711" i="3"/>
  <c r="M712" i="3"/>
  <c r="M713" i="3"/>
  <c r="M714" i="3"/>
  <c r="M715" i="3"/>
  <c r="M716" i="3"/>
  <c r="M717" i="3"/>
  <c r="M718" i="3"/>
  <c r="M719" i="3"/>
  <c r="M720" i="3"/>
  <c r="M721" i="3"/>
  <c r="M722" i="3"/>
  <c r="M723" i="3"/>
  <c r="M724" i="3"/>
  <c r="M725" i="3"/>
  <c r="M726" i="3"/>
  <c r="M727" i="3"/>
  <c r="M728" i="3"/>
  <c r="M729" i="3"/>
  <c r="M730" i="3"/>
  <c r="M731" i="3"/>
  <c r="M732" i="3"/>
  <c r="M733" i="3"/>
  <c r="M734" i="3"/>
  <c r="M735" i="3"/>
  <c r="M736" i="3"/>
  <c r="M737" i="3"/>
  <c r="M738" i="3"/>
  <c r="M739" i="3"/>
  <c r="M740" i="3"/>
  <c r="M741" i="3"/>
  <c r="M742" i="3"/>
  <c r="M743" i="3"/>
  <c r="M744" i="3"/>
  <c r="M745" i="3"/>
  <c r="M746" i="3"/>
  <c r="M747" i="3"/>
  <c r="M748" i="3"/>
  <c r="M749" i="3"/>
  <c r="M750" i="3"/>
  <c r="M751" i="3"/>
  <c r="M752" i="3"/>
  <c r="M753" i="3"/>
  <c r="M754" i="3"/>
  <c r="M755" i="3"/>
  <c r="M756" i="3"/>
  <c r="M757" i="3"/>
  <c r="M758" i="3"/>
  <c r="M759" i="3"/>
  <c r="M760" i="3"/>
  <c r="M761" i="3"/>
  <c r="M762" i="3"/>
  <c r="M763" i="3"/>
  <c r="M764" i="3"/>
  <c r="M765" i="3"/>
  <c r="M766" i="3"/>
  <c r="M767" i="3"/>
  <c r="M768" i="3"/>
  <c r="M769" i="3"/>
  <c r="M770" i="3"/>
  <c r="M771" i="3"/>
  <c r="M772" i="3"/>
  <c r="M773" i="3"/>
  <c r="M774" i="3"/>
  <c r="M775" i="3"/>
  <c r="M776" i="3"/>
  <c r="M777" i="3"/>
  <c r="M778" i="3"/>
  <c r="M779" i="3"/>
  <c r="M780" i="3"/>
  <c r="M781" i="3"/>
  <c r="M782" i="3"/>
  <c r="M783" i="3"/>
  <c r="M784" i="3"/>
  <c r="M785" i="3"/>
  <c r="M786" i="3"/>
  <c r="M787" i="3"/>
  <c r="M788" i="3"/>
  <c r="M789" i="3"/>
  <c r="M790" i="3"/>
  <c r="M791" i="3"/>
  <c r="M792" i="3"/>
  <c r="M793" i="3"/>
  <c r="M794" i="3"/>
  <c r="M795" i="3"/>
  <c r="M796" i="3"/>
  <c r="M797" i="3"/>
  <c r="M798" i="3"/>
  <c r="M799" i="3"/>
  <c r="M800" i="3"/>
  <c r="M801" i="3"/>
  <c r="M802" i="3"/>
  <c r="M803" i="3"/>
  <c r="M804" i="3"/>
  <c r="M805" i="3"/>
  <c r="M806" i="3"/>
  <c r="M807" i="3"/>
  <c r="M808" i="3"/>
  <c r="M809" i="3"/>
  <c r="M810" i="3"/>
  <c r="M811" i="3"/>
  <c r="M812" i="3"/>
  <c r="M813" i="3"/>
  <c r="M814" i="3"/>
  <c r="M815" i="3"/>
  <c r="M816" i="3"/>
  <c r="M817" i="3"/>
  <c r="M818" i="3"/>
  <c r="M819" i="3"/>
  <c r="M820" i="3"/>
  <c r="M821" i="3"/>
  <c r="M822" i="3"/>
  <c r="M823" i="3"/>
  <c r="M824" i="3"/>
  <c r="M825" i="3"/>
  <c r="M826" i="3"/>
  <c r="M827" i="3"/>
  <c r="M828" i="3"/>
  <c r="M829" i="3"/>
  <c r="M830" i="3"/>
  <c r="M831" i="3"/>
  <c r="M832" i="3"/>
  <c r="M833" i="3"/>
  <c r="M834" i="3"/>
  <c r="M835" i="3"/>
  <c r="M836" i="3"/>
  <c r="M837" i="3"/>
  <c r="M838" i="3"/>
  <c r="M839" i="3"/>
  <c r="M840" i="3"/>
  <c r="M841" i="3"/>
  <c r="M842" i="3"/>
  <c r="M843" i="3"/>
  <c r="M844" i="3"/>
  <c r="M845" i="3"/>
  <c r="M846" i="3"/>
  <c r="M847" i="3"/>
  <c r="M848" i="3"/>
  <c r="M849" i="3"/>
  <c r="M850" i="3"/>
  <c r="M851" i="3"/>
  <c r="M852" i="3"/>
  <c r="M853" i="3"/>
  <c r="M854" i="3"/>
  <c r="M855" i="3"/>
  <c r="M856" i="3"/>
  <c r="M857" i="3"/>
  <c r="M858" i="3"/>
  <c r="M859" i="3"/>
  <c r="M860" i="3"/>
  <c r="M861" i="3"/>
  <c r="M862" i="3"/>
  <c r="M863" i="3"/>
  <c r="M864" i="3"/>
  <c r="M865" i="3"/>
  <c r="M866" i="3"/>
  <c r="M867" i="3"/>
  <c r="M868" i="3"/>
  <c r="M869" i="3"/>
  <c r="M870" i="3"/>
  <c r="M871" i="3"/>
  <c r="M872" i="3"/>
  <c r="M873" i="3"/>
  <c r="M874" i="3"/>
  <c r="M875" i="3"/>
  <c r="M876" i="3"/>
  <c r="M877" i="3"/>
  <c r="M878" i="3"/>
  <c r="M879" i="3"/>
  <c r="M880" i="3"/>
  <c r="M881" i="3"/>
  <c r="M882" i="3"/>
  <c r="M883" i="3"/>
  <c r="M884" i="3"/>
  <c r="M885" i="3"/>
  <c r="M886" i="3"/>
  <c r="M887" i="3"/>
  <c r="M888" i="3"/>
  <c r="M889" i="3"/>
  <c r="M890" i="3"/>
  <c r="M891" i="3"/>
  <c r="M892" i="3"/>
  <c r="M893" i="3"/>
  <c r="M894" i="3"/>
  <c r="M895" i="3"/>
  <c r="M896" i="3"/>
  <c r="M897" i="3"/>
  <c r="M898" i="3"/>
  <c r="M899" i="3"/>
  <c r="M900" i="3"/>
  <c r="M901" i="3"/>
  <c r="M902" i="3"/>
  <c r="M903" i="3"/>
  <c r="M904" i="3"/>
  <c r="M905" i="3"/>
  <c r="M906" i="3"/>
  <c r="M907" i="3"/>
  <c r="M908" i="3"/>
  <c r="M909" i="3"/>
  <c r="M910" i="3"/>
  <c r="M911" i="3"/>
  <c r="M912" i="3"/>
  <c r="M913" i="3"/>
  <c r="M914" i="3"/>
  <c r="M915" i="3"/>
  <c r="M916" i="3"/>
  <c r="M917" i="3"/>
  <c r="M918" i="3"/>
  <c r="M919" i="3"/>
  <c r="M920" i="3"/>
  <c r="M921" i="3"/>
  <c r="M922" i="3"/>
  <c r="M923" i="3"/>
  <c r="M924" i="3"/>
  <c r="M925" i="3"/>
  <c r="M926" i="3"/>
  <c r="M927" i="3"/>
  <c r="M928" i="3"/>
  <c r="M929" i="3"/>
  <c r="M930" i="3"/>
  <c r="M931" i="3"/>
  <c r="M932" i="3"/>
  <c r="M933" i="3"/>
  <c r="M934" i="3"/>
  <c r="M935" i="3"/>
  <c r="M936" i="3"/>
  <c r="M937" i="3"/>
  <c r="M938" i="3"/>
  <c r="M939" i="3"/>
  <c r="M940" i="3"/>
  <c r="M941" i="3"/>
  <c r="M942" i="3"/>
  <c r="M943" i="3"/>
  <c r="M944" i="3"/>
  <c r="M945" i="3"/>
  <c r="M946" i="3"/>
  <c r="M947" i="3"/>
  <c r="M948" i="3"/>
  <c r="M949" i="3"/>
  <c r="M950" i="3"/>
  <c r="M951" i="3"/>
  <c r="M952" i="3"/>
  <c r="M953" i="3"/>
  <c r="M954" i="3"/>
  <c r="M955" i="3"/>
  <c r="M956" i="3"/>
  <c r="M957" i="3"/>
  <c r="M958" i="3"/>
  <c r="M959" i="3"/>
  <c r="M960" i="3"/>
  <c r="M961" i="3"/>
  <c r="M962" i="3"/>
  <c r="M963" i="3"/>
  <c r="M964" i="3"/>
  <c r="M965" i="3"/>
  <c r="M966" i="3"/>
  <c r="M967" i="3"/>
  <c r="M968" i="3"/>
  <c r="M969" i="3"/>
  <c r="M970" i="3"/>
  <c r="M971" i="3"/>
  <c r="M972" i="3"/>
  <c r="M973" i="3"/>
  <c r="M974" i="3"/>
  <c r="M975" i="3"/>
  <c r="M976" i="3"/>
  <c r="M977" i="3"/>
  <c r="M978" i="3"/>
  <c r="M979" i="3"/>
  <c r="M980" i="3"/>
  <c r="M981" i="3"/>
  <c r="M982" i="3"/>
  <c r="M983" i="3"/>
  <c r="M984" i="3"/>
  <c r="M985" i="3"/>
  <c r="M986" i="3"/>
  <c r="M987" i="3"/>
  <c r="M988" i="3"/>
  <c r="M989" i="3"/>
  <c r="M990" i="3"/>
  <c r="M991" i="3"/>
  <c r="M992" i="3"/>
  <c r="M993" i="3"/>
  <c r="M994" i="3"/>
  <c r="M995" i="3"/>
  <c r="M996" i="3"/>
  <c r="M997" i="3"/>
  <c r="M998" i="3"/>
  <c r="M999" i="3"/>
  <c r="M1000" i="3"/>
  <c r="M1001" i="3"/>
  <c r="M1002" i="3"/>
  <c r="M1003" i="3"/>
  <c r="M1004" i="3"/>
  <c r="M1005" i="3"/>
  <c r="M1006" i="3"/>
  <c r="M1007" i="3"/>
  <c r="M1008" i="3"/>
  <c r="M1009" i="3"/>
  <c r="M1010" i="3"/>
  <c r="M1011" i="3"/>
  <c r="M1012" i="3"/>
  <c r="M1013" i="3"/>
  <c r="M1014" i="3"/>
  <c r="M1015" i="3"/>
  <c r="M1016" i="3"/>
  <c r="M1017" i="3"/>
  <c r="M1018" i="3"/>
  <c r="M1019" i="3"/>
  <c r="M1020" i="3"/>
  <c r="M1021" i="3"/>
  <c r="M1022" i="3"/>
  <c r="M1023" i="3"/>
  <c r="M1024" i="3"/>
  <c r="M1025" i="3"/>
  <c r="M1026" i="3"/>
  <c r="M1027" i="3"/>
  <c r="M1028" i="3"/>
  <c r="M1029" i="3"/>
  <c r="M1030" i="3"/>
  <c r="M1031" i="3"/>
  <c r="M1032" i="3"/>
  <c r="M1033" i="3"/>
  <c r="M1034" i="3"/>
  <c r="M1035" i="3"/>
  <c r="M1036" i="3"/>
  <c r="M1037" i="3"/>
  <c r="M1038" i="3"/>
  <c r="M1039" i="3"/>
  <c r="M1040" i="3"/>
  <c r="M1041" i="3"/>
  <c r="M1042" i="3"/>
  <c r="M1043" i="3"/>
  <c r="M1044" i="3"/>
  <c r="M1045" i="3"/>
  <c r="M1046" i="3"/>
  <c r="M1047" i="3"/>
  <c r="M1048" i="3"/>
  <c r="M1049" i="3"/>
  <c r="M1050" i="3"/>
  <c r="M1051" i="3"/>
  <c r="M1052" i="3"/>
  <c r="M1053" i="3"/>
  <c r="M1054" i="3"/>
  <c r="M1055" i="3"/>
  <c r="M1056" i="3"/>
  <c r="M1057" i="3"/>
  <c r="M1058" i="3"/>
  <c r="M1059" i="3"/>
  <c r="M1060" i="3"/>
  <c r="M1061" i="3"/>
  <c r="M1062" i="3"/>
  <c r="M1063" i="3"/>
  <c r="M1064" i="3"/>
  <c r="M1065" i="3"/>
  <c r="M1066" i="3"/>
  <c r="M1067" i="3"/>
  <c r="M1068" i="3"/>
  <c r="M1069" i="3"/>
  <c r="M1070" i="3"/>
  <c r="M1071" i="3"/>
  <c r="M1072" i="3"/>
  <c r="M1073" i="3"/>
  <c r="M1074" i="3"/>
  <c r="M1075" i="3"/>
  <c r="M1076" i="3"/>
  <c r="M1077" i="3"/>
  <c r="M1078" i="3"/>
  <c r="M1079" i="3"/>
  <c r="M1080" i="3"/>
  <c r="M1081" i="3"/>
  <c r="M1082" i="3"/>
  <c r="M1083" i="3"/>
  <c r="M1084" i="3"/>
  <c r="M1085" i="3"/>
  <c r="M1086" i="3"/>
  <c r="M1087" i="3"/>
  <c r="M1088" i="3"/>
  <c r="M1089" i="3"/>
  <c r="M1090" i="3"/>
  <c r="M1091" i="3"/>
  <c r="M1092" i="3"/>
  <c r="M1093" i="3"/>
  <c r="M1094" i="3"/>
  <c r="M1095" i="3"/>
  <c r="M1096" i="3"/>
  <c r="M1097" i="3"/>
  <c r="M1098" i="3"/>
  <c r="M1099" i="3"/>
  <c r="M1100" i="3"/>
  <c r="M1101" i="3"/>
  <c r="M1102" i="3"/>
  <c r="M1103" i="3"/>
  <c r="M1104" i="3"/>
  <c r="M1105" i="3"/>
  <c r="M1106" i="3"/>
  <c r="M1107" i="3"/>
  <c r="M1108" i="3"/>
  <c r="M1109" i="3"/>
  <c r="M1110" i="3"/>
  <c r="M1111" i="3"/>
  <c r="M1112" i="3"/>
  <c r="M1113" i="3"/>
  <c r="M1114" i="3"/>
  <c r="M1115" i="3"/>
  <c r="M1116" i="3"/>
  <c r="M1117" i="3"/>
  <c r="M1118" i="3"/>
  <c r="M1119" i="3"/>
  <c r="M1120" i="3"/>
  <c r="M1121" i="3"/>
  <c r="M1122" i="3"/>
  <c r="M1123" i="3"/>
  <c r="M1124" i="3"/>
  <c r="M1125" i="3"/>
  <c r="M1126" i="3"/>
  <c r="M1127" i="3"/>
  <c r="M1128" i="3"/>
  <c r="M1129" i="3"/>
  <c r="M1130" i="3"/>
  <c r="M1131" i="3"/>
  <c r="M1132" i="3"/>
  <c r="M1133" i="3"/>
  <c r="M1134" i="3"/>
  <c r="M1135" i="3"/>
  <c r="M1136" i="3"/>
  <c r="M1137" i="3"/>
  <c r="M1138" i="3"/>
  <c r="M1139" i="3"/>
  <c r="M1140" i="3"/>
  <c r="M1141" i="3"/>
  <c r="M1142" i="3"/>
  <c r="M1143" i="3"/>
  <c r="M1144" i="3"/>
  <c r="M1145" i="3"/>
  <c r="M1146" i="3"/>
  <c r="M1147" i="3"/>
  <c r="M1148" i="3"/>
  <c r="M1149" i="3"/>
  <c r="M1150" i="3"/>
  <c r="M1151" i="3"/>
  <c r="M1152" i="3"/>
  <c r="M1153" i="3"/>
  <c r="M1154" i="3"/>
  <c r="M1155" i="3"/>
  <c r="M1156" i="3"/>
  <c r="M1157" i="3"/>
  <c r="M1158" i="3"/>
  <c r="M1159" i="3"/>
  <c r="M1160" i="3"/>
  <c r="M1161" i="3"/>
  <c r="M1162" i="3"/>
  <c r="M1163" i="3"/>
  <c r="M1164" i="3"/>
  <c r="M1165" i="3"/>
  <c r="M1166" i="3"/>
  <c r="M1167" i="3"/>
  <c r="M1168" i="3"/>
  <c r="M1169" i="3"/>
  <c r="M1170" i="3"/>
  <c r="M1171" i="3"/>
  <c r="M1172" i="3"/>
  <c r="M1173" i="3"/>
  <c r="M1174" i="3"/>
  <c r="M1175" i="3"/>
  <c r="M1176" i="3"/>
  <c r="M1177" i="3"/>
  <c r="M1178" i="3"/>
  <c r="M1179" i="3"/>
  <c r="M1180" i="3"/>
  <c r="M1181" i="3"/>
  <c r="M1182" i="3"/>
  <c r="M1183" i="3"/>
  <c r="M1184" i="3"/>
  <c r="M1185" i="3"/>
  <c r="M1186" i="3"/>
  <c r="M1187" i="3"/>
  <c r="M1188" i="3"/>
  <c r="M1189" i="3"/>
  <c r="M1190" i="3"/>
  <c r="M1191" i="3"/>
  <c r="M1192" i="3"/>
  <c r="M1193" i="3"/>
  <c r="M1194" i="3"/>
  <c r="M1195" i="3"/>
  <c r="M1196" i="3"/>
  <c r="M1197" i="3"/>
  <c r="M1198" i="3"/>
  <c r="M1199" i="3"/>
  <c r="M1200" i="3"/>
  <c r="M1201" i="3"/>
  <c r="M1202" i="3"/>
  <c r="M1203" i="3"/>
  <c r="M1204" i="3"/>
  <c r="M1205" i="3"/>
  <c r="M1206" i="3"/>
  <c r="M1207" i="3"/>
  <c r="M1208" i="3"/>
  <c r="M1209" i="3"/>
  <c r="M1210" i="3"/>
  <c r="M1211" i="3"/>
  <c r="M1212" i="3"/>
  <c r="M1213" i="3"/>
  <c r="M1214" i="3"/>
  <c r="M1215" i="3"/>
  <c r="M1216" i="3"/>
  <c r="M1217" i="3"/>
  <c r="M1218" i="3"/>
  <c r="M1219" i="3"/>
  <c r="M1220" i="3"/>
  <c r="M1221" i="3"/>
  <c r="M1222" i="3"/>
  <c r="M1223" i="3"/>
  <c r="M1224" i="3"/>
  <c r="M1225" i="3"/>
  <c r="M1226" i="3"/>
  <c r="M1227" i="3"/>
  <c r="M1228" i="3"/>
  <c r="M1229" i="3"/>
  <c r="M1230" i="3"/>
  <c r="M1231" i="3"/>
  <c r="M1232" i="3"/>
  <c r="M1233" i="3"/>
  <c r="M1234" i="3"/>
  <c r="M1235" i="3"/>
  <c r="M1236" i="3"/>
  <c r="M1237" i="3"/>
  <c r="M1238" i="3"/>
  <c r="M1239" i="3"/>
  <c r="M1240" i="3"/>
  <c r="M1241" i="3"/>
  <c r="M1242" i="3"/>
  <c r="M1243" i="3"/>
  <c r="M1244" i="3"/>
  <c r="M1245" i="3"/>
  <c r="M1246" i="3"/>
  <c r="M1247" i="3"/>
  <c r="M1248" i="3"/>
  <c r="M1249" i="3"/>
  <c r="M1250" i="3"/>
  <c r="M1251" i="3"/>
  <c r="M1252" i="3"/>
  <c r="M1253" i="3"/>
  <c r="M1254" i="3"/>
  <c r="M1255" i="3"/>
  <c r="M1256" i="3"/>
  <c r="M1257" i="3"/>
  <c r="M1258" i="3"/>
  <c r="M1259" i="3"/>
  <c r="M1260" i="3"/>
  <c r="M1261" i="3"/>
  <c r="M1262" i="3"/>
  <c r="M1263" i="3"/>
  <c r="M1264" i="3"/>
  <c r="M1265" i="3"/>
  <c r="M1266" i="3"/>
  <c r="M1267" i="3"/>
  <c r="M1268" i="3"/>
  <c r="M1269" i="3"/>
  <c r="M1270" i="3"/>
  <c r="M1271" i="3"/>
  <c r="M1272" i="3"/>
  <c r="M1273" i="3"/>
  <c r="M1274" i="3"/>
  <c r="M1275" i="3"/>
  <c r="M1276" i="3"/>
  <c r="M1277" i="3"/>
  <c r="M1278" i="3"/>
  <c r="M1279" i="3"/>
  <c r="M1280" i="3"/>
  <c r="M1281" i="3"/>
  <c r="M1282" i="3"/>
  <c r="M1283" i="3"/>
  <c r="M1284" i="3"/>
  <c r="M1285" i="3"/>
  <c r="M1286" i="3"/>
  <c r="M1287" i="3"/>
  <c r="M1288" i="3"/>
  <c r="M1289" i="3"/>
  <c r="M1290" i="3"/>
  <c r="M1291" i="3"/>
  <c r="M1292" i="3"/>
  <c r="M1293" i="3"/>
  <c r="M1294" i="3"/>
  <c r="M1295" i="3"/>
  <c r="M1296" i="3"/>
  <c r="M1297" i="3"/>
  <c r="M1298" i="3"/>
  <c r="M1299" i="3"/>
  <c r="M1300" i="3"/>
  <c r="M1301" i="3"/>
  <c r="M1302" i="3"/>
  <c r="M1303" i="3"/>
  <c r="M1304" i="3"/>
  <c r="M1305" i="3"/>
  <c r="M1306" i="3"/>
  <c r="M1307" i="3"/>
  <c r="M1308" i="3"/>
  <c r="M1309" i="3"/>
  <c r="M1310" i="3"/>
  <c r="M1311" i="3"/>
  <c r="M1312" i="3"/>
  <c r="M1313" i="3"/>
  <c r="M1314" i="3"/>
  <c r="M1315" i="3"/>
  <c r="M1316" i="3"/>
  <c r="M1317" i="3"/>
  <c r="M1318" i="3"/>
  <c r="M1319" i="3"/>
  <c r="M1320" i="3"/>
  <c r="M1321" i="3"/>
  <c r="M1322" i="3"/>
  <c r="M1323" i="3"/>
  <c r="M1324" i="3"/>
  <c r="M1325" i="3"/>
  <c r="M1326" i="3"/>
  <c r="M1327" i="3"/>
  <c r="M1328" i="3"/>
  <c r="M1329" i="3"/>
  <c r="M1330" i="3"/>
  <c r="M1331" i="3"/>
  <c r="M1332" i="3"/>
  <c r="M1333" i="3"/>
  <c r="M1334" i="3"/>
  <c r="M1335" i="3"/>
  <c r="M1336" i="3"/>
  <c r="M1337" i="3"/>
  <c r="M1338" i="3"/>
  <c r="M1339" i="3"/>
  <c r="M1340" i="3"/>
  <c r="M1341" i="3"/>
  <c r="M1342" i="3"/>
  <c r="M1343" i="3"/>
  <c r="M1344" i="3"/>
  <c r="M1345" i="3"/>
  <c r="M1346" i="3"/>
  <c r="M1347" i="3"/>
  <c r="M1348" i="3"/>
  <c r="M1349" i="3"/>
  <c r="M1350" i="3"/>
  <c r="M1351" i="3"/>
  <c r="M1352" i="3"/>
  <c r="M1353" i="3"/>
  <c r="M1354" i="3"/>
  <c r="M1355" i="3"/>
  <c r="M1356" i="3"/>
  <c r="M1357" i="3"/>
  <c r="M1358" i="3"/>
  <c r="M1359" i="3"/>
  <c r="M1360" i="3"/>
  <c r="M1361" i="3"/>
  <c r="M1362" i="3"/>
  <c r="M1363" i="3"/>
  <c r="M1364" i="3"/>
  <c r="M1365" i="3"/>
  <c r="M1366" i="3"/>
  <c r="M1367" i="3"/>
  <c r="M1368" i="3"/>
  <c r="M1369" i="3"/>
  <c r="M1370" i="3"/>
  <c r="M1371" i="3"/>
  <c r="M1372" i="3"/>
  <c r="M1373" i="3"/>
  <c r="M1374" i="3"/>
  <c r="M1375" i="3"/>
  <c r="M1376" i="3"/>
  <c r="M1377" i="3"/>
  <c r="M1378" i="3"/>
  <c r="M1379" i="3"/>
  <c r="M1380" i="3"/>
  <c r="M1381" i="3"/>
  <c r="M1382" i="3"/>
  <c r="M1383" i="3"/>
  <c r="M1384" i="3"/>
  <c r="M1385" i="3"/>
  <c r="M1386" i="3"/>
  <c r="M1387" i="3"/>
  <c r="M1388" i="3"/>
  <c r="M1389" i="3"/>
  <c r="M1390" i="3"/>
  <c r="M1391" i="3"/>
  <c r="M1392" i="3"/>
  <c r="M1393" i="3"/>
  <c r="M1394" i="3"/>
  <c r="M1395" i="3"/>
  <c r="M1396" i="3"/>
  <c r="M1397" i="3"/>
  <c r="M1398" i="3"/>
  <c r="M1399" i="3"/>
  <c r="M1400" i="3"/>
  <c r="M1401" i="3"/>
  <c r="M1402" i="3"/>
  <c r="M1403" i="3"/>
  <c r="M1404" i="3"/>
  <c r="M1405" i="3"/>
  <c r="M1406" i="3"/>
  <c r="M1407" i="3"/>
  <c r="M1408" i="3"/>
  <c r="M1409" i="3"/>
  <c r="M1410" i="3"/>
  <c r="M1411" i="3"/>
  <c r="M1412" i="3"/>
  <c r="M1413" i="3"/>
  <c r="M1414" i="3"/>
  <c r="M1415" i="3"/>
  <c r="M1416" i="3"/>
  <c r="M1417" i="3"/>
  <c r="M1418" i="3"/>
  <c r="M1419" i="3"/>
  <c r="M1420" i="3"/>
  <c r="M1421" i="3"/>
  <c r="M1422" i="3"/>
  <c r="M1423" i="3"/>
  <c r="M1424" i="3"/>
  <c r="M1425" i="3"/>
  <c r="M1426" i="3"/>
  <c r="M1427" i="3"/>
  <c r="M1428" i="3"/>
  <c r="M1429" i="3"/>
  <c r="M1430" i="3"/>
  <c r="M1431" i="3"/>
  <c r="M1432" i="3"/>
  <c r="M1433" i="3"/>
  <c r="M1434" i="3"/>
  <c r="M1435" i="3"/>
  <c r="M1436" i="3"/>
  <c r="M1437" i="3"/>
  <c r="M1438" i="3"/>
  <c r="M1439" i="3"/>
  <c r="M1440" i="3"/>
  <c r="M1441" i="3"/>
  <c r="M1442" i="3"/>
  <c r="M1443" i="3"/>
  <c r="M1444" i="3"/>
  <c r="M1445" i="3"/>
  <c r="M1446" i="3"/>
  <c r="M1447" i="3"/>
  <c r="M1448" i="3"/>
  <c r="M1449" i="3"/>
  <c r="M1450" i="3"/>
  <c r="M1451" i="3"/>
  <c r="M1452" i="3"/>
  <c r="M1453" i="3"/>
  <c r="M1454" i="3"/>
  <c r="M1455" i="3"/>
  <c r="M1456" i="3"/>
  <c r="M1457" i="3"/>
  <c r="M1458" i="3"/>
  <c r="M1459" i="3"/>
  <c r="M1460" i="3"/>
  <c r="M1461" i="3"/>
  <c r="M1462" i="3"/>
  <c r="M1463" i="3"/>
  <c r="M1464" i="3"/>
  <c r="M1465" i="3"/>
  <c r="M1466" i="3"/>
  <c r="M1467" i="3"/>
  <c r="M1468" i="3"/>
  <c r="M1469" i="3"/>
  <c r="M1470" i="3"/>
  <c r="M1471" i="3"/>
  <c r="M1472" i="3"/>
  <c r="M1473" i="3"/>
  <c r="M1474" i="3"/>
  <c r="M1475" i="3"/>
  <c r="M1476" i="3"/>
  <c r="M1477" i="3"/>
  <c r="M1478" i="3"/>
  <c r="M1479" i="3"/>
  <c r="M1480" i="3"/>
  <c r="M1481" i="3"/>
  <c r="M1482" i="3"/>
  <c r="M1483" i="3"/>
  <c r="M1484" i="3"/>
  <c r="M1485" i="3"/>
  <c r="M1486" i="3"/>
  <c r="M1487" i="3"/>
  <c r="M1488" i="3"/>
  <c r="M1489" i="3"/>
  <c r="M1490" i="3"/>
  <c r="M1491" i="3"/>
  <c r="M1492" i="3"/>
  <c r="M1493" i="3"/>
  <c r="M1494" i="3"/>
  <c r="M1495" i="3"/>
  <c r="M1496" i="3"/>
  <c r="M1497" i="3"/>
  <c r="M1498" i="3"/>
  <c r="M1499" i="3"/>
  <c r="M1500" i="3"/>
  <c r="M1501" i="3"/>
  <c r="M1502" i="3"/>
  <c r="M1503" i="3"/>
  <c r="M1504" i="3"/>
  <c r="M1505" i="3"/>
  <c r="M1506" i="3"/>
  <c r="M1507" i="3"/>
  <c r="M1508" i="3"/>
  <c r="M1509" i="3"/>
  <c r="M1510" i="3"/>
  <c r="M1511" i="3"/>
  <c r="M1512" i="3"/>
  <c r="M1513" i="3"/>
  <c r="M1514" i="3"/>
  <c r="M1515" i="3"/>
  <c r="M1516" i="3"/>
  <c r="M1517" i="3"/>
  <c r="M1518" i="3"/>
  <c r="M1519" i="3"/>
  <c r="M1520" i="3"/>
  <c r="M1521" i="3"/>
  <c r="M1522" i="3"/>
  <c r="M1523" i="3"/>
  <c r="M1524" i="3"/>
  <c r="M1525" i="3"/>
  <c r="M1526" i="3"/>
  <c r="M1527" i="3"/>
  <c r="M1528" i="3"/>
  <c r="M1529" i="3"/>
  <c r="M1530" i="3"/>
  <c r="M1531" i="3"/>
  <c r="M1532" i="3"/>
  <c r="M1533" i="3"/>
  <c r="M1534" i="3"/>
  <c r="M1535" i="3"/>
  <c r="M1536" i="3"/>
  <c r="M1537" i="3"/>
  <c r="M1538" i="3"/>
  <c r="M1539" i="3"/>
  <c r="M1540" i="3"/>
  <c r="M1541" i="3"/>
  <c r="M1542" i="3"/>
  <c r="M1543" i="3"/>
  <c r="M1544" i="3"/>
  <c r="M1545" i="3"/>
  <c r="M1546" i="3"/>
  <c r="M1547" i="3"/>
  <c r="M1548" i="3"/>
  <c r="M1549" i="3"/>
  <c r="M1550" i="3"/>
  <c r="M1551" i="3"/>
  <c r="M1552" i="3"/>
  <c r="M1553" i="3"/>
  <c r="M1554" i="3"/>
  <c r="M1555" i="3"/>
  <c r="M1556" i="3"/>
  <c r="M1557" i="3"/>
  <c r="M1558" i="3"/>
  <c r="M1559" i="3"/>
  <c r="M1560" i="3"/>
  <c r="M1561" i="3"/>
  <c r="M1562" i="3"/>
  <c r="M1563" i="3"/>
  <c r="M1564" i="3"/>
  <c r="M1565" i="3"/>
  <c r="M1566" i="3"/>
  <c r="M1567" i="3"/>
  <c r="M1568" i="3"/>
  <c r="M1569" i="3"/>
  <c r="M1570" i="3"/>
  <c r="M1571" i="3"/>
  <c r="M1572" i="3"/>
  <c r="M1573" i="3"/>
  <c r="M1574" i="3"/>
  <c r="M1575" i="3"/>
  <c r="M1576" i="3"/>
  <c r="M1577" i="3"/>
  <c r="M1578" i="3"/>
  <c r="M1579" i="3"/>
  <c r="M1580" i="3"/>
  <c r="M1581" i="3"/>
  <c r="M1582" i="3"/>
  <c r="M1583" i="3"/>
  <c r="M1584" i="3"/>
  <c r="M1585" i="3"/>
  <c r="M1586" i="3"/>
  <c r="M1587" i="3"/>
  <c r="M1588" i="3"/>
  <c r="M1589" i="3"/>
  <c r="M1590" i="3"/>
  <c r="M1591" i="3"/>
  <c r="M1592" i="3"/>
  <c r="M1593" i="3"/>
  <c r="M1594" i="3"/>
  <c r="M1595" i="3"/>
  <c r="M1596" i="3"/>
  <c r="M1597" i="3"/>
  <c r="M1598" i="3"/>
  <c r="M1599" i="3"/>
  <c r="M1600" i="3"/>
  <c r="M1601" i="3"/>
  <c r="M1602" i="3"/>
  <c r="M1603" i="3"/>
  <c r="M1604" i="3"/>
  <c r="M1605" i="3"/>
  <c r="M1606" i="3"/>
  <c r="M1607" i="3"/>
  <c r="M1608" i="3"/>
  <c r="M1609" i="3"/>
  <c r="M1610" i="3"/>
  <c r="M1611" i="3"/>
  <c r="M1612" i="3"/>
  <c r="M1613" i="3"/>
  <c r="M1614" i="3"/>
  <c r="M1615" i="3"/>
  <c r="M1616" i="3"/>
  <c r="M1617" i="3"/>
  <c r="M1618" i="3"/>
  <c r="M1619" i="3"/>
  <c r="M1620" i="3"/>
  <c r="M1621" i="3"/>
  <c r="M1622" i="3"/>
  <c r="M1623" i="3"/>
  <c r="M1624" i="3"/>
  <c r="M1625" i="3"/>
  <c r="M1626" i="3"/>
  <c r="M1627" i="3"/>
  <c r="M1628" i="3"/>
  <c r="M1629" i="3"/>
  <c r="M1630" i="3"/>
  <c r="M1631" i="3"/>
  <c r="M1632" i="3"/>
  <c r="M1633" i="3"/>
  <c r="M1634" i="3"/>
  <c r="M1635" i="3"/>
  <c r="M1636" i="3"/>
  <c r="M1637" i="3"/>
  <c r="M1638" i="3"/>
  <c r="M1639" i="3"/>
  <c r="M1640" i="3"/>
  <c r="M1641" i="3"/>
  <c r="M1642" i="3"/>
  <c r="M1643" i="3"/>
  <c r="M1644" i="3"/>
  <c r="M1645" i="3"/>
  <c r="M1646" i="3"/>
  <c r="M1647" i="3"/>
  <c r="M1648" i="3"/>
  <c r="M1649" i="3"/>
  <c r="M1650" i="3"/>
  <c r="M1651" i="3"/>
  <c r="M1652" i="3"/>
  <c r="M1653" i="3"/>
  <c r="M1654" i="3"/>
  <c r="M1655" i="3"/>
  <c r="M1656" i="3"/>
  <c r="M1657" i="3"/>
  <c r="M1658" i="3"/>
  <c r="M1659" i="3"/>
  <c r="M1660" i="3"/>
  <c r="M1661" i="3"/>
  <c r="M1662" i="3"/>
  <c r="M1663" i="3"/>
  <c r="M1664" i="3"/>
  <c r="M1665" i="3"/>
  <c r="M1666" i="3"/>
  <c r="M1667" i="3"/>
  <c r="M1668" i="3"/>
  <c r="M1669" i="3"/>
  <c r="M1670" i="3"/>
  <c r="M1671" i="3"/>
  <c r="M1672" i="3"/>
  <c r="M1673" i="3"/>
  <c r="M1674" i="3"/>
  <c r="M1675" i="3"/>
  <c r="M1676" i="3"/>
  <c r="M1677" i="3"/>
  <c r="M1678" i="3"/>
  <c r="M1679" i="3"/>
  <c r="M1680" i="3"/>
  <c r="M1681" i="3"/>
  <c r="M1682" i="3"/>
  <c r="M1683" i="3"/>
  <c r="M1684" i="3"/>
  <c r="M1685" i="3"/>
  <c r="M1686" i="3"/>
  <c r="M1687" i="3"/>
  <c r="M1688" i="3"/>
  <c r="M1689" i="3"/>
  <c r="M1690" i="3"/>
  <c r="M1691" i="3"/>
  <c r="M1692" i="3"/>
  <c r="M1693" i="3"/>
  <c r="M1694" i="3"/>
  <c r="M1695" i="3"/>
  <c r="M1696" i="3"/>
  <c r="M1697" i="3"/>
  <c r="M1698" i="3"/>
  <c r="M1699" i="3"/>
  <c r="M1700" i="3"/>
  <c r="M1701" i="3"/>
  <c r="M1702" i="3"/>
  <c r="M1703" i="3"/>
  <c r="M1704" i="3"/>
  <c r="M1705" i="3"/>
  <c r="M1706" i="3"/>
  <c r="M1707" i="3"/>
  <c r="M1708" i="3"/>
  <c r="M1709" i="3"/>
  <c r="M1710" i="3"/>
  <c r="M1711" i="3"/>
  <c r="M1712" i="3"/>
  <c r="M1713" i="3"/>
  <c r="M1714" i="3"/>
  <c r="M1715" i="3"/>
  <c r="M1716" i="3"/>
  <c r="M1717" i="3"/>
  <c r="M1718" i="3"/>
  <c r="M1719" i="3"/>
  <c r="M1720" i="3"/>
  <c r="M1721" i="3"/>
  <c r="M1722" i="3"/>
  <c r="M1723" i="3"/>
  <c r="M1724" i="3"/>
  <c r="M1725" i="3"/>
  <c r="M1726" i="3"/>
  <c r="M1727" i="3"/>
  <c r="M1728" i="3"/>
  <c r="M1729" i="3"/>
  <c r="M1730" i="3"/>
  <c r="M1731" i="3"/>
  <c r="M1732" i="3"/>
  <c r="M1733" i="3"/>
  <c r="M1734" i="3"/>
  <c r="M1735" i="3"/>
  <c r="M1736" i="3"/>
  <c r="M1737" i="3"/>
  <c r="M1738" i="3"/>
  <c r="M1739" i="3"/>
  <c r="M1740" i="3"/>
  <c r="M1741" i="3"/>
  <c r="M1742" i="3"/>
  <c r="M1743" i="3"/>
  <c r="M1744" i="3"/>
  <c r="M1745" i="3"/>
  <c r="M1746" i="3"/>
  <c r="M1747" i="3"/>
  <c r="M1748" i="3"/>
  <c r="M1749" i="3"/>
  <c r="M1750" i="3"/>
  <c r="M1751" i="3"/>
  <c r="M1752" i="3"/>
  <c r="M1753" i="3"/>
  <c r="M1754" i="3"/>
  <c r="M1755" i="3"/>
  <c r="M1756" i="3"/>
  <c r="M1757" i="3"/>
  <c r="M1758" i="3"/>
  <c r="M1759" i="3"/>
  <c r="M1760" i="3"/>
  <c r="M1761" i="3"/>
  <c r="M1762" i="3"/>
  <c r="M1763" i="3"/>
  <c r="M1764" i="3"/>
  <c r="M1765" i="3"/>
  <c r="M1766" i="3"/>
  <c r="M1767" i="3"/>
  <c r="M1768" i="3"/>
  <c r="M1769" i="3"/>
  <c r="M1770" i="3"/>
  <c r="M1771" i="3"/>
  <c r="M1772" i="3"/>
  <c r="M1773" i="3"/>
  <c r="M1774" i="3"/>
  <c r="M1775" i="3"/>
  <c r="M1776" i="3"/>
  <c r="M1777" i="3"/>
  <c r="M1778" i="3"/>
  <c r="M1779" i="3"/>
  <c r="M1780" i="3"/>
  <c r="M1781" i="3"/>
  <c r="M1782" i="3"/>
  <c r="M1783" i="3"/>
  <c r="M1784" i="3"/>
  <c r="M1785" i="3"/>
  <c r="M1786" i="3"/>
  <c r="M1787" i="3"/>
  <c r="M1788" i="3"/>
  <c r="M1789" i="3"/>
  <c r="M1790" i="3"/>
  <c r="M1791" i="3"/>
  <c r="M1792" i="3"/>
  <c r="M1793" i="3"/>
  <c r="M1794" i="3"/>
  <c r="M1795" i="3"/>
  <c r="M1796" i="3"/>
  <c r="M1797" i="3"/>
  <c r="M1798" i="3"/>
  <c r="M1799" i="3"/>
  <c r="M1800" i="3"/>
  <c r="M1801" i="3"/>
  <c r="M1802" i="3"/>
  <c r="M1803" i="3"/>
  <c r="M1804" i="3"/>
  <c r="M1805" i="3"/>
  <c r="M1806" i="3"/>
  <c r="M1807" i="3"/>
  <c r="M1808" i="3"/>
  <c r="M1809" i="3"/>
  <c r="M1810" i="3"/>
  <c r="M1811" i="3"/>
  <c r="M1812" i="3"/>
  <c r="M1813" i="3"/>
  <c r="M1814" i="3"/>
  <c r="M1815" i="3"/>
  <c r="M1816" i="3"/>
  <c r="M1817" i="3"/>
  <c r="M1818" i="3"/>
  <c r="M1819" i="3"/>
  <c r="M1820" i="3"/>
  <c r="M1821" i="3"/>
  <c r="M1822" i="3"/>
  <c r="M1823" i="3"/>
  <c r="M1824" i="3"/>
  <c r="M1825" i="3"/>
  <c r="M1826" i="3"/>
  <c r="M1827" i="3"/>
  <c r="M1828" i="3"/>
  <c r="M1829" i="3"/>
  <c r="M1830" i="3"/>
  <c r="M1831" i="3"/>
  <c r="M1832" i="3"/>
  <c r="M1833" i="3"/>
  <c r="M1834" i="3"/>
  <c r="M1835" i="3"/>
  <c r="M1836" i="3"/>
  <c r="M1837" i="3"/>
  <c r="M1838" i="3"/>
  <c r="M1839" i="3"/>
  <c r="M1840" i="3"/>
  <c r="M1841" i="3"/>
  <c r="M1842" i="3"/>
  <c r="M1843" i="3"/>
  <c r="M1844" i="3"/>
  <c r="M1845" i="3"/>
  <c r="M1846" i="3"/>
  <c r="M1847" i="3"/>
  <c r="M1848" i="3"/>
  <c r="M1849" i="3"/>
  <c r="M1850" i="3"/>
  <c r="M1851" i="3"/>
  <c r="M1852" i="3"/>
  <c r="M1853" i="3"/>
  <c r="M1854" i="3"/>
  <c r="M1855" i="3"/>
  <c r="M1856" i="3"/>
  <c r="M1857" i="3"/>
  <c r="M1858" i="3"/>
  <c r="M1859" i="3"/>
  <c r="M1860" i="3"/>
  <c r="M1861" i="3"/>
  <c r="M1862" i="3"/>
  <c r="M1863" i="3"/>
  <c r="M1864" i="3"/>
  <c r="M1865" i="3"/>
  <c r="M1866" i="3"/>
  <c r="M1867" i="3"/>
  <c r="M1868" i="3"/>
  <c r="M1869" i="3"/>
  <c r="M1870" i="3"/>
  <c r="M1871" i="3"/>
  <c r="M1872" i="3"/>
  <c r="M1873" i="3"/>
  <c r="M1874" i="3"/>
  <c r="M1875" i="3"/>
  <c r="M1876" i="3"/>
  <c r="M1877" i="3"/>
  <c r="M1878" i="3"/>
  <c r="M1879" i="3"/>
  <c r="M1880" i="3"/>
  <c r="M1881" i="3"/>
  <c r="M1882" i="3"/>
  <c r="M1883" i="3"/>
  <c r="M1884" i="3"/>
  <c r="M1885" i="3"/>
  <c r="M1886" i="3"/>
  <c r="M1887" i="3"/>
  <c r="M1888" i="3"/>
  <c r="M1889" i="3"/>
  <c r="M1890" i="3"/>
  <c r="M1891" i="3"/>
  <c r="M1892" i="3"/>
  <c r="M1893" i="3"/>
  <c r="M1894" i="3"/>
  <c r="M1895" i="3"/>
  <c r="M1896" i="3"/>
  <c r="M1897" i="3"/>
  <c r="M1898" i="3"/>
  <c r="M1899" i="3"/>
  <c r="M1900" i="3"/>
  <c r="M1901" i="3"/>
  <c r="M1902" i="3"/>
  <c r="M1903" i="3"/>
  <c r="M1904" i="3"/>
  <c r="M1905" i="3"/>
  <c r="M1906" i="3"/>
  <c r="M1907" i="3"/>
  <c r="M1908" i="3"/>
  <c r="M1909" i="3"/>
  <c r="M1910" i="3"/>
  <c r="M1911" i="3"/>
  <c r="M1912" i="3"/>
  <c r="M1913" i="3"/>
  <c r="M1914" i="3"/>
  <c r="M1915" i="3"/>
  <c r="M1916" i="3"/>
  <c r="M1917" i="3"/>
  <c r="M1918" i="3"/>
  <c r="M1919" i="3"/>
  <c r="M1920" i="3"/>
  <c r="M1921" i="3"/>
  <c r="M1922" i="3"/>
  <c r="M1923" i="3"/>
  <c r="M1924" i="3"/>
  <c r="M1925" i="3"/>
  <c r="M1926" i="3"/>
  <c r="M1927" i="3"/>
  <c r="M1928" i="3"/>
  <c r="M1929" i="3"/>
  <c r="M1930" i="3"/>
  <c r="M1931" i="3"/>
  <c r="M1932" i="3"/>
  <c r="M1933" i="3"/>
  <c r="M1934" i="3"/>
  <c r="M1935" i="3"/>
  <c r="M1936" i="3"/>
  <c r="M1937" i="3"/>
  <c r="M1938" i="3"/>
  <c r="M1939" i="3"/>
  <c r="M1940" i="3"/>
  <c r="M1941" i="3"/>
  <c r="M1942" i="3"/>
  <c r="M1943" i="3"/>
  <c r="M1944" i="3"/>
  <c r="M1945" i="3"/>
  <c r="M1946" i="3"/>
  <c r="M1947" i="3"/>
  <c r="M1948" i="3"/>
  <c r="M1949" i="3"/>
  <c r="M1950" i="3"/>
  <c r="M1951" i="3"/>
  <c r="M1952" i="3"/>
  <c r="M1953" i="3"/>
  <c r="M1954" i="3"/>
  <c r="M1955" i="3"/>
  <c r="M1956" i="3"/>
  <c r="M1957" i="3"/>
  <c r="M1958" i="3"/>
  <c r="M1959" i="3"/>
  <c r="M1960" i="3"/>
  <c r="M1961" i="3"/>
  <c r="M1962" i="3"/>
  <c r="M1963" i="3"/>
  <c r="M1964" i="3"/>
  <c r="M1965" i="3"/>
  <c r="M1966" i="3"/>
  <c r="M1967" i="3"/>
  <c r="M1968" i="3"/>
  <c r="M1969" i="3"/>
  <c r="M1970" i="3"/>
  <c r="M1971" i="3"/>
  <c r="M1972" i="3"/>
  <c r="M1973" i="3"/>
  <c r="M1974" i="3"/>
  <c r="M1975" i="3"/>
  <c r="M1976" i="3"/>
  <c r="M1977" i="3"/>
  <c r="M1978" i="3"/>
  <c r="M1979" i="3"/>
  <c r="M1980" i="3"/>
  <c r="M1981" i="3"/>
  <c r="M1982" i="3"/>
  <c r="M1983" i="3"/>
  <c r="M1984" i="3"/>
  <c r="M1985" i="3"/>
  <c r="M1986" i="3"/>
  <c r="M1987" i="3"/>
  <c r="M1988" i="3"/>
  <c r="M1989" i="3"/>
  <c r="M1990" i="3"/>
  <c r="M1991" i="3"/>
  <c r="M1992" i="3"/>
  <c r="M1993" i="3"/>
  <c r="M1994" i="3"/>
  <c r="M1995" i="3"/>
  <c r="M1996" i="3"/>
  <c r="M1997" i="3"/>
  <c r="M1998" i="3"/>
  <c r="M1999" i="3"/>
  <c r="M2000" i="3"/>
  <c r="M2001" i="3"/>
  <c r="M2002" i="3"/>
  <c r="M2003" i="3"/>
  <c r="M2004" i="3"/>
  <c r="M2005" i="3"/>
  <c r="M2006" i="3"/>
  <c r="M2007" i="3"/>
  <c r="M2008" i="3"/>
  <c r="M2009" i="3"/>
  <c r="M2010" i="3"/>
  <c r="M2011" i="3"/>
  <c r="M2012" i="3"/>
  <c r="M2013" i="3"/>
  <c r="M2014" i="3"/>
  <c r="M2015" i="3"/>
  <c r="M2016" i="3"/>
  <c r="M2017" i="3"/>
  <c r="M2018" i="3"/>
  <c r="M2019" i="3"/>
  <c r="M2020" i="3"/>
  <c r="M2021" i="3"/>
  <c r="M2022" i="3"/>
  <c r="M2023" i="3"/>
  <c r="M2024" i="3"/>
  <c r="M2025" i="3"/>
  <c r="M2026" i="3"/>
  <c r="M2027" i="3"/>
  <c r="M2028" i="3"/>
  <c r="M2029" i="3"/>
  <c r="M2030" i="3"/>
  <c r="M2031" i="3"/>
  <c r="M2032" i="3"/>
  <c r="M2033" i="3"/>
  <c r="M2034" i="3"/>
  <c r="M2035" i="3"/>
  <c r="M2036" i="3"/>
  <c r="M2037" i="3"/>
  <c r="M2038" i="3"/>
  <c r="M2039" i="3"/>
  <c r="M2040" i="3"/>
  <c r="M2041" i="3"/>
  <c r="M2042" i="3"/>
  <c r="M2043" i="3"/>
  <c r="M2044" i="3"/>
  <c r="M2045" i="3"/>
  <c r="M2046" i="3"/>
  <c r="M2047" i="3"/>
  <c r="M2048" i="3"/>
  <c r="M2049" i="3"/>
  <c r="M2050" i="3"/>
  <c r="M2051" i="3"/>
  <c r="M2052" i="3"/>
  <c r="M2053" i="3"/>
  <c r="M2054" i="3"/>
  <c r="M2055" i="3"/>
  <c r="M2056" i="3"/>
  <c r="M2057" i="3"/>
  <c r="M2058" i="3"/>
  <c r="M2059" i="3"/>
  <c r="M2060" i="3"/>
  <c r="M2061" i="3"/>
  <c r="M2062" i="3"/>
  <c r="M2063" i="3"/>
  <c r="M2064" i="3"/>
  <c r="M2065" i="3"/>
  <c r="M2066" i="3"/>
  <c r="M2067" i="3"/>
  <c r="M2068" i="3"/>
  <c r="M2069" i="3"/>
  <c r="M2070" i="3"/>
  <c r="M2071" i="3"/>
  <c r="M2072" i="3"/>
  <c r="M2073" i="3"/>
  <c r="M2074" i="3"/>
  <c r="M2075" i="3"/>
  <c r="M2076" i="3"/>
  <c r="M2077" i="3"/>
  <c r="M2078" i="3"/>
  <c r="M2079" i="3"/>
  <c r="M2080" i="3"/>
  <c r="M2081" i="3"/>
  <c r="M2082" i="3"/>
  <c r="M2083" i="3"/>
  <c r="M2084" i="3"/>
  <c r="M2085" i="3"/>
  <c r="M2086" i="3"/>
  <c r="M2087" i="3"/>
  <c r="M2088" i="3"/>
  <c r="M2089" i="3"/>
  <c r="M2090" i="3"/>
  <c r="M2091" i="3"/>
  <c r="M2092" i="3"/>
  <c r="M2093" i="3"/>
  <c r="M2094" i="3"/>
  <c r="M2095" i="3"/>
  <c r="M2096" i="3"/>
  <c r="M2097" i="3"/>
  <c r="M2098" i="3"/>
  <c r="M2099" i="3"/>
  <c r="M2100" i="3"/>
  <c r="M2101" i="3"/>
  <c r="M2102" i="3"/>
  <c r="M2103" i="3"/>
  <c r="M2104" i="3"/>
  <c r="M2105" i="3"/>
  <c r="M2106" i="3"/>
  <c r="M2107" i="3"/>
  <c r="M2108" i="3"/>
  <c r="M2109" i="3"/>
  <c r="M2110" i="3"/>
  <c r="M2111" i="3"/>
  <c r="M2112" i="3"/>
  <c r="M2113" i="3"/>
  <c r="M2114" i="3"/>
  <c r="M2115" i="3"/>
  <c r="M2116" i="3"/>
  <c r="M2117" i="3"/>
  <c r="M2118" i="3"/>
  <c r="M2119" i="3"/>
  <c r="M2120" i="3"/>
  <c r="M2121" i="3"/>
  <c r="M2122" i="3"/>
  <c r="M2123" i="3"/>
  <c r="M2124" i="3"/>
  <c r="M2125" i="3"/>
  <c r="M2126" i="3"/>
  <c r="M2127" i="3"/>
  <c r="M2128" i="3"/>
  <c r="M2129" i="3"/>
  <c r="M2130" i="3"/>
  <c r="M2131" i="3"/>
  <c r="M2132" i="3"/>
  <c r="M2133" i="3"/>
  <c r="M2134" i="3"/>
  <c r="M2135" i="3"/>
  <c r="M2136" i="3"/>
  <c r="M2137" i="3"/>
  <c r="M2138" i="3"/>
  <c r="M2139" i="3"/>
  <c r="M2140" i="3"/>
  <c r="M2141" i="3"/>
  <c r="M2142" i="3"/>
  <c r="M2143" i="3"/>
  <c r="M2144" i="3"/>
  <c r="M2145" i="3"/>
  <c r="M2146" i="3"/>
  <c r="M2147" i="3"/>
  <c r="M2148" i="3"/>
  <c r="M2149" i="3"/>
  <c r="M2150" i="3"/>
  <c r="M2151" i="3"/>
  <c r="M2152" i="3"/>
  <c r="M2153" i="3"/>
  <c r="M2154" i="3"/>
  <c r="M2155" i="3"/>
  <c r="M2156" i="3"/>
  <c r="M2157" i="3"/>
  <c r="M2158" i="3"/>
  <c r="M2159" i="3"/>
  <c r="M2160" i="3"/>
  <c r="M2161" i="3"/>
  <c r="M2162" i="3"/>
  <c r="M2163" i="3"/>
  <c r="M2164" i="3"/>
  <c r="M2165" i="3"/>
  <c r="M2166" i="3"/>
  <c r="M2167" i="3"/>
  <c r="M2168" i="3"/>
  <c r="M2169" i="3"/>
  <c r="M2170" i="3"/>
  <c r="M2171" i="3"/>
  <c r="M2172" i="3"/>
  <c r="M2173" i="3"/>
  <c r="M2174" i="3"/>
  <c r="M2175" i="3"/>
  <c r="M2176" i="3"/>
  <c r="M2177" i="3"/>
  <c r="M2178" i="3"/>
  <c r="M2179" i="3"/>
  <c r="M2180" i="3"/>
  <c r="M2181" i="3"/>
  <c r="M2182" i="3"/>
  <c r="M2183" i="3"/>
  <c r="M2184" i="3"/>
  <c r="M2185" i="3"/>
  <c r="M2186" i="3"/>
  <c r="M2187" i="3"/>
  <c r="M2188" i="3"/>
  <c r="M2189" i="3"/>
  <c r="M2190" i="3"/>
  <c r="M2191" i="3"/>
  <c r="M2192" i="3"/>
  <c r="M2193" i="3"/>
  <c r="M2194" i="3"/>
  <c r="M2195" i="3"/>
  <c r="M2196" i="3"/>
  <c r="M2197" i="3"/>
  <c r="M2198" i="3"/>
  <c r="M2199" i="3"/>
  <c r="M2200" i="3"/>
  <c r="M2201" i="3"/>
  <c r="M2202" i="3"/>
  <c r="M2203" i="3"/>
  <c r="M2204" i="3"/>
  <c r="M2205" i="3"/>
  <c r="M2206" i="3"/>
  <c r="M2207" i="3"/>
  <c r="M2208" i="3"/>
  <c r="M2209" i="3"/>
  <c r="M2210" i="3"/>
  <c r="M2211" i="3"/>
  <c r="M2212" i="3"/>
  <c r="M2213" i="3"/>
  <c r="M2214" i="3"/>
  <c r="M2215" i="3"/>
  <c r="M2216" i="3"/>
  <c r="M2217" i="3"/>
  <c r="M2218" i="3"/>
  <c r="M2219" i="3"/>
  <c r="M2220" i="3"/>
  <c r="M2221" i="3"/>
  <c r="M2222" i="3"/>
  <c r="M2223" i="3"/>
  <c r="M2224" i="3"/>
  <c r="M2225" i="3"/>
  <c r="M2226" i="3"/>
  <c r="M2227" i="3"/>
  <c r="M2228" i="3"/>
  <c r="M2229" i="3"/>
  <c r="M2230" i="3"/>
  <c r="M2231" i="3"/>
  <c r="M2232" i="3"/>
  <c r="M2233" i="3"/>
  <c r="M2234" i="3"/>
  <c r="M2235" i="3"/>
  <c r="M2236" i="3"/>
  <c r="M2237" i="3"/>
  <c r="M2238" i="3"/>
  <c r="M2239" i="3"/>
  <c r="M2240" i="3"/>
  <c r="M2241" i="3"/>
  <c r="M2242" i="3"/>
  <c r="M2243" i="3"/>
  <c r="M2244" i="3"/>
  <c r="M2245" i="3"/>
  <c r="M2246" i="3"/>
  <c r="M2247" i="3"/>
  <c r="M2248" i="3"/>
  <c r="M2249" i="3"/>
  <c r="M2250" i="3"/>
  <c r="M2251" i="3"/>
  <c r="M2252" i="3"/>
  <c r="M2253" i="3"/>
  <c r="M2254" i="3"/>
  <c r="M2255" i="3"/>
  <c r="M2256" i="3"/>
  <c r="M2257" i="3"/>
  <c r="M2258" i="3"/>
  <c r="M2259" i="3"/>
  <c r="M2260" i="3"/>
  <c r="M2261" i="3"/>
  <c r="M2262" i="3"/>
  <c r="M2263" i="3"/>
  <c r="M2264" i="3"/>
  <c r="M2265" i="3"/>
  <c r="M2266" i="3"/>
  <c r="M2267" i="3"/>
  <c r="M2268" i="3"/>
  <c r="M2269" i="3"/>
  <c r="M2270" i="3"/>
  <c r="M2271" i="3"/>
  <c r="M2272" i="3"/>
  <c r="M2273" i="3"/>
  <c r="M2274" i="3"/>
  <c r="M2275" i="3"/>
  <c r="M2276" i="3"/>
  <c r="M2277" i="3"/>
  <c r="M2278" i="3"/>
  <c r="M2279" i="3"/>
  <c r="M2280" i="3"/>
  <c r="M2281" i="3"/>
  <c r="M2282" i="3"/>
  <c r="M2283" i="3"/>
  <c r="M2284" i="3"/>
  <c r="M2285" i="3"/>
  <c r="M2286" i="3"/>
  <c r="M2287" i="3"/>
  <c r="M2288" i="3"/>
  <c r="M2289" i="3"/>
  <c r="M2290" i="3"/>
  <c r="M2291" i="3"/>
  <c r="M2292" i="3"/>
  <c r="M2293" i="3"/>
  <c r="M2294" i="3"/>
  <c r="M2295" i="3"/>
  <c r="M2296" i="3"/>
  <c r="M2297" i="3"/>
  <c r="M2298" i="3"/>
  <c r="M2299" i="3"/>
  <c r="M2300" i="3"/>
  <c r="M2301" i="3"/>
  <c r="M2302" i="3"/>
  <c r="M2303" i="3"/>
  <c r="M2304" i="3"/>
  <c r="M2305" i="3"/>
  <c r="M2306" i="3"/>
  <c r="M2307" i="3"/>
  <c r="M2308" i="3"/>
  <c r="M2309" i="3"/>
  <c r="M2310" i="3"/>
  <c r="M2311" i="3"/>
  <c r="M2312" i="3"/>
  <c r="M2313" i="3"/>
  <c r="M2314" i="3"/>
  <c r="M2315" i="3"/>
  <c r="M2316" i="3"/>
  <c r="M2317" i="3"/>
  <c r="M2318" i="3"/>
  <c r="M2319" i="3"/>
  <c r="M2320" i="3"/>
  <c r="M2321" i="3"/>
  <c r="M2322" i="3"/>
  <c r="M2323" i="3"/>
  <c r="M2324" i="3"/>
  <c r="M2325" i="3"/>
  <c r="M2326" i="3"/>
  <c r="M2327" i="3"/>
  <c r="M2328" i="3"/>
  <c r="M2329" i="3"/>
  <c r="M2330" i="3"/>
  <c r="M2331" i="3"/>
  <c r="M2332" i="3"/>
  <c r="M2333" i="3"/>
  <c r="M2334" i="3"/>
  <c r="M2335" i="3"/>
  <c r="M2336" i="3"/>
  <c r="M2337" i="3"/>
  <c r="M2338" i="3"/>
  <c r="M2339" i="3"/>
  <c r="M2340" i="3"/>
  <c r="M2341" i="3"/>
  <c r="M2342" i="3"/>
  <c r="M2343" i="3"/>
  <c r="M2344" i="3"/>
  <c r="M2345" i="3"/>
  <c r="M2346" i="3"/>
  <c r="M2347" i="3"/>
  <c r="M2348" i="3"/>
  <c r="M2349" i="3"/>
  <c r="M2350" i="3"/>
  <c r="M2351" i="3"/>
  <c r="M2352" i="3"/>
  <c r="M2353" i="3"/>
  <c r="M2354" i="3"/>
  <c r="M2355" i="3"/>
  <c r="M2356" i="3"/>
  <c r="M2357" i="3"/>
  <c r="M2358" i="3"/>
  <c r="M2359" i="3"/>
  <c r="M2360" i="3"/>
  <c r="M2361" i="3"/>
  <c r="M2362" i="3"/>
  <c r="M2363" i="3"/>
  <c r="M2364" i="3"/>
  <c r="M2365" i="3"/>
  <c r="M2366" i="3"/>
  <c r="M2367" i="3"/>
  <c r="M2368" i="3"/>
  <c r="M2369" i="3"/>
  <c r="M2370" i="3"/>
  <c r="M2371" i="3"/>
  <c r="M2372" i="3"/>
  <c r="M2373" i="3"/>
  <c r="M2374" i="3"/>
  <c r="M2375" i="3"/>
  <c r="M2376" i="3"/>
  <c r="M2377" i="3"/>
  <c r="M2378" i="3"/>
  <c r="M2379" i="3"/>
  <c r="M2380" i="3"/>
  <c r="M2381" i="3"/>
  <c r="M2382" i="3"/>
  <c r="M2383" i="3"/>
  <c r="M2384" i="3"/>
  <c r="M2385" i="3"/>
  <c r="M2386" i="3"/>
  <c r="M2387" i="3"/>
  <c r="M2388" i="3"/>
  <c r="M2389" i="3"/>
  <c r="M2390" i="3"/>
  <c r="M2391" i="3"/>
  <c r="M2392" i="3"/>
  <c r="M2393" i="3"/>
  <c r="M2394" i="3"/>
  <c r="M2395" i="3"/>
  <c r="M2396" i="3"/>
  <c r="M2397" i="3"/>
  <c r="M2398" i="3"/>
  <c r="M2399" i="3"/>
  <c r="M2400" i="3"/>
  <c r="M2401" i="3"/>
  <c r="M2402" i="3"/>
  <c r="M2403" i="3"/>
  <c r="M2404" i="3"/>
  <c r="M2405" i="3"/>
  <c r="M2406" i="3"/>
  <c r="M2407" i="3"/>
  <c r="M2408" i="3"/>
  <c r="M2409" i="3"/>
  <c r="M2410" i="3"/>
  <c r="M2411" i="3"/>
  <c r="M2412" i="3"/>
  <c r="M2413" i="3"/>
  <c r="M2414" i="3"/>
  <c r="M2415" i="3"/>
  <c r="M2416" i="3"/>
  <c r="M2417" i="3"/>
  <c r="M2418" i="3"/>
  <c r="M2419" i="3"/>
  <c r="M2420" i="3"/>
  <c r="M2421" i="3"/>
  <c r="M2422" i="3"/>
  <c r="M2423" i="3"/>
  <c r="M2424" i="3"/>
  <c r="M2425" i="3"/>
  <c r="M2426" i="3"/>
  <c r="M2427" i="3"/>
  <c r="M2428" i="3"/>
  <c r="M2429" i="3"/>
  <c r="M2430" i="3"/>
  <c r="M2431" i="3"/>
  <c r="M2432" i="3"/>
  <c r="M2433" i="3"/>
  <c r="M2434" i="3"/>
  <c r="M2435" i="3"/>
  <c r="M2436" i="3"/>
  <c r="M2437" i="3"/>
  <c r="M2438" i="3"/>
  <c r="M2439" i="3"/>
  <c r="M2440" i="3"/>
  <c r="M2441" i="3"/>
  <c r="M2442" i="3"/>
  <c r="M2443" i="3"/>
  <c r="M2444" i="3"/>
  <c r="M2445" i="3"/>
  <c r="M2446" i="3"/>
  <c r="M2447" i="3"/>
  <c r="M2448" i="3"/>
  <c r="M2449" i="3"/>
  <c r="M2450" i="3"/>
  <c r="M2451" i="3"/>
  <c r="M2452" i="3"/>
  <c r="M2453" i="3"/>
  <c r="M2454" i="3"/>
  <c r="M2455" i="3"/>
  <c r="M2456" i="3"/>
  <c r="M2457" i="3"/>
  <c r="M2458" i="3"/>
  <c r="M2459" i="3"/>
  <c r="M2460" i="3"/>
  <c r="M2461" i="3"/>
  <c r="M2462" i="3"/>
  <c r="M2463" i="3"/>
  <c r="M2464" i="3"/>
  <c r="M2465" i="3"/>
  <c r="M2466" i="3"/>
  <c r="M2467" i="3"/>
  <c r="M2468" i="3"/>
  <c r="M2469" i="3"/>
  <c r="M2470" i="3"/>
  <c r="M2471" i="3"/>
  <c r="M2472" i="3"/>
  <c r="M2473" i="3"/>
  <c r="M2474" i="3"/>
  <c r="M2475" i="3"/>
  <c r="M2476" i="3"/>
  <c r="M2477" i="3"/>
  <c r="M2478" i="3"/>
  <c r="M2479" i="3"/>
  <c r="M2480" i="3"/>
  <c r="M2481" i="3"/>
  <c r="M2482" i="3"/>
  <c r="M2483" i="3"/>
  <c r="M2484" i="3"/>
  <c r="M2485" i="3"/>
  <c r="M2486" i="3"/>
  <c r="M2487" i="3"/>
  <c r="M2488" i="3"/>
  <c r="M2489" i="3"/>
  <c r="M2490" i="3"/>
  <c r="M2491" i="3"/>
  <c r="M2492" i="3"/>
  <c r="M2493" i="3"/>
  <c r="M2494" i="3"/>
  <c r="M2495" i="3"/>
  <c r="M2496" i="3"/>
  <c r="M2497" i="3"/>
  <c r="M2498" i="3"/>
  <c r="M2499" i="3"/>
  <c r="M2500" i="3"/>
  <c r="M2501" i="3"/>
  <c r="M2502" i="3"/>
  <c r="M4" i="3"/>
  <c r="N5" i="3"/>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96" i="3"/>
  <c r="N197" i="3"/>
  <c r="N198" i="3"/>
  <c r="N199" i="3"/>
  <c r="N2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N242" i="3"/>
  <c r="N243" i="3"/>
  <c r="N244" i="3"/>
  <c r="N245" i="3"/>
  <c r="N246" i="3"/>
  <c r="N247" i="3"/>
  <c r="N248" i="3"/>
  <c r="N249" i="3"/>
  <c r="N250" i="3"/>
  <c r="N251" i="3"/>
  <c r="N252" i="3"/>
  <c r="N253" i="3"/>
  <c r="N254" i="3"/>
  <c r="N255" i="3"/>
  <c r="N256" i="3"/>
  <c r="N257" i="3"/>
  <c r="N258" i="3"/>
  <c r="N259" i="3"/>
  <c r="N260" i="3"/>
  <c r="N261" i="3"/>
  <c r="N262" i="3"/>
  <c r="N263" i="3"/>
  <c r="N264" i="3"/>
  <c r="N265" i="3"/>
  <c r="N266" i="3"/>
  <c r="N267" i="3"/>
  <c r="N268" i="3"/>
  <c r="N269" i="3"/>
  <c r="N270" i="3"/>
  <c r="N271" i="3"/>
  <c r="N272" i="3"/>
  <c r="N273" i="3"/>
  <c r="N274" i="3"/>
  <c r="N275" i="3"/>
  <c r="N276" i="3"/>
  <c r="N277" i="3"/>
  <c r="N278" i="3"/>
  <c r="N279" i="3"/>
  <c r="N280" i="3"/>
  <c r="N281" i="3"/>
  <c r="N282" i="3"/>
  <c r="N283" i="3"/>
  <c r="N284" i="3"/>
  <c r="N285" i="3"/>
  <c r="N286" i="3"/>
  <c r="N287" i="3"/>
  <c r="N288" i="3"/>
  <c r="N289" i="3"/>
  <c r="N290" i="3"/>
  <c r="N291" i="3"/>
  <c r="N292" i="3"/>
  <c r="N293" i="3"/>
  <c r="N294" i="3"/>
  <c r="N295" i="3"/>
  <c r="N296" i="3"/>
  <c r="N297" i="3"/>
  <c r="N298" i="3"/>
  <c r="N299" i="3"/>
  <c r="N300" i="3"/>
  <c r="N301" i="3"/>
  <c r="N302" i="3"/>
  <c r="N303" i="3"/>
  <c r="N304" i="3"/>
  <c r="N305" i="3"/>
  <c r="N306" i="3"/>
  <c r="N307" i="3"/>
  <c r="N308" i="3"/>
  <c r="N309" i="3"/>
  <c r="N310" i="3"/>
  <c r="N311" i="3"/>
  <c r="N312" i="3"/>
  <c r="N313" i="3"/>
  <c r="N314" i="3"/>
  <c r="N315" i="3"/>
  <c r="N316" i="3"/>
  <c r="N317" i="3"/>
  <c r="N318" i="3"/>
  <c r="N319" i="3"/>
  <c r="N320" i="3"/>
  <c r="N321" i="3"/>
  <c r="N322" i="3"/>
  <c r="N323" i="3"/>
  <c r="N324" i="3"/>
  <c r="N325" i="3"/>
  <c r="N326" i="3"/>
  <c r="N327" i="3"/>
  <c r="N328" i="3"/>
  <c r="N329" i="3"/>
  <c r="N330" i="3"/>
  <c r="N331" i="3"/>
  <c r="N332" i="3"/>
  <c r="N333" i="3"/>
  <c r="N334" i="3"/>
  <c r="N335" i="3"/>
  <c r="N336" i="3"/>
  <c r="N337" i="3"/>
  <c r="N338" i="3"/>
  <c r="N339" i="3"/>
  <c r="N340" i="3"/>
  <c r="N341" i="3"/>
  <c r="N342" i="3"/>
  <c r="N343" i="3"/>
  <c r="N344" i="3"/>
  <c r="N345" i="3"/>
  <c r="N346" i="3"/>
  <c r="N347" i="3"/>
  <c r="N348" i="3"/>
  <c r="N349" i="3"/>
  <c r="N350" i="3"/>
  <c r="N351" i="3"/>
  <c r="N352" i="3"/>
  <c r="N353" i="3"/>
  <c r="N354" i="3"/>
  <c r="N355" i="3"/>
  <c r="N356" i="3"/>
  <c r="N357" i="3"/>
  <c r="N358" i="3"/>
  <c r="N359" i="3"/>
  <c r="N360" i="3"/>
  <c r="N361" i="3"/>
  <c r="N362" i="3"/>
  <c r="N363" i="3"/>
  <c r="N364" i="3"/>
  <c r="N365" i="3"/>
  <c r="N366" i="3"/>
  <c r="N367" i="3"/>
  <c r="N368" i="3"/>
  <c r="N369" i="3"/>
  <c r="N370" i="3"/>
  <c r="N371" i="3"/>
  <c r="N372" i="3"/>
  <c r="N373" i="3"/>
  <c r="N374" i="3"/>
  <c r="N375" i="3"/>
  <c r="N376" i="3"/>
  <c r="N377" i="3"/>
  <c r="N378" i="3"/>
  <c r="N379" i="3"/>
  <c r="N380" i="3"/>
  <c r="N381" i="3"/>
  <c r="N382" i="3"/>
  <c r="N383" i="3"/>
  <c r="N384" i="3"/>
  <c r="N385" i="3"/>
  <c r="N386" i="3"/>
  <c r="N387" i="3"/>
  <c r="N388" i="3"/>
  <c r="N389" i="3"/>
  <c r="N390" i="3"/>
  <c r="N391" i="3"/>
  <c r="N392" i="3"/>
  <c r="N393" i="3"/>
  <c r="N394" i="3"/>
  <c r="N395" i="3"/>
  <c r="N396" i="3"/>
  <c r="N397" i="3"/>
  <c r="N398" i="3"/>
  <c r="N399" i="3"/>
  <c r="N400" i="3"/>
  <c r="N401" i="3"/>
  <c r="N402" i="3"/>
  <c r="N403" i="3"/>
  <c r="N404" i="3"/>
  <c r="N405" i="3"/>
  <c r="N406" i="3"/>
  <c r="N407" i="3"/>
  <c r="N408" i="3"/>
  <c r="N409" i="3"/>
  <c r="N410" i="3"/>
  <c r="N411" i="3"/>
  <c r="N412" i="3"/>
  <c r="N413" i="3"/>
  <c r="N414" i="3"/>
  <c r="N415" i="3"/>
  <c r="N416" i="3"/>
  <c r="N417" i="3"/>
  <c r="N418" i="3"/>
  <c r="N419" i="3"/>
  <c r="N420" i="3"/>
  <c r="N421" i="3"/>
  <c r="N422" i="3"/>
  <c r="N423" i="3"/>
  <c r="N424" i="3"/>
  <c r="N425" i="3"/>
  <c r="N426" i="3"/>
  <c r="N427" i="3"/>
  <c r="N428" i="3"/>
  <c r="N429" i="3"/>
  <c r="N430" i="3"/>
  <c r="N431" i="3"/>
  <c r="N432" i="3"/>
  <c r="N433" i="3"/>
  <c r="N434" i="3"/>
  <c r="N435" i="3"/>
  <c r="N436" i="3"/>
  <c r="N437" i="3"/>
  <c r="N438" i="3"/>
  <c r="N439" i="3"/>
  <c r="N440" i="3"/>
  <c r="N441" i="3"/>
  <c r="N442" i="3"/>
  <c r="N443" i="3"/>
  <c r="N444" i="3"/>
  <c r="N445" i="3"/>
  <c r="N446" i="3"/>
  <c r="N447" i="3"/>
  <c r="N448" i="3"/>
  <c r="N449" i="3"/>
  <c r="N450" i="3"/>
  <c r="N451" i="3"/>
  <c r="N452" i="3"/>
  <c r="N453" i="3"/>
  <c r="N454" i="3"/>
  <c r="N455" i="3"/>
  <c r="N456" i="3"/>
  <c r="N457" i="3"/>
  <c r="N458" i="3"/>
  <c r="N459" i="3"/>
  <c r="N460" i="3"/>
  <c r="N461" i="3"/>
  <c r="N462" i="3"/>
  <c r="N463" i="3"/>
  <c r="N464" i="3"/>
  <c r="N465" i="3"/>
  <c r="N466" i="3"/>
  <c r="N467" i="3"/>
  <c r="N468" i="3"/>
  <c r="N469" i="3"/>
  <c r="N470" i="3"/>
  <c r="N471" i="3"/>
  <c r="N472" i="3"/>
  <c r="N473" i="3"/>
  <c r="N474" i="3"/>
  <c r="N475" i="3"/>
  <c r="N476" i="3"/>
  <c r="N477" i="3"/>
  <c r="N478" i="3"/>
  <c r="N479" i="3"/>
  <c r="N480" i="3"/>
  <c r="N481" i="3"/>
  <c r="N482" i="3"/>
  <c r="N483" i="3"/>
  <c r="N484" i="3"/>
  <c r="N485" i="3"/>
  <c r="N486" i="3"/>
  <c r="N487" i="3"/>
  <c r="N488" i="3"/>
  <c r="N489" i="3"/>
  <c r="N490" i="3"/>
  <c r="N491" i="3"/>
  <c r="N492" i="3"/>
  <c r="N493" i="3"/>
  <c r="N494" i="3"/>
  <c r="N495" i="3"/>
  <c r="N496" i="3"/>
  <c r="N497" i="3"/>
  <c r="N498" i="3"/>
  <c r="N499" i="3"/>
  <c r="N500" i="3"/>
  <c r="N501" i="3"/>
  <c r="N502" i="3"/>
  <c r="N503" i="3"/>
  <c r="N504" i="3"/>
  <c r="N505" i="3"/>
  <c r="N506" i="3"/>
  <c r="N507" i="3"/>
  <c r="N508" i="3"/>
  <c r="N509" i="3"/>
  <c r="N510" i="3"/>
  <c r="N511" i="3"/>
  <c r="N512" i="3"/>
  <c r="N513" i="3"/>
  <c r="N514" i="3"/>
  <c r="N515" i="3"/>
  <c r="N516" i="3"/>
  <c r="N517" i="3"/>
  <c r="N518" i="3"/>
  <c r="N519" i="3"/>
  <c r="N520" i="3"/>
  <c r="N521" i="3"/>
  <c r="N522" i="3"/>
  <c r="N523" i="3"/>
  <c r="N524" i="3"/>
  <c r="N525" i="3"/>
  <c r="N526" i="3"/>
  <c r="N527" i="3"/>
  <c r="N528" i="3"/>
  <c r="N529" i="3"/>
  <c r="N530" i="3"/>
  <c r="N531" i="3"/>
  <c r="N532" i="3"/>
  <c r="N533" i="3"/>
  <c r="N534" i="3"/>
  <c r="N535" i="3"/>
  <c r="N536" i="3"/>
  <c r="N537" i="3"/>
  <c r="N538" i="3"/>
  <c r="N539" i="3"/>
  <c r="N540" i="3"/>
  <c r="N541" i="3"/>
  <c r="N542" i="3"/>
  <c r="N543" i="3"/>
  <c r="N544" i="3"/>
  <c r="N545" i="3"/>
  <c r="N546" i="3"/>
  <c r="N547" i="3"/>
  <c r="N548" i="3"/>
  <c r="N549" i="3"/>
  <c r="N550" i="3"/>
  <c r="N551" i="3"/>
  <c r="N552" i="3"/>
  <c r="N553" i="3"/>
  <c r="N554" i="3"/>
  <c r="N555" i="3"/>
  <c r="N556" i="3"/>
  <c r="N557" i="3"/>
  <c r="N558" i="3"/>
  <c r="N559" i="3"/>
  <c r="N560" i="3"/>
  <c r="N561" i="3"/>
  <c r="N562" i="3"/>
  <c r="N563" i="3"/>
  <c r="N564" i="3"/>
  <c r="N565" i="3"/>
  <c r="N566" i="3"/>
  <c r="N567" i="3"/>
  <c r="N568" i="3"/>
  <c r="N569" i="3"/>
  <c r="N570" i="3"/>
  <c r="N571" i="3"/>
  <c r="N572" i="3"/>
  <c r="N573" i="3"/>
  <c r="N574" i="3"/>
  <c r="N575" i="3"/>
  <c r="N576" i="3"/>
  <c r="N577" i="3"/>
  <c r="N578" i="3"/>
  <c r="N579" i="3"/>
  <c r="N580" i="3"/>
  <c r="N581" i="3"/>
  <c r="N582" i="3"/>
  <c r="N583" i="3"/>
  <c r="N584" i="3"/>
  <c r="N585" i="3"/>
  <c r="N586" i="3"/>
  <c r="N587" i="3"/>
  <c r="N588" i="3"/>
  <c r="N589" i="3"/>
  <c r="N590" i="3"/>
  <c r="N591" i="3"/>
  <c r="N592" i="3"/>
  <c r="N593" i="3"/>
  <c r="N594" i="3"/>
  <c r="N595" i="3"/>
  <c r="N596" i="3"/>
  <c r="N597" i="3"/>
  <c r="N598" i="3"/>
  <c r="N599" i="3"/>
  <c r="N600" i="3"/>
  <c r="N601" i="3"/>
  <c r="N602" i="3"/>
  <c r="N603" i="3"/>
  <c r="N604" i="3"/>
  <c r="N605" i="3"/>
  <c r="N606" i="3"/>
  <c r="N607" i="3"/>
  <c r="N608" i="3"/>
  <c r="N609" i="3"/>
  <c r="N610" i="3"/>
  <c r="N611" i="3"/>
  <c r="N612" i="3"/>
  <c r="N613" i="3"/>
  <c r="N614" i="3"/>
  <c r="N615" i="3"/>
  <c r="N616" i="3"/>
  <c r="N617" i="3"/>
  <c r="N618" i="3"/>
  <c r="N619" i="3"/>
  <c r="N620" i="3"/>
  <c r="N621" i="3"/>
  <c r="N622" i="3"/>
  <c r="N623" i="3"/>
  <c r="N624" i="3"/>
  <c r="N625" i="3"/>
  <c r="N626" i="3"/>
  <c r="N627" i="3"/>
  <c r="N628" i="3"/>
  <c r="N629" i="3"/>
  <c r="N630" i="3"/>
  <c r="N631" i="3"/>
  <c r="N632" i="3"/>
  <c r="N633" i="3"/>
  <c r="N634" i="3"/>
  <c r="N635" i="3"/>
  <c r="N636" i="3"/>
  <c r="N637" i="3"/>
  <c r="N638" i="3"/>
  <c r="N639" i="3"/>
  <c r="N640" i="3"/>
  <c r="N641" i="3"/>
  <c r="N642" i="3"/>
  <c r="N643" i="3"/>
  <c r="N644" i="3"/>
  <c r="N645" i="3"/>
  <c r="N646" i="3"/>
  <c r="N647" i="3"/>
  <c r="N648" i="3"/>
  <c r="N649" i="3"/>
  <c r="N650" i="3"/>
  <c r="N651" i="3"/>
  <c r="N652" i="3"/>
  <c r="N653" i="3"/>
  <c r="N654" i="3"/>
  <c r="N655" i="3"/>
  <c r="N656" i="3"/>
  <c r="N657" i="3"/>
  <c r="N658" i="3"/>
  <c r="N659" i="3"/>
  <c r="N660" i="3"/>
  <c r="N661" i="3"/>
  <c r="N662" i="3"/>
  <c r="N663" i="3"/>
  <c r="N664" i="3"/>
  <c r="N665" i="3"/>
  <c r="N666" i="3"/>
  <c r="N667" i="3"/>
  <c r="N668" i="3"/>
  <c r="N669" i="3"/>
  <c r="N670" i="3"/>
  <c r="N671" i="3"/>
  <c r="N672" i="3"/>
  <c r="N673" i="3"/>
  <c r="N674" i="3"/>
  <c r="N675" i="3"/>
  <c r="N676" i="3"/>
  <c r="N677" i="3"/>
  <c r="N678" i="3"/>
  <c r="N679" i="3"/>
  <c r="N680" i="3"/>
  <c r="N681" i="3"/>
  <c r="N682" i="3"/>
  <c r="N683" i="3"/>
  <c r="N684" i="3"/>
  <c r="N685" i="3"/>
  <c r="N686" i="3"/>
  <c r="N687" i="3"/>
  <c r="N688" i="3"/>
  <c r="N689" i="3"/>
  <c r="N690" i="3"/>
  <c r="N691" i="3"/>
  <c r="N692" i="3"/>
  <c r="N693" i="3"/>
  <c r="N694" i="3"/>
  <c r="N695" i="3"/>
  <c r="N696" i="3"/>
  <c r="N697" i="3"/>
  <c r="N698" i="3"/>
  <c r="N699" i="3"/>
  <c r="N700" i="3"/>
  <c r="N701" i="3"/>
  <c r="N702" i="3"/>
  <c r="N703" i="3"/>
  <c r="N704" i="3"/>
  <c r="N705" i="3"/>
  <c r="N706" i="3"/>
  <c r="N707" i="3"/>
  <c r="N708" i="3"/>
  <c r="N709" i="3"/>
  <c r="N710" i="3"/>
  <c r="N711" i="3"/>
  <c r="N712" i="3"/>
  <c r="N713" i="3"/>
  <c r="N714" i="3"/>
  <c r="N715" i="3"/>
  <c r="N716" i="3"/>
  <c r="N717" i="3"/>
  <c r="N718" i="3"/>
  <c r="N719" i="3"/>
  <c r="N720" i="3"/>
  <c r="N721" i="3"/>
  <c r="N722" i="3"/>
  <c r="N723" i="3"/>
  <c r="N724" i="3"/>
  <c r="N725" i="3"/>
  <c r="N726" i="3"/>
  <c r="N727" i="3"/>
  <c r="N728" i="3"/>
  <c r="N729" i="3"/>
  <c r="N730" i="3"/>
  <c r="N731" i="3"/>
  <c r="N732" i="3"/>
  <c r="N733" i="3"/>
  <c r="N734" i="3"/>
  <c r="N735" i="3"/>
  <c r="N736" i="3"/>
  <c r="N737" i="3"/>
  <c r="N738" i="3"/>
  <c r="N739" i="3"/>
  <c r="N740" i="3"/>
  <c r="N741" i="3"/>
  <c r="N742" i="3"/>
  <c r="N743" i="3"/>
  <c r="N744" i="3"/>
  <c r="N745" i="3"/>
  <c r="N746" i="3"/>
  <c r="N747" i="3"/>
  <c r="N748" i="3"/>
  <c r="N749" i="3"/>
  <c r="N750" i="3"/>
  <c r="N751" i="3"/>
  <c r="N752" i="3"/>
  <c r="N753" i="3"/>
  <c r="N754" i="3"/>
  <c r="N755" i="3"/>
  <c r="N756" i="3"/>
  <c r="N757" i="3"/>
  <c r="N758" i="3"/>
  <c r="N759" i="3"/>
  <c r="N760" i="3"/>
  <c r="N761" i="3"/>
  <c r="N762" i="3"/>
  <c r="N763" i="3"/>
  <c r="N764" i="3"/>
  <c r="N765" i="3"/>
  <c r="N766" i="3"/>
  <c r="N767" i="3"/>
  <c r="N768" i="3"/>
  <c r="N769" i="3"/>
  <c r="N770" i="3"/>
  <c r="N771" i="3"/>
  <c r="N772" i="3"/>
  <c r="N773" i="3"/>
  <c r="N774" i="3"/>
  <c r="N775" i="3"/>
  <c r="N776" i="3"/>
  <c r="N777" i="3"/>
  <c r="N778" i="3"/>
  <c r="N779" i="3"/>
  <c r="N780" i="3"/>
  <c r="N781" i="3"/>
  <c r="N782" i="3"/>
  <c r="N783" i="3"/>
  <c r="N784" i="3"/>
  <c r="N785" i="3"/>
  <c r="N786" i="3"/>
  <c r="N787" i="3"/>
  <c r="N788" i="3"/>
  <c r="N789" i="3"/>
  <c r="N790" i="3"/>
  <c r="N791" i="3"/>
  <c r="N792" i="3"/>
  <c r="N793" i="3"/>
  <c r="N794" i="3"/>
  <c r="N795" i="3"/>
  <c r="N796" i="3"/>
  <c r="N797" i="3"/>
  <c r="N798" i="3"/>
  <c r="N799" i="3"/>
  <c r="N800" i="3"/>
  <c r="N801" i="3"/>
  <c r="N802" i="3"/>
  <c r="N803" i="3"/>
  <c r="N804" i="3"/>
  <c r="N805" i="3"/>
  <c r="N806" i="3"/>
  <c r="N807" i="3"/>
  <c r="N808" i="3"/>
  <c r="N809" i="3"/>
  <c r="N810" i="3"/>
  <c r="N811" i="3"/>
  <c r="N812" i="3"/>
  <c r="N813" i="3"/>
  <c r="N814" i="3"/>
  <c r="N815" i="3"/>
  <c r="N816" i="3"/>
  <c r="N817" i="3"/>
  <c r="N818" i="3"/>
  <c r="N819" i="3"/>
  <c r="N820" i="3"/>
  <c r="N821" i="3"/>
  <c r="N822" i="3"/>
  <c r="N823" i="3"/>
  <c r="N824" i="3"/>
  <c r="N825" i="3"/>
  <c r="N826" i="3"/>
  <c r="N827" i="3"/>
  <c r="N828" i="3"/>
  <c r="N829" i="3"/>
  <c r="N830" i="3"/>
  <c r="N831" i="3"/>
  <c r="N832" i="3"/>
  <c r="N833" i="3"/>
  <c r="N834" i="3"/>
  <c r="N835" i="3"/>
  <c r="N836" i="3"/>
  <c r="N837" i="3"/>
  <c r="N838" i="3"/>
  <c r="N839" i="3"/>
  <c r="N840" i="3"/>
  <c r="N841" i="3"/>
  <c r="N842" i="3"/>
  <c r="N843" i="3"/>
  <c r="N844" i="3"/>
  <c r="N845" i="3"/>
  <c r="N846" i="3"/>
  <c r="N847" i="3"/>
  <c r="N848" i="3"/>
  <c r="N849" i="3"/>
  <c r="N850" i="3"/>
  <c r="N851" i="3"/>
  <c r="N852" i="3"/>
  <c r="N853" i="3"/>
  <c r="N854" i="3"/>
  <c r="N855" i="3"/>
  <c r="N856" i="3"/>
  <c r="N857" i="3"/>
  <c r="N858" i="3"/>
  <c r="N859" i="3"/>
  <c r="N860" i="3"/>
  <c r="N861" i="3"/>
  <c r="N862" i="3"/>
  <c r="N863" i="3"/>
  <c r="N864" i="3"/>
  <c r="N865" i="3"/>
  <c r="N866" i="3"/>
  <c r="N867" i="3"/>
  <c r="N868" i="3"/>
  <c r="N869" i="3"/>
  <c r="N870" i="3"/>
  <c r="N871" i="3"/>
  <c r="N872" i="3"/>
  <c r="N873" i="3"/>
  <c r="N874" i="3"/>
  <c r="N875" i="3"/>
  <c r="N876" i="3"/>
  <c r="N877" i="3"/>
  <c r="N878" i="3"/>
  <c r="N879" i="3"/>
  <c r="N880" i="3"/>
  <c r="N881" i="3"/>
  <c r="N882" i="3"/>
  <c r="N883" i="3"/>
  <c r="N884" i="3"/>
  <c r="N885" i="3"/>
  <c r="N886" i="3"/>
  <c r="N887" i="3"/>
  <c r="N888" i="3"/>
  <c r="N889" i="3"/>
  <c r="N890" i="3"/>
  <c r="N891" i="3"/>
  <c r="N892" i="3"/>
  <c r="N893" i="3"/>
  <c r="N894" i="3"/>
  <c r="N895" i="3"/>
  <c r="N896" i="3"/>
  <c r="N897" i="3"/>
  <c r="N898" i="3"/>
  <c r="N899" i="3"/>
  <c r="N900" i="3"/>
  <c r="N901" i="3"/>
  <c r="N902" i="3"/>
  <c r="N903" i="3"/>
  <c r="N904" i="3"/>
  <c r="N905" i="3"/>
  <c r="N906" i="3"/>
  <c r="N907" i="3"/>
  <c r="N908" i="3"/>
  <c r="N909" i="3"/>
  <c r="N910" i="3"/>
  <c r="N911" i="3"/>
  <c r="N912" i="3"/>
  <c r="N913" i="3"/>
  <c r="N914" i="3"/>
  <c r="N915" i="3"/>
  <c r="N916" i="3"/>
  <c r="N917" i="3"/>
  <c r="N918" i="3"/>
  <c r="N919" i="3"/>
  <c r="N920" i="3"/>
  <c r="N921" i="3"/>
  <c r="N922" i="3"/>
  <c r="N923" i="3"/>
  <c r="N924" i="3"/>
  <c r="N925" i="3"/>
  <c r="N926" i="3"/>
  <c r="N927" i="3"/>
  <c r="N928" i="3"/>
  <c r="N929" i="3"/>
  <c r="N930" i="3"/>
  <c r="N931" i="3"/>
  <c r="N932" i="3"/>
  <c r="N933" i="3"/>
  <c r="N934" i="3"/>
  <c r="N935" i="3"/>
  <c r="N936" i="3"/>
  <c r="N937" i="3"/>
  <c r="N938" i="3"/>
  <c r="N939" i="3"/>
  <c r="N940" i="3"/>
  <c r="N941" i="3"/>
  <c r="N942" i="3"/>
  <c r="N943" i="3"/>
  <c r="N944" i="3"/>
  <c r="N945" i="3"/>
  <c r="N946" i="3"/>
  <c r="N947" i="3"/>
  <c r="N948" i="3"/>
  <c r="N949" i="3"/>
  <c r="N950" i="3"/>
  <c r="N951" i="3"/>
  <c r="N952" i="3"/>
  <c r="N953" i="3"/>
  <c r="N954" i="3"/>
  <c r="N955" i="3"/>
  <c r="N956" i="3"/>
  <c r="N957" i="3"/>
  <c r="N958" i="3"/>
  <c r="N959" i="3"/>
  <c r="N960" i="3"/>
  <c r="N961" i="3"/>
  <c r="N962" i="3"/>
  <c r="N963" i="3"/>
  <c r="N964" i="3"/>
  <c r="N965" i="3"/>
  <c r="N966" i="3"/>
  <c r="N967" i="3"/>
  <c r="N968" i="3"/>
  <c r="N969" i="3"/>
  <c r="N970" i="3"/>
  <c r="N971" i="3"/>
  <c r="N972" i="3"/>
  <c r="N973" i="3"/>
  <c r="N974" i="3"/>
  <c r="N975" i="3"/>
  <c r="N976" i="3"/>
  <c r="N977" i="3"/>
  <c r="N978" i="3"/>
  <c r="N979" i="3"/>
  <c r="N980" i="3"/>
  <c r="N981" i="3"/>
  <c r="N982" i="3"/>
  <c r="N983" i="3"/>
  <c r="N984" i="3"/>
  <c r="N985" i="3"/>
  <c r="N986" i="3"/>
  <c r="N987" i="3"/>
  <c r="N988" i="3"/>
  <c r="N989" i="3"/>
  <c r="N990" i="3"/>
  <c r="N991" i="3"/>
  <c r="N992" i="3"/>
  <c r="N993" i="3"/>
  <c r="N994" i="3"/>
  <c r="N995" i="3"/>
  <c r="N996" i="3"/>
  <c r="N997" i="3"/>
  <c r="N998" i="3"/>
  <c r="N999" i="3"/>
  <c r="N1000" i="3"/>
  <c r="N1001" i="3"/>
  <c r="N1002" i="3"/>
  <c r="N1003" i="3"/>
  <c r="N1004" i="3"/>
  <c r="N1005" i="3"/>
  <c r="N1006" i="3"/>
  <c r="N1007" i="3"/>
  <c r="N1008" i="3"/>
  <c r="N1009" i="3"/>
  <c r="N1010" i="3"/>
  <c r="N1011" i="3"/>
  <c r="N1012" i="3"/>
  <c r="N1013" i="3"/>
  <c r="N1014" i="3"/>
  <c r="N1015" i="3"/>
  <c r="N1016" i="3"/>
  <c r="N1017" i="3"/>
  <c r="N1018" i="3"/>
  <c r="N1019" i="3"/>
  <c r="N1020" i="3"/>
  <c r="N1021" i="3"/>
  <c r="N1022" i="3"/>
  <c r="N1023" i="3"/>
  <c r="N1024" i="3"/>
  <c r="N1025" i="3"/>
  <c r="N1026" i="3"/>
  <c r="N1027" i="3"/>
  <c r="N1028" i="3"/>
  <c r="N1029" i="3"/>
  <c r="N1030" i="3"/>
  <c r="N1031" i="3"/>
  <c r="N1032" i="3"/>
  <c r="N1033" i="3"/>
  <c r="N1034" i="3"/>
  <c r="N1035" i="3"/>
  <c r="N1036" i="3"/>
  <c r="N1037" i="3"/>
  <c r="N1038" i="3"/>
  <c r="N1039" i="3"/>
  <c r="N1040" i="3"/>
  <c r="N1041" i="3"/>
  <c r="N1042" i="3"/>
  <c r="N1043" i="3"/>
  <c r="N1044" i="3"/>
  <c r="N1045" i="3"/>
  <c r="N1046" i="3"/>
  <c r="N1047" i="3"/>
  <c r="N1048" i="3"/>
  <c r="N1049" i="3"/>
  <c r="N1050" i="3"/>
  <c r="N1051" i="3"/>
  <c r="N1052" i="3"/>
  <c r="N1053" i="3"/>
  <c r="N1054" i="3"/>
  <c r="N1055" i="3"/>
  <c r="N1056" i="3"/>
  <c r="N1057" i="3"/>
  <c r="N1058" i="3"/>
  <c r="N1059" i="3"/>
  <c r="N1060" i="3"/>
  <c r="N1061" i="3"/>
  <c r="N1062" i="3"/>
  <c r="N1063" i="3"/>
  <c r="N1064" i="3"/>
  <c r="N1065" i="3"/>
  <c r="N1066" i="3"/>
  <c r="N1067" i="3"/>
  <c r="N1068" i="3"/>
  <c r="N1069" i="3"/>
  <c r="N1070" i="3"/>
  <c r="N1071" i="3"/>
  <c r="N1072" i="3"/>
  <c r="N1073" i="3"/>
  <c r="N1074" i="3"/>
  <c r="N1075" i="3"/>
  <c r="N1076" i="3"/>
  <c r="N1077" i="3"/>
  <c r="N1078" i="3"/>
  <c r="N1079" i="3"/>
  <c r="N1080" i="3"/>
  <c r="N1081" i="3"/>
  <c r="N1082" i="3"/>
  <c r="N1083" i="3"/>
  <c r="N1084" i="3"/>
  <c r="N1085" i="3"/>
  <c r="N1086" i="3"/>
  <c r="N1087" i="3"/>
  <c r="N1088" i="3"/>
  <c r="N1089" i="3"/>
  <c r="N1090" i="3"/>
  <c r="N1091" i="3"/>
  <c r="N1092" i="3"/>
  <c r="N1093" i="3"/>
  <c r="N1094" i="3"/>
  <c r="N1095" i="3"/>
  <c r="N1096" i="3"/>
  <c r="N1097" i="3"/>
  <c r="N1098" i="3"/>
  <c r="N1099" i="3"/>
  <c r="N1100" i="3"/>
  <c r="N1101" i="3"/>
  <c r="N1102" i="3"/>
  <c r="N1103" i="3"/>
  <c r="N1104" i="3"/>
  <c r="N1105" i="3"/>
  <c r="N1106" i="3"/>
  <c r="N1107" i="3"/>
  <c r="N1108" i="3"/>
  <c r="N1109" i="3"/>
  <c r="N1110" i="3"/>
  <c r="N1111" i="3"/>
  <c r="N1112" i="3"/>
  <c r="N1113" i="3"/>
  <c r="N1114" i="3"/>
  <c r="N1115" i="3"/>
  <c r="N1116" i="3"/>
  <c r="N1117" i="3"/>
  <c r="N1118" i="3"/>
  <c r="N1119" i="3"/>
  <c r="N1120" i="3"/>
  <c r="N1121" i="3"/>
  <c r="N1122" i="3"/>
  <c r="N1123" i="3"/>
  <c r="N1124" i="3"/>
  <c r="N1125" i="3"/>
  <c r="N1126" i="3"/>
  <c r="N1127" i="3"/>
  <c r="N1128" i="3"/>
  <c r="N1129" i="3"/>
  <c r="N1130" i="3"/>
  <c r="N1131" i="3"/>
  <c r="N1132" i="3"/>
  <c r="N1133" i="3"/>
  <c r="N1134" i="3"/>
  <c r="N1135" i="3"/>
  <c r="N1136" i="3"/>
  <c r="N1137" i="3"/>
  <c r="N1138" i="3"/>
  <c r="N1139" i="3"/>
  <c r="N1140" i="3"/>
  <c r="N1141" i="3"/>
  <c r="N1142" i="3"/>
  <c r="N1143" i="3"/>
  <c r="N1144" i="3"/>
  <c r="N1145" i="3"/>
  <c r="N1146" i="3"/>
  <c r="N1147" i="3"/>
  <c r="N1148" i="3"/>
  <c r="N1149" i="3"/>
  <c r="N1150" i="3"/>
  <c r="N1151" i="3"/>
  <c r="N1152" i="3"/>
  <c r="N1153" i="3"/>
  <c r="N1154" i="3"/>
  <c r="N1155" i="3"/>
  <c r="N1156" i="3"/>
  <c r="N1157" i="3"/>
  <c r="N1158" i="3"/>
  <c r="N1159" i="3"/>
  <c r="N1160" i="3"/>
  <c r="N1161" i="3"/>
  <c r="N1162" i="3"/>
  <c r="N1163" i="3"/>
  <c r="N1164" i="3"/>
  <c r="N1165" i="3"/>
  <c r="N1166" i="3"/>
  <c r="N1167" i="3"/>
  <c r="N1168" i="3"/>
  <c r="N1169" i="3"/>
  <c r="N1170" i="3"/>
  <c r="N1171" i="3"/>
  <c r="N1172" i="3"/>
  <c r="N1173" i="3"/>
  <c r="N1174" i="3"/>
  <c r="N1175" i="3"/>
  <c r="N1176" i="3"/>
  <c r="N1177" i="3"/>
  <c r="N1178" i="3"/>
  <c r="N1179" i="3"/>
  <c r="N1180" i="3"/>
  <c r="N1181" i="3"/>
  <c r="N1182" i="3"/>
  <c r="N1183" i="3"/>
  <c r="N1184" i="3"/>
  <c r="N1185" i="3"/>
  <c r="N1186" i="3"/>
  <c r="N1187" i="3"/>
  <c r="N1188" i="3"/>
  <c r="N1189" i="3"/>
  <c r="N1190" i="3"/>
  <c r="N1191" i="3"/>
  <c r="N1192" i="3"/>
  <c r="N1193" i="3"/>
  <c r="N1194" i="3"/>
  <c r="N1195" i="3"/>
  <c r="N1196" i="3"/>
  <c r="N1197" i="3"/>
  <c r="N1198" i="3"/>
  <c r="N1199" i="3"/>
  <c r="N1200" i="3"/>
  <c r="N1201" i="3"/>
  <c r="N1202" i="3"/>
  <c r="N1203" i="3"/>
  <c r="N1204" i="3"/>
  <c r="N1205" i="3"/>
  <c r="N1206" i="3"/>
  <c r="N1207" i="3"/>
  <c r="N1208" i="3"/>
  <c r="N1209" i="3"/>
  <c r="N1210" i="3"/>
  <c r="N1211" i="3"/>
  <c r="N1212" i="3"/>
  <c r="N1213" i="3"/>
  <c r="N1214" i="3"/>
  <c r="N1215" i="3"/>
  <c r="N1216" i="3"/>
  <c r="N1217" i="3"/>
  <c r="N1218" i="3"/>
  <c r="N1219" i="3"/>
  <c r="N1220" i="3"/>
  <c r="N1221" i="3"/>
  <c r="N1222" i="3"/>
  <c r="N1223" i="3"/>
  <c r="N1224" i="3"/>
  <c r="N1225" i="3"/>
  <c r="N1226" i="3"/>
  <c r="N1227" i="3"/>
  <c r="N1228" i="3"/>
  <c r="N1229" i="3"/>
  <c r="N1230" i="3"/>
  <c r="N1231" i="3"/>
  <c r="N1232" i="3"/>
  <c r="N1233" i="3"/>
  <c r="N1234" i="3"/>
  <c r="N1235" i="3"/>
  <c r="N1236" i="3"/>
  <c r="N1237" i="3"/>
  <c r="N1238" i="3"/>
  <c r="N1239" i="3"/>
  <c r="N1240" i="3"/>
  <c r="N1241" i="3"/>
  <c r="N1242" i="3"/>
  <c r="N1243" i="3"/>
  <c r="N1244" i="3"/>
  <c r="N1245" i="3"/>
  <c r="N1246" i="3"/>
  <c r="N1247" i="3"/>
  <c r="N1248" i="3"/>
  <c r="N1249" i="3"/>
  <c r="N1250" i="3"/>
  <c r="N1251" i="3"/>
  <c r="N1252" i="3"/>
  <c r="N1253" i="3"/>
  <c r="N1254" i="3"/>
  <c r="N1255" i="3"/>
  <c r="N1256" i="3"/>
  <c r="N1257" i="3"/>
  <c r="N1258" i="3"/>
  <c r="N1259" i="3"/>
  <c r="N1260" i="3"/>
  <c r="N1261" i="3"/>
  <c r="N1262" i="3"/>
  <c r="N1263" i="3"/>
  <c r="N1264" i="3"/>
  <c r="N1265" i="3"/>
  <c r="N1266" i="3"/>
  <c r="N1267" i="3"/>
  <c r="N1268" i="3"/>
  <c r="N1269" i="3"/>
  <c r="N1270" i="3"/>
  <c r="N1271" i="3"/>
  <c r="N1272" i="3"/>
  <c r="N1273" i="3"/>
  <c r="N1274" i="3"/>
  <c r="N1275" i="3"/>
  <c r="N1276" i="3"/>
  <c r="N1277" i="3"/>
  <c r="N1278" i="3"/>
  <c r="N1279" i="3"/>
  <c r="N1280" i="3"/>
  <c r="N1281" i="3"/>
  <c r="N1282" i="3"/>
  <c r="N1283" i="3"/>
  <c r="N1284" i="3"/>
  <c r="N1285" i="3"/>
  <c r="N1286" i="3"/>
  <c r="N1287" i="3"/>
  <c r="N1288" i="3"/>
  <c r="N1289" i="3"/>
  <c r="N1290" i="3"/>
  <c r="N1291" i="3"/>
  <c r="N1292" i="3"/>
  <c r="N1293" i="3"/>
  <c r="N1294" i="3"/>
  <c r="N1295" i="3"/>
  <c r="N1296" i="3"/>
  <c r="N1297" i="3"/>
  <c r="N1298" i="3"/>
  <c r="N1299" i="3"/>
  <c r="N1300" i="3"/>
  <c r="N1301" i="3"/>
  <c r="N1302" i="3"/>
  <c r="N1303" i="3"/>
  <c r="N1304" i="3"/>
  <c r="N1305" i="3"/>
  <c r="N1306" i="3"/>
  <c r="N1307" i="3"/>
  <c r="N1308" i="3"/>
  <c r="N1309" i="3"/>
  <c r="N1310" i="3"/>
  <c r="N1311" i="3"/>
  <c r="N1312" i="3"/>
  <c r="N1313" i="3"/>
  <c r="N1314" i="3"/>
  <c r="N1315" i="3"/>
  <c r="N1316" i="3"/>
  <c r="N1317" i="3"/>
  <c r="N1318" i="3"/>
  <c r="N1319" i="3"/>
  <c r="N1320" i="3"/>
  <c r="N1321" i="3"/>
  <c r="N1322" i="3"/>
  <c r="N1323" i="3"/>
  <c r="N1324" i="3"/>
  <c r="N1325" i="3"/>
  <c r="N1326" i="3"/>
  <c r="N1327" i="3"/>
  <c r="N1328" i="3"/>
  <c r="N1329" i="3"/>
  <c r="N1330" i="3"/>
  <c r="N1331" i="3"/>
  <c r="N1332" i="3"/>
  <c r="N1333" i="3"/>
  <c r="N1334" i="3"/>
  <c r="N1335" i="3"/>
  <c r="N1336" i="3"/>
  <c r="N1337" i="3"/>
  <c r="N1338" i="3"/>
  <c r="N1339" i="3"/>
  <c r="N1340" i="3"/>
  <c r="N1341" i="3"/>
  <c r="N1342" i="3"/>
  <c r="N1343" i="3"/>
  <c r="N1344" i="3"/>
  <c r="N1345" i="3"/>
  <c r="N1346" i="3"/>
  <c r="N1347" i="3"/>
  <c r="N1348" i="3"/>
  <c r="N1349" i="3"/>
  <c r="N1350" i="3"/>
  <c r="N1351" i="3"/>
  <c r="N1352" i="3"/>
  <c r="N1353" i="3"/>
  <c r="N1354" i="3"/>
  <c r="N1355" i="3"/>
  <c r="N1356" i="3"/>
  <c r="N1357" i="3"/>
  <c r="N1358" i="3"/>
  <c r="N1359" i="3"/>
  <c r="N1360" i="3"/>
  <c r="N1361" i="3"/>
  <c r="N1362" i="3"/>
  <c r="N1363" i="3"/>
  <c r="N1364" i="3"/>
  <c r="N1365" i="3"/>
  <c r="N1366" i="3"/>
  <c r="N1367" i="3"/>
  <c r="N1368" i="3"/>
  <c r="N1369" i="3"/>
  <c r="N1370" i="3"/>
  <c r="N1371" i="3"/>
  <c r="N1372" i="3"/>
  <c r="N1373" i="3"/>
  <c r="N1374" i="3"/>
  <c r="N1375" i="3"/>
  <c r="N1376" i="3"/>
  <c r="N1377" i="3"/>
  <c r="N1378" i="3"/>
  <c r="N1379" i="3"/>
  <c r="N1380" i="3"/>
  <c r="N1381" i="3"/>
  <c r="N1382" i="3"/>
  <c r="N1383" i="3"/>
  <c r="N1384" i="3"/>
  <c r="N1385" i="3"/>
  <c r="N1386" i="3"/>
  <c r="N1387" i="3"/>
  <c r="N1388" i="3"/>
  <c r="N1389" i="3"/>
  <c r="N1390" i="3"/>
  <c r="N1391" i="3"/>
  <c r="N1392" i="3"/>
  <c r="N1393" i="3"/>
  <c r="N1394" i="3"/>
  <c r="N1395" i="3"/>
  <c r="N1396" i="3"/>
  <c r="N1397" i="3"/>
  <c r="N1398" i="3"/>
  <c r="N1399" i="3"/>
  <c r="N1400" i="3"/>
  <c r="N1401" i="3"/>
  <c r="N1402" i="3"/>
  <c r="N1403" i="3"/>
  <c r="N1404" i="3"/>
  <c r="N1405" i="3"/>
  <c r="N1406" i="3"/>
  <c r="N1407" i="3"/>
  <c r="N1408" i="3"/>
  <c r="N1409" i="3"/>
  <c r="N1410" i="3"/>
  <c r="N1411" i="3"/>
  <c r="N1412" i="3"/>
  <c r="N1413" i="3"/>
  <c r="N1414" i="3"/>
  <c r="N1415" i="3"/>
  <c r="N1416" i="3"/>
  <c r="N1417" i="3"/>
  <c r="N1418" i="3"/>
  <c r="N1419" i="3"/>
  <c r="N1420" i="3"/>
  <c r="N1421" i="3"/>
  <c r="N1422" i="3"/>
  <c r="N1423" i="3"/>
  <c r="N1424" i="3"/>
  <c r="N1425" i="3"/>
  <c r="N1426" i="3"/>
  <c r="N1427" i="3"/>
  <c r="N1428" i="3"/>
  <c r="N1429" i="3"/>
  <c r="N1430" i="3"/>
  <c r="N1431" i="3"/>
  <c r="N1432" i="3"/>
  <c r="N1433" i="3"/>
  <c r="N1434" i="3"/>
  <c r="N1435" i="3"/>
  <c r="N1436" i="3"/>
  <c r="N1437" i="3"/>
  <c r="N1438" i="3"/>
  <c r="N1439" i="3"/>
  <c r="N1440" i="3"/>
  <c r="N1441" i="3"/>
  <c r="N1442" i="3"/>
  <c r="N1443" i="3"/>
  <c r="N1444" i="3"/>
  <c r="N1445" i="3"/>
  <c r="N1446" i="3"/>
  <c r="N1447" i="3"/>
  <c r="N1448" i="3"/>
  <c r="N1449" i="3"/>
  <c r="N1450" i="3"/>
  <c r="N1451" i="3"/>
  <c r="N1452" i="3"/>
  <c r="N1453" i="3"/>
  <c r="N1454" i="3"/>
  <c r="N1455" i="3"/>
  <c r="N1456" i="3"/>
  <c r="N1457" i="3"/>
  <c r="N1458" i="3"/>
  <c r="N1459" i="3"/>
  <c r="N1460" i="3"/>
  <c r="N1461" i="3"/>
  <c r="N1462" i="3"/>
  <c r="N1463" i="3"/>
  <c r="N1464" i="3"/>
  <c r="N1465" i="3"/>
  <c r="N1466" i="3"/>
  <c r="N1467" i="3"/>
  <c r="N1468" i="3"/>
  <c r="N1469" i="3"/>
  <c r="N1470" i="3"/>
  <c r="N1471" i="3"/>
  <c r="N1472" i="3"/>
  <c r="N1473" i="3"/>
  <c r="N1474" i="3"/>
  <c r="N1475" i="3"/>
  <c r="N1476" i="3"/>
  <c r="N1477" i="3"/>
  <c r="N1478" i="3"/>
  <c r="N1479" i="3"/>
  <c r="N1480" i="3"/>
  <c r="N1481" i="3"/>
  <c r="N1482" i="3"/>
  <c r="N1483" i="3"/>
  <c r="N1484" i="3"/>
  <c r="N1485" i="3"/>
  <c r="N1486" i="3"/>
  <c r="N1487" i="3"/>
  <c r="N1488" i="3"/>
  <c r="N1489" i="3"/>
  <c r="N1490" i="3"/>
  <c r="N1491" i="3"/>
  <c r="N1492" i="3"/>
  <c r="N1493" i="3"/>
  <c r="N1494" i="3"/>
  <c r="N1495" i="3"/>
  <c r="N1496" i="3"/>
  <c r="N1497" i="3"/>
  <c r="N1498" i="3"/>
  <c r="N1499" i="3"/>
  <c r="N1500" i="3"/>
  <c r="N1501" i="3"/>
  <c r="N1502" i="3"/>
  <c r="N1503" i="3"/>
  <c r="N1504" i="3"/>
  <c r="N1505" i="3"/>
  <c r="N1506" i="3"/>
  <c r="N1507" i="3"/>
  <c r="N1508" i="3"/>
  <c r="N1509" i="3"/>
  <c r="N1510" i="3"/>
  <c r="N1511" i="3"/>
  <c r="N1512" i="3"/>
  <c r="N1513" i="3"/>
  <c r="N1514" i="3"/>
  <c r="N1515" i="3"/>
  <c r="N1516" i="3"/>
  <c r="N1517" i="3"/>
  <c r="N1518" i="3"/>
  <c r="N1519" i="3"/>
  <c r="N1520" i="3"/>
  <c r="N1521" i="3"/>
  <c r="N1522" i="3"/>
  <c r="N1523" i="3"/>
  <c r="N1524" i="3"/>
  <c r="N1525" i="3"/>
  <c r="N1526" i="3"/>
  <c r="N1527" i="3"/>
  <c r="N1528" i="3"/>
  <c r="N1529" i="3"/>
  <c r="N1530" i="3"/>
  <c r="N1531" i="3"/>
  <c r="N1532" i="3"/>
  <c r="N1533" i="3"/>
  <c r="N1534" i="3"/>
  <c r="N1535" i="3"/>
  <c r="N1536" i="3"/>
  <c r="N1537" i="3"/>
  <c r="N1538" i="3"/>
  <c r="N1539" i="3"/>
  <c r="N1540" i="3"/>
  <c r="N1541" i="3"/>
  <c r="N1542" i="3"/>
  <c r="N1543" i="3"/>
  <c r="N1544" i="3"/>
  <c r="N1545" i="3"/>
  <c r="N1546" i="3"/>
  <c r="N1547" i="3"/>
  <c r="N1548" i="3"/>
  <c r="N1549" i="3"/>
  <c r="N1550" i="3"/>
  <c r="N1551" i="3"/>
  <c r="N1552" i="3"/>
  <c r="N1553" i="3"/>
  <c r="N1554" i="3"/>
  <c r="N1555" i="3"/>
  <c r="N1556" i="3"/>
  <c r="N1557" i="3"/>
  <c r="N1558" i="3"/>
  <c r="N1559" i="3"/>
  <c r="N1560" i="3"/>
  <c r="N1561" i="3"/>
  <c r="N1562" i="3"/>
  <c r="N1563" i="3"/>
  <c r="N1564" i="3"/>
  <c r="N1565" i="3"/>
  <c r="N1566" i="3"/>
  <c r="N1567" i="3"/>
  <c r="N1568" i="3"/>
  <c r="N1569" i="3"/>
  <c r="N1570" i="3"/>
  <c r="N1571" i="3"/>
  <c r="N1572" i="3"/>
  <c r="N1573" i="3"/>
  <c r="N1574" i="3"/>
  <c r="N1575" i="3"/>
  <c r="N1576" i="3"/>
  <c r="N1577" i="3"/>
  <c r="N1578" i="3"/>
  <c r="N1579" i="3"/>
  <c r="N1580" i="3"/>
  <c r="N1581" i="3"/>
  <c r="N1582" i="3"/>
  <c r="N1583" i="3"/>
  <c r="N1584" i="3"/>
  <c r="N1585" i="3"/>
  <c r="N1586" i="3"/>
  <c r="N1587" i="3"/>
  <c r="N1588" i="3"/>
  <c r="N1589" i="3"/>
  <c r="N1590" i="3"/>
  <c r="N1591" i="3"/>
  <c r="N1592" i="3"/>
  <c r="N1593" i="3"/>
  <c r="N1594" i="3"/>
  <c r="N1595" i="3"/>
  <c r="N1596" i="3"/>
  <c r="N1597" i="3"/>
  <c r="N1598" i="3"/>
  <c r="N1599" i="3"/>
  <c r="N1600" i="3"/>
  <c r="N1601" i="3"/>
  <c r="N1602" i="3"/>
  <c r="N1603" i="3"/>
  <c r="N1604" i="3"/>
  <c r="N1605" i="3"/>
  <c r="N1606" i="3"/>
  <c r="N1607" i="3"/>
  <c r="N1608" i="3"/>
  <c r="N1609" i="3"/>
  <c r="N1610" i="3"/>
  <c r="N1611" i="3"/>
  <c r="N1612" i="3"/>
  <c r="N1613" i="3"/>
  <c r="N1614" i="3"/>
  <c r="N1615" i="3"/>
  <c r="N1616" i="3"/>
  <c r="N1617" i="3"/>
  <c r="N1618" i="3"/>
  <c r="N1619" i="3"/>
  <c r="N1620" i="3"/>
  <c r="N1621" i="3"/>
  <c r="N1622" i="3"/>
  <c r="N1623" i="3"/>
  <c r="N1624" i="3"/>
  <c r="N1625" i="3"/>
  <c r="N1626" i="3"/>
  <c r="N1627" i="3"/>
  <c r="N1628" i="3"/>
  <c r="N1629" i="3"/>
  <c r="N1630" i="3"/>
  <c r="N1631" i="3"/>
  <c r="N1632" i="3"/>
  <c r="N1633" i="3"/>
  <c r="N1634" i="3"/>
  <c r="N1635" i="3"/>
  <c r="N1636" i="3"/>
  <c r="N1637" i="3"/>
  <c r="N1638" i="3"/>
  <c r="N1639" i="3"/>
  <c r="N1640" i="3"/>
  <c r="N1641" i="3"/>
  <c r="N1642" i="3"/>
  <c r="N1643" i="3"/>
  <c r="N1644" i="3"/>
  <c r="N1645" i="3"/>
  <c r="N1646" i="3"/>
  <c r="N1647" i="3"/>
  <c r="N1648" i="3"/>
  <c r="N1649" i="3"/>
  <c r="N1650" i="3"/>
  <c r="N1651" i="3"/>
  <c r="N1652" i="3"/>
  <c r="N1653" i="3"/>
  <c r="N1654" i="3"/>
  <c r="N1655" i="3"/>
  <c r="N1656" i="3"/>
  <c r="N1657" i="3"/>
  <c r="N1658" i="3"/>
  <c r="N1659" i="3"/>
  <c r="N1660" i="3"/>
  <c r="N1661" i="3"/>
  <c r="N1662" i="3"/>
  <c r="N1663" i="3"/>
  <c r="N1664" i="3"/>
  <c r="N1665" i="3"/>
  <c r="N1666" i="3"/>
  <c r="N1667" i="3"/>
  <c r="N1668" i="3"/>
  <c r="N1669" i="3"/>
  <c r="N1670" i="3"/>
  <c r="N1671" i="3"/>
  <c r="N1672" i="3"/>
  <c r="N1673" i="3"/>
  <c r="N1674" i="3"/>
  <c r="N1675" i="3"/>
  <c r="N1676" i="3"/>
  <c r="N1677" i="3"/>
  <c r="N1678" i="3"/>
  <c r="N1679" i="3"/>
  <c r="N1680" i="3"/>
  <c r="N1681" i="3"/>
  <c r="N1682" i="3"/>
  <c r="N1683" i="3"/>
  <c r="N1684" i="3"/>
  <c r="N1685" i="3"/>
  <c r="N1686" i="3"/>
  <c r="N1687" i="3"/>
  <c r="N1688" i="3"/>
  <c r="N1689" i="3"/>
  <c r="N1690" i="3"/>
  <c r="N1691" i="3"/>
  <c r="N1692" i="3"/>
  <c r="N1693" i="3"/>
  <c r="N1694" i="3"/>
  <c r="N1695" i="3"/>
  <c r="N1696" i="3"/>
  <c r="N1697" i="3"/>
  <c r="N1698" i="3"/>
  <c r="N1699" i="3"/>
  <c r="N1700" i="3"/>
  <c r="N1701" i="3"/>
  <c r="N1702" i="3"/>
  <c r="N1703" i="3"/>
  <c r="N1704" i="3"/>
  <c r="N1705" i="3"/>
  <c r="N1706" i="3"/>
  <c r="N1707" i="3"/>
  <c r="N1708" i="3"/>
  <c r="N1709" i="3"/>
  <c r="N1710" i="3"/>
  <c r="N1711" i="3"/>
  <c r="N1712" i="3"/>
  <c r="N1713" i="3"/>
  <c r="N1714" i="3"/>
  <c r="N1715" i="3"/>
  <c r="N1716" i="3"/>
  <c r="N1717" i="3"/>
  <c r="N1718" i="3"/>
  <c r="N1719" i="3"/>
  <c r="N1720" i="3"/>
  <c r="N1721" i="3"/>
  <c r="N1722" i="3"/>
  <c r="N1723" i="3"/>
  <c r="N1724" i="3"/>
  <c r="N1725" i="3"/>
  <c r="N1726" i="3"/>
  <c r="N1727" i="3"/>
  <c r="N1728" i="3"/>
  <c r="N1729" i="3"/>
  <c r="N1730" i="3"/>
  <c r="N1731" i="3"/>
  <c r="N1732" i="3"/>
  <c r="N1733" i="3"/>
  <c r="N1734" i="3"/>
  <c r="N1735" i="3"/>
  <c r="N1736" i="3"/>
  <c r="N1737" i="3"/>
  <c r="N1738" i="3"/>
  <c r="N1739" i="3"/>
  <c r="N1740" i="3"/>
  <c r="N1741" i="3"/>
  <c r="N1742" i="3"/>
  <c r="N1743" i="3"/>
  <c r="N1744" i="3"/>
  <c r="N1745" i="3"/>
  <c r="N1746" i="3"/>
  <c r="N1747" i="3"/>
  <c r="N1748" i="3"/>
  <c r="N1749" i="3"/>
  <c r="N1750" i="3"/>
  <c r="N1751" i="3"/>
  <c r="N1752" i="3"/>
  <c r="N1753" i="3"/>
  <c r="N1754" i="3"/>
  <c r="N1755" i="3"/>
  <c r="N1756" i="3"/>
  <c r="N1757" i="3"/>
  <c r="N1758" i="3"/>
  <c r="N1759" i="3"/>
  <c r="N1760" i="3"/>
  <c r="N1761" i="3"/>
  <c r="N1762" i="3"/>
  <c r="N1763" i="3"/>
  <c r="N1764" i="3"/>
  <c r="N1765" i="3"/>
  <c r="N1766" i="3"/>
  <c r="N1767" i="3"/>
  <c r="N1768" i="3"/>
  <c r="N1769" i="3"/>
  <c r="N1770" i="3"/>
  <c r="N1771" i="3"/>
  <c r="N1772" i="3"/>
  <c r="N1773" i="3"/>
  <c r="N1774" i="3"/>
  <c r="N1775" i="3"/>
  <c r="N1776" i="3"/>
  <c r="N1777" i="3"/>
  <c r="N1778" i="3"/>
  <c r="N1779" i="3"/>
  <c r="N1780" i="3"/>
  <c r="N1781" i="3"/>
  <c r="N1782" i="3"/>
  <c r="N1783" i="3"/>
  <c r="N1784" i="3"/>
  <c r="N1785" i="3"/>
  <c r="N1786" i="3"/>
  <c r="N1787" i="3"/>
  <c r="N1788" i="3"/>
  <c r="N1789" i="3"/>
  <c r="N1790" i="3"/>
  <c r="N1791" i="3"/>
  <c r="N1792" i="3"/>
  <c r="N1793" i="3"/>
  <c r="N1794" i="3"/>
  <c r="N1795" i="3"/>
  <c r="N1796" i="3"/>
  <c r="N1797" i="3"/>
  <c r="N1798" i="3"/>
  <c r="N1799" i="3"/>
  <c r="N1800" i="3"/>
  <c r="N1801" i="3"/>
  <c r="N1802" i="3"/>
  <c r="N1803" i="3"/>
  <c r="N1804" i="3"/>
  <c r="N1805" i="3"/>
  <c r="N1806" i="3"/>
  <c r="N1807" i="3"/>
  <c r="N1808" i="3"/>
  <c r="N1809" i="3"/>
  <c r="N1810" i="3"/>
  <c r="N1811" i="3"/>
  <c r="N1812" i="3"/>
  <c r="N1813" i="3"/>
  <c r="N1814" i="3"/>
  <c r="N1815" i="3"/>
  <c r="N1816" i="3"/>
  <c r="N1817" i="3"/>
  <c r="N1818" i="3"/>
  <c r="N1819" i="3"/>
  <c r="N1820" i="3"/>
  <c r="N1821" i="3"/>
  <c r="N1822" i="3"/>
  <c r="N1823" i="3"/>
  <c r="N1824" i="3"/>
  <c r="N1825" i="3"/>
  <c r="N1826" i="3"/>
  <c r="N1827" i="3"/>
  <c r="N1828" i="3"/>
  <c r="N1829" i="3"/>
  <c r="N1830" i="3"/>
  <c r="N1831" i="3"/>
  <c r="N1832" i="3"/>
  <c r="N1833" i="3"/>
  <c r="N1834" i="3"/>
  <c r="N1835" i="3"/>
  <c r="N1836" i="3"/>
  <c r="N1837" i="3"/>
  <c r="N1838" i="3"/>
  <c r="N1839" i="3"/>
  <c r="N1840" i="3"/>
  <c r="N1841" i="3"/>
  <c r="N1842" i="3"/>
  <c r="N1843" i="3"/>
  <c r="N1844" i="3"/>
  <c r="N1845" i="3"/>
  <c r="N1846" i="3"/>
  <c r="N1847" i="3"/>
  <c r="N1848" i="3"/>
  <c r="N1849" i="3"/>
  <c r="N1850" i="3"/>
  <c r="N1851" i="3"/>
  <c r="N1852" i="3"/>
  <c r="N1853" i="3"/>
  <c r="N1854" i="3"/>
  <c r="N1855" i="3"/>
  <c r="N1856" i="3"/>
  <c r="N1857" i="3"/>
  <c r="N1858" i="3"/>
  <c r="N1859" i="3"/>
  <c r="N1860" i="3"/>
  <c r="N1861" i="3"/>
  <c r="N1862" i="3"/>
  <c r="N1863" i="3"/>
  <c r="N1864" i="3"/>
  <c r="N1865" i="3"/>
  <c r="N1866" i="3"/>
  <c r="N1867" i="3"/>
  <c r="N1868" i="3"/>
  <c r="N1869" i="3"/>
  <c r="N1870" i="3"/>
  <c r="N1871" i="3"/>
  <c r="N1872" i="3"/>
  <c r="N1873" i="3"/>
  <c r="N1874" i="3"/>
  <c r="N1875" i="3"/>
  <c r="N1876" i="3"/>
  <c r="N1877" i="3"/>
  <c r="N1878" i="3"/>
  <c r="N1879" i="3"/>
  <c r="N1880" i="3"/>
  <c r="N1881" i="3"/>
  <c r="N1882" i="3"/>
  <c r="N1883" i="3"/>
  <c r="N1884" i="3"/>
  <c r="N1885" i="3"/>
  <c r="N1886" i="3"/>
  <c r="N1887" i="3"/>
  <c r="N1888" i="3"/>
  <c r="N1889" i="3"/>
  <c r="N1890" i="3"/>
  <c r="N1891" i="3"/>
  <c r="N1892" i="3"/>
  <c r="N1893" i="3"/>
  <c r="N1894" i="3"/>
  <c r="N1895" i="3"/>
  <c r="N1896" i="3"/>
  <c r="N1897" i="3"/>
  <c r="N1898" i="3"/>
  <c r="N1899" i="3"/>
  <c r="N1900" i="3"/>
  <c r="N1901" i="3"/>
  <c r="N1902" i="3"/>
  <c r="N1903" i="3"/>
  <c r="N1904" i="3"/>
  <c r="N1905" i="3"/>
  <c r="N1906" i="3"/>
  <c r="N1907" i="3"/>
  <c r="N1908" i="3"/>
  <c r="N1909" i="3"/>
  <c r="N1910" i="3"/>
  <c r="N1911" i="3"/>
  <c r="N1912" i="3"/>
  <c r="N1913" i="3"/>
  <c r="N1914" i="3"/>
  <c r="N1915" i="3"/>
  <c r="N1916" i="3"/>
  <c r="N1917" i="3"/>
  <c r="N1918" i="3"/>
  <c r="N1919" i="3"/>
  <c r="N1920" i="3"/>
  <c r="N1921" i="3"/>
  <c r="N1922" i="3"/>
  <c r="N1923" i="3"/>
  <c r="N1924" i="3"/>
  <c r="N1925" i="3"/>
  <c r="N1926" i="3"/>
  <c r="N1927" i="3"/>
  <c r="N1928" i="3"/>
  <c r="N1929" i="3"/>
  <c r="N1930" i="3"/>
  <c r="N1931" i="3"/>
  <c r="N1932" i="3"/>
  <c r="N1933" i="3"/>
  <c r="N1934" i="3"/>
  <c r="N1935" i="3"/>
  <c r="N1936" i="3"/>
  <c r="N1937" i="3"/>
  <c r="N1938" i="3"/>
  <c r="N1939" i="3"/>
  <c r="N1940" i="3"/>
  <c r="N1941" i="3"/>
  <c r="N1942" i="3"/>
  <c r="N1943" i="3"/>
  <c r="N1944" i="3"/>
  <c r="N1945" i="3"/>
  <c r="N1946" i="3"/>
  <c r="N1947" i="3"/>
  <c r="N1948" i="3"/>
  <c r="N1949" i="3"/>
  <c r="N1950" i="3"/>
  <c r="N1951" i="3"/>
  <c r="N1952" i="3"/>
  <c r="N1953" i="3"/>
  <c r="N1954" i="3"/>
  <c r="N1955" i="3"/>
  <c r="N1956" i="3"/>
  <c r="N1957" i="3"/>
  <c r="N1958" i="3"/>
  <c r="N1959" i="3"/>
  <c r="N1960" i="3"/>
  <c r="N1961" i="3"/>
  <c r="N1962" i="3"/>
  <c r="N1963" i="3"/>
  <c r="N1964" i="3"/>
  <c r="N1965" i="3"/>
  <c r="N1966" i="3"/>
  <c r="N1967" i="3"/>
  <c r="N1968" i="3"/>
  <c r="N1969" i="3"/>
  <c r="N1970" i="3"/>
  <c r="N1971" i="3"/>
  <c r="N1972" i="3"/>
  <c r="N1973" i="3"/>
  <c r="N1974" i="3"/>
  <c r="N1975" i="3"/>
  <c r="N1976" i="3"/>
  <c r="N1977" i="3"/>
  <c r="N1978" i="3"/>
  <c r="N1979" i="3"/>
  <c r="N1980" i="3"/>
  <c r="N1981" i="3"/>
  <c r="N1982" i="3"/>
  <c r="N1983" i="3"/>
  <c r="N1984" i="3"/>
  <c r="N1985" i="3"/>
  <c r="N1986" i="3"/>
  <c r="N1987" i="3"/>
  <c r="N1988" i="3"/>
  <c r="N1989" i="3"/>
  <c r="N1990" i="3"/>
  <c r="N1991" i="3"/>
  <c r="N1992" i="3"/>
  <c r="N1993" i="3"/>
  <c r="N1994" i="3"/>
  <c r="N1995" i="3"/>
  <c r="N1996" i="3"/>
  <c r="N1997" i="3"/>
  <c r="N1998" i="3"/>
  <c r="N1999" i="3"/>
  <c r="N2000" i="3"/>
  <c r="N2001" i="3"/>
  <c r="N2002" i="3"/>
  <c r="N2003" i="3"/>
  <c r="N2004" i="3"/>
  <c r="N2005" i="3"/>
  <c r="N2006" i="3"/>
  <c r="N2007" i="3"/>
  <c r="N2008" i="3"/>
  <c r="N2009" i="3"/>
  <c r="N2010" i="3"/>
  <c r="N2011" i="3"/>
  <c r="N2012" i="3"/>
  <c r="N2013" i="3"/>
  <c r="N2014" i="3"/>
  <c r="N2015" i="3"/>
  <c r="N2016" i="3"/>
  <c r="N2017" i="3"/>
  <c r="N2018" i="3"/>
  <c r="N2019" i="3"/>
  <c r="N2020" i="3"/>
  <c r="N2021" i="3"/>
  <c r="N2022" i="3"/>
  <c r="N2023" i="3"/>
  <c r="N2024" i="3"/>
  <c r="N2025" i="3"/>
  <c r="N2026" i="3"/>
  <c r="N2027" i="3"/>
  <c r="N2028" i="3"/>
  <c r="N2029" i="3"/>
  <c r="N2030" i="3"/>
  <c r="N2031" i="3"/>
  <c r="N2032" i="3"/>
  <c r="N2033" i="3"/>
  <c r="N2034" i="3"/>
  <c r="N2035" i="3"/>
  <c r="N2036" i="3"/>
  <c r="N2037" i="3"/>
  <c r="N2038" i="3"/>
  <c r="N2039" i="3"/>
  <c r="N2040" i="3"/>
  <c r="N2041" i="3"/>
  <c r="N2042" i="3"/>
  <c r="N2043" i="3"/>
  <c r="N2044" i="3"/>
  <c r="N2045" i="3"/>
  <c r="N2046" i="3"/>
  <c r="N2047" i="3"/>
  <c r="N2048" i="3"/>
  <c r="N2049" i="3"/>
  <c r="N2050" i="3"/>
  <c r="N2051" i="3"/>
  <c r="N2052" i="3"/>
  <c r="N2053" i="3"/>
  <c r="N2054" i="3"/>
  <c r="N2055" i="3"/>
  <c r="N2056" i="3"/>
  <c r="N2057" i="3"/>
  <c r="N2058" i="3"/>
  <c r="N2059" i="3"/>
  <c r="N2060" i="3"/>
  <c r="N2061" i="3"/>
  <c r="N2062" i="3"/>
  <c r="N2063" i="3"/>
  <c r="N2064" i="3"/>
  <c r="N2065" i="3"/>
  <c r="N2066" i="3"/>
  <c r="N2067" i="3"/>
  <c r="N2068" i="3"/>
  <c r="N2069" i="3"/>
  <c r="N2070" i="3"/>
  <c r="N2071" i="3"/>
  <c r="N2072" i="3"/>
  <c r="N2073" i="3"/>
  <c r="N2074" i="3"/>
  <c r="N2075" i="3"/>
  <c r="N2076" i="3"/>
  <c r="N2077" i="3"/>
  <c r="N2078" i="3"/>
  <c r="N2079" i="3"/>
  <c r="N2080" i="3"/>
  <c r="N2081" i="3"/>
  <c r="N2082" i="3"/>
  <c r="N2083" i="3"/>
  <c r="N2084" i="3"/>
  <c r="N2085" i="3"/>
  <c r="N2086" i="3"/>
  <c r="N2087" i="3"/>
  <c r="N2088" i="3"/>
  <c r="N2089" i="3"/>
  <c r="N2090" i="3"/>
  <c r="N2091" i="3"/>
  <c r="N2092" i="3"/>
  <c r="N2093" i="3"/>
  <c r="N2094" i="3"/>
  <c r="N2095" i="3"/>
  <c r="N2096" i="3"/>
  <c r="N2097" i="3"/>
  <c r="N2098" i="3"/>
  <c r="N2099" i="3"/>
  <c r="N2100" i="3"/>
  <c r="N2101" i="3"/>
  <c r="N2102" i="3"/>
  <c r="N2103" i="3"/>
  <c r="N2104" i="3"/>
  <c r="N2105" i="3"/>
  <c r="N2106" i="3"/>
  <c r="N2107" i="3"/>
  <c r="N2108" i="3"/>
  <c r="N2109" i="3"/>
  <c r="N2110" i="3"/>
  <c r="N2111" i="3"/>
  <c r="N2112" i="3"/>
  <c r="N2113" i="3"/>
  <c r="N2114" i="3"/>
  <c r="N2115" i="3"/>
  <c r="N2116" i="3"/>
  <c r="N2117" i="3"/>
  <c r="N2118" i="3"/>
  <c r="N2119" i="3"/>
  <c r="N2120" i="3"/>
  <c r="N2121" i="3"/>
  <c r="N2122" i="3"/>
  <c r="N2123" i="3"/>
  <c r="N2124" i="3"/>
  <c r="N2125" i="3"/>
  <c r="N2126" i="3"/>
  <c r="N2127" i="3"/>
  <c r="N2128" i="3"/>
  <c r="N2129" i="3"/>
  <c r="N2130" i="3"/>
  <c r="N2131" i="3"/>
  <c r="N2132" i="3"/>
  <c r="N2133" i="3"/>
  <c r="N2134" i="3"/>
  <c r="N2135" i="3"/>
  <c r="N2136" i="3"/>
  <c r="N2137" i="3"/>
  <c r="N2138" i="3"/>
  <c r="N2139" i="3"/>
  <c r="N2140" i="3"/>
  <c r="N2141" i="3"/>
  <c r="N2142" i="3"/>
  <c r="N2143" i="3"/>
  <c r="N2144" i="3"/>
  <c r="N2145" i="3"/>
  <c r="N2146" i="3"/>
  <c r="N2147" i="3"/>
  <c r="N2148" i="3"/>
  <c r="N2149" i="3"/>
  <c r="N2150" i="3"/>
  <c r="N2151" i="3"/>
  <c r="N2152" i="3"/>
  <c r="N2153" i="3"/>
  <c r="N2154" i="3"/>
  <c r="N2155" i="3"/>
  <c r="N2156" i="3"/>
  <c r="N2157" i="3"/>
  <c r="N2158" i="3"/>
  <c r="N2159" i="3"/>
  <c r="N2160" i="3"/>
  <c r="N2161" i="3"/>
  <c r="N2162" i="3"/>
  <c r="N2163" i="3"/>
  <c r="N2164" i="3"/>
  <c r="N2165" i="3"/>
  <c r="N2166" i="3"/>
  <c r="N2167" i="3"/>
  <c r="N2168" i="3"/>
  <c r="N2169" i="3"/>
  <c r="N2170" i="3"/>
  <c r="N2171" i="3"/>
  <c r="N2172" i="3"/>
  <c r="N2173" i="3"/>
  <c r="N2174" i="3"/>
  <c r="N2175" i="3"/>
  <c r="N2176" i="3"/>
  <c r="N2177" i="3"/>
  <c r="N2178" i="3"/>
  <c r="N2179" i="3"/>
  <c r="N2180" i="3"/>
  <c r="N2181" i="3"/>
  <c r="N2182" i="3"/>
  <c r="N2183" i="3"/>
  <c r="N2184" i="3"/>
  <c r="N2185" i="3"/>
  <c r="N2186" i="3"/>
  <c r="N2187" i="3"/>
  <c r="N2188" i="3"/>
  <c r="N2189" i="3"/>
  <c r="N2190" i="3"/>
  <c r="N2191" i="3"/>
  <c r="N2192" i="3"/>
  <c r="N2193" i="3"/>
  <c r="N2194" i="3"/>
  <c r="N2195" i="3"/>
  <c r="N2196" i="3"/>
  <c r="N2197" i="3"/>
  <c r="N2198" i="3"/>
  <c r="N2199" i="3"/>
  <c r="N2200" i="3"/>
  <c r="N2201" i="3"/>
  <c r="N2202" i="3"/>
  <c r="N2203" i="3"/>
  <c r="N2204" i="3"/>
  <c r="N2205" i="3"/>
  <c r="N2206" i="3"/>
  <c r="N2207" i="3"/>
  <c r="N2208" i="3"/>
  <c r="N2209" i="3"/>
  <c r="N2210" i="3"/>
  <c r="N2211" i="3"/>
  <c r="N2212" i="3"/>
  <c r="N2213" i="3"/>
  <c r="N2214" i="3"/>
  <c r="N2215" i="3"/>
  <c r="N2216" i="3"/>
  <c r="N2217" i="3"/>
  <c r="N2218" i="3"/>
  <c r="N2219" i="3"/>
  <c r="N2220" i="3"/>
  <c r="N2221" i="3"/>
  <c r="N2222" i="3"/>
  <c r="N2223" i="3"/>
  <c r="N2224" i="3"/>
  <c r="N2225" i="3"/>
  <c r="N2226" i="3"/>
  <c r="N2227" i="3"/>
  <c r="N2228" i="3"/>
  <c r="N2229" i="3"/>
  <c r="N2230" i="3"/>
  <c r="N2231" i="3"/>
  <c r="N2232" i="3"/>
  <c r="N2233" i="3"/>
  <c r="N2234" i="3"/>
  <c r="N2235" i="3"/>
  <c r="N2236" i="3"/>
  <c r="N2237" i="3"/>
  <c r="N2238" i="3"/>
  <c r="N2239" i="3"/>
  <c r="N2240" i="3"/>
  <c r="N2241" i="3"/>
  <c r="N2242" i="3"/>
  <c r="N2243" i="3"/>
  <c r="N2244" i="3"/>
  <c r="N2245" i="3"/>
  <c r="N2246" i="3"/>
  <c r="N2247" i="3"/>
  <c r="N2248" i="3"/>
  <c r="N2249" i="3"/>
  <c r="N2250" i="3"/>
  <c r="N2251" i="3"/>
  <c r="N2252" i="3"/>
  <c r="N2253" i="3"/>
  <c r="N2254" i="3"/>
  <c r="N2255" i="3"/>
  <c r="N2256" i="3"/>
  <c r="N2257" i="3"/>
  <c r="N2258" i="3"/>
  <c r="N2259" i="3"/>
  <c r="N2260" i="3"/>
  <c r="N2261" i="3"/>
  <c r="N2262" i="3"/>
  <c r="N2263" i="3"/>
  <c r="N2264" i="3"/>
  <c r="N2265" i="3"/>
  <c r="N2266" i="3"/>
  <c r="N2267" i="3"/>
  <c r="N2268" i="3"/>
  <c r="N2269" i="3"/>
  <c r="N2270" i="3"/>
  <c r="N2271" i="3"/>
  <c r="N2272" i="3"/>
  <c r="N2273" i="3"/>
  <c r="N2274" i="3"/>
  <c r="N2275" i="3"/>
  <c r="N2276" i="3"/>
  <c r="N2277" i="3"/>
  <c r="N2278" i="3"/>
  <c r="N2279" i="3"/>
  <c r="N2280" i="3"/>
  <c r="N2281" i="3"/>
  <c r="N2282" i="3"/>
  <c r="N2283" i="3"/>
  <c r="N2284" i="3"/>
  <c r="N2285" i="3"/>
  <c r="N2286" i="3"/>
  <c r="N2287" i="3"/>
  <c r="N2288" i="3"/>
  <c r="N2289" i="3"/>
  <c r="N2290" i="3"/>
  <c r="N2291" i="3"/>
  <c r="N2292" i="3"/>
  <c r="N2293" i="3"/>
  <c r="N2294" i="3"/>
  <c r="N2295" i="3"/>
  <c r="N2296" i="3"/>
  <c r="N2297" i="3"/>
  <c r="N2298" i="3"/>
  <c r="N2299" i="3"/>
  <c r="N2300" i="3"/>
  <c r="N2301" i="3"/>
  <c r="N2302" i="3"/>
  <c r="N2303" i="3"/>
  <c r="N2304" i="3"/>
  <c r="N2305" i="3"/>
  <c r="N2306" i="3"/>
  <c r="N2307" i="3"/>
  <c r="N2308" i="3"/>
  <c r="N2309" i="3"/>
  <c r="N2310" i="3"/>
  <c r="N2311" i="3"/>
  <c r="N2312" i="3"/>
  <c r="N2313" i="3"/>
  <c r="N2314" i="3"/>
  <c r="N2315" i="3"/>
  <c r="N2316" i="3"/>
  <c r="N2317" i="3"/>
  <c r="N2318" i="3"/>
  <c r="N2319" i="3"/>
  <c r="N2320" i="3"/>
  <c r="N2321" i="3"/>
  <c r="N2322" i="3"/>
  <c r="N2323" i="3"/>
  <c r="N2324" i="3"/>
  <c r="N2325" i="3"/>
  <c r="N2326" i="3"/>
  <c r="N2327" i="3"/>
  <c r="N2328" i="3"/>
  <c r="N2329" i="3"/>
  <c r="N2330" i="3"/>
  <c r="N2331" i="3"/>
  <c r="N2332" i="3"/>
  <c r="N2333" i="3"/>
  <c r="N2334" i="3"/>
  <c r="N2335" i="3"/>
  <c r="N2336" i="3"/>
  <c r="N2337" i="3"/>
  <c r="N2338" i="3"/>
  <c r="N2339" i="3"/>
  <c r="N2340" i="3"/>
  <c r="N2341" i="3"/>
  <c r="N2342" i="3"/>
  <c r="N2343" i="3"/>
  <c r="N2344" i="3"/>
  <c r="N2345" i="3"/>
  <c r="N2346" i="3"/>
  <c r="N2347" i="3"/>
  <c r="N2348" i="3"/>
  <c r="N2349" i="3"/>
  <c r="N2350" i="3"/>
  <c r="N2351" i="3"/>
  <c r="N2352" i="3"/>
  <c r="N2353" i="3"/>
  <c r="N2354" i="3"/>
  <c r="N2355" i="3"/>
  <c r="N2356" i="3"/>
  <c r="N2357" i="3"/>
  <c r="N2358" i="3"/>
  <c r="N2359" i="3"/>
  <c r="N2360" i="3"/>
  <c r="N2361" i="3"/>
  <c r="N2362" i="3"/>
  <c r="N2363" i="3"/>
  <c r="N2364" i="3"/>
  <c r="N2365" i="3"/>
  <c r="N2366" i="3"/>
  <c r="N2367" i="3"/>
  <c r="N2368" i="3"/>
  <c r="N2369" i="3"/>
  <c r="N2370" i="3"/>
  <c r="N2371" i="3"/>
  <c r="N2372" i="3"/>
  <c r="N2373" i="3"/>
  <c r="N2374" i="3"/>
  <c r="N2375" i="3"/>
  <c r="N2376" i="3"/>
  <c r="N2377" i="3"/>
  <c r="N2378" i="3"/>
  <c r="N2379" i="3"/>
  <c r="N2380" i="3"/>
  <c r="N2381" i="3"/>
  <c r="N2382" i="3"/>
  <c r="N2383" i="3"/>
  <c r="N2384" i="3"/>
  <c r="N2385" i="3"/>
  <c r="N2386" i="3"/>
  <c r="N2387" i="3"/>
  <c r="N2388" i="3"/>
  <c r="N2389" i="3"/>
  <c r="N2390" i="3"/>
  <c r="N2391" i="3"/>
  <c r="N2392" i="3"/>
  <c r="N2393" i="3"/>
  <c r="N2394" i="3"/>
  <c r="N2395" i="3"/>
  <c r="N2396" i="3"/>
  <c r="N2397" i="3"/>
  <c r="N2398" i="3"/>
  <c r="N2399" i="3"/>
  <c r="N2400" i="3"/>
  <c r="N2401" i="3"/>
  <c r="N2402" i="3"/>
  <c r="N2403" i="3"/>
  <c r="N2404" i="3"/>
  <c r="N2405" i="3"/>
  <c r="N2406" i="3"/>
  <c r="N2407" i="3"/>
  <c r="N2408" i="3"/>
  <c r="N2409" i="3"/>
  <c r="N2410" i="3"/>
  <c r="N2411" i="3"/>
  <c r="N2412" i="3"/>
  <c r="N2413" i="3"/>
  <c r="N2414" i="3"/>
  <c r="N2415" i="3"/>
  <c r="N2416" i="3"/>
  <c r="N2417" i="3"/>
  <c r="N2418" i="3"/>
  <c r="N2419" i="3"/>
  <c r="N2420" i="3"/>
  <c r="N2421" i="3"/>
  <c r="N2422" i="3"/>
  <c r="N2423" i="3"/>
  <c r="N2424" i="3"/>
  <c r="N2425" i="3"/>
  <c r="N2426" i="3"/>
  <c r="N2427" i="3"/>
  <c r="N2428" i="3"/>
  <c r="N2429" i="3"/>
  <c r="N2430" i="3"/>
  <c r="N2431" i="3"/>
  <c r="N2432" i="3"/>
  <c r="N2433" i="3"/>
  <c r="N2434" i="3"/>
  <c r="N2435" i="3"/>
  <c r="N2436" i="3"/>
  <c r="N2437" i="3"/>
  <c r="N2438" i="3"/>
  <c r="N2439" i="3"/>
  <c r="N2440" i="3"/>
  <c r="N2441" i="3"/>
  <c r="N2442" i="3"/>
  <c r="N2443" i="3"/>
  <c r="N2444" i="3"/>
  <c r="N2445" i="3"/>
  <c r="N2446" i="3"/>
  <c r="N2447" i="3"/>
  <c r="N2448" i="3"/>
  <c r="N2449" i="3"/>
  <c r="N2450" i="3"/>
  <c r="N2451" i="3"/>
  <c r="N2452" i="3"/>
  <c r="N2453" i="3"/>
  <c r="N2454" i="3"/>
  <c r="N2455" i="3"/>
  <c r="N2456" i="3"/>
  <c r="N2457" i="3"/>
  <c r="N2458" i="3"/>
  <c r="N2459" i="3"/>
  <c r="N2460" i="3"/>
  <c r="N2461" i="3"/>
  <c r="N2462" i="3"/>
  <c r="N2463" i="3"/>
  <c r="N2464" i="3"/>
  <c r="N2465" i="3"/>
  <c r="N2466" i="3"/>
  <c r="N2467" i="3"/>
  <c r="N2468" i="3"/>
  <c r="N2469" i="3"/>
  <c r="N2470" i="3"/>
  <c r="N2471" i="3"/>
  <c r="N2472" i="3"/>
  <c r="N2473" i="3"/>
  <c r="N2474" i="3"/>
  <c r="N2475" i="3"/>
  <c r="N2476" i="3"/>
  <c r="N2477" i="3"/>
  <c r="N2478" i="3"/>
  <c r="N2479" i="3"/>
  <c r="N2480" i="3"/>
  <c r="N2481" i="3"/>
  <c r="N2482" i="3"/>
  <c r="N2483" i="3"/>
  <c r="N2484" i="3"/>
  <c r="N2485" i="3"/>
  <c r="N2486" i="3"/>
  <c r="N2487" i="3"/>
  <c r="N2488" i="3"/>
  <c r="N2489" i="3"/>
  <c r="N2490" i="3"/>
  <c r="N2491" i="3"/>
  <c r="N2492" i="3"/>
  <c r="N2493" i="3"/>
  <c r="N2494" i="3"/>
  <c r="N2495" i="3"/>
  <c r="N2496" i="3"/>
  <c r="N2497" i="3"/>
  <c r="N2498" i="3"/>
  <c r="N2499" i="3"/>
  <c r="N2500" i="3"/>
  <c r="N2501" i="3"/>
  <c r="N2502" i="3"/>
  <c r="N4" i="3"/>
  <c r="F4" i="2" l="1"/>
  <c r="M302" i="2"/>
  <c r="M501" i="2"/>
  <c r="M500" i="2"/>
  <c r="M499" i="2"/>
  <c r="M498" i="2"/>
  <c r="M497" i="2"/>
  <c r="M496" i="2"/>
  <c r="M495" i="2"/>
  <c r="M494" i="2"/>
  <c r="M493" i="2"/>
  <c r="M492" i="2"/>
  <c r="M491" i="2"/>
  <c r="M490" i="2"/>
  <c r="M489" i="2"/>
  <c r="M488" i="2"/>
  <c r="M487" i="2"/>
  <c r="M486" i="2"/>
  <c r="M485" i="2"/>
  <c r="M484" i="2"/>
  <c r="M483" i="2"/>
  <c r="M482" i="2"/>
  <c r="M481" i="2"/>
  <c r="M480" i="2"/>
  <c r="M479" i="2"/>
  <c r="M478" i="2"/>
  <c r="M477" i="2"/>
  <c r="M476" i="2"/>
  <c r="M475" i="2"/>
  <c r="M474" i="2"/>
  <c r="M473" i="2"/>
  <c r="M472" i="2"/>
  <c r="M471" i="2"/>
  <c r="M470" i="2"/>
  <c r="M469" i="2"/>
  <c r="M468" i="2"/>
  <c r="M467" i="2"/>
  <c r="M466" i="2"/>
  <c r="M465" i="2"/>
  <c r="M464" i="2"/>
  <c r="M463" i="2"/>
  <c r="M462" i="2"/>
  <c r="M461" i="2"/>
  <c r="M460" i="2"/>
  <c r="M459" i="2"/>
  <c r="M458" i="2"/>
  <c r="M457" i="2"/>
  <c r="M456" i="2"/>
  <c r="M455" i="2"/>
  <c r="M454" i="2"/>
  <c r="M453" i="2"/>
  <c r="M452" i="2"/>
  <c r="M451" i="2"/>
  <c r="M450" i="2"/>
  <c r="M449" i="2"/>
  <c r="M448" i="2"/>
  <c r="M447" i="2"/>
  <c r="M446" i="2"/>
  <c r="M445" i="2"/>
  <c r="M444" i="2"/>
  <c r="M443" i="2"/>
  <c r="M442" i="2"/>
  <c r="M441" i="2"/>
  <c r="M440" i="2"/>
  <c r="M439" i="2"/>
  <c r="M438" i="2"/>
  <c r="M437" i="2"/>
  <c r="M436" i="2"/>
  <c r="M435" i="2"/>
  <c r="M434" i="2"/>
  <c r="M433" i="2"/>
  <c r="M432" i="2"/>
  <c r="M431" i="2"/>
  <c r="M430" i="2"/>
  <c r="M429" i="2"/>
  <c r="M428" i="2"/>
  <c r="M427" i="2"/>
  <c r="M426" i="2"/>
  <c r="M425" i="2"/>
  <c r="M424" i="2"/>
  <c r="M423" i="2"/>
  <c r="M422" i="2"/>
  <c r="M421" i="2"/>
  <c r="M420" i="2"/>
  <c r="M419" i="2"/>
  <c r="M418" i="2"/>
  <c r="M417" i="2"/>
  <c r="M416" i="2"/>
  <c r="M415" i="2"/>
  <c r="M414" i="2"/>
  <c r="M413" i="2"/>
  <c r="M412" i="2"/>
  <c r="M411" i="2"/>
  <c r="M410" i="2"/>
  <c r="M409" i="2"/>
  <c r="M408" i="2"/>
  <c r="M407" i="2"/>
  <c r="M406" i="2"/>
  <c r="M405" i="2"/>
  <c r="M404" i="2"/>
  <c r="M403" i="2"/>
  <c r="M402" i="2"/>
  <c r="M401" i="2"/>
  <c r="M400" i="2"/>
  <c r="M399" i="2"/>
  <c r="M398" i="2"/>
  <c r="M397" i="2"/>
  <c r="M396" i="2"/>
  <c r="M395" i="2"/>
  <c r="M394" i="2"/>
  <c r="M393" i="2"/>
  <c r="M392" i="2"/>
  <c r="M391" i="2"/>
  <c r="M390" i="2"/>
  <c r="M389" i="2"/>
  <c r="M388" i="2"/>
  <c r="M387" i="2"/>
  <c r="M386" i="2"/>
  <c r="M385" i="2"/>
  <c r="M384" i="2"/>
  <c r="M383" i="2"/>
  <c r="M382" i="2"/>
  <c r="M381" i="2"/>
  <c r="M380" i="2"/>
  <c r="M379" i="2"/>
  <c r="M378" i="2"/>
  <c r="M377" i="2"/>
  <c r="M376" i="2"/>
  <c r="M375" i="2"/>
  <c r="M374" i="2"/>
  <c r="M373" i="2"/>
  <c r="M372" i="2"/>
  <c r="M371" i="2"/>
  <c r="M370" i="2"/>
  <c r="M369" i="2"/>
  <c r="M368" i="2"/>
  <c r="M367" i="2"/>
  <c r="M366" i="2"/>
  <c r="M365" i="2"/>
  <c r="M364" i="2"/>
  <c r="M363" i="2"/>
  <c r="M362" i="2"/>
  <c r="M361" i="2"/>
  <c r="M360" i="2"/>
  <c r="M359" i="2"/>
  <c r="M358" i="2"/>
  <c r="M357" i="2"/>
  <c r="M356" i="2"/>
  <c r="M355" i="2"/>
  <c r="M354" i="2"/>
  <c r="M353" i="2"/>
  <c r="M352" i="2"/>
  <c r="M351" i="2"/>
  <c r="M350" i="2"/>
  <c r="M349" i="2"/>
  <c r="M348" i="2"/>
  <c r="M347" i="2"/>
  <c r="M346" i="2"/>
  <c r="M345" i="2"/>
  <c r="M344" i="2"/>
  <c r="M343" i="2"/>
  <c r="M342" i="2"/>
  <c r="M341" i="2"/>
  <c r="M340" i="2"/>
  <c r="M339" i="2"/>
  <c r="M338" i="2"/>
  <c r="M337" i="2"/>
  <c r="M336" i="2"/>
  <c r="M335" i="2"/>
  <c r="M334" i="2"/>
  <c r="M333" i="2"/>
  <c r="M332" i="2"/>
  <c r="M331" i="2"/>
  <c r="M330" i="2"/>
  <c r="M329" i="2"/>
  <c r="M328" i="2"/>
  <c r="M327" i="2"/>
  <c r="M326" i="2"/>
  <c r="M325" i="2"/>
  <c r="M324" i="2"/>
  <c r="M323" i="2"/>
  <c r="M322" i="2"/>
  <c r="M321" i="2"/>
  <c r="M320" i="2"/>
  <c r="M319" i="2"/>
  <c r="M318" i="2"/>
  <c r="M317" i="2"/>
  <c r="M316" i="2"/>
  <c r="M315" i="2"/>
  <c r="M314" i="2"/>
  <c r="M313" i="2"/>
  <c r="M312" i="2"/>
  <c r="M311" i="2"/>
  <c r="M310" i="2"/>
  <c r="M309" i="2"/>
  <c r="M308" i="2"/>
  <c r="M307" i="2"/>
  <c r="M306" i="2"/>
  <c r="M305" i="2"/>
  <c r="M304" i="2"/>
  <c r="M303" i="2"/>
  <c r="M301" i="2"/>
  <c r="M300" i="2"/>
  <c r="M299" i="2"/>
  <c r="M298" i="2"/>
  <c r="M297" i="2"/>
  <c r="M296" i="2"/>
  <c r="M295" i="2"/>
  <c r="M294" i="2"/>
  <c r="M293" i="2"/>
  <c r="M292" i="2"/>
  <c r="M291" i="2"/>
  <c r="M290" i="2"/>
  <c r="M289" i="2"/>
  <c r="M288" i="2"/>
  <c r="M287" i="2"/>
  <c r="M286" i="2"/>
  <c r="M285" i="2"/>
  <c r="M284" i="2"/>
  <c r="M283" i="2"/>
  <c r="M282" i="2"/>
  <c r="M281" i="2"/>
  <c r="M280" i="2"/>
  <c r="M279" i="2"/>
  <c r="M278" i="2"/>
  <c r="M277" i="2"/>
  <c r="M276" i="2"/>
  <c r="M275" i="2"/>
  <c r="M274" i="2"/>
  <c r="M273" i="2"/>
  <c r="M272" i="2"/>
  <c r="M271" i="2"/>
  <c r="M270" i="2"/>
  <c r="M269" i="2"/>
  <c r="M268" i="2"/>
  <c r="M267" i="2"/>
  <c r="M266" i="2"/>
  <c r="M265" i="2"/>
  <c r="M264" i="2"/>
  <c r="M263" i="2"/>
  <c r="M262" i="2"/>
  <c r="M261" i="2"/>
  <c r="M260" i="2"/>
  <c r="M259" i="2"/>
  <c r="M258" i="2"/>
  <c r="M257" i="2"/>
  <c r="M256" i="2"/>
  <c r="M255" i="2"/>
  <c r="M254" i="2"/>
  <c r="M253" i="2"/>
  <c r="M252" i="2"/>
  <c r="M251" i="2"/>
  <c r="M250" i="2"/>
  <c r="M249" i="2"/>
  <c r="M248" i="2"/>
  <c r="M247" i="2"/>
  <c r="M246" i="2"/>
  <c r="M245" i="2"/>
  <c r="M244" i="2"/>
  <c r="M243" i="2"/>
  <c r="M242" i="2"/>
  <c r="M241" i="2"/>
  <c r="M240" i="2"/>
  <c r="M239" i="2"/>
  <c r="M238" i="2"/>
  <c r="M237" i="2"/>
  <c r="M236" i="2"/>
  <c r="M235" i="2"/>
  <c r="M234" i="2"/>
  <c r="M233" i="2"/>
  <c r="M232" i="2"/>
  <c r="M231" i="2"/>
  <c r="M230" i="2"/>
  <c r="M229" i="2"/>
  <c r="M228" i="2"/>
  <c r="M227" i="2"/>
  <c r="M226" i="2"/>
  <c r="M225" i="2"/>
  <c r="M224" i="2"/>
  <c r="M223" i="2"/>
  <c r="M222" i="2"/>
  <c r="M221" i="2"/>
  <c r="M220" i="2"/>
  <c r="M219" i="2"/>
  <c r="M218" i="2"/>
  <c r="M217" i="2"/>
  <c r="M216" i="2"/>
  <c r="M215" i="2"/>
  <c r="M214" i="2"/>
  <c r="M213" i="2"/>
  <c r="P12" i="12"/>
  <c r="P13" i="12" s="1"/>
  <c r="M12" i="2"/>
  <c r="M11" i="2"/>
  <c r="M10" i="2"/>
  <c r="M17" i="2"/>
  <c r="M9" i="2"/>
  <c r="M16" i="2"/>
  <c r="M8" i="2"/>
  <c r="M15" i="2"/>
  <c r="M7" i="2"/>
  <c r="M14" i="2"/>
  <c r="M6" i="2"/>
  <c r="M13" i="2"/>
  <c r="M5" i="2"/>
  <c r="M78" i="2"/>
  <c r="M70" i="2"/>
  <c r="M62" i="2"/>
  <c r="M54" i="2"/>
  <c r="M46" i="2"/>
  <c r="M38" i="2"/>
  <c r="M30" i="2"/>
  <c r="M22" i="2"/>
  <c r="M164" i="2"/>
  <c r="M156" i="2"/>
  <c r="M148" i="2"/>
  <c r="M140" i="2"/>
  <c r="M132" i="2"/>
  <c r="M124" i="2"/>
  <c r="M116" i="2"/>
  <c r="M108" i="2"/>
  <c r="M100" i="2"/>
  <c r="M92" i="2"/>
  <c r="M76" i="2"/>
  <c r="M68" i="2"/>
  <c r="M60" i="2"/>
  <c r="M52" i="2"/>
  <c r="M44" i="2"/>
  <c r="M36" i="2"/>
  <c r="M28" i="2"/>
  <c r="M20" i="2"/>
  <c r="M204" i="2"/>
  <c r="M196" i="2"/>
  <c r="M180" i="2"/>
  <c r="M188" i="2"/>
  <c r="M172" i="2"/>
  <c r="M212" i="2"/>
  <c r="M94" i="2"/>
  <c r="M118" i="2"/>
  <c r="M110" i="2"/>
  <c r="M102" i="2"/>
  <c r="M86" i="2"/>
  <c r="M90" i="2"/>
  <c r="M82" i="2"/>
  <c r="M74" i="2"/>
  <c r="M66" i="2"/>
  <c r="M58" i="2"/>
  <c r="M50" i="2"/>
  <c r="M42" i="2"/>
  <c r="M34" i="2"/>
  <c r="M26" i="2"/>
  <c r="M18" i="2"/>
  <c r="M201" i="2"/>
  <c r="M185" i="2"/>
  <c r="M169" i="2"/>
  <c r="M153" i="2"/>
  <c r="M137" i="2"/>
  <c r="M121" i="2"/>
  <c r="M105" i="2"/>
  <c r="M89" i="2"/>
  <c r="M73" i="2"/>
  <c r="M57" i="2"/>
  <c r="M41" i="2"/>
  <c r="M25" i="2"/>
  <c r="M209" i="2"/>
  <c r="M193" i="2"/>
  <c r="M177" i="2"/>
  <c r="M161" i="2"/>
  <c r="M145" i="2"/>
  <c r="M129" i="2"/>
  <c r="M113" i="2"/>
  <c r="M97" i="2"/>
  <c r="M81" i="2"/>
  <c r="M65" i="2"/>
  <c r="M49" i="2"/>
  <c r="M33" i="2"/>
  <c r="M84" i="2"/>
  <c r="M95" i="2"/>
  <c r="M87" i="2"/>
  <c r="M79" i="2"/>
  <c r="M71" i="2"/>
  <c r="M63" i="2"/>
  <c r="M55" i="2"/>
  <c r="M47" i="2"/>
  <c r="M39" i="2"/>
  <c r="M31" i="2"/>
  <c r="M23" i="2"/>
  <c r="M208" i="2"/>
  <c r="M200" i="2"/>
  <c r="M192" i="2"/>
  <c r="M184" i="2"/>
  <c r="M176" i="2"/>
  <c r="M168" i="2"/>
  <c r="M160" i="2"/>
  <c r="M152" i="2"/>
  <c r="M144" i="2"/>
  <c r="M136" i="2"/>
  <c r="M128" i="2"/>
  <c r="M120" i="2"/>
  <c r="M112" i="2"/>
  <c r="M104" i="2"/>
  <c r="M96" i="2"/>
  <c r="M88" i="2"/>
  <c r="M80" i="2"/>
  <c r="M72" i="2"/>
  <c r="M64" i="2"/>
  <c r="M56" i="2"/>
  <c r="M48" i="2"/>
  <c r="M40" i="2"/>
  <c r="M32" i="2"/>
  <c r="M24" i="2"/>
  <c r="M206" i="2"/>
  <c r="M198" i="2"/>
  <c r="M190" i="2"/>
  <c r="M182" i="2"/>
  <c r="M174" i="2"/>
  <c r="M166" i="2"/>
  <c r="M158" i="2"/>
  <c r="M150" i="2"/>
  <c r="M142" i="2"/>
  <c r="M134" i="2"/>
  <c r="M126" i="2"/>
  <c r="M91" i="2"/>
  <c r="M83" i="2"/>
  <c r="M75" i="2"/>
  <c r="M67" i="2"/>
  <c r="M59" i="2"/>
  <c r="M51" i="2"/>
  <c r="M43" i="2"/>
  <c r="M35" i="2"/>
  <c r="M27" i="2"/>
  <c r="M19" i="2"/>
  <c r="M210" i="2"/>
  <c r="M202" i="2"/>
  <c r="M194" i="2"/>
  <c r="M186" i="2"/>
  <c r="M178" i="2"/>
  <c r="M170" i="2"/>
  <c r="M162" i="2"/>
  <c r="M154" i="2"/>
  <c r="M146" i="2"/>
  <c r="M138" i="2"/>
  <c r="M130" i="2"/>
  <c r="M122" i="2"/>
  <c r="M114" i="2"/>
  <c r="M106" i="2"/>
  <c r="M98" i="2"/>
  <c r="M207" i="2"/>
  <c r="M199" i="2"/>
  <c r="M191" i="2"/>
  <c r="M183" i="2"/>
  <c r="M175" i="2"/>
  <c r="M167" i="2"/>
  <c r="M159" i="2"/>
  <c r="M151" i="2"/>
  <c r="M143" i="2"/>
  <c r="M135" i="2"/>
  <c r="M127" i="2"/>
  <c r="M119" i="2"/>
  <c r="M111" i="2"/>
  <c r="M103" i="2"/>
  <c r="M211" i="2"/>
  <c r="M203" i="2"/>
  <c r="M195" i="2"/>
  <c r="M187" i="2"/>
  <c r="M179" i="2"/>
  <c r="M171" i="2"/>
  <c r="M163" i="2"/>
  <c r="M155" i="2"/>
  <c r="M147" i="2"/>
  <c r="M139" i="2"/>
  <c r="M131" i="2"/>
  <c r="M123" i="2"/>
  <c r="M115" i="2"/>
  <c r="M107" i="2"/>
  <c r="M99" i="2"/>
  <c r="M205" i="2"/>
  <c r="M197" i="2"/>
  <c r="M189" i="2"/>
  <c r="M181" i="2"/>
  <c r="M173" i="2"/>
  <c r="M165" i="2"/>
  <c r="M157" i="2"/>
  <c r="M149" i="2"/>
  <c r="M141" i="2"/>
  <c r="M133" i="2"/>
  <c r="M125" i="2"/>
  <c r="M117" i="2"/>
  <c r="M109" i="2"/>
  <c r="M101" i="2"/>
  <c r="M93" i="2"/>
  <c r="M85" i="2"/>
  <c r="M77" i="2"/>
  <c r="M69" i="2"/>
  <c r="M61" i="2"/>
  <c r="M53" i="2"/>
  <c r="M45" i="2"/>
  <c r="M37" i="2"/>
  <c r="M29" i="2"/>
  <c r="M21" i="2"/>
  <c r="N502" i="2"/>
  <c r="Q502" i="2"/>
  <c r="F4" i="32"/>
  <c r="B4" i="32"/>
  <c r="D4" i="32"/>
  <c r="H3" i="32"/>
  <c r="CP1" i="11"/>
  <c r="BQ1" i="11"/>
  <c r="Q501" i="2"/>
  <c r="Q500" i="2"/>
  <c r="Q499" i="2"/>
  <c r="Q498" i="2"/>
  <c r="Q497" i="2"/>
  <c r="Q496" i="2"/>
  <c r="Q495" i="2"/>
  <c r="Q494" i="2"/>
  <c r="Q493" i="2"/>
  <c r="Q492" i="2"/>
  <c r="Q491" i="2"/>
  <c r="Q490" i="2"/>
  <c r="Q489" i="2"/>
  <c r="Q488" i="2"/>
  <c r="Q487" i="2"/>
  <c r="Q486" i="2"/>
  <c r="Q485" i="2"/>
  <c r="Q484" i="2"/>
  <c r="Q483" i="2"/>
  <c r="Q482" i="2"/>
  <c r="Q481" i="2"/>
  <c r="Q480" i="2"/>
  <c r="Q479" i="2"/>
  <c r="Q478" i="2"/>
  <c r="Q477" i="2"/>
  <c r="Q476" i="2"/>
  <c r="Q475" i="2"/>
  <c r="Q474" i="2"/>
  <c r="Q473" i="2"/>
  <c r="Q472" i="2"/>
  <c r="Q471" i="2"/>
  <c r="Q470" i="2"/>
  <c r="Q469" i="2"/>
  <c r="Q468" i="2"/>
  <c r="Q467" i="2"/>
  <c r="Q466" i="2"/>
  <c r="Q465" i="2"/>
  <c r="Q464" i="2"/>
  <c r="Q463" i="2"/>
  <c r="Q462" i="2"/>
  <c r="Q461" i="2"/>
  <c r="Q460" i="2"/>
  <c r="Q459" i="2"/>
  <c r="Q458" i="2"/>
  <c r="Q457" i="2"/>
  <c r="Q456" i="2"/>
  <c r="Q455" i="2"/>
  <c r="Q454" i="2"/>
  <c r="Q453" i="2"/>
  <c r="Q452" i="2"/>
  <c r="Q451" i="2"/>
  <c r="Q450" i="2"/>
  <c r="Q449" i="2"/>
  <c r="Q448" i="2"/>
  <c r="Q447" i="2"/>
  <c r="Q446" i="2"/>
  <c r="Q445" i="2"/>
  <c r="Q444" i="2"/>
  <c r="Q443" i="2"/>
  <c r="Q442" i="2"/>
  <c r="Q441" i="2"/>
  <c r="Q440" i="2"/>
  <c r="Q439" i="2"/>
  <c r="Q438" i="2"/>
  <c r="Q437" i="2"/>
  <c r="Q436" i="2"/>
  <c r="Q435" i="2"/>
  <c r="Q434" i="2"/>
  <c r="Q433" i="2"/>
  <c r="Q432" i="2"/>
  <c r="Q431" i="2"/>
  <c r="Q430" i="2"/>
  <c r="Q429" i="2"/>
  <c r="Q428" i="2"/>
  <c r="Q427" i="2"/>
  <c r="Q426" i="2"/>
  <c r="Q425" i="2"/>
  <c r="Q424" i="2"/>
  <c r="Q423" i="2"/>
  <c r="Q422" i="2"/>
  <c r="Q421" i="2"/>
  <c r="Q420" i="2"/>
  <c r="Q419" i="2"/>
  <c r="Q418" i="2"/>
  <c r="Q417" i="2"/>
  <c r="Q416" i="2"/>
  <c r="Q415" i="2"/>
  <c r="Q414" i="2"/>
  <c r="Q413" i="2"/>
  <c r="Q412" i="2"/>
  <c r="Q411" i="2"/>
  <c r="Q410" i="2"/>
  <c r="Q409" i="2"/>
  <c r="Q408" i="2"/>
  <c r="Q407" i="2"/>
  <c r="Q406" i="2"/>
  <c r="Q405" i="2"/>
  <c r="Q404" i="2"/>
  <c r="Q403" i="2"/>
  <c r="Q402" i="2"/>
  <c r="Q401" i="2"/>
  <c r="Q400" i="2"/>
  <c r="Q399" i="2"/>
  <c r="Q398" i="2"/>
  <c r="Q397" i="2"/>
  <c r="Q396" i="2"/>
  <c r="Q395" i="2"/>
  <c r="Q394" i="2"/>
  <c r="Q393" i="2"/>
  <c r="Q392" i="2"/>
  <c r="Q391" i="2"/>
  <c r="Q390" i="2"/>
  <c r="Q389" i="2"/>
  <c r="Q388" i="2"/>
  <c r="Q387" i="2"/>
  <c r="Q386" i="2"/>
  <c r="Q385" i="2"/>
  <c r="Q384" i="2"/>
  <c r="Q383" i="2"/>
  <c r="Q382" i="2"/>
  <c r="Q381" i="2"/>
  <c r="Q380" i="2"/>
  <c r="Q379" i="2"/>
  <c r="Q378" i="2"/>
  <c r="Q377" i="2"/>
  <c r="Q376" i="2"/>
  <c r="Q375" i="2"/>
  <c r="Q374" i="2"/>
  <c r="Q373" i="2"/>
  <c r="Q372" i="2"/>
  <c r="Q371" i="2"/>
  <c r="Q370" i="2"/>
  <c r="Q369" i="2"/>
  <c r="Q368" i="2"/>
  <c r="Q367" i="2"/>
  <c r="Q366" i="2"/>
  <c r="Q365" i="2"/>
  <c r="Q364" i="2"/>
  <c r="Q363" i="2"/>
  <c r="Q362" i="2"/>
  <c r="Q361" i="2"/>
  <c r="Q360" i="2"/>
  <c r="Q359" i="2"/>
  <c r="Q358" i="2"/>
  <c r="Q357" i="2"/>
  <c r="Q356" i="2"/>
  <c r="Q355" i="2"/>
  <c r="Q354" i="2"/>
  <c r="Q353" i="2"/>
  <c r="Q352" i="2"/>
  <c r="Q351" i="2"/>
  <c r="Q350" i="2"/>
  <c r="Q349" i="2"/>
  <c r="Q348" i="2"/>
  <c r="Q347" i="2"/>
  <c r="Q346" i="2"/>
  <c r="Q345" i="2"/>
  <c r="Q344" i="2"/>
  <c r="Q343" i="2"/>
  <c r="Q342" i="2"/>
  <c r="Q341" i="2"/>
  <c r="Q340" i="2"/>
  <c r="Q339" i="2"/>
  <c r="Q338" i="2"/>
  <c r="Q337" i="2"/>
  <c r="Q336" i="2"/>
  <c r="Q335" i="2"/>
  <c r="Q334" i="2"/>
  <c r="Q333" i="2"/>
  <c r="Q332" i="2"/>
  <c r="Q331" i="2"/>
  <c r="Q330" i="2"/>
  <c r="Q329" i="2"/>
  <c r="Q328" i="2"/>
  <c r="Q327" i="2"/>
  <c r="Q326" i="2"/>
  <c r="Q325" i="2"/>
  <c r="Q324" i="2"/>
  <c r="Q323" i="2"/>
  <c r="Q322" i="2"/>
  <c r="Q321" i="2"/>
  <c r="Q320" i="2"/>
  <c r="Q319" i="2"/>
  <c r="Q318" i="2"/>
  <c r="Q317" i="2"/>
  <c r="Q316" i="2"/>
  <c r="Q315" i="2"/>
  <c r="Q314" i="2"/>
  <c r="Q313" i="2"/>
  <c r="Q312" i="2"/>
  <c r="Q311" i="2"/>
  <c r="Q310" i="2"/>
  <c r="Q309" i="2"/>
  <c r="Q308" i="2"/>
  <c r="Q307" i="2"/>
  <c r="Q306" i="2"/>
  <c r="Q305" i="2"/>
  <c r="Q304" i="2"/>
  <c r="Q303" i="2"/>
  <c r="Q301" i="2"/>
  <c r="Q300" i="2"/>
  <c r="Q299" i="2"/>
  <c r="Q298" i="2"/>
  <c r="Q297" i="2"/>
  <c r="Q296" i="2"/>
  <c r="Q295" i="2"/>
  <c r="Q294" i="2"/>
  <c r="Q293" i="2"/>
  <c r="Q292" i="2"/>
  <c r="Q291" i="2"/>
  <c r="Q290" i="2"/>
  <c r="Q289" i="2"/>
  <c r="Q288" i="2"/>
  <c r="Q287" i="2"/>
  <c r="Q286" i="2"/>
  <c r="Q285" i="2"/>
  <c r="Q284" i="2"/>
  <c r="Q283" i="2"/>
  <c r="Q282" i="2"/>
  <c r="Q281" i="2"/>
  <c r="Q280" i="2"/>
  <c r="Q279" i="2"/>
  <c r="Q278" i="2"/>
  <c r="Q277" i="2"/>
  <c r="Q276" i="2"/>
  <c r="Q275" i="2"/>
  <c r="Q274" i="2"/>
  <c r="Q273" i="2"/>
  <c r="Q272" i="2"/>
  <c r="Q271" i="2"/>
  <c r="Q270" i="2"/>
  <c r="Q269" i="2"/>
  <c r="Q268" i="2"/>
  <c r="Q267" i="2"/>
  <c r="Q266" i="2"/>
  <c r="Q265" i="2"/>
  <c r="Q264" i="2"/>
  <c r="Q263" i="2"/>
  <c r="Q262" i="2"/>
  <c r="Q261" i="2"/>
  <c r="Q260" i="2"/>
  <c r="Q259" i="2"/>
  <c r="Q258" i="2"/>
  <c r="Q257" i="2"/>
  <c r="Q256" i="2"/>
  <c r="Q255" i="2"/>
  <c r="Q254" i="2"/>
  <c r="Q253" i="2"/>
  <c r="Q252" i="2"/>
  <c r="Q251" i="2"/>
  <c r="Q250" i="2"/>
  <c r="Q249" i="2"/>
  <c r="Q248" i="2"/>
  <c r="Q247" i="2"/>
  <c r="Q246" i="2"/>
  <c r="Q245" i="2"/>
  <c r="Q244" i="2"/>
  <c r="Q243" i="2"/>
  <c r="Q242" i="2"/>
  <c r="Q241" i="2"/>
  <c r="Q240" i="2"/>
  <c r="Q239" i="2"/>
  <c r="Q238" i="2"/>
  <c r="Q237" i="2"/>
  <c r="Q236" i="2"/>
  <c r="Q235" i="2"/>
  <c r="Q234" i="2"/>
  <c r="Q233" i="2"/>
  <c r="Q232" i="2"/>
  <c r="Q231" i="2"/>
  <c r="Q230" i="2"/>
  <c r="Q229" i="2"/>
  <c r="Q228" i="2"/>
  <c r="Q227" i="2"/>
  <c r="Q226" i="2"/>
  <c r="Q225" i="2"/>
  <c r="Q224" i="2"/>
  <c r="Q223" i="2"/>
  <c r="Q222" i="2"/>
  <c r="Q221" i="2"/>
  <c r="Q220" i="2"/>
  <c r="Q219" i="2"/>
  <c r="Q218" i="2"/>
  <c r="Q217" i="2"/>
  <c r="Q216" i="2"/>
  <c r="Q215" i="2"/>
  <c r="Q214" i="2"/>
  <c r="Q213" i="2"/>
  <c r="Q212" i="2"/>
  <c r="Q211" i="2"/>
  <c r="Q210" i="2"/>
  <c r="Q209" i="2"/>
  <c r="Q208" i="2"/>
  <c r="Q207" i="2"/>
  <c r="Q206" i="2"/>
  <c r="Q205" i="2"/>
  <c r="Q204" i="2"/>
  <c r="Q203" i="2"/>
  <c r="Q202" i="2"/>
  <c r="Q201" i="2"/>
  <c r="Q200" i="2"/>
  <c r="Q199" i="2"/>
  <c r="Q198" i="2"/>
  <c r="Q197" i="2"/>
  <c r="Q196" i="2"/>
  <c r="Q195" i="2"/>
  <c r="Q194" i="2"/>
  <c r="Q193" i="2"/>
  <c r="Q192" i="2"/>
  <c r="Q191" i="2"/>
  <c r="Q190" i="2"/>
  <c r="Q189" i="2"/>
  <c r="Q188" i="2"/>
  <c r="Q187" i="2"/>
  <c r="Q186" i="2"/>
  <c r="Q185" i="2"/>
  <c r="Q184" i="2"/>
  <c r="Q183" i="2"/>
  <c r="Q182" i="2"/>
  <c r="Q181" i="2"/>
  <c r="Q180" i="2"/>
  <c r="Q179" i="2"/>
  <c r="Q178" i="2"/>
  <c r="Q177" i="2"/>
  <c r="Q176" i="2"/>
  <c r="Q175" i="2"/>
  <c r="Q174" i="2"/>
  <c r="Q173" i="2"/>
  <c r="Q172" i="2"/>
  <c r="Q171" i="2"/>
  <c r="Q170" i="2"/>
  <c r="Q169" i="2"/>
  <c r="Q168" i="2"/>
  <c r="Q167" i="2"/>
  <c r="Q166" i="2"/>
  <c r="Q165" i="2"/>
  <c r="Q164" i="2"/>
  <c r="Q163" i="2"/>
  <c r="Q162" i="2"/>
  <c r="Q161" i="2"/>
  <c r="Q160" i="2"/>
  <c r="Q159" i="2"/>
  <c r="Q158" i="2"/>
  <c r="Q157" i="2"/>
  <c r="Q156" i="2"/>
  <c r="Q155" i="2"/>
  <c r="Q154" i="2"/>
  <c r="Q153" i="2"/>
  <c r="Q152" i="2"/>
  <c r="Q151" i="2"/>
  <c r="Q150" i="2"/>
  <c r="Q149" i="2"/>
  <c r="Q148" i="2"/>
  <c r="Q147" i="2"/>
  <c r="Q146" i="2"/>
  <c r="Q145" i="2"/>
  <c r="Q144" i="2"/>
  <c r="Q143" i="2"/>
  <c r="Q142" i="2"/>
  <c r="Q141" i="2"/>
  <c r="Q140" i="2"/>
  <c r="Q139" i="2"/>
  <c r="Q138" i="2"/>
  <c r="Q137" i="2"/>
  <c r="Q136" i="2"/>
  <c r="Q135" i="2"/>
  <c r="Q134" i="2"/>
  <c r="Q133" i="2"/>
  <c r="Q132" i="2"/>
  <c r="Q131" i="2"/>
  <c r="Q130" i="2"/>
  <c r="Q129" i="2"/>
  <c r="Q128" i="2"/>
  <c r="Q127" i="2"/>
  <c r="Q126" i="2"/>
  <c r="Q125" i="2"/>
  <c r="Q124" i="2"/>
  <c r="Q123" i="2"/>
  <c r="Q122" i="2"/>
  <c r="Q121" i="2"/>
  <c r="Q120" i="2"/>
  <c r="Q119" i="2"/>
  <c r="Q118" i="2"/>
  <c r="Q117" i="2"/>
  <c r="Q116" i="2"/>
  <c r="Q115" i="2"/>
  <c r="Q114" i="2"/>
  <c r="Q113" i="2"/>
  <c r="Q112" i="2"/>
  <c r="Q111" i="2"/>
  <c r="Q110" i="2"/>
  <c r="Q109" i="2"/>
  <c r="Q108" i="2"/>
  <c r="Q107" i="2"/>
  <c r="Q106" i="2"/>
  <c r="Q105" i="2"/>
  <c r="Q104" i="2"/>
  <c r="Q103" i="2"/>
  <c r="Q102" i="2"/>
  <c r="Q101" i="2"/>
  <c r="Q100" i="2"/>
  <c r="Q99" i="2"/>
  <c r="Q98" i="2"/>
  <c r="Q97" i="2"/>
  <c r="Q96" i="2"/>
  <c r="Q95" i="2"/>
  <c r="Q94" i="2"/>
  <c r="Q93" i="2"/>
  <c r="Q92" i="2"/>
  <c r="Q91" i="2"/>
  <c r="Q90" i="2"/>
  <c r="Q89" i="2"/>
  <c r="Q88" i="2"/>
  <c r="Q87" i="2"/>
  <c r="Q86" i="2"/>
  <c r="Q85" i="2"/>
  <c r="Q84" i="2"/>
  <c r="Q83" i="2"/>
  <c r="Q82" i="2"/>
  <c r="Q81" i="2"/>
  <c r="Q80" i="2"/>
  <c r="Q79" i="2"/>
  <c r="Q78" i="2"/>
  <c r="Q77" i="2"/>
  <c r="Q76" i="2"/>
  <c r="Q75" i="2"/>
  <c r="Q74" i="2"/>
  <c r="Q73" i="2"/>
  <c r="Q72"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30" i="2"/>
  <c r="Q29" i="2"/>
  <c r="Q28" i="2"/>
  <c r="Q27" i="2"/>
  <c r="Q26" i="2"/>
  <c r="Q25" i="2"/>
  <c r="Q24" i="2"/>
  <c r="Q23" i="2"/>
  <c r="Q22" i="2"/>
  <c r="Q21" i="2"/>
  <c r="Q20" i="2"/>
  <c r="Q19" i="2"/>
  <c r="Q18" i="2"/>
  <c r="Q17" i="2"/>
  <c r="Q16" i="2"/>
  <c r="Q15" i="2"/>
  <c r="Q14" i="2"/>
  <c r="Q13" i="2"/>
  <c r="Q12" i="2"/>
  <c r="Q11" i="2"/>
  <c r="Q10" i="2"/>
  <c r="Q9" i="2"/>
  <c r="Q8" i="2"/>
  <c r="Q7" i="2"/>
  <c r="Q6" i="2"/>
  <c r="Q5" i="2"/>
  <c r="Q4" i="2"/>
  <c r="P5" i="2"/>
  <c r="P6" i="2"/>
  <c r="P7" i="2"/>
  <c r="P8" i="2"/>
  <c r="P9" i="2"/>
  <c r="P10" i="2"/>
  <c r="P11" i="2"/>
  <c r="P12" i="2"/>
  <c r="P13" i="2"/>
  <c r="P14" i="2"/>
  <c r="O4" i="2"/>
  <c r="P4" i="2" s="1"/>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426" i="2"/>
  <c r="N427" i="2"/>
  <c r="N428" i="2"/>
  <c r="N429" i="2"/>
  <c r="N430" i="2"/>
  <c r="N431" i="2"/>
  <c r="N432" i="2"/>
  <c r="N433" i="2"/>
  <c r="N434" i="2"/>
  <c r="N435" i="2"/>
  <c r="N436" i="2"/>
  <c r="N437" i="2"/>
  <c r="N438" i="2"/>
  <c r="N439" i="2"/>
  <c r="N440" i="2"/>
  <c r="N441" i="2"/>
  <c r="N442" i="2"/>
  <c r="N443" i="2"/>
  <c r="N444" i="2"/>
  <c r="N445" i="2"/>
  <c r="N446" i="2"/>
  <c r="N447" i="2"/>
  <c r="N448" i="2"/>
  <c r="N449" i="2"/>
  <c r="N450" i="2"/>
  <c r="N451" i="2"/>
  <c r="N452" i="2"/>
  <c r="N453" i="2"/>
  <c r="N454" i="2"/>
  <c r="N455" i="2"/>
  <c r="N456" i="2"/>
  <c r="N457" i="2"/>
  <c r="N458" i="2"/>
  <c r="N459" i="2"/>
  <c r="N460" i="2"/>
  <c r="N461" i="2"/>
  <c r="N462" i="2"/>
  <c r="N463" i="2"/>
  <c r="N464" i="2"/>
  <c r="N465" i="2"/>
  <c r="N466" i="2"/>
  <c r="N467" i="2"/>
  <c r="N468" i="2"/>
  <c r="N469" i="2"/>
  <c r="N470" i="2"/>
  <c r="N471" i="2"/>
  <c r="N472" i="2"/>
  <c r="N473" i="2"/>
  <c r="N474" i="2"/>
  <c r="N475" i="2"/>
  <c r="N476" i="2"/>
  <c r="N477" i="2"/>
  <c r="N478" i="2"/>
  <c r="N479" i="2"/>
  <c r="N480" i="2"/>
  <c r="N481" i="2"/>
  <c r="N482" i="2"/>
  <c r="N483" i="2"/>
  <c r="N484" i="2"/>
  <c r="N485" i="2"/>
  <c r="N486" i="2"/>
  <c r="N487" i="2"/>
  <c r="N488" i="2"/>
  <c r="N489" i="2"/>
  <c r="N490" i="2"/>
  <c r="N491" i="2"/>
  <c r="N492" i="2"/>
  <c r="N493" i="2"/>
  <c r="N494" i="2"/>
  <c r="N495" i="2"/>
  <c r="N496" i="2"/>
  <c r="N497" i="2"/>
  <c r="N498" i="2"/>
  <c r="N499" i="2"/>
  <c r="N500" i="2"/>
  <c r="N501" i="2"/>
  <c r="N4" i="2"/>
  <c r="L11" i="34"/>
  <c r="K13" i="33"/>
  <c r="H11" i="34"/>
  <c r="H12" i="34"/>
  <c r="H10" i="34"/>
  <c r="H9" i="34"/>
  <c r="H8" i="34"/>
  <c r="H7" i="34"/>
  <c r="H6" i="34"/>
  <c r="N6" i="34" s="1"/>
  <c r="H5" i="34"/>
  <c r="N5" i="34" s="1"/>
  <c r="H4" i="34"/>
  <c r="Q13" i="33"/>
  <c r="Q12" i="33"/>
  <c r="Q11" i="33"/>
  <c r="K12" i="33"/>
  <c r="K11" i="33"/>
  <c r="K8" i="33"/>
  <c r="E45" i="12" l="1"/>
  <c r="L45" i="12" s="1"/>
  <c r="D45" i="12"/>
  <c r="K45" i="12" s="1"/>
  <c r="N4" i="34"/>
  <c r="T12" i="33"/>
  <c r="T10" i="33"/>
  <c r="M4" i="2"/>
  <c r="H7" i="33"/>
  <c r="H8" i="33"/>
  <c r="H11" i="33"/>
  <c r="H12" i="33"/>
  <c r="H13" i="33"/>
  <c r="H6" i="33"/>
  <c r="S6" i="33" s="1"/>
  <c r="H5" i="33"/>
  <c r="S5" i="33" s="1"/>
  <c r="H4" i="33"/>
  <c r="S4" i="33" s="1"/>
  <c r="F3" i="32"/>
  <c r="D3" i="32"/>
  <c r="B3" i="32"/>
  <c r="H8" i="42" l="1"/>
  <c r="E8" i="42"/>
  <c r="J6" i="10"/>
  <c r="J5" i="10"/>
  <c r="J4" i="10"/>
  <c r="E43" i="12" l="1"/>
  <c r="D44" i="12"/>
  <c r="K44" i="12" s="1"/>
  <c r="D43" i="12"/>
  <c r="E46" i="12"/>
  <c r="L46" i="12" s="1"/>
  <c r="E44" i="12"/>
  <c r="L44" i="12" s="1"/>
  <c r="D46" i="12"/>
  <c r="K46" i="12" s="1"/>
  <c r="BL41" i="7"/>
  <c r="E10" i="42" l="1"/>
  <c r="F10" i="42"/>
  <c r="F11" i="42" s="1"/>
  <c r="H10" i="42"/>
  <c r="H4" i="42"/>
  <c r="E4" i="42"/>
  <c r="E6" i="42"/>
  <c r="H6" i="42"/>
  <c r="J6" i="42"/>
  <c r="J10" i="42"/>
  <c r="F6" i="42"/>
  <c r="F7" i="42" s="1"/>
  <c r="J4" i="42"/>
  <c r="F4" i="42"/>
  <c r="H46" i="12"/>
  <c r="P46" i="12" s="1"/>
  <c r="H43" i="12"/>
  <c r="H44" i="12"/>
  <c r="P44" i="12" s="1"/>
  <c r="B43" i="12"/>
  <c r="O43" i="12" s="1"/>
  <c r="B10" i="12"/>
  <c r="B57" i="12" s="1"/>
  <c r="B11" i="12"/>
  <c r="B58" i="12" s="1"/>
  <c r="B9" i="12"/>
  <c r="B56" i="12" s="1"/>
  <c r="B45" i="12"/>
  <c r="C83" i="12" s="1"/>
  <c r="B46" i="12"/>
  <c r="C86" i="12" s="1"/>
  <c r="D38" i="11"/>
  <c r="Q302" i="2"/>
  <c r="P43" i="12" l="1"/>
  <c r="E47" i="12"/>
  <c r="D47" i="12"/>
  <c r="E48" i="12"/>
  <c r="D48" i="12"/>
  <c r="E49" i="12"/>
  <c r="D49" i="12"/>
  <c r="E28" i="12"/>
  <c r="L28" i="12" s="1"/>
  <c r="E30" i="12"/>
  <c r="L30" i="12" s="1"/>
  <c r="E29" i="12"/>
  <c r="L29" i="12" s="1"/>
  <c r="D35" i="12"/>
  <c r="K35" i="12" s="1"/>
  <c r="E34" i="12"/>
  <c r="L34" i="12" s="1"/>
  <c r="D34" i="12"/>
  <c r="E33" i="12"/>
  <c r="L33" i="12" s="1"/>
  <c r="D33" i="12"/>
  <c r="E36" i="12"/>
  <c r="L36" i="12" s="1"/>
  <c r="E35" i="12"/>
  <c r="L35" i="12" s="1"/>
  <c r="E31" i="12"/>
  <c r="L31" i="12" s="1"/>
  <c r="D31" i="12"/>
  <c r="D30" i="12"/>
  <c r="D32" i="12"/>
  <c r="E32" i="12"/>
  <c r="L32" i="12" s="1"/>
  <c r="L43" i="12"/>
  <c r="K43" i="12"/>
  <c r="C81" i="12"/>
  <c r="E9" i="12"/>
  <c r="L9" i="12" s="1"/>
  <c r="D9" i="12"/>
  <c r="K9" i="12" s="1"/>
  <c r="D28" i="12"/>
  <c r="K28" i="12" s="1"/>
  <c r="K4" i="42"/>
  <c r="L12" i="42"/>
  <c r="L4" i="42"/>
  <c r="D21" i="12"/>
  <c r="K21" i="12" s="1"/>
  <c r="D11" i="12"/>
  <c r="K11" i="12" s="1"/>
  <c r="E20" i="12"/>
  <c r="L20" i="12" s="1"/>
  <c r="D20" i="12"/>
  <c r="K20" i="12" s="1"/>
  <c r="E19" i="12"/>
  <c r="L19" i="12" s="1"/>
  <c r="E10" i="12"/>
  <c r="L10" i="12" s="1"/>
  <c r="D10" i="12"/>
  <c r="K10" i="12" s="1"/>
  <c r="D19" i="12"/>
  <c r="K19" i="12" s="1"/>
  <c r="D18" i="12"/>
  <c r="K18" i="12" s="1"/>
  <c r="E21" i="12"/>
  <c r="L21" i="12" s="1"/>
  <c r="E11" i="12"/>
  <c r="L11" i="12" s="1"/>
  <c r="E18" i="12"/>
  <c r="L18" i="12" s="1"/>
  <c r="D29" i="12"/>
  <c r="K29" i="12" s="1"/>
  <c r="D36" i="12"/>
  <c r="K36" i="12" s="1"/>
  <c r="B47" i="12"/>
  <c r="O47" i="12" s="1"/>
  <c r="B49" i="12"/>
  <c r="C87" i="12" s="1"/>
  <c r="G10" i="42"/>
  <c r="E11" i="42"/>
  <c r="G11" i="42" s="1"/>
  <c r="G6" i="42"/>
  <c r="E7" i="42"/>
  <c r="G7" i="42" s="1"/>
  <c r="K10" i="42"/>
  <c r="J11" i="42"/>
  <c r="H11" i="42"/>
  <c r="I11" i="42" s="1"/>
  <c r="I10" i="42"/>
  <c r="J7" i="42"/>
  <c r="K7" i="42" s="1"/>
  <c r="K6" i="42"/>
  <c r="I6" i="42"/>
  <c r="H7" i="42"/>
  <c r="I7" i="42" s="1"/>
  <c r="H5" i="42"/>
  <c r="I5" i="42" s="1"/>
  <c r="I4" i="42"/>
  <c r="F5" i="42"/>
  <c r="G4" i="42"/>
  <c r="E5" i="42"/>
  <c r="J5" i="42"/>
  <c r="U5" i="7"/>
  <c r="I2226" i="3"/>
  <c r="J2226" i="3"/>
  <c r="K2226" i="3"/>
  <c r="L2226" i="3"/>
  <c r="I2227" i="3"/>
  <c r="J2227" i="3"/>
  <c r="K2227" i="3"/>
  <c r="L2227" i="3"/>
  <c r="I2228" i="3"/>
  <c r="J2228" i="3"/>
  <c r="K2228" i="3"/>
  <c r="L2228" i="3"/>
  <c r="I2229" i="3"/>
  <c r="J2229" i="3"/>
  <c r="K2229" i="3"/>
  <c r="L2229" i="3"/>
  <c r="I2230" i="3"/>
  <c r="J2230" i="3"/>
  <c r="K2230" i="3"/>
  <c r="L2230" i="3"/>
  <c r="I2231" i="3"/>
  <c r="J2231" i="3"/>
  <c r="K2231" i="3"/>
  <c r="L2231" i="3"/>
  <c r="I2232" i="3"/>
  <c r="J2232" i="3"/>
  <c r="K2232" i="3"/>
  <c r="L2232" i="3"/>
  <c r="I2233" i="3"/>
  <c r="J2233" i="3"/>
  <c r="K2233" i="3"/>
  <c r="L2233" i="3"/>
  <c r="I2234" i="3"/>
  <c r="J2234" i="3"/>
  <c r="K2234" i="3"/>
  <c r="L2234" i="3"/>
  <c r="I2235" i="3"/>
  <c r="J2235" i="3"/>
  <c r="K2235" i="3"/>
  <c r="L2235" i="3"/>
  <c r="I2236" i="3"/>
  <c r="J2236" i="3"/>
  <c r="K2236" i="3"/>
  <c r="L2236" i="3"/>
  <c r="I2237" i="3"/>
  <c r="J2237" i="3"/>
  <c r="K2237" i="3"/>
  <c r="L2237" i="3"/>
  <c r="I2238" i="3"/>
  <c r="J2238" i="3"/>
  <c r="K2238" i="3"/>
  <c r="L2238" i="3"/>
  <c r="I2239" i="3"/>
  <c r="J2239" i="3"/>
  <c r="K2239" i="3"/>
  <c r="L2239" i="3"/>
  <c r="I2240" i="3"/>
  <c r="J2240" i="3"/>
  <c r="K2240" i="3"/>
  <c r="L2240" i="3"/>
  <c r="I2241" i="3"/>
  <c r="J2241" i="3"/>
  <c r="K2241" i="3"/>
  <c r="L2241" i="3"/>
  <c r="I2242" i="3"/>
  <c r="J2242" i="3"/>
  <c r="K2242" i="3"/>
  <c r="L2242" i="3"/>
  <c r="I2243" i="3"/>
  <c r="J2243" i="3"/>
  <c r="K2243" i="3"/>
  <c r="L2243" i="3"/>
  <c r="I2244" i="3"/>
  <c r="J2244" i="3"/>
  <c r="K2244" i="3"/>
  <c r="L2244" i="3"/>
  <c r="I2245" i="3"/>
  <c r="J2245" i="3"/>
  <c r="K2245" i="3"/>
  <c r="L2245" i="3"/>
  <c r="I2246" i="3"/>
  <c r="J2246" i="3"/>
  <c r="K2246" i="3"/>
  <c r="L2246" i="3"/>
  <c r="I2247" i="3"/>
  <c r="J2247" i="3"/>
  <c r="K2247" i="3"/>
  <c r="L2247" i="3"/>
  <c r="I2248" i="3"/>
  <c r="J2248" i="3"/>
  <c r="K2248" i="3"/>
  <c r="L2248" i="3"/>
  <c r="I2249" i="3"/>
  <c r="J2249" i="3"/>
  <c r="K2249" i="3"/>
  <c r="L2249" i="3"/>
  <c r="I2250" i="3"/>
  <c r="J2250" i="3"/>
  <c r="K2250" i="3"/>
  <c r="L2250" i="3"/>
  <c r="I2251" i="3"/>
  <c r="J2251" i="3"/>
  <c r="K2251" i="3"/>
  <c r="L2251" i="3"/>
  <c r="I2252" i="3"/>
  <c r="J2252" i="3"/>
  <c r="K2252" i="3"/>
  <c r="L2252" i="3"/>
  <c r="I2253" i="3"/>
  <c r="J2253" i="3"/>
  <c r="K2253" i="3"/>
  <c r="L2253" i="3"/>
  <c r="I2254" i="3"/>
  <c r="J2254" i="3"/>
  <c r="K2254" i="3"/>
  <c r="L2254" i="3"/>
  <c r="I2255" i="3"/>
  <c r="J2255" i="3"/>
  <c r="K2255" i="3"/>
  <c r="L2255" i="3"/>
  <c r="I2256" i="3"/>
  <c r="J2256" i="3"/>
  <c r="K2256" i="3"/>
  <c r="L2256" i="3"/>
  <c r="I2257" i="3"/>
  <c r="J2257" i="3"/>
  <c r="K2257" i="3"/>
  <c r="L2257" i="3"/>
  <c r="I2258" i="3"/>
  <c r="J2258" i="3"/>
  <c r="K2258" i="3"/>
  <c r="L2258" i="3"/>
  <c r="I2259" i="3"/>
  <c r="J2259" i="3"/>
  <c r="K2259" i="3"/>
  <c r="L2259" i="3"/>
  <c r="I2260" i="3"/>
  <c r="J2260" i="3"/>
  <c r="K2260" i="3"/>
  <c r="L2260" i="3"/>
  <c r="I2261" i="3"/>
  <c r="J2261" i="3"/>
  <c r="K2261" i="3"/>
  <c r="L2261" i="3"/>
  <c r="I2262" i="3"/>
  <c r="J2262" i="3"/>
  <c r="K2262" i="3"/>
  <c r="L2262" i="3"/>
  <c r="I2263" i="3"/>
  <c r="J2263" i="3"/>
  <c r="K2263" i="3"/>
  <c r="L2263" i="3"/>
  <c r="I2264" i="3"/>
  <c r="J2264" i="3"/>
  <c r="K2264" i="3"/>
  <c r="L2264" i="3"/>
  <c r="I2265" i="3"/>
  <c r="J2265" i="3"/>
  <c r="K2265" i="3"/>
  <c r="L2265" i="3"/>
  <c r="I2266" i="3"/>
  <c r="J2266" i="3"/>
  <c r="K2266" i="3"/>
  <c r="L2266" i="3"/>
  <c r="I2267" i="3"/>
  <c r="J2267" i="3"/>
  <c r="K2267" i="3"/>
  <c r="L2267" i="3"/>
  <c r="I2268" i="3"/>
  <c r="J2268" i="3"/>
  <c r="K2268" i="3"/>
  <c r="L2268" i="3"/>
  <c r="I2269" i="3"/>
  <c r="J2269" i="3"/>
  <c r="K2269" i="3"/>
  <c r="L2269" i="3"/>
  <c r="I2270" i="3"/>
  <c r="J2270" i="3"/>
  <c r="K2270" i="3"/>
  <c r="L2270" i="3"/>
  <c r="I2271" i="3"/>
  <c r="J2271" i="3"/>
  <c r="K2271" i="3"/>
  <c r="L2271" i="3"/>
  <c r="I2272" i="3"/>
  <c r="J2272" i="3"/>
  <c r="K2272" i="3"/>
  <c r="L2272" i="3"/>
  <c r="I2273" i="3"/>
  <c r="J2273" i="3"/>
  <c r="K2273" i="3"/>
  <c r="L2273" i="3"/>
  <c r="I2274" i="3"/>
  <c r="J2274" i="3"/>
  <c r="K2274" i="3"/>
  <c r="L2274" i="3"/>
  <c r="I2275" i="3"/>
  <c r="J2275" i="3"/>
  <c r="K2275" i="3"/>
  <c r="L2275" i="3"/>
  <c r="I2276" i="3"/>
  <c r="J2276" i="3"/>
  <c r="K2276" i="3"/>
  <c r="L2276" i="3"/>
  <c r="I2277" i="3"/>
  <c r="J2277" i="3"/>
  <c r="K2277" i="3"/>
  <c r="L2277" i="3"/>
  <c r="I2278" i="3"/>
  <c r="J2278" i="3"/>
  <c r="K2278" i="3"/>
  <c r="L2278" i="3"/>
  <c r="I2279" i="3"/>
  <c r="J2279" i="3"/>
  <c r="K2279" i="3"/>
  <c r="L2279" i="3"/>
  <c r="I2280" i="3"/>
  <c r="J2280" i="3"/>
  <c r="K2280" i="3"/>
  <c r="L2280" i="3"/>
  <c r="I2281" i="3"/>
  <c r="J2281" i="3"/>
  <c r="K2281" i="3"/>
  <c r="L2281" i="3"/>
  <c r="I2282" i="3"/>
  <c r="J2282" i="3"/>
  <c r="K2282" i="3"/>
  <c r="L2282" i="3"/>
  <c r="I2283" i="3"/>
  <c r="J2283" i="3"/>
  <c r="K2283" i="3"/>
  <c r="L2283" i="3"/>
  <c r="I2284" i="3"/>
  <c r="J2284" i="3"/>
  <c r="K2284" i="3"/>
  <c r="L2284" i="3"/>
  <c r="I2285" i="3"/>
  <c r="J2285" i="3"/>
  <c r="K2285" i="3"/>
  <c r="L2285" i="3"/>
  <c r="I2286" i="3"/>
  <c r="J2286" i="3"/>
  <c r="K2286" i="3"/>
  <c r="L2286" i="3"/>
  <c r="I2287" i="3"/>
  <c r="J2287" i="3"/>
  <c r="K2287" i="3"/>
  <c r="L2287" i="3"/>
  <c r="I2288" i="3"/>
  <c r="J2288" i="3"/>
  <c r="K2288" i="3"/>
  <c r="L2288" i="3"/>
  <c r="I2289" i="3"/>
  <c r="J2289" i="3"/>
  <c r="K2289" i="3"/>
  <c r="L2289" i="3"/>
  <c r="I2290" i="3"/>
  <c r="J2290" i="3"/>
  <c r="K2290" i="3"/>
  <c r="L2290" i="3"/>
  <c r="I2291" i="3"/>
  <c r="J2291" i="3"/>
  <c r="K2291" i="3"/>
  <c r="L2291" i="3"/>
  <c r="I2292" i="3"/>
  <c r="J2292" i="3"/>
  <c r="K2292" i="3"/>
  <c r="L2292" i="3"/>
  <c r="I2293" i="3"/>
  <c r="J2293" i="3"/>
  <c r="K2293" i="3"/>
  <c r="L2293" i="3"/>
  <c r="I2294" i="3"/>
  <c r="J2294" i="3"/>
  <c r="K2294" i="3"/>
  <c r="L2294" i="3"/>
  <c r="I2295" i="3"/>
  <c r="J2295" i="3"/>
  <c r="K2295" i="3"/>
  <c r="L2295" i="3"/>
  <c r="I2296" i="3"/>
  <c r="J2296" i="3"/>
  <c r="K2296" i="3"/>
  <c r="L2296" i="3"/>
  <c r="I2297" i="3"/>
  <c r="J2297" i="3"/>
  <c r="K2297" i="3"/>
  <c r="L2297" i="3"/>
  <c r="I2298" i="3"/>
  <c r="J2298" i="3"/>
  <c r="K2298" i="3"/>
  <c r="L2298" i="3"/>
  <c r="I2299" i="3"/>
  <c r="J2299" i="3"/>
  <c r="K2299" i="3"/>
  <c r="L2299" i="3"/>
  <c r="I2300" i="3"/>
  <c r="J2300" i="3"/>
  <c r="K2300" i="3"/>
  <c r="L2300" i="3"/>
  <c r="I2301" i="3"/>
  <c r="J2301" i="3"/>
  <c r="K2301" i="3"/>
  <c r="L2301" i="3"/>
  <c r="I2302" i="3"/>
  <c r="J2302" i="3"/>
  <c r="K2302" i="3"/>
  <c r="L2302" i="3"/>
  <c r="I2303" i="3"/>
  <c r="J2303" i="3"/>
  <c r="K2303" i="3"/>
  <c r="L2303" i="3"/>
  <c r="I2304" i="3"/>
  <c r="J2304" i="3"/>
  <c r="K2304" i="3"/>
  <c r="L2304" i="3"/>
  <c r="I2305" i="3"/>
  <c r="J2305" i="3"/>
  <c r="K2305" i="3"/>
  <c r="L2305" i="3"/>
  <c r="I2306" i="3"/>
  <c r="J2306" i="3"/>
  <c r="K2306" i="3"/>
  <c r="L2306" i="3"/>
  <c r="I2307" i="3"/>
  <c r="J2307" i="3"/>
  <c r="K2307" i="3"/>
  <c r="L2307" i="3"/>
  <c r="I2308" i="3"/>
  <c r="J2308" i="3"/>
  <c r="K2308" i="3"/>
  <c r="L2308" i="3"/>
  <c r="I2309" i="3"/>
  <c r="J2309" i="3"/>
  <c r="K2309" i="3"/>
  <c r="L2309" i="3"/>
  <c r="I2310" i="3"/>
  <c r="J2310" i="3"/>
  <c r="K2310" i="3"/>
  <c r="L2310" i="3"/>
  <c r="I2311" i="3"/>
  <c r="J2311" i="3"/>
  <c r="K2311" i="3"/>
  <c r="L2311" i="3"/>
  <c r="I2312" i="3"/>
  <c r="J2312" i="3"/>
  <c r="K2312" i="3"/>
  <c r="L2312" i="3"/>
  <c r="I2313" i="3"/>
  <c r="J2313" i="3"/>
  <c r="K2313" i="3"/>
  <c r="L2313" i="3"/>
  <c r="I2314" i="3"/>
  <c r="J2314" i="3"/>
  <c r="K2314" i="3"/>
  <c r="L2314" i="3"/>
  <c r="I2315" i="3"/>
  <c r="J2315" i="3"/>
  <c r="K2315" i="3"/>
  <c r="L2315" i="3"/>
  <c r="I2316" i="3"/>
  <c r="J2316" i="3"/>
  <c r="K2316" i="3"/>
  <c r="L2316" i="3"/>
  <c r="I2317" i="3"/>
  <c r="J2317" i="3"/>
  <c r="K2317" i="3"/>
  <c r="L2317" i="3"/>
  <c r="I2318" i="3"/>
  <c r="J2318" i="3"/>
  <c r="K2318" i="3"/>
  <c r="L2318" i="3"/>
  <c r="I2319" i="3"/>
  <c r="J2319" i="3"/>
  <c r="K2319" i="3"/>
  <c r="L2319" i="3"/>
  <c r="I2320" i="3"/>
  <c r="J2320" i="3"/>
  <c r="K2320" i="3"/>
  <c r="L2320" i="3"/>
  <c r="I2321" i="3"/>
  <c r="J2321" i="3"/>
  <c r="K2321" i="3"/>
  <c r="L2321" i="3"/>
  <c r="I2322" i="3"/>
  <c r="J2322" i="3"/>
  <c r="K2322" i="3"/>
  <c r="L2322" i="3"/>
  <c r="I2323" i="3"/>
  <c r="J2323" i="3"/>
  <c r="K2323" i="3"/>
  <c r="L2323" i="3"/>
  <c r="I2324" i="3"/>
  <c r="J2324" i="3"/>
  <c r="K2324" i="3"/>
  <c r="L2324" i="3"/>
  <c r="I2325" i="3"/>
  <c r="J2325" i="3"/>
  <c r="K2325" i="3"/>
  <c r="L2325" i="3"/>
  <c r="I2326" i="3"/>
  <c r="J2326" i="3"/>
  <c r="K2326" i="3"/>
  <c r="L2326" i="3"/>
  <c r="I2327" i="3"/>
  <c r="J2327" i="3"/>
  <c r="K2327" i="3"/>
  <c r="L2327" i="3"/>
  <c r="I2328" i="3"/>
  <c r="J2328" i="3"/>
  <c r="K2328" i="3"/>
  <c r="L2328" i="3"/>
  <c r="I2329" i="3"/>
  <c r="J2329" i="3"/>
  <c r="K2329" i="3"/>
  <c r="L2329" i="3"/>
  <c r="I2330" i="3"/>
  <c r="J2330" i="3"/>
  <c r="K2330" i="3"/>
  <c r="L2330" i="3"/>
  <c r="I2331" i="3"/>
  <c r="J2331" i="3"/>
  <c r="K2331" i="3"/>
  <c r="L2331" i="3"/>
  <c r="I2332" i="3"/>
  <c r="J2332" i="3"/>
  <c r="K2332" i="3"/>
  <c r="L2332" i="3"/>
  <c r="I2333" i="3"/>
  <c r="J2333" i="3"/>
  <c r="K2333" i="3"/>
  <c r="L2333" i="3"/>
  <c r="I2334" i="3"/>
  <c r="J2334" i="3"/>
  <c r="K2334" i="3"/>
  <c r="L2334" i="3"/>
  <c r="I2335" i="3"/>
  <c r="J2335" i="3"/>
  <c r="K2335" i="3"/>
  <c r="L2335" i="3"/>
  <c r="I2336" i="3"/>
  <c r="J2336" i="3"/>
  <c r="K2336" i="3"/>
  <c r="L2336" i="3"/>
  <c r="I2337" i="3"/>
  <c r="J2337" i="3"/>
  <c r="K2337" i="3"/>
  <c r="L2337" i="3"/>
  <c r="I2338" i="3"/>
  <c r="J2338" i="3"/>
  <c r="K2338" i="3"/>
  <c r="L2338" i="3"/>
  <c r="I2339" i="3"/>
  <c r="J2339" i="3"/>
  <c r="K2339" i="3"/>
  <c r="L2339" i="3"/>
  <c r="I2340" i="3"/>
  <c r="J2340" i="3"/>
  <c r="K2340" i="3"/>
  <c r="L2340" i="3"/>
  <c r="I2341" i="3"/>
  <c r="J2341" i="3"/>
  <c r="K2341" i="3"/>
  <c r="L2341" i="3"/>
  <c r="I2342" i="3"/>
  <c r="J2342" i="3"/>
  <c r="K2342" i="3"/>
  <c r="L2342" i="3"/>
  <c r="I2343" i="3"/>
  <c r="J2343" i="3"/>
  <c r="K2343" i="3"/>
  <c r="L2343" i="3"/>
  <c r="I2344" i="3"/>
  <c r="J2344" i="3"/>
  <c r="K2344" i="3"/>
  <c r="L2344" i="3"/>
  <c r="I2345" i="3"/>
  <c r="J2345" i="3"/>
  <c r="K2345" i="3"/>
  <c r="L2345" i="3"/>
  <c r="I2346" i="3"/>
  <c r="J2346" i="3"/>
  <c r="K2346" i="3"/>
  <c r="L2346" i="3"/>
  <c r="I2347" i="3"/>
  <c r="J2347" i="3"/>
  <c r="K2347" i="3"/>
  <c r="L2347" i="3"/>
  <c r="I2348" i="3"/>
  <c r="J2348" i="3"/>
  <c r="K2348" i="3"/>
  <c r="L2348" i="3"/>
  <c r="I2349" i="3"/>
  <c r="J2349" i="3"/>
  <c r="K2349" i="3"/>
  <c r="L2349" i="3"/>
  <c r="I2350" i="3"/>
  <c r="J2350" i="3"/>
  <c r="K2350" i="3"/>
  <c r="L2350" i="3"/>
  <c r="I2351" i="3"/>
  <c r="J2351" i="3"/>
  <c r="K2351" i="3"/>
  <c r="L2351" i="3"/>
  <c r="I2352" i="3"/>
  <c r="J2352" i="3"/>
  <c r="K2352" i="3"/>
  <c r="L2352" i="3"/>
  <c r="I2353" i="3"/>
  <c r="J2353" i="3"/>
  <c r="K2353" i="3"/>
  <c r="L2353" i="3"/>
  <c r="I2354" i="3"/>
  <c r="J2354" i="3"/>
  <c r="K2354" i="3"/>
  <c r="L2354" i="3"/>
  <c r="I2355" i="3"/>
  <c r="J2355" i="3"/>
  <c r="K2355" i="3"/>
  <c r="L2355" i="3"/>
  <c r="I2356" i="3"/>
  <c r="J2356" i="3"/>
  <c r="K2356" i="3"/>
  <c r="L2356" i="3"/>
  <c r="I2357" i="3"/>
  <c r="J2357" i="3"/>
  <c r="K2357" i="3"/>
  <c r="L2357" i="3"/>
  <c r="I2358" i="3"/>
  <c r="J2358" i="3"/>
  <c r="K2358" i="3"/>
  <c r="L2358" i="3"/>
  <c r="I2359" i="3"/>
  <c r="J2359" i="3"/>
  <c r="K2359" i="3"/>
  <c r="L2359" i="3"/>
  <c r="I2360" i="3"/>
  <c r="J2360" i="3"/>
  <c r="K2360" i="3"/>
  <c r="L2360" i="3"/>
  <c r="I2361" i="3"/>
  <c r="J2361" i="3"/>
  <c r="K2361" i="3"/>
  <c r="L2361" i="3"/>
  <c r="I2362" i="3"/>
  <c r="J2362" i="3"/>
  <c r="K2362" i="3"/>
  <c r="L2362" i="3"/>
  <c r="I2363" i="3"/>
  <c r="J2363" i="3"/>
  <c r="K2363" i="3"/>
  <c r="L2363" i="3"/>
  <c r="I2364" i="3"/>
  <c r="J2364" i="3"/>
  <c r="K2364" i="3"/>
  <c r="L2364" i="3"/>
  <c r="I2365" i="3"/>
  <c r="J2365" i="3"/>
  <c r="K2365" i="3"/>
  <c r="L2365" i="3"/>
  <c r="I2366" i="3"/>
  <c r="J2366" i="3"/>
  <c r="K2366" i="3"/>
  <c r="L2366" i="3"/>
  <c r="I2367" i="3"/>
  <c r="J2367" i="3"/>
  <c r="K2367" i="3"/>
  <c r="L2367" i="3"/>
  <c r="I2368" i="3"/>
  <c r="J2368" i="3"/>
  <c r="K2368" i="3"/>
  <c r="L2368" i="3"/>
  <c r="I2369" i="3"/>
  <c r="J2369" i="3"/>
  <c r="K2369" i="3"/>
  <c r="L2369" i="3"/>
  <c r="I2370" i="3"/>
  <c r="J2370" i="3"/>
  <c r="K2370" i="3"/>
  <c r="L2370" i="3"/>
  <c r="I2371" i="3"/>
  <c r="J2371" i="3"/>
  <c r="K2371" i="3"/>
  <c r="L2371" i="3"/>
  <c r="I2372" i="3"/>
  <c r="J2372" i="3"/>
  <c r="K2372" i="3"/>
  <c r="L2372" i="3"/>
  <c r="I2373" i="3"/>
  <c r="J2373" i="3"/>
  <c r="K2373" i="3"/>
  <c r="L2373" i="3"/>
  <c r="I2374" i="3"/>
  <c r="J2374" i="3"/>
  <c r="K2374" i="3"/>
  <c r="L2374" i="3"/>
  <c r="I2375" i="3"/>
  <c r="J2375" i="3"/>
  <c r="K2375" i="3"/>
  <c r="L2375" i="3"/>
  <c r="I2376" i="3"/>
  <c r="J2376" i="3"/>
  <c r="K2376" i="3"/>
  <c r="L2376" i="3"/>
  <c r="I2377" i="3"/>
  <c r="J2377" i="3"/>
  <c r="K2377" i="3"/>
  <c r="L2377" i="3"/>
  <c r="I2378" i="3"/>
  <c r="J2378" i="3"/>
  <c r="K2378" i="3"/>
  <c r="L2378" i="3"/>
  <c r="I2379" i="3"/>
  <c r="J2379" i="3"/>
  <c r="K2379" i="3"/>
  <c r="L2379" i="3"/>
  <c r="I2380" i="3"/>
  <c r="J2380" i="3"/>
  <c r="K2380" i="3"/>
  <c r="L2380" i="3"/>
  <c r="I2381" i="3"/>
  <c r="J2381" i="3"/>
  <c r="K2381" i="3"/>
  <c r="L2381" i="3"/>
  <c r="I2382" i="3"/>
  <c r="J2382" i="3"/>
  <c r="K2382" i="3"/>
  <c r="L2382" i="3"/>
  <c r="I2383" i="3"/>
  <c r="J2383" i="3"/>
  <c r="K2383" i="3"/>
  <c r="L2383" i="3"/>
  <c r="I2384" i="3"/>
  <c r="J2384" i="3"/>
  <c r="K2384" i="3"/>
  <c r="L2384" i="3"/>
  <c r="I2385" i="3"/>
  <c r="J2385" i="3"/>
  <c r="K2385" i="3"/>
  <c r="L2385" i="3"/>
  <c r="I2386" i="3"/>
  <c r="J2386" i="3"/>
  <c r="K2386" i="3"/>
  <c r="L2386" i="3"/>
  <c r="I2387" i="3"/>
  <c r="J2387" i="3"/>
  <c r="K2387" i="3"/>
  <c r="L2387" i="3"/>
  <c r="I2388" i="3"/>
  <c r="J2388" i="3"/>
  <c r="K2388" i="3"/>
  <c r="L2388" i="3"/>
  <c r="I2389" i="3"/>
  <c r="J2389" i="3"/>
  <c r="K2389" i="3"/>
  <c r="L2389" i="3"/>
  <c r="I2390" i="3"/>
  <c r="J2390" i="3"/>
  <c r="K2390" i="3"/>
  <c r="L2390" i="3"/>
  <c r="I2391" i="3"/>
  <c r="J2391" i="3"/>
  <c r="K2391" i="3"/>
  <c r="L2391" i="3"/>
  <c r="I2392" i="3"/>
  <c r="J2392" i="3"/>
  <c r="K2392" i="3"/>
  <c r="L2392" i="3"/>
  <c r="I2393" i="3"/>
  <c r="J2393" i="3"/>
  <c r="K2393" i="3"/>
  <c r="L2393" i="3"/>
  <c r="I2394" i="3"/>
  <c r="J2394" i="3"/>
  <c r="K2394" i="3"/>
  <c r="L2394" i="3"/>
  <c r="I2395" i="3"/>
  <c r="J2395" i="3"/>
  <c r="K2395" i="3"/>
  <c r="L2395" i="3"/>
  <c r="I2396" i="3"/>
  <c r="J2396" i="3"/>
  <c r="K2396" i="3"/>
  <c r="L2396" i="3"/>
  <c r="I2397" i="3"/>
  <c r="J2397" i="3"/>
  <c r="K2397" i="3"/>
  <c r="L2397" i="3"/>
  <c r="I2398" i="3"/>
  <c r="J2398" i="3"/>
  <c r="K2398" i="3"/>
  <c r="L2398" i="3"/>
  <c r="I2399" i="3"/>
  <c r="J2399" i="3"/>
  <c r="K2399" i="3"/>
  <c r="L2399" i="3"/>
  <c r="I2400" i="3"/>
  <c r="J2400" i="3"/>
  <c r="K2400" i="3"/>
  <c r="L2400" i="3"/>
  <c r="I2401" i="3"/>
  <c r="J2401" i="3"/>
  <c r="K2401" i="3"/>
  <c r="L2401" i="3"/>
  <c r="I2402" i="3"/>
  <c r="J2402" i="3"/>
  <c r="K2402" i="3"/>
  <c r="L2402" i="3"/>
  <c r="I2403" i="3"/>
  <c r="J2403" i="3"/>
  <c r="K2403" i="3"/>
  <c r="L2403" i="3"/>
  <c r="I2404" i="3"/>
  <c r="J2404" i="3"/>
  <c r="K2404" i="3"/>
  <c r="L2404" i="3"/>
  <c r="I2405" i="3"/>
  <c r="J2405" i="3"/>
  <c r="K2405" i="3"/>
  <c r="L2405" i="3"/>
  <c r="I2406" i="3"/>
  <c r="J2406" i="3"/>
  <c r="K2406" i="3"/>
  <c r="L2406" i="3"/>
  <c r="I2407" i="3"/>
  <c r="J2407" i="3"/>
  <c r="K2407" i="3"/>
  <c r="L2407" i="3"/>
  <c r="I2408" i="3"/>
  <c r="J2408" i="3"/>
  <c r="K2408" i="3"/>
  <c r="L2408" i="3"/>
  <c r="I2409" i="3"/>
  <c r="J2409" i="3"/>
  <c r="K2409" i="3"/>
  <c r="L2409" i="3"/>
  <c r="I2410" i="3"/>
  <c r="J2410" i="3"/>
  <c r="K2410" i="3"/>
  <c r="L2410" i="3"/>
  <c r="I2411" i="3"/>
  <c r="J2411" i="3"/>
  <c r="K2411" i="3"/>
  <c r="L2411" i="3"/>
  <c r="I2412" i="3"/>
  <c r="J2412" i="3"/>
  <c r="K2412" i="3"/>
  <c r="L2412" i="3"/>
  <c r="I2413" i="3"/>
  <c r="J2413" i="3"/>
  <c r="K2413" i="3"/>
  <c r="L2413" i="3"/>
  <c r="I2414" i="3"/>
  <c r="J2414" i="3"/>
  <c r="K2414" i="3"/>
  <c r="L2414" i="3"/>
  <c r="I2415" i="3"/>
  <c r="J2415" i="3"/>
  <c r="K2415" i="3"/>
  <c r="L2415" i="3"/>
  <c r="I2416" i="3"/>
  <c r="J2416" i="3"/>
  <c r="K2416" i="3"/>
  <c r="L2416" i="3"/>
  <c r="I2417" i="3"/>
  <c r="J2417" i="3"/>
  <c r="K2417" i="3"/>
  <c r="L2417" i="3"/>
  <c r="I2418" i="3"/>
  <c r="J2418" i="3"/>
  <c r="K2418" i="3"/>
  <c r="L2418" i="3"/>
  <c r="I2419" i="3"/>
  <c r="J2419" i="3"/>
  <c r="K2419" i="3"/>
  <c r="L2419" i="3"/>
  <c r="I2420" i="3"/>
  <c r="J2420" i="3"/>
  <c r="K2420" i="3"/>
  <c r="L2420" i="3"/>
  <c r="I2421" i="3"/>
  <c r="J2421" i="3"/>
  <c r="K2421" i="3"/>
  <c r="L2421" i="3"/>
  <c r="I2422" i="3"/>
  <c r="J2422" i="3"/>
  <c r="K2422" i="3"/>
  <c r="L2422" i="3"/>
  <c r="I2423" i="3"/>
  <c r="J2423" i="3"/>
  <c r="K2423" i="3"/>
  <c r="L2423" i="3"/>
  <c r="I2424" i="3"/>
  <c r="J2424" i="3"/>
  <c r="K2424" i="3"/>
  <c r="L2424" i="3"/>
  <c r="I2425" i="3"/>
  <c r="J2425" i="3"/>
  <c r="K2425" i="3"/>
  <c r="L2425" i="3"/>
  <c r="I2426" i="3"/>
  <c r="J2426" i="3"/>
  <c r="K2426" i="3"/>
  <c r="L2426" i="3"/>
  <c r="I2427" i="3"/>
  <c r="J2427" i="3"/>
  <c r="K2427" i="3"/>
  <c r="L2427" i="3"/>
  <c r="I2428" i="3"/>
  <c r="J2428" i="3"/>
  <c r="K2428" i="3"/>
  <c r="L2428" i="3"/>
  <c r="I2429" i="3"/>
  <c r="J2429" i="3"/>
  <c r="K2429" i="3"/>
  <c r="L2429" i="3"/>
  <c r="I2430" i="3"/>
  <c r="J2430" i="3"/>
  <c r="K2430" i="3"/>
  <c r="L2430" i="3"/>
  <c r="I2431" i="3"/>
  <c r="J2431" i="3"/>
  <c r="K2431" i="3"/>
  <c r="L2431" i="3"/>
  <c r="I2432" i="3"/>
  <c r="J2432" i="3"/>
  <c r="K2432" i="3"/>
  <c r="L2432" i="3"/>
  <c r="I2433" i="3"/>
  <c r="J2433" i="3"/>
  <c r="K2433" i="3"/>
  <c r="L2433" i="3"/>
  <c r="I2434" i="3"/>
  <c r="J2434" i="3"/>
  <c r="K2434" i="3"/>
  <c r="L2434" i="3"/>
  <c r="I2435" i="3"/>
  <c r="J2435" i="3"/>
  <c r="K2435" i="3"/>
  <c r="L2435" i="3"/>
  <c r="I2436" i="3"/>
  <c r="J2436" i="3"/>
  <c r="K2436" i="3"/>
  <c r="L2436" i="3"/>
  <c r="I2437" i="3"/>
  <c r="J2437" i="3"/>
  <c r="K2437" i="3"/>
  <c r="L2437" i="3"/>
  <c r="I2438" i="3"/>
  <c r="J2438" i="3"/>
  <c r="K2438" i="3"/>
  <c r="L2438" i="3"/>
  <c r="I2439" i="3"/>
  <c r="J2439" i="3"/>
  <c r="K2439" i="3"/>
  <c r="L2439" i="3"/>
  <c r="I2440" i="3"/>
  <c r="J2440" i="3"/>
  <c r="K2440" i="3"/>
  <c r="L2440" i="3"/>
  <c r="I2441" i="3"/>
  <c r="J2441" i="3"/>
  <c r="K2441" i="3"/>
  <c r="L2441" i="3"/>
  <c r="I2442" i="3"/>
  <c r="J2442" i="3"/>
  <c r="K2442" i="3"/>
  <c r="L2442" i="3"/>
  <c r="I2443" i="3"/>
  <c r="J2443" i="3"/>
  <c r="K2443" i="3"/>
  <c r="L2443" i="3"/>
  <c r="I2444" i="3"/>
  <c r="J2444" i="3"/>
  <c r="K2444" i="3"/>
  <c r="L2444" i="3"/>
  <c r="I2445" i="3"/>
  <c r="J2445" i="3"/>
  <c r="K2445" i="3"/>
  <c r="L2445" i="3"/>
  <c r="I2446" i="3"/>
  <c r="J2446" i="3"/>
  <c r="K2446" i="3"/>
  <c r="L2446" i="3"/>
  <c r="I2447" i="3"/>
  <c r="J2447" i="3"/>
  <c r="K2447" i="3"/>
  <c r="L2447" i="3"/>
  <c r="I2448" i="3"/>
  <c r="J2448" i="3"/>
  <c r="K2448" i="3"/>
  <c r="L2448" i="3"/>
  <c r="I2449" i="3"/>
  <c r="J2449" i="3"/>
  <c r="K2449" i="3"/>
  <c r="L2449" i="3"/>
  <c r="I2450" i="3"/>
  <c r="J2450" i="3"/>
  <c r="K2450" i="3"/>
  <c r="L2450" i="3"/>
  <c r="I2451" i="3"/>
  <c r="J2451" i="3"/>
  <c r="K2451" i="3"/>
  <c r="L2451" i="3"/>
  <c r="I2452" i="3"/>
  <c r="J2452" i="3"/>
  <c r="K2452" i="3"/>
  <c r="L2452" i="3"/>
  <c r="I2453" i="3"/>
  <c r="J2453" i="3"/>
  <c r="K2453" i="3"/>
  <c r="L2453" i="3"/>
  <c r="I2454" i="3"/>
  <c r="J2454" i="3"/>
  <c r="K2454" i="3"/>
  <c r="L2454" i="3"/>
  <c r="I2455" i="3"/>
  <c r="J2455" i="3"/>
  <c r="K2455" i="3"/>
  <c r="L2455" i="3"/>
  <c r="I2456" i="3"/>
  <c r="J2456" i="3"/>
  <c r="K2456" i="3"/>
  <c r="L2456" i="3"/>
  <c r="I2457" i="3"/>
  <c r="J2457" i="3"/>
  <c r="K2457" i="3"/>
  <c r="L2457" i="3"/>
  <c r="I2458" i="3"/>
  <c r="J2458" i="3"/>
  <c r="K2458" i="3"/>
  <c r="L2458" i="3"/>
  <c r="I2459" i="3"/>
  <c r="J2459" i="3"/>
  <c r="K2459" i="3"/>
  <c r="L2459" i="3"/>
  <c r="I2460" i="3"/>
  <c r="J2460" i="3"/>
  <c r="K2460" i="3"/>
  <c r="L2460" i="3"/>
  <c r="I2461" i="3"/>
  <c r="J2461" i="3"/>
  <c r="K2461" i="3"/>
  <c r="L2461" i="3"/>
  <c r="I2462" i="3"/>
  <c r="J2462" i="3"/>
  <c r="K2462" i="3"/>
  <c r="L2462" i="3"/>
  <c r="I2463" i="3"/>
  <c r="J2463" i="3"/>
  <c r="K2463" i="3"/>
  <c r="L2463" i="3"/>
  <c r="I2464" i="3"/>
  <c r="J2464" i="3"/>
  <c r="K2464" i="3"/>
  <c r="L2464" i="3"/>
  <c r="I2465" i="3"/>
  <c r="J2465" i="3"/>
  <c r="K2465" i="3"/>
  <c r="L2465" i="3"/>
  <c r="I2466" i="3"/>
  <c r="J2466" i="3"/>
  <c r="K2466" i="3"/>
  <c r="L2466" i="3"/>
  <c r="I2467" i="3"/>
  <c r="J2467" i="3"/>
  <c r="K2467" i="3"/>
  <c r="L2467" i="3"/>
  <c r="I2468" i="3"/>
  <c r="J2468" i="3"/>
  <c r="K2468" i="3"/>
  <c r="L2468" i="3"/>
  <c r="I2469" i="3"/>
  <c r="J2469" i="3"/>
  <c r="K2469" i="3"/>
  <c r="L2469" i="3"/>
  <c r="I2470" i="3"/>
  <c r="J2470" i="3"/>
  <c r="K2470" i="3"/>
  <c r="L2470" i="3"/>
  <c r="I2471" i="3"/>
  <c r="J2471" i="3"/>
  <c r="K2471" i="3"/>
  <c r="L2471" i="3"/>
  <c r="I2472" i="3"/>
  <c r="J2472" i="3"/>
  <c r="K2472" i="3"/>
  <c r="L2472" i="3"/>
  <c r="I2473" i="3"/>
  <c r="J2473" i="3"/>
  <c r="K2473" i="3"/>
  <c r="L2473" i="3"/>
  <c r="I2474" i="3"/>
  <c r="J2474" i="3"/>
  <c r="K2474" i="3"/>
  <c r="L2474" i="3"/>
  <c r="I2475" i="3"/>
  <c r="J2475" i="3"/>
  <c r="K2475" i="3"/>
  <c r="L2475" i="3"/>
  <c r="I2476" i="3"/>
  <c r="J2476" i="3"/>
  <c r="K2476" i="3"/>
  <c r="L2476" i="3"/>
  <c r="I2477" i="3"/>
  <c r="J2477" i="3"/>
  <c r="K2477" i="3"/>
  <c r="L2477" i="3"/>
  <c r="I2478" i="3"/>
  <c r="J2478" i="3"/>
  <c r="K2478" i="3"/>
  <c r="L2478" i="3"/>
  <c r="I2479" i="3"/>
  <c r="J2479" i="3"/>
  <c r="K2479" i="3"/>
  <c r="L2479" i="3"/>
  <c r="I2480" i="3"/>
  <c r="J2480" i="3"/>
  <c r="K2480" i="3"/>
  <c r="L2480" i="3"/>
  <c r="I2481" i="3"/>
  <c r="J2481" i="3"/>
  <c r="K2481" i="3"/>
  <c r="L2481" i="3"/>
  <c r="I2482" i="3"/>
  <c r="J2482" i="3"/>
  <c r="K2482" i="3"/>
  <c r="L2482" i="3"/>
  <c r="I2483" i="3"/>
  <c r="J2483" i="3"/>
  <c r="K2483" i="3"/>
  <c r="L2483" i="3"/>
  <c r="I2484" i="3"/>
  <c r="J2484" i="3"/>
  <c r="K2484" i="3"/>
  <c r="L2484" i="3"/>
  <c r="I2485" i="3"/>
  <c r="J2485" i="3"/>
  <c r="K2485" i="3"/>
  <c r="L2485" i="3"/>
  <c r="I2486" i="3"/>
  <c r="J2486" i="3"/>
  <c r="K2486" i="3"/>
  <c r="L2486" i="3"/>
  <c r="I2487" i="3"/>
  <c r="J2487" i="3"/>
  <c r="K2487" i="3"/>
  <c r="L2487" i="3"/>
  <c r="I2488" i="3"/>
  <c r="J2488" i="3"/>
  <c r="K2488" i="3"/>
  <c r="L2488" i="3"/>
  <c r="I2489" i="3"/>
  <c r="J2489" i="3"/>
  <c r="K2489" i="3"/>
  <c r="L2489" i="3"/>
  <c r="I2490" i="3"/>
  <c r="J2490" i="3"/>
  <c r="K2490" i="3"/>
  <c r="L2490" i="3"/>
  <c r="I2491" i="3"/>
  <c r="J2491" i="3"/>
  <c r="K2491" i="3"/>
  <c r="L2491" i="3"/>
  <c r="I2492" i="3"/>
  <c r="J2492" i="3"/>
  <c r="K2492" i="3"/>
  <c r="L2492" i="3"/>
  <c r="I2493" i="3"/>
  <c r="J2493" i="3"/>
  <c r="K2493" i="3"/>
  <c r="L2493" i="3"/>
  <c r="I2494" i="3"/>
  <c r="J2494" i="3"/>
  <c r="K2494" i="3"/>
  <c r="L2494" i="3"/>
  <c r="I2495" i="3"/>
  <c r="J2495" i="3"/>
  <c r="K2495" i="3"/>
  <c r="L2495" i="3"/>
  <c r="I2496" i="3"/>
  <c r="J2496" i="3"/>
  <c r="K2496" i="3"/>
  <c r="L2496" i="3"/>
  <c r="I2497" i="3"/>
  <c r="J2497" i="3"/>
  <c r="K2497" i="3"/>
  <c r="L2497" i="3"/>
  <c r="I2498" i="3"/>
  <c r="J2498" i="3"/>
  <c r="K2498" i="3"/>
  <c r="L2498" i="3"/>
  <c r="I2499" i="3"/>
  <c r="J2499" i="3"/>
  <c r="K2499" i="3"/>
  <c r="L2499" i="3"/>
  <c r="I2500" i="3"/>
  <c r="J2500" i="3"/>
  <c r="K2500" i="3"/>
  <c r="L2500" i="3"/>
  <c r="I2501" i="3"/>
  <c r="J2501" i="3"/>
  <c r="K2501" i="3"/>
  <c r="L2501" i="3"/>
  <c r="I2502" i="3"/>
  <c r="J2502" i="3"/>
  <c r="K2502" i="3"/>
  <c r="L2502" i="3"/>
  <c r="I5" i="3"/>
  <c r="J5" i="3"/>
  <c r="K5" i="3"/>
  <c r="L5" i="3"/>
  <c r="I6" i="3"/>
  <c r="J6" i="3"/>
  <c r="K6" i="3"/>
  <c r="L6" i="3"/>
  <c r="I7" i="3"/>
  <c r="J7" i="3"/>
  <c r="K7" i="3"/>
  <c r="L7" i="3"/>
  <c r="I8" i="3"/>
  <c r="J8" i="3"/>
  <c r="K8" i="3"/>
  <c r="L8" i="3"/>
  <c r="I9" i="3"/>
  <c r="J9" i="3"/>
  <c r="K9" i="3"/>
  <c r="L9" i="3"/>
  <c r="I10" i="3"/>
  <c r="J10" i="3"/>
  <c r="K10" i="3"/>
  <c r="L10" i="3"/>
  <c r="I11" i="3"/>
  <c r="J11" i="3"/>
  <c r="K11" i="3"/>
  <c r="L11" i="3"/>
  <c r="I12" i="3"/>
  <c r="J12" i="3"/>
  <c r="K12" i="3"/>
  <c r="L12" i="3"/>
  <c r="I13" i="3"/>
  <c r="J13" i="3"/>
  <c r="K13" i="3"/>
  <c r="L13" i="3"/>
  <c r="I14" i="3"/>
  <c r="J14" i="3"/>
  <c r="K14" i="3"/>
  <c r="L14" i="3"/>
  <c r="I15" i="3"/>
  <c r="J15" i="3"/>
  <c r="K15" i="3"/>
  <c r="L15" i="3"/>
  <c r="I16" i="3"/>
  <c r="J16" i="3"/>
  <c r="K16" i="3"/>
  <c r="L16" i="3"/>
  <c r="I17" i="3"/>
  <c r="J17" i="3"/>
  <c r="K17" i="3"/>
  <c r="L17" i="3"/>
  <c r="I18" i="3"/>
  <c r="J18" i="3"/>
  <c r="K18" i="3"/>
  <c r="L18" i="3"/>
  <c r="I19" i="3"/>
  <c r="J19" i="3"/>
  <c r="K19" i="3"/>
  <c r="L19" i="3"/>
  <c r="I20" i="3"/>
  <c r="J20" i="3"/>
  <c r="K20" i="3"/>
  <c r="L20" i="3"/>
  <c r="I21" i="3"/>
  <c r="J21" i="3"/>
  <c r="K21" i="3"/>
  <c r="L21" i="3"/>
  <c r="I22" i="3"/>
  <c r="J22" i="3"/>
  <c r="K22" i="3"/>
  <c r="L22" i="3"/>
  <c r="I23" i="3"/>
  <c r="J23" i="3"/>
  <c r="K23" i="3"/>
  <c r="L23" i="3"/>
  <c r="I24" i="3"/>
  <c r="J24" i="3"/>
  <c r="K24" i="3"/>
  <c r="L24" i="3"/>
  <c r="I25" i="3"/>
  <c r="J25" i="3"/>
  <c r="K25" i="3"/>
  <c r="L25" i="3"/>
  <c r="I26" i="3"/>
  <c r="J26" i="3"/>
  <c r="K26" i="3"/>
  <c r="L26" i="3"/>
  <c r="I27" i="3"/>
  <c r="J27" i="3"/>
  <c r="K27" i="3"/>
  <c r="L27" i="3"/>
  <c r="I28" i="3"/>
  <c r="J28" i="3"/>
  <c r="K28" i="3"/>
  <c r="L28" i="3"/>
  <c r="I29" i="3"/>
  <c r="J29" i="3"/>
  <c r="K29" i="3"/>
  <c r="L29" i="3"/>
  <c r="I30" i="3"/>
  <c r="J30" i="3"/>
  <c r="K30" i="3"/>
  <c r="L30" i="3"/>
  <c r="I31" i="3"/>
  <c r="J31" i="3"/>
  <c r="K31" i="3"/>
  <c r="L31" i="3"/>
  <c r="I32" i="3"/>
  <c r="J32" i="3"/>
  <c r="K32" i="3"/>
  <c r="L32" i="3"/>
  <c r="I33" i="3"/>
  <c r="J33" i="3"/>
  <c r="K33" i="3"/>
  <c r="L33" i="3"/>
  <c r="I34" i="3"/>
  <c r="J34" i="3"/>
  <c r="K34" i="3"/>
  <c r="L34" i="3"/>
  <c r="I35" i="3"/>
  <c r="J35" i="3"/>
  <c r="K35" i="3"/>
  <c r="L35" i="3"/>
  <c r="I36" i="3"/>
  <c r="J36" i="3"/>
  <c r="K36" i="3"/>
  <c r="L36" i="3"/>
  <c r="I37" i="3"/>
  <c r="J37" i="3"/>
  <c r="K37" i="3"/>
  <c r="L37" i="3"/>
  <c r="I38" i="3"/>
  <c r="J38" i="3"/>
  <c r="K38" i="3"/>
  <c r="L38" i="3"/>
  <c r="I39" i="3"/>
  <c r="J39" i="3"/>
  <c r="K39" i="3"/>
  <c r="L39" i="3"/>
  <c r="I40" i="3"/>
  <c r="J40" i="3"/>
  <c r="K40" i="3"/>
  <c r="L40" i="3"/>
  <c r="I41" i="3"/>
  <c r="J41" i="3"/>
  <c r="K41" i="3"/>
  <c r="L41" i="3"/>
  <c r="I42" i="3"/>
  <c r="J42" i="3"/>
  <c r="K42" i="3"/>
  <c r="L42" i="3"/>
  <c r="I43" i="3"/>
  <c r="J43" i="3"/>
  <c r="K43" i="3"/>
  <c r="L43" i="3"/>
  <c r="I44" i="3"/>
  <c r="J44" i="3"/>
  <c r="K44" i="3"/>
  <c r="L44" i="3"/>
  <c r="I45" i="3"/>
  <c r="J45" i="3"/>
  <c r="K45" i="3"/>
  <c r="L45" i="3"/>
  <c r="I46" i="3"/>
  <c r="J46" i="3"/>
  <c r="K46" i="3"/>
  <c r="L46" i="3"/>
  <c r="I47" i="3"/>
  <c r="J47" i="3"/>
  <c r="K47" i="3"/>
  <c r="L47" i="3"/>
  <c r="I48" i="3"/>
  <c r="J48" i="3"/>
  <c r="K48" i="3"/>
  <c r="L48" i="3"/>
  <c r="I49" i="3"/>
  <c r="J49" i="3"/>
  <c r="K49" i="3"/>
  <c r="L49" i="3"/>
  <c r="I50" i="3"/>
  <c r="J50" i="3"/>
  <c r="K50" i="3"/>
  <c r="L50" i="3"/>
  <c r="I51" i="3"/>
  <c r="J51" i="3"/>
  <c r="K51" i="3"/>
  <c r="L51" i="3"/>
  <c r="I52" i="3"/>
  <c r="J52" i="3"/>
  <c r="K52" i="3"/>
  <c r="L52" i="3"/>
  <c r="I53" i="3"/>
  <c r="J53" i="3"/>
  <c r="K53" i="3"/>
  <c r="L53" i="3"/>
  <c r="I54" i="3"/>
  <c r="J54" i="3"/>
  <c r="K54" i="3"/>
  <c r="L54" i="3"/>
  <c r="I55" i="3"/>
  <c r="J55" i="3"/>
  <c r="K55" i="3"/>
  <c r="L55" i="3"/>
  <c r="I56" i="3"/>
  <c r="J56" i="3"/>
  <c r="K56" i="3"/>
  <c r="L56" i="3"/>
  <c r="I57" i="3"/>
  <c r="J57" i="3"/>
  <c r="K57" i="3"/>
  <c r="L57" i="3"/>
  <c r="I58" i="3"/>
  <c r="J58" i="3"/>
  <c r="K58" i="3"/>
  <c r="L58" i="3"/>
  <c r="I59" i="3"/>
  <c r="J59" i="3"/>
  <c r="K59" i="3"/>
  <c r="L59" i="3"/>
  <c r="I60" i="3"/>
  <c r="J60" i="3"/>
  <c r="K60" i="3"/>
  <c r="L60" i="3"/>
  <c r="I61" i="3"/>
  <c r="J61" i="3"/>
  <c r="K61" i="3"/>
  <c r="L61" i="3"/>
  <c r="I62" i="3"/>
  <c r="J62" i="3"/>
  <c r="K62" i="3"/>
  <c r="L62" i="3"/>
  <c r="I63" i="3"/>
  <c r="J63" i="3"/>
  <c r="K63" i="3"/>
  <c r="L63" i="3"/>
  <c r="I64" i="3"/>
  <c r="J64" i="3"/>
  <c r="K64" i="3"/>
  <c r="L64" i="3"/>
  <c r="I65" i="3"/>
  <c r="J65" i="3"/>
  <c r="K65" i="3"/>
  <c r="L65" i="3"/>
  <c r="I66" i="3"/>
  <c r="J66" i="3"/>
  <c r="K66" i="3"/>
  <c r="L66" i="3"/>
  <c r="I67" i="3"/>
  <c r="J67" i="3"/>
  <c r="K67" i="3"/>
  <c r="L67" i="3"/>
  <c r="I68" i="3"/>
  <c r="J68" i="3"/>
  <c r="K68" i="3"/>
  <c r="L68" i="3"/>
  <c r="I69" i="3"/>
  <c r="J69" i="3"/>
  <c r="K69" i="3"/>
  <c r="L69" i="3"/>
  <c r="I70" i="3"/>
  <c r="J70" i="3"/>
  <c r="K70" i="3"/>
  <c r="L70" i="3"/>
  <c r="I71" i="3"/>
  <c r="J71" i="3"/>
  <c r="K71" i="3"/>
  <c r="L71" i="3"/>
  <c r="I72" i="3"/>
  <c r="J72" i="3"/>
  <c r="K72" i="3"/>
  <c r="L72" i="3"/>
  <c r="I73" i="3"/>
  <c r="J73" i="3"/>
  <c r="K73" i="3"/>
  <c r="L73" i="3"/>
  <c r="I74" i="3"/>
  <c r="J74" i="3"/>
  <c r="K74" i="3"/>
  <c r="L74" i="3"/>
  <c r="I75" i="3"/>
  <c r="J75" i="3"/>
  <c r="K75" i="3"/>
  <c r="L75" i="3"/>
  <c r="I76" i="3"/>
  <c r="J76" i="3"/>
  <c r="K76" i="3"/>
  <c r="L76" i="3"/>
  <c r="I77" i="3"/>
  <c r="J77" i="3"/>
  <c r="K77" i="3"/>
  <c r="L77" i="3"/>
  <c r="I78" i="3"/>
  <c r="J78" i="3"/>
  <c r="K78" i="3"/>
  <c r="L78" i="3"/>
  <c r="I79" i="3"/>
  <c r="J79" i="3"/>
  <c r="K79" i="3"/>
  <c r="L79" i="3"/>
  <c r="I80" i="3"/>
  <c r="J80" i="3"/>
  <c r="K80" i="3"/>
  <c r="L80" i="3"/>
  <c r="I81" i="3"/>
  <c r="J81" i="3"/>
  <c r="K81" i="3"/>
  <c r="L81" i="3"/>
  <c r="I82" i="3"/>
  <c r="J82" i="3"/>
  <c r="K82" i="3"/>
  <c r="L82" i="3"/>
  <c r="I83" i="3"/>
  <c r="J83" i="3"/>
  <c r="K83" i="3"/>
  <c r="L83" i="3"/>
  <c r="I84" i="3"/>
  <c r="J84" i="3"/>
  <c r="K84" i="3"/>
  <c r="L84" i="3"/>
  <c r="I85" i="3"/>
  <c r="J85" i="3"/>
  <c r="K85" i="3"/>
  <c r="L85" i="3"/>
  <c r="I86" i="3"/>
  <c r="J86" i="3"/>
  <c r="K86" i="3"/>
  <c r="L86" i="3"/>
  <c r="I87" i="3"/>
  <c r="J87" i="3"/>
  <c r="K87" i="3"/>
  <c r="L87" i="3"/>
  <c r="I88" i="3"/>
  <c r="J88" i="3"/>
  <c r="K88" i="3"/>
  <c r="L88" i="3"/>
  <c r="I89" i="3"/>
  <c r="J89" i="3"/>
  <c r="K89" i="3"/>
  <c r="L89" i="3"/>
  <c r="I90" i="3"/>
  <c r="J90" i="3"/>
  <c r="K90" i="3"/>
  <c r="L90" i="3"/>
  <c r="I91" i="3"/>
  <c r="J91" i="3"/>
  <c r="K91" i="3"/>
  <c r="L91" i="3"/>
  <c r="I92" i="3"/>
  <c r="J92" i="3"/>
  <c r="K92" i="3"/>
  <c r="L92" i="3"/>
  <c r="I93" i="3"/>
  <c r="J93" i="3"/>
  <c r="K93" i="3"/>
  <c r="L93" i="3"/>
  <c r="I94" i="3"/>
  <c r="J94" i="3"/>
  <c r="K94" i="3"/>
  <c r="L94" i="3"/>
  <c r="I95" i="3"/>
  <c r="J95" i="3"/>
  <c r="K95" i="3"/>
  <c r="L95" i="3"/>
  <c r="I96" i="3"/>
  <c r="J96" i="3"/>
  <c r="K96" i="3"/>
  <c r="L96" i="3"/>
  <c r="I97" i="3"/>
  <c r="J97" i="3"/>
  <c r="K97" i="3"/>
  <c r="L97" i="3"/>
  <c r="I98" i="3"/>
  <c r="J98" i="3"/>
  <c r="K98" i="3"/>
  <c r="L98" i="3"/>
  <c r="I99" i="3"/>
  <c r="J99" i="3"/>
  <c r="K99" i="3"/>
  <c r="L99" i="3"/>
  <c r="I100" i="3"/>
  <c r="J100" i="3"/>
  <c r="K100" i="3"/>
  <c r="L100" i="3"/>
  <c r="I101" i="3"/>
  <c r="J101" i="3"/>
  <c r="K101" i="3"/>
  <c r="L101" i="3"/>
  <c r="I102" i="3"/>
  <c r="J102" i="3"/>
  <c r="K102" i="3"/>
  <c r="L102" i="3"/>
  <c r="I103" i="3"/>
  <c r="J103" i="3"/>
  <c r="K103" i="3"/>
  <c r="L103" i="3"/>
  <c r="I104" i="3"/>
  <c r="J104" i="3"/>
  <c r="K104" i="3"/>
  <c r="L104" i="3"/>
  <c r="I105" i="3"/>
  <c r="J105" i="3"/>
  <c r="K105" i="3"/>
  <c r="L105" i="3"/>
  <c r="I106" i="3"/>
  <c r="J106" i="3"/>
  <c r="K106" i="3"/>
  <c r="L106" i="3"/>
  <c r="I107" i="3"/>
  <c r="J107" i="3"/>
  <c r="K107" i="3"/>
  <c r="L107" i="3"/>
  <c r="I108" i="3"/>
  <c r="J108" i="3"/>
  <c r="K108" i="3"/>
  <c r="L108" i="3"/>
  <c r="I109" i="3"/>
  <c r="J109" i="3"/>
  <c r="K109" i="3"/>
  <c r="L109" i="3"/>
  <c r="I110" i="3"/>
  <c r="J110" i="3"/>
  <c r="K110" i="3"/>
  <c r="L110" i="3"/>
  <c r="I111" i="3"/>
  <c r="J111" i="3"/>
  <c r="K111" i="3"/>
  <c r="L111" i="3"/>
  <c r="I112" i="3"/>
  <c r="J112" i="3"/>
  <c r="K112" i="3"/>
  <c r="L112" i="3"/>
  <c r="I113" i="3"/>
  <c r="J113" i="3"/>
  <c r="K113" i="3"/>
  <c r="L113" i="3"/>
  <c r="I114" i="3"/>
  <c r="J114" i="3"/>
  <c r="K114" i="3"/>
  <c r="L114" i="3"/>
  <c r="I115" i="3"/>
  <c r="J115" i="3"/>
  <c r="K115" i="3"/>
  <c r="L115" i="3"/>
  <c r="I116" i="3"/>
  <c r="J116" i="3"/>
  <c r="K116" i="3"/>
  <c r="L116" i="3"/>
  <c r="I117" i="3"/>
  <c r="J117" i="3"/>
  <c r="K117" i="3"/>
  <c r="L117" i="3"/>
  <c r="I118" i="3"/>
  <c r="J118" i="3"/>
  <c r="K118" i="3"/>
  <c r="L118" i="3"/>
  <c r="I119" i="3"/>
  <c r="J119" i="3"/>
  <c r="K119" i="3"/>
  <c r="L119" i="3"/>
  <c r="I120" i="3"/>
  <c r="J120" i="3"/>
  <c r="K120" i="3"/>
  <c r="L120" i="3"/>
  <c r="I121" i="3"/>
  <c r="J121" i="3"/>
  <c r="K121" i="3"/>
  <c r="L121" i="3"/>
  <c r="I122" i="3"/>
  <c r="J122" i="3"/>
  <c r="K122" i="3"/>
  <c r="L122" i="3"/>
  <c r="I123" i="3"/>
  <c r="J123" i="3"/>
  <c r="K123" i="3"/>
  <c r="L123" i="3"/>
  <c r="I124" i="3"/>
  <c r="J124" i="3"/>
  <c r="K124" i="3"/>
  <c r="L124" i="3"/>
  <c r="I125" i="3"/>
  <c r="J125" i="3"/>
  <c r="K125" i="3"/>
  <c r="L125" i="3"/>
  <c r="I126" i="3"/>
  <c r="J126" i="3"/>
  <c r="K126" i="3"/>
  <c r="L126" i="3"/>
  <c r="I127" i="3"/>
  <c r="J127" i="3"/>
  <c r="K127" i="3"/>
  <c r="L127" i="3"/>
  <c r="I128" i="3"/>
  <c r="J128" i="3"/>
  <c r="K128" i="3"/>
  <c r="L128" i="3"/>
  <c r="I129" i="3"/>
  <c r="J129" i="3"/>
  <c r="K129" i="3"/>
  <c r="L129" i="3"/>
  <c r="I130" i="3"/>
  <c r="J130" i="3"/>
  <c r="K130" i="3"/>
  <c r="L130" i="3"/>
  <c r="I131" i="3"/>
  <c r="J131" i="3"/>
  <c r="K131" i="3"/>
  <c r="L131" i="3"/>
  <c r="I132" i="3"/>
  <c r="J132" i="3"/>
  <c r="K132" i="3"/>
  <c r="L132" i="3"/>
  <c r="I133" i="3"/>
  <c r="J133" i="3"/>
  <c r="K133" i="3"/>
  <c r="L133" i="3"/>
  <c r="I134" i="3"/>
  <c r="J134" i="3"/>
  <c r="K134" i="3"/>
  <c r="L134" i="3"/>
  <c r="I135" i="3"/>
  <c r="J135" i="3"/>
  <c r="K135" i="3"/>
  <c r="L135" i="3"/>
  <c r="I136" i="3"/>
  <c r="J136" i="3"/>
  <c r="K136" i="3"/>
  <c r="L136" i="3"/>
  <c r="I137" i="3"/>
  <c r="J137" i="3"/>
  <c r="K137" i="3"/>
  <c r="L137" i="3"/>
  <c r="I138" i="3"/>
  <c r="J138" i="3"/>
  <c r="K138" i="3"/>
  <c r="L138" i="3"/>
  <c r="I139" i="3"/>
  <c r="J139" i="3"/>
  <c r="K139" i="3"/>
  <c r="L139" i="3"/>
  <c r="I140" i="3"/>
  <c r="J140" i="3"/>
  <c r="K140" i="3"/>
  <c r="L140" i="3"/>
  <c r="I141" i="3"/>
  <c r="J141" i="3"/>
  <c r="K141" i="3"/>
  <c r="L141" i="3"/>
  <c r="I142" i="3"/>
  <c r="J142" i="3"/>
  <c r="K142" i="3"/>
  <c r="L142" i="3"/>
  <c r="I143" i="3"/>
  <c r="J143" i="3"/>
  <c r="K143" i="3"/>
  <c r="L143" i="3"/>
  <c r="I144" i="3"/>
  <c r="J144" i="3"/>
  <c r="K144" i="3"/>
  <c r="L144" i="3"/>
  <c r="I145" i="3"/>
  <c r="J145" i="3"/>
  <c r="K145" i="3"/>
  <c r="L145" i="3"/>
  <c r="I146" i="3"/>
  <c r="J146" i="3"/>
  <c r="K146" i="3"/>
  <c r="L146" i="3"/>
  <c r="I147" i="3"/>
  <c r="J147" i="3"/>
  <c r="K147" i="3"/>
  <c r="L147" i="3"/>
  <c r="I148" i="3"/>
  <c r="J148" i="3"/>
  <c r="K148" i="3"/>
  <c r="L148" i="3"/>
  <c r="I149" i="3"/>
  <c r="J149" i="3"/>
  <c r="K149" i="3"/>
  <c r="L149" i="3"/>
  <c r="I150" i="3"/>
  <c r="J150" i="3"/>
  <c r="K150" i="3"/>
  <c r="L150" i="3"/>
  <c r="I151" i="3"/>
  <c r="J151" i="3"/>
  <c r="K151" i="3"/>
  <c r="L151" i="3"/>
  <c r="I152" i="3"/>
  <c r="J152" i="3"/>
  <c r="K152" i="3"/>
  <c r="L152" i="3"/>
  <c r="I153" i="3"/>
  <c r="J153" i="3"/>
  <c r="K153" i="3"/>
  <c r="L153" i="3"/>
  <c r="I154" i="3"/>
  <c r="J154" i="3"/>
  <c r="K154" i="3"/>
  <c r="L154" i="3"/>
  <c r="I155" i="3"/>
  <c r="J155" i="3"/>
  <c r="K155" i="3"/>
  <c r="L155" i="3"/>
  <c r="I156" i="3"/>
  <c r="J156" i="3"/>
  <c r="K156" i="3"/>
  <c r="L156" i="3"/>
  <c r="I157" i="3"/>
  <c r="J157" i="3"/>
  <c r="K157" i="3"/>
  <c r="L157" i="3"/>
  <c r="I158" i="3"/>
  <c r="J158" i="3"/>
  <c r="K158" i="3"/>
  <c r="L158" i="3"/>
  <c r="I159" i="3"/>
  <c r="J159" i="3"/>
  <c r="K159" i="3"/>
  <c r="L159" i="3"/>
  <c r="I160" i="3"/>
  <c r="J160" i="3"/>
  <c r="K160" i="3"/>
  <c r="L160" i="3"/>
  <c r="I161" i="3"/>
  <c r="J161" i="3"/>
  <c r="K161" i="3"/>
  <c r="L161" i="3"/>
  <c r="I162" i="3"/>
  <c r="J162" i="3"/>
  <c r="K162" i="3"/>
  <c r="L162" i="3"/>
  <c r="I163" i="3"/>
  <c r="J163" i="3"/>
  <c r="K163" i="3"/>
  <c r="L163" i="3"/>
  <c r="I164" i="3"/>
  <c r="J164" i="3"/>
  <c r="K164" i="3"/>
  <c r="L164" i="3"/>
  <c r="I165" i="3"/>
  <c r="J165" i="3"/>
  <c r="K165" i="3"/>
  <c r="L165" i="3"/>
  <c r="I166" i="3"/>
  <c r="J166" i="3"/>
  <c r="K166" i="3"/>
  <c r="L166" i="3"/>
  <c r="I167" i="3"/>
  <c r="J167" i="3"/>
  <c r="K167" i="3"/>
  <c r="L167" i="3"/>
  <c r="I168" i="3"/>
  <c r="J168" i="3"/>
  <c r="K168" i="3"/>
  <c r="L168" i="3"/>
  <c r="I169" i="3"/>
  <c r="J169" i="3"/>
  <c r="K169" i="3"/>
  <c r="L169" i="3"/>
  <c r="I170" i="3"/>
  <c r="J170" i="3"/>
  <c r="K170" i="3"/>
  <c r="L170" i="3"/>
  <c r="I171" i="3"/>
  <c r="J171" i="3"/>
  <c r="K171" i="3"/>
  <c r="L171" i="3"/>
  <c r="I172" i="3"/>
  <c r="J172" i="3"/>
  <c r="K172" i="3"/>
  <c r="L172" i="3"/>
  <c r="I173" i="3"/>
  <c r="J173" i="3"/>
  <c r="K173" i="3"/>
  <c r="L173" i="3"/>
  <c r="I174" i="3"/>
  <c r="J174" i="3"/>
  <c r="K174" i="3"/>
  <c r="L174" i="3"/>
  <c r="I175" i="3"/>
  <c r="J175" i="3"/>
  <c r="K175" i="3"/>
  <c r="L175" i="3"/>
  <c r="I176" i="3"/>
  <c r="J176" i="3"/>
  <c r="K176" i="3"/>
  <c r="L176" i="3"/>
  <c r="I177" i="3"/>
  <c r="J177" i="3"/>
  <c r="K177" i="3"/>
  <c r="L177" i="3"/>
  <c r="I178" i="3"/>
  <c r="J178" i="3"/>
  <c r="K178" i="3"/>
  <c r="L178" i="3"/>
  <c r="I179" i="3"/>
  <c r="J179" i="3"/>
  <c r="K179" i="3"/>
  <c r="L179" i="3"/>
  <c r="I180" i="3"/>
  <c r="J180" i="3"/>
  <c r="K180" i="3"/>
  <c r="L180" i="3"/>
  <c r="I181" i="3"/>
  <c r="J181" i="3"/>
  <c r="K181" i="3"/>
  <c r="L181" i="3"/>
  <c r="I182" i="3"/>
  <c r="J182" i="3"/>
  <c r="K182" i="3"/>
  <c r="L182" i="3"/>
  <c r="I183" i="3"/>
  <c r="J183" i="3"/>
  <c r="K183" i="3"/>
  <c r="L183" i="3"/>
  <c r="I184" i="3"/>
  <c r="J184" i="3"/>
  <c r="K184" i="3"/>
  <c r="L184" i="3"/>
  <c r="I185" i="3"/>
  <c r="J185" i="3"/>
  <c r="K185" i="3"/>
  <c r="L185" i="3"/>
  <c r="I186" i="3"/>
  <c r="J186" i="3"/>
  <c r="K186" i="3"/>
  <c r="L186" i="3"/>
  <c r="I187" i="3"/>
  <c r="J187" i="3"/>
  <c r="K187" i="3"/>
  <c r="L187" i="3"/>
  <c r="I188" i="3"/>
  <c r="J188" i="3"/>
  <c r="K188" i="3"/>
  <c r="L188" i="3"/>
  <c r="I189" i="3"/>
  <c r="J189" i="3"/>
  <c r="K189" i="3"/>
  <c r="L189" i="3"/>
  <c r="I190" i="3"/>
  <c r="J190" i="3"/>
  <c r="K190" i="3"/>
  <c r="L190" i="3"/>
  <c r="I191" i="3"/>
  <c r="J191" i="3"/>
  <c r="K191" i="3"/>
  <c r="L191" i="3"/>
  <c r="I192" i="3"/>
  <c r="J192" i="3"/>
  <c r="K192" i="3"/>
  <c r="L192" i="3"/>
  <c r="I193" i="3"/>
  <c r="J193" i="3"/>
  <c r="K193" i="3"/>
  <c r="L193" i="3"/>
  <c r="I194" i="3"/>
  <c r="J194" i="3"/>
  <c r="K194" i="3"/>
  <c r="L194" i="3"/>
  <c r="I195" i="3"/>
  <c r="J195" i="3"/>
  <c r="K195" i="3"/>
  <c r="L195" i="3"/>
  <c r="I196" i="3"/>
  <c r="J196" i="3"/>
  <c r="K196" i="3"/>
  <c r="L196" i="3"/>
  <c r="I197" i="3"/>
  <c r="J197" i="3"/>
  <c r="K197" i="3"/>
  <c r="L197" i="3"/>
  <c r="I198" i="3"/>
  <c r="J198" i="3"/>
  <c r="K198" i="3"/>
  <c r="L198" i="3"/>
  <c r="I199" i="3"/>
  <c r="J199" i="3"/>
  <c r="K199" i="3"/>
  <c r="L199" i="3"/>
  <c r="I200" i="3"/>
  <c r="J200" i="3"/>
  <c r="K200" i="3"/>
  <c r="L200" i="3"/>
  <c r="I201" i="3"/>
  <c r="J201" i="3"/>
  <c r="K201" i="3"/>
  <c r="L201" i="3"/>
  <c r="I202" i="3"/>
  <c r="J202" i="3"/>
  <c r="K202" i="3"/>
  <c r="L202" i="3"/>
  <c r="I203" i="3"/>
  <c r="J203" i="3"/>
  <c r="K203" i="3"/>
  <c r="L203" i="3"/>
  <c r="I204" i="3"/>
  <c r="J204" i="3"/>
  <c r="K204" i="3"/>
  <c r="L204" i="3"/>
  <c r="I205" i="3"/>
  <c r="J205" i="3"/>
  <c r="K205" i="3"/>
  <c r="L205" i="3"/>
  <c r="I206" i="3"/>
  <c r="J206" i="3"/>
  <c r="K206" i="3"/>
  <c r="L206" i="3"/>
  <c r="I207" i="3"/>
  <c r="J207" i="3"/>
  <c r="K207" i="3"/>
  <c r="L207" i="3"/>
  <c r="I208" i="3"/>
  <c r="J208" i="3"/>
  <c r="K208" i="3"/>
  <c r="L208" i="3"/>
  <c r="I209" i="3"/>
  <c r="J209" i="3"/>
  <c r="K209" i="3"/>
  <c r="L209" i="3"/>
  <c r="I210" i="3"/>
  <c r="J210" i="3"/>
  <c r="K210" i="3"/>
  <c r="L210" i="3"/>
  <c r="I211" i="3"/>
  <c r="J211" i="3"/>
  <c r="K211" i="3"/>
  <c r="L211" i="3"/>
  <c r="I212" i="3"/>
  <c r="J212" i="3"/>
  <c r="K212" i="3"/>
  <c r="L212" i="3"/>
  <c r="I213" i="3"/>
  <c r="J213" i="3"/>
  <c r="K213" i="3"/>
  <c r="L213" i="3"/>
  <c r="I214" i="3"/>
  <c r="J214" i="3"/>
  <c r="K214" i="3"/>
  <c r="L214" i="3"/>
  <c r="I215" i="3"/>
  <c r="J215" i="3"/>
  <c r="K215" i="3"/>
  <c r="L215" i="3"/>
  <c r="I216" i="3"/>
  <c r="J216" i="3"/>
  <c r="K216" i="3"/>
  <c r="L216" i="3"/>
  <c r="I217" i="3"/>
  <c r="J217" i="3"/>
  <c r="K217" i="3"/>
  <c r="L217" i="3"/>
  <c r="I218" i="3"/>
  <c r="J218" i="3"/>
  <c r="K218" i="3"/>
  <c r="L218" i="3"/>
  <c r="I219" i="3"/>
  <c r="J219" i="3"/>
  <c r="K219" i="3"/>
  <c r="L219" i="3"/>
  <c r="I220" i="3"/>
  <c r="J220" i="3"/>
  <c r="K220" i="3"/>
  <c r="L220" i="3"/>
  <c r="I221" i="3"/>
  <c r="J221" i="3"/>
  <c r="K221" i="3"/>
  <c r="L221" i="3"/>
  <c r="I222" i="3"/>
  <c r="J222" i="3"/>
  <c r="K222" i="3"/>
  <c r="L222" i="3"/>
  <c r="I223" i="3"/>
  <c r="J223" i="3"/>
  <c r="K223" i="3"/>
  <c r="L223" i="3"/>
  <c r="I224" i="3"/>
  <c r="J224" i="3"/>
  <c r="K224" i="3"/>
  <c r="L224" i="3"/>
  <c r="I225" i="3"/>
  <c r="J225" i="3"/>
  <c r="K225" i="3"/>
  <c r="L225" i="3"/>
  <c r="I226" i="3"/>
  <c r="J226" i="3"/>
  <c r="K226" i="3"/>
  <c r="L226" i="3"/>
  <c r="I227" i="3"/>
  <c r="J227" i="3"/>
  <c r="K227" i="3"/>
  <c r="L227" i="3"/>
  <c r="I228" i="3"/>
  <c r="J228" i="3"/>
  <c r="K228" i="3"/>
  <c r="L228" i="3"/>
  <c r="I229" i="3"/>
  <c r="J229" i="3"/>
  <c r="K229" i="3"/>
  <c r="L229" i="3"/>
  <c r="I230" i="3"/>
  <c r="J230" i="3"/>
  <c r="K230" i="3"/>
  <c r="L230" i="3"/>
  <c r="I231" i="3"/>
  <c r="J231" i="3"/>
  <c r="K231" i="3"/>
  <c r="L231" i="3"/>
  <c r="I232" i="3"/>
  <c r="J232" i="3"/>
  <c r="K232" i="3"/>
  <c r="L232" i="3"/>
  <c r="I233" i="3"/>
  <c r="J233" i="3"/>
  <c r="K233" i="3"/>
  <c r="L233" i="3"/>
  <c r="I234" i="3"/>
  <c r="J234" i="3"/>
  <c r="K234" i="3"/>
  <c r="L234" i="3"/>
  <c r="I235" i="3"/>
  <c r="J235" i="3"/>
  <c r="K235" i="3"/>
  <c r="L235" i="3"/>
  <c r="I236" i="3"/>
  <c r="J236" i="3"/>
  <c r="K236" i="3"/>
  <c r="L236" i="3"/>
  <c r="I237" i="3"/>
  <c r="J237" i="3"/>
  <c r="K237" i="3"/>
  <c r="L237" i="3"/>
  <c r="I238" i="3"/>
  <c r="J238" i="3"/>
  <c r="K238" i="3"/>
  <c r="L238" i="3"/>
  <c r="I239" i="3"/>
  <c r="J239" i="3"/>
  <c r="K239" i="3"/>
  <c r="L239" i="3"/>
  <c r="I240" i="3"/>
  <c r="J240" i="3"/>
  <c r="K240" i="3"/>
  <c r="L240" i="3"/>
  <c r="I241" i="3"/>
  <c r="J241" i="3"/>
  <c r="K241" i="3"/>
  <c r="L241" i="3"/>
  <c r="I242" i="3"/>
  <c r="J242" i="3"/>
  <c r="K242" i="3"/>
  <c r="L242" i="3"/>
  <c r="I243" i="3"/>
  <c r="J243" i="3"/>
  <c r="K243" i="3"/>
  <c r="L243" i="3"/>
  <c r="I244" i="3"/>
  <c r="J244" i="3"/>
  <c r="K244" i="3"/>
  <c r="L244" i="3"/>
  <c r="I245" i="3"/>
  <c r="J245" i="3"/>
  <c r="K245" i="3"/>
  <c r="L245" i="3"/>
  <c r="I246" i="3"/>
  <c r="J246" i="3"/>
  <c r="K246" i="3"/>
  <c r="L246" i="3"/>
  <c r="I247" i="3"/>
  <c r="J247" i="3"/>
  <c r="K247" i="3"/>
  <c r="L247" i="3"/>
  <c r="I248" i="3"/>
  <c r="J248" i="3"/>
  <c r="K248" i="3"/>
  <c r="L248" i="3"/>
  <c r="I249" i="3"/>
  <c r="J249" i="3"/>
  <c r="K249" i="3"/>
  <c r="L249" i="3"/>
  <c r="I250" i="3"/>
  <c r="J250" i="3"/>
  <c r="K250" i="3"/>
  <c r="L250" i="3"/>
  <c r="I251" i="3"/>
  <c r="J251" i="3"/>
  <c r="K251" i="3"/>
  <c r="L251" i="3"/>
  <c r="I252" i="3"/>
  <c r="J252" i="3"/>
  <c r="K252" i="3"/>
  <c r="L252" i="3"/>
  <c r="I253" i="3"/>
  <c r="J253" i="3"/>
  <c r="K253" i="3"/>
  <c r="L253" i="3"/>
  <c r="I254" i="3"/>
  <c r="J254" i="3"/>
  <c r="K254" i="3"/>
  <c r="L254" i="3"/>
  <c r="I255" i="3"/>
  <c r="J255" i="3"/>
  <c r="K255" i="3"/>
  <c r="L255" i="3"/>
  <c r="I256" i="3"/>
  <c r="J256" i="3"/>
  <c r="K256" i="3"/>
  <c r="L256" i="3"/>
  <c r="I257" i="3"/>
  <c r="J257" i="3"/>
  <c r="K257" i="3"/>
  <c r="L257" i="3"/>
  <c r="I258" i="3"/>
  <c r="J258" i="3"/>
  <c r="K258" i="3"/>
  <c r="L258" i="3"/>
  <c r="I259" i="3"/>
  <c r="J259" i="3"/>
  <c r="K259" i="3"/>
  <c r="L259" i="3"/>
  <c r="I260" i="3"/>
  <c r="J260" i="3"/>
  <c r="K260" i="3"/>
  <c r="L260" i="3"/>
  <c r="I261" i="3"/>
  <c r="J261" i="3"/>
  <c r="K261" i="3"/>
  <c r="L261" i="3"/>
  <c r="I262" i="3"/>
  <c r="J262" i="3"/>
  <c r="K262" i="3"/>
  <c r="L262" i="3"/>
  <c r="I263" i="3"/>
  <c r="J263" i="3"/>
  <c r="K263" i="3"/>
  <c r="L263" i="3"/>
  <c r="I264" i="3"/>
  <c r="J264" i="3"/>
  <c r="K264" i="3"/>
  <c r="L264" i="3"/>
  <c r="I265" i="3"/>
  <c r="J265" i="3"/>
  <c r="K265" i="3"/>
  <c r="L265" i="3"/>
  <c r="I266" i="3"/>
  <c r="J266" i="3"/>
  <c r="K266" i="3"/>
  <c r="L266" i="3"/>
  <c r="I267" i="3"/>
  <c r="J267" i="3"/>
  <c r="K267" i="3"/>
  <c r="L267" i="3"/>
  <c r="I268" i="3"/>
  <c r="J268" i="3"/>
  <c r="K268" i="3"/>
  <c r="L268" i="3"/>
  <c r="I269" i="3"/>
  <c r="J269" i="3"/>
  <c r="K269" i="3"/>
  <c r="L269" i="3"/>
  <c r="I270" i="3"/>
  <c r="J270" i="3"/>
  <c r="K270" i="3"/>
  <c r="L270" i="3"/>
  <c r="I271" i="3"/>
  <c r="J271" i="3"/>
  <c r="K271" i="3"/>
  <c r="L271" i="3"/>
  <c r="I272" i="3"/>
  <c r="J272" i="3"/>
  <c r="K272" i="3"/>
  <c r="L272" i="3"/>
  <c r="I273" i="3"/>
  <c r="J273" i="3"/>
  <c r="K273" i="3"/>
  <c r="L273" i="3"/>
  <c r="I274" i="3"/>
  <c r="J274" i="3"/>
  <c r="K274" i="3"/>
  <c r="L274" i="3"/>
  <c r="I275" i="3"/>
  <c r="J275" i="3"/>
  <c r="K275" i="3"/>
  <c r="L275" i="3"/>
  <c r="I276" i="3"/>
  <c r="J276" i="3"/>
  <c r="K276" i="3"/>
  <c r="L276" i="3"/>
  <c r="I277" i="3"/>
  <c r="J277" i="3"/>
  <c r="K277" i="3"/>
  <c r="L277" i="3"/>
  <c r="I278" i="3"/>
  <c r="J278" i="3"/>
  <c r="K278" i="3"/>
  <c r="L278" i="3"/>
  <c r="I279" i="3"/>
  <c r="J279" i="3"/>
  <c r="K279" i="3"/>
  <c r="L279" i="3"/>
  <c r="I280" i="3"/>
  <c r="J280" i="3"/>
  <c r="K280" i="3"/>
  <c r="L280" i="3"/>
  <c r="I281" i="3"/>
  <c r="J281" i="3"/>
  <c r="K281" i="3"/>
  <c r="L281" i="3"/>
  <c r="I282" i="3"/>
  <c r="J282" i="3"/>
  <c r="K282" i="3"/>
  <c r="L282" i="3"/>
  <c r="I283" i="3"/>
  <c r="J283" i="3"/>
  <c r="K283" i="3"/>
  <c r="L283" i="3"/>
  <c r="I284" i="3"/>
  <c r="J284" i="3"/>
  <c r="K284" i="3"/>
  <c r="L284" i="3"/>
  <c r="I285" i="3"/>
  <c r="J285" i="3"/>
  <c r="K285" i="3"/>
  <c r="L285" i="3"/>
  <c r="I286" i="3"/>
  <c r="J286" i="3"/>
  <c r="K286" i="3"/>
  <c r="L286" i="3"/>
  <c r="I287" i="3"/>
  <c r="J287" i="3"/>
  <c r="K287" i="3"/>
  <c r="L287" i="3"/>
  <c r="I288" i="3"/>
  <c r="J288" i="3"/>
  <c r="K288" i="3"/>
  <c r="L288" i="3"/>
  <c r="I289" i="3"/>
  <c r="J289" i="3"/>
  <c r="K289" i="3"/>
  <c r="L289" i="3"/>
  <c r="I290" i="3"/>
  <c r="J290" i="3"/>
  <c r="K290" i="3"/>
  <c r="L290" i="3"/>
  <c r="I291" i="3"/>
  <c r="J291" i="3"/>
  <c r="K291" i="3"/>
  <c r="L291" i="3"/>
  <c r="I292" i="3"/>
  <c r="J292" i="3"/>
  <c r="K292" i="3"/>
  <c r="L292" i="3"/>
  <c r="I293" i="3"/>
  <c r="J293" i="3"/>
  <c r="K293" i="3"/>
  <c r="L293" i="3"/>
  <c r="I294" i="3"/>
  <c r="J294" i="3"/>
  <c r="K294" i="3"/>
  <c r="L294" i="3"/>
  <c r="I295" i="3"/>
  <c r="J295" i="3"/>
  <c r="K295" i="3"/>
  <c r="L295" i="3"/>
  <c r="I296" i="3"/>
  <c r="J296" i="3"/>
  <c r="K296" i="3"/>
  <c r="L296" i="3"/>
  <c r="I297" i="3"/>
  <c r="J297" i="3"/>
  <c r="K297" i="3"/>
  <c r="L297" i="3"/>
  <c r="I298" i="3"/>
  <c r="J298" i="3"/>
  <c r="K298" i="3"/>
  <c r="L298" i="3"/>
  <c r="I299" i="3"/>
  <c r="J299" i="3"/>
  <c r="K299" i="3"/>
  <c r="L299" i="3"/>
  <c r="I300" i="3"/>
  <c r="J300" i="3"/>
  <c r="K300" i="3"/>
  <c r="L300" i="3"/>
  <c r="I301" i="3"/>
  <c r="J301" i="3"/>
  <c r="K301" i="3"/>
  <c r="L301" i="3"/>
  <c r="I302" i="3"/>
  <c r="J302" i="3"/>
  <c r="K302" i="3"/>
  <c r="L302" i="3"/>
  <c r="I303" i="3"/>
  <c r="J303" i="3"/>
  <c r="K303" i="3"/>
  <c r="L303" i="3"/>
  <c r="I304" i="3"/>
  <c r="J304" i="3"/>
  <c r="K304" i="3"/>
  <c r="L304" i="3"/>
  <c r="I305" i="3"/>
  <c r="J305" i="3"/>
  <c r="K305" i="3"/>
  <c r="L305" i="3"/>
  <c r="I306" i="3"/>
  <c r="J306" i="3"/>
  <c r="K306" i="3"/>
  <c r="L306" i="3"/>
  <c r="I307" i="3"/>
  <c r="J307" i="3"/>
  <c r="K307" i="3"/>
  <c r="L307" i="3"/>
  <c r="I308" i="3"/>
  <c r="J308" i="3"/>
  <c r="K308" i="3"/>
  <c r="L308" i="3"/>
  <c r="I309" i="3"/>
  <c r="J309" i="3"/>
  <c r="K309" i="3"/>
  <c r="L309" i="3"/>
  <c r="I310" i="3"/>
  <c r="J310" i="3"/>
  <c r="K310" i="3"/>
  <c r="L310" i="3"/>
  <c r="I311" i="3"/>
  <c r="J311" i="3"/>
  <c r="K311" i="3"/>
  <c r="L311" i="3"/>
  <c r="I312" i="3"/>
  <c r="J312" i="3"/>
  <c r="K312" i="3"/>
  <c r="L312" i="3"/>
  <c r="I313" i="3"/>
  <c r="J313" i="3"/>
  <c r="K313" i="3"/>
  <c r="L313" i="3"/>
  <c r="I314" i="3"/>
  <c r="J314" i="3"/>
  <c r="K314" i="3"/>
  <c r="L314" i="3"/>
  <c r="I315" i="3"/>
  <c r="J315" i="3"/>
  <c r="K315" i="3"/>
  <c r="L315" i="3"/>
  <c r="I316" i="3"/>
  <c r="J316" i="3"/>
  <c r="K316" i="3"/>
  <c r="L316" i="3"/>
  <c r="I317" i="3"/>
  <c r="J317" i="3"/>
  <c r="K317" i="3"/>
  <c r="L317" i="3"/>
  <c r="I318" i="3"/>
  <c r="J318" i="3"/>
  <c r="K318" i="3"/>
  <c r="L318" i="3"/>
  <c r="I319" i="3"/>
  <c r="J319" i="3"/>
  <c r="K319" i="3"/>
  <c r="L319" i="3"/>
  <c r="I320" i="3"/>
  <c r="J320" i="3"/>
  <c r="K320" i="3"/>
  <c r="L320" i="3"/>
  <c r="I321" i="3"/>
  <c r="J321" i="3"/>
  <c r="K321" i="3"/>
  <c r="L321" i="3"/>
  <c r="I322" i="3"/>
  <c r="J322" i="3"/>
  <c r="K322" i="3"/>
  <c r="L322" i="3"/>
  <c r="I323" i="3"/>
  <c r="J323" i="3"/>
  <c r="K323" i="3"/>
  <c r="L323" i="3"/>
  <c r="I324" i="3"/>
  <c r="J324" i="3"/>
  <c r="K324" i="3"/>
  <c r="L324" i="3"/>
  <c r="I325" i="3"/>
  <c r="J325" i="3"/>
  <c r="K325" i="3"/>
  <c r="L325" i="3"/>
  <c r="I326" i="3"/>
  <c r="J326" i="3"/>
  <c r="K326" i="3"/>
  <c r="L326" i="3"/>
  <c r="I327" i="3"/>
  <c r="J327" i="3"/>
  <c r="K327" i="3"/>
  <c r="L327" i="3"/>
  <c r="I328" i="3"/>
  <c r="J328" i="3"/>
  <c r="K328" i="3"/>
  <c r="L328" i="3"/>
  <c r="I329" i="3"/>
  <c r="J329" i="3"/>
  <c r="K329" i="3"/>
  <c r="L329" i="3"/>
  <c r="I330" i="3"/>
  <c r="J330" i="3"/>
  <c r="K330" i="3"/>
  <c r="L330" i="3"/>
  <c r="I331" i="3"/>
  <c r="J331" i="3"/>
  <c r="K331" i="3"/>
  <c r="L331" i="3"/>
  <c r="I332" i="3"/>
  <c r="J332" i="3"/>
  <c r="K332" i="3"/>
  <c r="L332" i="3"/>
  <c r="I333" i="3"/>
  <c r="J333" i="3"/>
  <c r="K333" i="3"/>
  <c r="L333" i="3"/>
  <c r="I334" i="3"/>
  <c r="J334" i="3"/>
  <c r="K334" i="3"/>
  <c r="L334" i="3"/>
  <c r="I335" i="3"/>
  <c r="J335" i="3"/>
  <c r="K335" i="3"/>
  <c r="L335" i="3"/>
  <c r="I336" i="3"/>
  <c r="J336" i="3"/>
  <c r="K336" i="3"/>
  <c r="L336" i="3"/>
  <c r="I337" i="3"/>
  <c r="J337" i="3"/>
  <c r="K337" i="3"/>
  <c r="L337" i="3"/>
  <c r="I338" i="3"/>
  <c r="J338" i="3"/>
  <c r="K338" i="3"/>
  <c r="L338" i="3"/>
  <c r="I339" i="3"/>
  <c r="J339" i="3"/>
  <c r="K339" i="3"/>
  <c r="L339" i="3"/>
  <c r="I340" i="3"/>
  <c r="J340" i="3"/>
  <c r="K340" i="3"/>
  <c r="L340" i="3"/>
  <c r="I341" i="3"/>
  <c r="J341" i="3"/>
  <c r="K341" i="3"/>
  <c r="L341" i="3"/>
  <c r="I342" i="3"/>
  <c r="J342" i="3"/>
  <c r="K342" i="3"/>
  <c r="L342" i="3"/>
  <c r="I343" i="3"/>
  <c r="J343" i="3"/>
  <c r="K343" i="3"/>
  <c r="L343" i="3"/>
  <c r="I344" i="3"/>
  <c r="J344" i="3"/>
  <c r="K344" i="3"/>
  <c r="L344" i="3"/>
  <c r="I345" i="3"/>
  <c r="J345" i="3"/>
  <c r="K345" i="3"/>
  <c r="L345" i="3"/>
  <c r="I346" i="3"/>
  <c r="J346" i="3"/>
  <c r="K346" i="3"/>
  <c r="L346" i="3"/>
  <c r="I347" i="3"/>
  <c r="J347" i="3"/>
  <c r="K347" i="3"/>
  <c r="L347" i="3"/>
  <c r="I348" i="3"/>
  <c r="J348" i="3"/>
  <c r="K348" i="3"/>
  <c r="L348" i="3"/>
  <c r="I349" i="3"/>
  <c r="J349" i="3"/>
  <c r="K349" i="3"/>
  <c r="L349" i="3"/>
  <c r="I350" i="3"/>
  <c r="J350" i="3"/>
  <c r="K350" i="3"/>
  <c r="L350" i="3"/>
  <c r="I351" i="3"/>
  <c r="J351" i="3"/>
  <c r="K351" i="3"/>
  <c r="L351" i="3"/>
  <c r="I352" i="3"/>
  <c r="J352" i="3"/>
  <c r="K352" i="3"/>
  <c r="L352" i="3"/>
  <c r="I353" i="3"/>
  <c r="J353" i="3"/>
  <c r="K353" i="3"/>
  <c r="L353" i="3"/>
  <c r="I354" i="3"/>
  <c r="J354" i="3"/>
  <c r="K354" i="3"/>
  <c r="L354" i="3"/>
  <c r="I355" i="3"/>
  <c r="J355" i="3"/>
  <c r="K355" i="3"/>
  <c r="L355" i="3"/>
  <c r="I356" i="3"/>
  <c r="J356" i="3"/>
  <c r="K356" i="3"/>
  <c r="L356" i="3"/>
  <c r="I357" i="3"/>
  <c r="J357" i="3"/>
  <c r="K357" i="3"/>
  <c r="L357" i="3"/>
  <c r="I358" i="3"/>
  <c r="J358" i="3"/>
  <c r="K358" i="3"/>
  <c r="L358" i="3"/>
  <c r="I359" i="3"/>
  <c r="J359" i="3"/>
  <c r="K359" i="3"/>
  <c r="L359" i="3"/>
  <c r="I360" i="3"/>
  <c r="J360" i="3"/>
  <c r="K360" i="3"/>
  <c r="L360" i="3"/>
  <c r="I361" i="3"/>
  <c r="J361" i="3"/>
  <c r="K361" i="3"/>
  <c r="L361" i="3"/>
  <c r="I362" i="3"/>
  <c r="J362" i="3"/>
  <c r="K362" i="3"/>
  <c r="L362" i="3"/>
  <c r="I363" i="3"/>
  <c r="J363" i="3"/>
  <c r="K363" i="3"/>
  <c r="L363" i="3"/>
  <c r="I364" i="3"/>
  <c r="J364" i="3"/>
  <c r="K364" i="3"/>
  <c r="L364" i="3"/>
  <c r="I365" i="3"/>
  <c r="J365" i="3"/>
  <c r="K365" i="3"/>
  <c r="L365" i="3"/>
  <c r="I366" i="3"/>
  <c r="J366" i="3"/>
  <c r="K366" i="3"/>
  <c r="L366" i="3"/>
  <c r="I367" i="3"/>
  <c r="J367" i="3"/>
  <c r="K367" i="3"/>
  <c r="L367" i="3"/>
  <c r="I368" i="3"/>
  <c r="J368" i="3"/>
  <c r="K368" i="3"/>
  <c r="L368" i="3"/>
  <c r="I369" i="3"/>
  <c r="J369" i="3"/>
  <c r="K369" i="3"/>
  <c r="L369" i="3"/>
  <c r="I370" i="3"/>
  <c r="J370" i="3"/>
  <c r="K370" i="3"/>
  <c r="L370" i="3"/>
  <c r="I371" i="3"/>
  <c r="J371" i="3"/>
  <c r="K371" i="3"/>
  <c r="L371" i="3"/>
  <c r="I372" i="3"/>
  <c r="J372" i="3"/>
  <c r="K372" i="3"/>
  <c r="L372" i="3"/>
  <c r="I373" i="3"/>
  <c r="J373" i="3"/>
  <c r="K373" i="3"/>
  <c r="L373" i="3"/>
  <c r="I374" i="3"/>
  <c r="J374" i="3"/>
  <c r="K374" i="3"/>
  <c r="L374" i="3"/>
  <c r="I375" i="3"/>
  <c r="J375" i="3"/>
  <c r="K375" i="3"/>
  <c r="L375" i="3"/>
  <c r="I376" i="3"/>
  <c r="J376" i="3"/>
  <c r="K376" i="3"/>
  <c r="L376" i="3"/>
  <c r="I377" i="3"/>
  <c r="J377" i="3"/>
  <c r="K377" i="3"/>
  <c r="L377" i="3"/>
  <c r="I378" i="3"/>
  <c r="J378" i="3"/>
  <c r="K378" i="3"/>
  <c r="L378" i="3"/>
  <c r="I379" i="3"/>
  <c r="J379" i="3"/>
  <c r="K379" i="3"/>
  <c r="L379" i="3"/>
  <c r="I380" i="3"/>
  <c r="J380" i="3"/>
  <c r="K380" i="3"/>
  <c r="L380" i="3"/>
  <c r="I381" i="3"/>
  <c r="J381" i="3"/>
  <c r="K381" i="3"/>
  <c r="L381" i="3"/>
  <c r="I382" i="3"/>
  <c r="J382" i="3"/>
  <c r="K382" i="3"/>
  <c r="L382" i="3"/>
  <c r="I383" i="3"/>
  <c r="J383" i="3"/>
  <c r="K383" i="3"/>
  <c r="L383" i="3"/>
  <c r="I384" i="3"/>
  <c r="J384" i="3"/>
  <c r="K384" i="3"/>
  <c r="L384" i="3"/>
  <c r="I385" i="3"/>
  <c r="J385" i="3"/>
  <c r="K385" i="3"/>
  <c r="L385" i="3"/>
  <c r="I386" i="3"/>
  <c r="J386" i="3"/>
  <c r="K386" i="3"/>
  <c r="L386" i="3"/>
  <c r="I387" i="3"/>
  <c r="J387" i="3"/>
  <c r="K387" i="3"/>
  <c r="L387" i="3"/>
  <c r="I388" i="3"/>
  <c r="J388" i="3"/>
  <c r="K388" i="3"/>
  <c r="L388" i="3"/>
  <c r="I389" i="3"/>
  <c r="J389" i="3"/>
  <c r="K389" i="3"/>
  <c r="L389" i="3"/>
  <c r="I390" i="3"/>
  <c r="J390" i="3"/>
  <c r="K390" i="3"/>
  <c r="L390" i="3"/>
  <c r="I391" i="3"/>
  <c r="J391" i="3"/>
  <c r="K391" i="3"/>
  <c r="L391" i="3"/>
  <c r="I392" i="3"/>
  <c r="J392" i="3"/>
  <c r="K392" i="3"/>
  <c r="L392" i="3"/>
  <c r="I393" i="3"/>
  <c r="J393" i="3"/>
  <c r="K393" i="3"/>
  <c r="L393" i="3"/>
  <c r="I394" i="3"/>
  <c r="J394" i="3"/>
  <c r="K394" i="3"/>
  <c r="L394" i="3"/>
  <c r="I395" i="3"/>
  <c r="J395" i="3"/>
  <c r="K395" i="3"/>
  <c r="L395" i="3"/>
  <c r="I396" i="3"/>
  <c r="J396" i="3"/>
  <c r="K396" i="3"/>
  <c r="L396" i="3"/>
  <c r="I397" i="3"/>
  <c r="J397" i="3"/>
  <c r="K397" i="3"/>
  <c r="L397" i="3"/>
  <c r="I398" i="3"/>
  <c r="J398" i="3"/>
  <c r="K398" i="3"/>
  <c r="L398" i="3"/>
  <c r="I399" i="3"/>
  <c r="J399" i="3"/>
  <c r="K399" i="3"/>
  <c r="L399" i="3"/>
  <c r="I400" i="3"/>
  <c r="J400" i="3"/>
  <c r="K400" i="3"/>
  <c r="L400" i="3"/>
  <c r="I401" i="3"/>
  <c r="J401" i="3"/>
  <c r="K401" i="3"/>
  <c r="L401" i="3"/>
  <c r="I402" i="3"/>
  <c r="J402" i="3"/>
  <c r="K402" i="3"/>
  <c r="L402" i="3"/>
  <c r="I403" i="3"/>
  <c r="J403" i="3"/>
  <c r="K403" i="3"/>
  <c r="L403" i="3"/>
  <c r="I404" i="3"/>
  <c r="J404" i="3"/>
  <c r="K404" i="3"/>
  <c r="L404" i="3"/>
  <c r="I405" i="3"/>
  <c r="J405" i="3"/>
  <c r="K405" i="3"/>
  <c r="L405" i="3"/>
  <c r="I406" i="3"/>
  <c r="J406" i="3"/>
  <c r="K406" i="3"/>
  <c r="L406" i="3"/>
  <c r="I407" i="3"/>
  <c r="J407" i="3"/>
  <c r="K407" i="3"/>
  <c r="L407" i="3"/>
  <c r="I408" i="3"/>
  <c r="J408" i="3"/>
  <c r="K408" i="3"/>
  <c r="L408" i="3"/>
  <c r="I409" i="3"/>
  <c r="J409" i="3"/>
  <c r="K409" i="3"/>
  <c r="L409" i="3"/>
  <c r="I410" i="3"/>
  <c r="J410" i="3"/>
  <c r="K410" i="3"/>
  <c r="L410" i="3"/>
  <c r="I411" i="3"/>
  <c r="J411" i="3"/>
  <c r="K411" i="3"/>
  <c r="L411" i="3"/>
  <c r="I412" i="3"/>
  <c r="J412" i="3"/>
  <c r="K412" i="3"/>
  <c r="L412" i="3"/>
  <c r="I413" i="3"/>
  <c r="J413" i="3"/>
  <c r="K413" i="3"/>
  <c r="L413" i="3"/>
  <c r="I414" i="3"/>
  <c r="J414" i="3"/>
  <c r="K414" i="3"/>
  <c r="L414" i="3"/>
  <c r="I415" i="3"/>
  <c r="J415" i="3"/>
  <c r="K415" i="3"/>
  <c r="L415" i="3"/>
  <c r="I416" i="3"/>
  <c r="J416" i="3"/>
  <c r="K416" i="3"/>
  <c r="L416" i="3"/>
  <c r="I417" i="3"/>
  <c r="J417" i="3"/>
  <c r="K417" i="3"/>
  <c r="L417" i="3"/>
  <c r="I418" i="3"/>
  <c r="J418" i="3"/>
  <c r="K418" i="3"/>
  <c r="L418" i="3"/>
  <c r="I419" i="3"/>
  <c r="J419" i="3"/>
  <c r="K419" i="3"/>
  <c r="L419" i="3"/>
  <c r="I420" i="3"/>
  <c r="J420" i="3"/>
  <c r="K420" i="3"/>
  <c r="L420" i="3"/>
  <c r="I421" i="3"/>
  <c r="J421" i="3"/>
  <c r="K421" i="3"/>
  <c r="L421" i="3"/>
  <c r="I422" i="3"/>
  <c r="J422" i="3"/>
  <c r="K422" i="3"/>
  <c r="L422" i="3"/>
  <c r="I423" i="3"/>
  <c r="J423" i="3"/>
  <c r="K423" i="3"/>
  <c r="L423" i="3"/>
  <c r="I424" i="3"/>
  <c r="J424" i="3"/>
  <c r="K424" i="3"/>
  <c r="L424" i="3"/>
  <c r="I425" i="3"/>
  <c r="J425" i="3"/>
  <c r="K425" i="3"/>
  <c r="L425" i="3"/>
  <c r="I426" i="3"/>
  <c r="J426" i="3"/>
  <c r="K426" i="3"/>
  <c r="L426" i="3"/>
  <c r="I427" i="3"/>
  <c r="J427" i="3"/>
  <c r="K427" i="3"/>
  <c r="L427" i="3"/>
  <c r="I428" i="3"/>
  <c r="J428" i="3"/>
  <c r="K428" i="3"/>
  <c r="L428" i="3"/>
  <c r="I429" i="3"/>
  <c r="J429" i="3"/>
  <c r="K429" i="3"/>
  <c r="L429" i="3"/>
  <c r="I430" i="3"/>
  <c r="J430" i="3"/>
  <c r="K430" i="3"/>
  <c r="L430" i="3"/>
  <c r="I431" i="3"/>
  <c r="J431" i="3"/>
  <c r="K431" i="3"/>
  <c r="L431" i="3"/>
  <c r="I432" i="3"/>
  <c r="J432" i="3"/>
  <c r="K432" i="3"/>
  <c r="L432" i="3"/>
  <c r="I433" i="3"/>
  <c r="J433" i="3"/>
  <c r="K433" i="3"/>
  <c r="L433" i="3"/>
  <c r="I434" i="3"/>
  <c r="J434" i="3"/>
  <c r="K434" i="3"/>
  <c r="L434" i="3"/>
  <c r="I435" i="3"/>
  <c r="J435" i="3"/>
  <c r="K435" i="3"/>
  <c r="L435" i="3"/>
  <c r="I436" i="3"/>
  <c r="J436" i="3"/>
  <c r="K436" i="3"/>
  <c r="L436" i="3"/>
  <c r="I437" i="3"/>
  <c r="J437" i="3"/>
  <c r="K437" i="3"/>
  <c r="L437" i="3"/>
  <c r="I438" i="3"/>
  <c r="J438" i="3"/>
  <c r="K438" i="3"/>
  <c r="L438" i="3"/>
  <c r="I439" i="3"/>
  <c r="J439" i="3"/>
  <c r="K439" i="3"/>
  <c r="L439" i="3"/>
  <c r="I440" i="3"/>
  <c r="J440" i="3"/>
  <c r="K440" i="3"/>
  <c r="L440" i="3"/>
  <c r="I441" i="3"/>
  <c r="J441" i="3"/>
  <c r="K441" i="3"/>
  <c r="L441" i="3"/>
  <c r="I442" i="3"/>
  <c r="J442" i="3"/>
  <c r="K442" i="3"/>
  <c r="L442" i="3"/>
  <c r="I443" i="3"/>
  <c r="J443" i="3"/>
  <c r="K443" i="3"/>
  <c r="L443" i="3"/>
  <c r="I444" i="3"/>
  <c r="J444" i="3"/>
  <c r="K444" i="3"/>
  <c r="L444" i="3"/>
  <c r="I445" i="3"/>
  <c r="J445" i="3"/>
  <c r="K445" i="3"/>
  <c r="L445" i="3"/>
  <c r="I446" i="3"/>
  <c r="J446" i="3"/>
  <c r="K446" i="3"/>
  <c r="L446" i="3"/>
  <c r="I447" i="3"/>
  <c r="J447" i="3"/>
  <c r="K447" i="3"/>
  <c r="L447" i="3"/>
  <c r="I448" i="3"/>
  <c r="J448" i="3"/>
  <c r="K448" i="3"/>
  <c r="L448" i="3"/>
  <c r="I449" i="3"/>
  <c r="J449" i="3"/>
  <c r="K449" i="3"/>
  <c r="L449" i="3"/>
  <c r="I450" i="3"/>
  <c r="J450" i="3"/>
  <c r="K450" i="3"/>
  <c r="L450" i="3"/>
  <c r="I451" i="3"/>
  <c r="J451" i="3"/>
  <c r="K451" i="3"/>
  <c r="L451" i="3"/>
  <c r="I452" i="3"/>
  <c r="J452" i="3"/>
  <c r="K452" i="3"/>
  <c r="L452" i="3"/>
  <c r="I453" i="3"/>
  <c r="J453" i="3"/>
  <c r="K453" i="3"/>
  <c r="L453" i="3"/>
  <c r="I454" i="3"/>
  <c r="J454" i="3"/>
  <c r="K454" i="3"/>
  <c r="L454" i="3"/>
  <c r="I455" i="3"/>
  <c r="J455" i="3"/>
  <c r="K455" i="3"/>
  <c r="L455" i="3"/>
  <c r="I456" i="3"/>
  <c r="J456" i="3"/>
  <c r="K456" i="3"/>
  <c r="L456" i="3"/>
  <c r="I457" i="3"/>
  <c r="J457" i="3"/>
  <c r="K457" i="3"/>
  <c r="L457" i="3"/>
  <c r="I458" i="3"/>
  <c r="J458" i="3"/>
  <c r="K458" i="3"/>
  <c r="L458" i="3"/>
  <c r="I459" i="3"/>
  <c r="J459" i="3"/>
  <c r="K459" i="3"/>
  <c r="L459" i="3"/>
  <c r="I460" i="3"/>
  <c r="J460" i="3"/>
  <c r="K460" i="3"/>
  <c r="L460" i="3"/>
  <c r="I461" i="3"/>
  <c r="J461" i="3"/>
  <c r="K461" i="3"/>
  <c r="L461" i="3"/>
  <c r="I462" i="3"/>
  <c r="J462" i="3"/>
  <c r="K462" i="3"/>
  <c r="L462" i="3"/>
  <c r="I463" i="3"/>
  <c r="J463" i="3"/>
  <c r="K463" i="3"/>
  <c r="L463" i="3"/>
  <c r="I464" i="3"/>
  <c r="J464" i="3"/>
  <c r="K464" i="3"/>
  <c r="L464" i="3"/>
  <c r="I465" i="3"/>
  <c r="J465" i="3"/>
  <c r="K465" i="3"/>
  <c r="L465" i="3"/>
  <c r="I466" i="3"/>
  <c r="J466" i="3"/>
  <c r="K466" i="3"/>
  <c r="L466" i="3"/>
  <c r="I467" i="3"/>
  <c r="J467" i="3"/>
  <c r="K467" i="3"/>
  <c r="L467" i="3"/>
  <c r="I468" i="3"/>
  <c r="J468" i="3"/>
  <c r="K468" i="3"/>
  <c r="L468" i="3"/>
  <c r="I469" i="3"/>
  <c r="J469" i="3"/>
  <c r="K469" i="3"/>
  <c r="L469" i="3"/>
  <c r="I470" i="3"/>
  <c r="J470" i="3"/>
  <c r="K470" i="3"/>
  <c r="L470" i="3"/>
  <c r="I471" i="3"/>
  <c r="J471" i="3"/>
  <c r="K471" i="3"/>
  <c r="L471" i="3"/>
  <c r="I472" i="3"/>
  <c r="J472" i="3"/>
  <c r="K472" i="3"/>
  <c r="L472" i="3"/>
  <c r="I473" i="3"/>
  <c r="J473" i="3"/>
  <c r="K473" i="3"/>
  <c r="L473" i="3"/>
  <c r="I474" i="3"/>
  <c r="J474" i="3"/>
  <c r="K474" i="3"/>
  <c r="L474" i="3"/>
  <c r="I475" i="3"/>
  <c r="J475" i="3"/>
  <c r="K475" i="3"/>
  <c r="L475" i="3"/>
  <c r="I476" i="3"/>
  <c r="J476" i="3"/>
  <c r="K476" i="3"/>
  <c r="L476" i="3"/>
  <c r="I477" i="3"/>
  <c r="J477" i="3"/>
  <c r="K477" i="3"/>
  <c r="L477" i="3"/>
  <c r="I478" i="3"/>
  <c r="J478" i="3"/>
  <c r="K478" i="3"/>
  <c r="L478" i="3"/>
  <c r="I479" i="3"/>
  <c r="J479" i="3"/>
  <c r="K479" i="3"/>
  <c r="L479" i="3"/>
  <c r="I480" i="3"/>
  <c r="J480" i="3"/>
  <c r="K480" i="3"/>
  <c r="L480" i="3"/>
  <c r="I481" i="3"/>
  <c r="J481" i="3"/>
  <c r="K481" i="3"/>
  <c r="L481" i="3"/>
  <c r="I482" i="3"/>
  <c r="J482" i="3"/>
  <c r="K482" i="3"/>
  <c r="L482" i="3"/>
  <c r="I483" i="3"/>
  <c r="J483" i="3"/>
  <c r="K483" i="3"/>
  <c r="L483" i="3"/>
  <c r="I484" i="3"/>
  <c r="J484" i="3"/>
  <c r="K484" i="3"/>
  <c r="L484" i="3"/>
  <c r="I485" i="3"/>
  <c r="J485" i="3"/>
  <c r="K485" i="3"/>
  <c r="L485" i="3"/>
  <c r="I486" i="3"/>
  <c r="J486" i="3"/>
  <c r="K486" i="3"/>
  <c r="L486" i="3"/>
  <c r="I487" i="3"/>
  <c r="J487" i="3"/>
  <c r="K487" i="3"/>
  <c r="L487" i="3"/>
  <c r="I488" i="3"/>
  <c r="J488" i="3"/>
  <c r="K488" i="3"/>
  <c r="L488" i="3"/>
  <c r="I489" i="3"/>
  <c r="J489" i="3"/>
  <c r="K489" i="3"/>
  <c r="L489" i="3"/>
  <c r="I490" i="3"/>
  <c r="J490" i="3"/>
  <c r="K490" i="3"/>
  <c r="L490" i="3"/>
  <c r="I491" i="3"/>
  <c r="J491" i="3"/>
  <c r="K491" i="3"/>
  <c r="L491" i="3"/>
  <c r="I492" i="3"/>
  <c r="J492" i="3"/>
  <c r="K492" i="3"/>
  <c r="L492" i="3"/>
  <c r="I493" i="3"/>
  <c r="J493" i="3"/>
  <c r="K493" i="3"/>
  <c r="L493" i="3"/>
  <c r="I494" i="3"/>
  <c r="J494" i="3"/>
  <c r="K494" i="3"/>
  <c r="L494" i="3"/>
  <c r="I495" i="3"/>
  <c r="J495" i="3"/>
  <c r="K495" i="3"/>
  <c r="L495" i="3"/>
  <c r="I496" i="3"/>
  <c r="J496" i="3"/>
  <c r="K496" i="3"/>
  <c r="L496" i="3"/>
  <c r="I497" i="3"/>
  <c r="J497" i="3"/>
  <c r="K497" i="3"/>
  <c r="L497" i="3"/>
  <c r="I498" i="3"/>
  <c r="J498" i="3"/>
  <c r="K498" i="3"/>
  <c r="L498" i="3"/>
  <c r="I499" i="3"/>
  <c r="J499" i="3"/>
  <c r="K499" i="3"/>
  <c r="L499" i="3"/>
  <c r="I500" i="3"/>
  <c r="J500" i="3"/>
  <c r="K500" i="3"/>
  <c r="L500" i="3"/>
  <c r="I501" i="3"/>
  <c r="J501" i="3"/>
  <c r="K501" i="3"/>
  <c r="L501" i="3"/>
  <c r="I502" i="3"/>
  <c r="J502" i="3"/>
  <c r="K502" i="3"/>
  <c r="L502" i="3"/>
  <c r="I503" i="3"/>
  <c r="J503" i="3"/>
  <c r="K503" i="3"/>
  <c r="L503" i="3"/>
  <c r="I504" i="3"/>
  <c r="J504" i="3"/>
  <c r="K504" i="3"/>
  <c r="L504" i="3"/>
  <c r="I505" i="3"/>
  <c r="J505" i="3"/>
  <c r="K505" i="3"/>
  <c r="L505" i="3"/>
  <c r="I506" i="3"/>
  <c r="J506" i="3"/>
  <c r="K506" i="3"/>
  <c r="L506" i="3"/>
  <c r="I507" i="3"/>
  <c r="J507" i="3"/>
  <c r="K507" i="3"/>
  <c r="L507" i="3"/>
  <c r="I508" i="3"/>
  <c r="J508" i="3"/>
  <c r="K508" i="3"/>
  <c r="L508" i="3"/>
  <c r="I509" i="3"/>
  <c r="J509" i="3"/>
  <c r="K509" i="3"/>
  <c r="L509" i="3"/>
  <c r="I510" i="3"/>
  <c r="J510" i="3"/>
  <c r="K510" i="3"/>
  <c r="L510" i="3"/>
  <c r="I511" i="3"/>
  <c r="J511" i="3"/>
  <c r="K511" i="3"/>
  <c r="L511" i="3"/>
  <c r="I512" i="3"/>
  <c r="J512" i="3"/>
  <c r="K512" i="3"/>
  <c r="L512" i="3"/>
  <c r="I513" i="3"/>
  <c r="J513" i="3"/>
  <c r="K513" i="3"/>
  <c r="L513" i="3"/>
  <c r="I514" i="3"/>
  <c r="J514" i="3"/>
  <c r="K514" i="3"/>
  <c r="L514" i="3"/>
  <c r="I515" i="3"/>
  <c r="J515" i="3"/>
  <c r="K515" i="3"/>
  <c r="L515" i="3"/>
  <c r="I516" i="3"/>
  <c r="J516" i="3"/>
  <c r="K516" i="3"/>
  <c r="L516" i="3"/>
  <c r="I517" i="3"/>
  <c r="J517" i="3"/>
  <c r="K517" i="3"/>
  <c r="L517" i="3"/>
  <c r="I518" i="3"/>
  <c r="J518" i="3"/>
  <c r="K518" i="3"/>
  <c r="L518" i="3"/>
  <c r="I519" i="3"/>
  <c r="J519" i="3"/>
  <c r="K519" i="3"/>
  <c r="L519" i="3"/>
  <c r="I520" i="3"/>
  <c r="J520" i="3"/>
  <c r="K520" i="3"/>
  <c r="L520" i="3"/>
  <c r="I521" i="3"/>
  <c r="J521" i="3"/>
  <c r="K521" i="3"/>
  <c r="L521" i="3"/>
  <c r="I522" i="3"/>
  <c r="J522" i="3"/>
  <c r="K522" i="3"/>
  <c r="L522" i="3"/>
  <c r="I523" i="3"/>
  <c r="J523" i="3"/>
  <c r="K523" i="3"/>
  <c r="L523" i="3"/>
  <c r="I524" i="3"/>
  <c r="J524" i="3"/>
  <c r="K524" i="3"/>
  <c r="L524" i="3"/>
  <c r="I525" i="3"/>
  <c r="J525" i="3"/>
  <c r="K525" i="3"/>
  <c r="L525" i="3"/>
  <c r="I526" i="3"/>
  <c r="J526" i="3"/>
  <c r="K526" i="3"/>
  <c r="L526" i="3"/>
  <c r="I527" i="3"/>
  <c r="J527" i="3"/>
  <c r="K527" i="3"/>
  <c r="L527" i="3"/>
  <c r="I528" i="3"/>
  <c r="J528" i="3"/>
  <c r="K528" i="3"/>
  <c r="L528" i="3"/>
  <c r="I529" i="3"/>
  <c r="J529" i="3"/>
  <c r="K529" i="3"/>
  <c r="L529" i="3"/>
  <c r="I530" i="3"/>
  <c r="J530" i="3"/>
  <c r="K530" i="3"/>
  <c r="L530" i="3"/>
  <c r="I531" i="3"/>
  <c r="J531" i="3"/>
  <c r="K531" i="3"/>
  <c r="L531" i="3"/>
  <c r="I532" i="3"/>
  <c r="J532" i="3"/>
  <c r="K532" i="3"/>
  <c r="L532" i="3"/>
  <c r="I533" i="3"/>
  <c r="J533" i="3"/>
  <c r="K533" i="3"/>
  <c r="L533" i="3"/>
  <c r="I534" i="3"/>
  <c r="J534" i="3"/>
  <c r="K534" i="3"/>
  <c r="L534" i="3"/>
  <c r="I535" i="3"/>
  <c r="J535" i="3"/>
  <c r="K535" i="3"/>
  <c r="L535" i="3"/>
  <c r="I536" i="3"/>
  <c r="J536" i="3"/>
  <c r="K536" i="3"/>
  <c r="L536" i="3"/>
  <c r="I537" i="3"/>
  <c r="J537" i="3"/>
  <c r="K537" i="3"/>
  <c r="L537" i="3"/>
  <c r="I538" i="3"/>
  <c r="J538" i="3"/>
  <c r="K538" i="3"/>
  <c r="L538" i="3"/>
  <c r="I539" i="3"/>
  <c r="J539" i="3"/>
  <c r="K539" i="3"/>
  <c r="L539" i="3"/>
  <c r="I540" i="3"/>
  <c r="J540" i="3"/>
  <c r="K540" i="3"/>
  <c r="L540" i="3"/>
  <c r="I541" i="3"/>
  <c r="J541" i="3"/>
  <c r="K541" i="3"/>
  <c r="L541" i="3"/>
  <c r="I542" i="3"/>
  <c r="J542" i="3"/>
  <c r="K542" i="3"/>
  <c r="L542" i="3"/>
  <c r="I543" i="3"/>
  <c r="J543" i="3"/>
  <c r="K543" i="3"/>
  <c r="L543" i="3"/>
  <c r="I544" i="3"/>
  <c r="J544" i="3"/>
  <c r="K544" i="3"/>
  <c r="L544" i="3"/>
  <c r="I545" i="3"/>
  <c r="J545" i="3"/>
  <c r="K545" i="3"/>
  <c r="L545" i="3"/>
  <c r="I546" i="3"/>
  <c r="J546" i="3"/>
  <c r="K546" i="3"/>
  <c r="L546" i="3"/>
  <c r="I547" i="3"/>
  <c r="J547" i="3"/>
  <c r="K547" i="3"/>
  <c r="L547" i="3"/>
  <c r="I548" i="3"/>
  <c r="J548" i="3"/>
  <c r="K548" i="3"/>
  <c r="L548" i="3"/>
  <c r="I549" i="3"/>
  <c r="J549" i="3"/>
  <c r="K549" i="3"/>
  <c r="L549" i="3"/>
  <c r="I550" i="3"/>
  <c r="J550" i="3"/>
  <c r="K550" i="3"/>
  <c r="L550" i="3"/>
  <c r="I551" i="3"/>
  <c r="J551" i="3"/>
  <c r="K551" i="3"/>
  <c r="L551" i="3"/>
  <c r="I552" i="3"/>
  <c r="J552" i="3"/>
  <c r="K552" i="3"/>
  <c r="L552" i="3"/>
  <c r="I553" i="3"/>
  <c r="J553" i="3"/>
  <c r="K553" i="3"/>
  <c r="L553" i="3"/>
  <c r="I554" i="3"/>
  <c r="J554" i="3"/>
  <c r="K554" i="3"/>
  <c r="L554" i="3"/>
  <c r="I555" i="3"/>
  <c r="J555" i="3"/>
  <c r="K555" i="3"/>
  <c r="L555" i="3"/>
  <c r="I556" i="3"/>
  <c r="J556" i="3"/>
  <c r="K556" i="3"/>
  <c r="L556" i="3"/>
  <c r="I557" i="3"/>
  <c r="J557" i="3"/>
  <c r="K557" i="3"/>
  <c r="L557" i="3"/>
  <c r="I558" i="3"/>
  <c r="J558" i="3"/>
  <c r="K558" i="3"/>
  <c r="L558" i="3"/>
  <c r="I559" i="3"/>
  <c r="J559" i="3"/>
  <c r="K559" i="3"/>
  <c r="L559" i="3"/>
  <c r="I560" i="3"/>
  <c r="J560" i="3"/>
  <c r="K560" i="3"/>
  <c r="L560" i="3"/>
  <c r="I561" i="3"/>
  <c r="J561" i="3"/>
  <c r="K561" i="3"/>
  <c r="L561" i="3"/>
  <c r="I562" i="3"/>
  <c r="J562" i="3"/>
  <c r="K562" i="3"/>
  <c r="L562" i="3"/>
  <c r="I563" i="3"/>
  <c r="J563" i="3"/>
  <c r="K563" i="3"/>
  <c r="L563" i="3"/>
  <c r="I564" i="3"/>
  <c r="J564" i="3"/>
  <c r="K564" i="3"/>
  <c r="L564" i="3"/>
  <c r="I565" i="3"/>
  <c r="J565" i="3"/>
  <c r="K565" i="3"/>
  <c r="L565" i="3"/>
  <c r="I566" i="3"/>
  <c r="J566" i="3"/>
  <c r="K566" i="3"/>
  <c r="L566" i="3"/>
  <c r="I567" i="3"/>
  <c r="J567" i="3"/>
  <c r="K567" i="3"/>
  <c r="L567" i="3"/>
  <c r="I568" i="3"/>
  <c r="J568" i="3"/>
  <c r="K568" i="3"/>
  <c r="L568" i="3"/>
  <c r="I569" i="3"/>
  <c r="J569" i="3"/>
  <c r="K569" i="3"/>
  <c r="L569" i="3"/>
  <c r="I570" i="3"/>
  <c r="J570" i="3"/>
  <c r="K570" i="3"/>
  <c r="L570" i="3"/>
  <c r="I571" i="3"/>
  <c r="J571" i="3"/>
  <c r="K571" i="3"/>
  <c r="L571" i="3"/>
  <c r="I572" i="3"/>
  <c r="J572" i="3"/>
  <c r="K572" i="3"/>
  <c r="L572" i="3"/>
  <c r="I573" i="3"/>
  <c r="J573" i="3"/>
  <c r="K573" i="3"/>
  <c r="L573" i="3"/>
  <c r="I574" i="3"/>
  <c r="J574" i="3"/>
  <c r="K574" i="3"/>
  <c r="L574" i="3"/>
  <c r="I575" i="3"/>
  <c r="J575" i="3"/>
  <c r="K575" i="3"/>
  <c r="L575" i="3"/>
  <c r="I576" i="3"/>
  <c r="J576" i="3"/>
  <c r="K576" i="3"/>
  <c r="L576" i="3"/>
  <c r="I577" i="3"/>
  <c r="J577" i="3"/>
  <c r="K577" i="3"/>
  <c r="L577" i="3"/>
  <c r="I578" i="3"/>
  <c r="J578" i="3"/>
  <c r="K578" i="3"/>
  <c r="L578" i="3"/>
  <c r="I579" i="3"/>
  <c r="J579" i="3"/>
  <c r="K579" i="3"/>
  <c r="L579" i="3"/>
  <c r="I580" i="3"/>
  <c r="J580" i="3"/>
  <c r="K580" i="3"/>
  <c r="L580" i="3"/>
  <c r="I581" i="3"/>
  <c r="J581" i="3"/>
  <c r="K581" i="3"/>
  <c r="L581" i="3"/>
  <c r="I582" i="3"/>
  <c r="J582" i="3"/>
  <c r="K582" i="3"/>
  <c r="L582" i="3"/>
  <c r="I583" i="3"/>
  <c r="J583" i="3"/>
  <c r="K583" i="3"/>
  <c r="L583" i="3"/>
  <c r="I584" i="3"/>
  <c r="J584" i="3"/>
  <c r="K584" i="3"/>
  <c r="L584" i="3"/>
  <c r="I585" i="3"/>
  <c r="J585" i="3"/>
  <c r="K585" i="3"/>
  <c r="L585" i="3"/>
  <c r="I586" i="3"/>
  <c r="J586" i="3"/>
  <c r="K586" i="3"/>
  <c r="L586" i="3"/>
  <c r="I587" i="3"/>
  <c r="J587" i="3"/>
  <c r="K587" i="3"/>
  <c r="L587" i="3"/>
  <c r="I588" i="3"/>
  <c r="J588" i="3"/>
  <c r="K588" i="3"/>
  <c r="L588" i="3"/>
  <c r="I589" i="3"/>
  <c r="J589" i="3"/>
  <c r="K589" i="3"/>
  <c r="L589" i="3"/>
  <c r="I590" i="3"/>
  <c r="J590" i="3"/>
  <c r="K590" i="3"/>
  <c r="L590" i="3"/>
  <c r="I591" i="3"/>
  <c r="J591" i="3"/>
  <c r="K591" i="3"/>
  <c r="L591" i="3"/>
  <c r="I592" i="3"/>
  <c r="J592" i="3"/>
  <c r="K592" i="3"/>
  <c r="L592" i="3"/>
  <c r="I593" i="3"/>
  <c r="J593" i="3"/>
  <c r="K593" i="3"/>
  <c r="L593" i="3"/>
  <c r="I594" i="3"/>
  <c r="J594" i="3"/>
  <c r="K594" i="3"/>
  <c r="L594" i="3"/>
  <c r="I595" i="3"/>
  <c r="J595" i="3"/>
  <c r="K595" i="3"/>
  <c r="L595" i="3"/>
  <c r="I596" i="3"/>
  <c r="J596" i="3"/>
  <c r="K596" i="3"/>
  <c r="L596" i="3"/>
  <c r="I597" i="3"/>
  <c r="J597" i="3"/>
  <c r="K597" i="3"/>
  <c r="L597" i="3"/>
  <c r="I598" i="3"/>
  <c r="J598" i="3"/>
  <c r="K598" i="3"/>
  <c r="L598" i="3"/>
  <c r="I599" i="3"/>
  <c r="J599" i="3"/>
  <c r="K599" i="3"/>
  <c r="L599" i="3"/>
  <c r="I600" i="3"/>
  <c r="J600" i="3"/>
  <c r="K600" i="3"/>
  <c r="L600" i="3"/>
  <c r="I601" i="3"/>
  <c r="J601" i="3"/>
  <c r="K601" i="3"/>
  <c r="L601" i="3"/>
  <c r="I602" i="3"/>
  <c r="J602" i="3"/>
  <c r="K602" i="3"/>
  <c r="L602" i="3"/>
  <c r="I603" i="3"/>
  <c r="J603" i="3"/>
  <c r="K603" i="3"/>
  <c r="L603" i="3"/>
  <c r="I604" i="3"/>
  <c r="J604" i="3"/>
  <c r="K604" i="3"/>
  <c r="L604" i="3"/>
  <c r="I605" i="3"/>
  <c r="J605" i="3"/>
  <c r="K605" i="3"/>
  <c r="L605" i="3"/>
  <c r="I606" i="3"/>
  <c r="J606" i="3"/>
  <c r="K606" i="3"/>
  <c r="L606" i="3"/>
  <c r="I607" i="3"/>
  <c r="J607" i="3"/>
  <c r="K607" i="3"/>
  <c r="L607" i="3"/>
  <c r="I608" i="3"/>
  <c r="J608" i="3"/>
  <c r="K608" i="3"/>
  <c r="L608" i="3"/>
  <c r="I609" i="3"/>
  <c r="J609" i="3"/>
  <c r="K609" i="3"/>
  <c r="L609" i="3"/>
  <c r="I610" i="3"/>
  <c r="J610" i="3"/>
  <c r="K610" i="3"/>
  <c r="L610" i="3"/>
  <c r="I611" i="3"/>
  <c r="J611" i="3"/>
  <c r="K611" i="3"/>
  <c r="L611" i="3"/>
  <c r="I612" i="3"/>
  <c r="J612" i="3"/>
  <c r="K612" i="3"/>
  <c r="L612" i="3"/>
  <c r="I613" i="3"/>
  <c r="J613" i="3"/>
  <c r="K613" i="3"/>
  <c r="L613" i="3"/>
  <c r="I614" i="3"/>
  <c r="J614" i="3"/>
  <c r="K614" i="3"/>
  <c r="L614" i="3"/>
  <c r="I615" i="3"/>
  <c r="J615" i="3"/>
  <c r="K615" i="3"/>
  <c r="L615" i="3"/>
  <c r="I616" i="3"/>
  <c r="J616" i="3"/>
  <c r="K616" i="3"/>
  <c r="L616" i="3"/>
  <c r="I617" i="3"/>
  <c r="J617" i="3"/>
  <c r="K617" i="3"/>
  <c r="L617" i="3"/>
  <c r="I618" i="3"/>
  <c r="J618" i="3"/>
  <c r="K618" i="3"/>
  <c r="L618" i="3"/>
  <c r="I619" i="3"/>
  <c r="J619" i="3"/>
  <c r="K619" i="3"/>
  <c r="L619" i="3"/>
  <c r="I620" i="3"/>
  <c r="J620" i="3"/>
  <c r="K620" i="3"/>
  <c r="L620" i="3"/>
  <c r="I621" i="3"/>
  <c r="J621" i="3"/>
  <c r="K621" i="3"/>
  <c r="L621" i="3"/>
  <c r="I622" i="3"/>
  <c r="J622" i="3"/>
  <c r="K622" i="3"/>
  <c r="L622" i="3"/>
  <c r="I623" i="3"/>
  <c r="J623" i="3"/>
  <c r="K623" i="3"/>
  <c r="L623" i="3"/>
  <c r="I624" i="3"/>
  <c r="J624" i="3"/>
  <c r="K624" i="3"/>
  <c r="L624" i="3"/>
  <c r="I625" i="3"/>
  <c r="J625" i="3"/>
  <c r="K625" i="3"/>
  <c r="L625" i="3"/>
  <c r="I626" i="3"/>
  <c r="J626" i="3"/>
  <c r="K626" i="3"/>
  <c r="L626" i="3"/>
  <c r="I627" i="3"/>
  <c r="J627" i="3"/>
  <c r="K627" i="3"/>
  <c r="L627" i="3"/>
  <c r="I628" i="3"/>
  <c r="J628" i="3"/>
  <c r="K628" i="3"/>
  <c r="L628" i="3"/>
  <c r="I629" i="3"/>
  <c r="J629" i="3"/>
  <c r="K629" i="3"/>
  <c r="L629" i="3"/>
  <c r="I630" i="3"/>
  <c r="J630" i="3"/>
  <c r="K630" i="3"/>
  <c r="L630" i="3"/>
  <c r="I631" i="3"/>
  <c r="J631" i="3"/>
  <c r="K631" i="3"/>
  <c r="L631" i="3"/>
  <c r="I632" i="3"/>
  <c r="J632" i="3"/>
  <c r="K632" i="3"/>
  <c r="L632" i="3"/>
  <c r="I633" i="3"/>
  <c r="J633" i="3"/>
  <c r="K633" i="3"/>
  <c r="L633" i="3"/>
  <c r="I634" i="3"/>
  <c r="J634" i="3"/>
  <c r="K634" i="3"/>
  <c r="L634" i="3"/>
  <c r="I635" i="3"/>
  <c r="J635" i="3"/>
  <c r="K635" i="3"/>
  <c r="L635" i="3"/>
  <c r="I636" i="3"/>
  <c r="J636" i="3"/>
  <c r="K636" i="3"/>
  <c r="L636" i="3"/>
  <c r="I637" i="3"/>
  <c r="J637" i="3"/>
  <c r="K637" i="3"/>
  <c r="L637" i="3"/>
  <c r="I638" i="3"/>
  <c r="J638" i="3"/>
  <c r="K638" i="3"/>
  <c r="L638" i="3"/>
  <c r="I639" i="3"/>
  <c r="J639" i="3"/>
  <c r="K639" i="3"/>
  <c r="L639" i="3"/>
  <c r="I640" i="3"/>
  <c r="J640" i="3"/>
  <c r="K640" i="3"/>
  <c r="L640" i="3"/>
  <c r="I641" i="3"/>
  <c r="J641" i="3"/>
  <c r="K641" i="3"/>
  <c r="L641" i="3"/>
  <c r="I642" i="3"/>
  <c r="J642" i="3"/>
  <c r="K642" i="3"/>
  <c r="L642" i="3"/>
  <c r="I643" i="3"/>
  <c r="J643" i="3"/>
  <c r="K643" i="3"/>
  <c r="L643" i="3"/>
  <c r="I644" i="3"/>
  <c r="J644" i="3"/>
  <c r="K644" i="3"/>
  <c r="L644" i="3"/>
  <c r="I645" i="3"/>
  <c r="J645" i="3"/>
  <c r="K645" i="3"/>
  <c r="L645" i="3"/>
  <c r="I646" i="3"/>
  <c r="J646" i="3"/>
  <c r="K646" i="3"/>
  <c r="L646" i="3"/>
  <c r="I647" i="3"/>
  <c r="J647" i="3"/>
  <c r="K647" i="3"/>
  <c r="L647" i="3"/>
  <c r="I648" i="3"/>
  <c r="J648" i="3"/>
  <c r="K648" i="3"/>
  <c r="L648" i="3"/>
  <c r="I649" i="3"/>
  <c r="J649" i="3"/>
  <c r="K649" i="3"/>
  <c r="L649" i="3"/>
  <c r="I650" i="3"/>
  <c r="J650" i="3"/>
  <c r="K650" i="3"/>
  <c r="L650" i="3"/>
  <c r="I651" i="3"/>
  <c r="J651" i="3"/>
  <c r="K651" i="3"/>
  <c r="L651" i="3"/>
  <c r="I652" i="3"/>
  <c r="J652" i="3"/>
  <c r="K652" i="3"/>
  <c r="L652" i="3"/>
  <c r="I653" i="3"/>
  <c r="J653" i="3"/>
  <c r="K653" i="3"/>
  <c r="L653" i="3"/>
  <c r="I654" i="3"/>
  <c r="J654" i="3"/>
  <c r="K654" i="3"/>
  <c r="L654" i="3"/>
  <c r="I655" i="3"/>
  <c r="J655" i="3"/>
  <c r="K655" i="3"/>
  <c r="L655" i="3"/>
  <c r="I656" i="3"/>
  <c r="J656" i="3"/>
  <c r="K656" i="3"/>
  <c r="L656" i="3"/>
  <c r="I657" i="3"/>
  <c r="J657" i="3"/>
  <c r="K657" i="3"/>
  <c r="L657" i="3"/>
  <c r="I658" i="3"/>
  <c r="J658" i="3"/>
  <c r="K658" i="3"/>
  <c r="L658" i="3"/>
  <c r="I659" i="3"/>
  <c r="J659" i="3"/>
  <c r="K659" i="3"/>
  <c r="L659" i="3"/>
  <c r="I660" i="3"/>
  <c r="J660" i="3"/>
  <c r="K660" i="3"/>
  <c r="L660" i="3"/>
  <c r="I661" i="3"/>
  <c r="J661" i="3"/>
  <c r="K661" i="3"/>
  <c r="L661" i="3"/>
  <c r="I662" i="3"/>
  <c r="J662" i="3"/>
  <c r="K662" i="3"/>
  <c r="L662" i="3"/>
  <c r="I663" i="3"/>
  <c r="J663" i="3"/>
  <c r="K663" i="3"/>
  <c r="L663" i="3"/>
  <c r="I664" i="3"/>
  <c r="J664" i="3"/>
  <c r="K664" i="3"/>
  <c r="L664" i="3"/>
  <c r="I665" i="3"/>
  <c r="J665" i="3"/>
  <c r="K665" i="3"/>
  <c r="L665" i="3"/>
  <c r="I666" i="3"/>
  <c r="J666" i="3"/>
  <c r="K666" i="3"/>
  <c r="L666" i="3"/>
  <c r="I667" i="3"/>
  <c r="J667" i="3"/>
  <c r="K667" i="3"/>
  <c r="L667" i="3"/>
  <c r="I668" i="3"/>
  <c r="J668" i="3"/>
  <c r="K668" i="3"/>
  <c r="L668" i="3"/>
  <c r="I669" i="3"/>
  <c r="J669" i="3"/>
  <c r="K669" i="3"/>
  <c r="L669" i="3"/>
  <c r="I670" i="3"/>
  <c r="J670" i="3"/>
  <c r="K670" i="3"/>
  <c r="L670" i="3"/>
  <c r="I671" i="3"/>
  <c r="J671" i="3"/>
  <c r="K671" i="3"/>
  <c r="L671" i="3"/>
  <c r="I672" i="3"/>
  <c r="J672" i="3"/>
  <c r="K672" i="3"/>
  <c r="L672" i="3"/>
  <c r="I673" i="3"/>
  <c r="J673" i="3"/>
  <c r="K673" i="3"/>
  <c r="L673" i="3"/>
  <c r="I674" i="3"/>
  <c r="J674" i="3"/>
  <c r="K674" i="3"/>
  <c r="L674" i="3"/>
  <c r="I675" i="3"/>
  <c r="J675" i="3"/>
  <c r="K675" i="3"/>
  <c r="L675" i="3"/>
  <c r="I676" i="3"/>
  <c r="J676" i="3"/>
  <c r="K676" i="3"/>
  <c r="L676" i="3"/>
  <c r="I677" i="3"/>
  <c r="J677" i="3"/>
  <c r="K677" i="3"/>
  <c r="L677" i="3"/>
  <c r="I678" i="3"/>
  <c r="J678" i="3"/>
  <c r="K678" i="3"/>
  <c r="L678" i="3"/>
  <c r="I679" i="3"/>
  <c r="J679" i="3"/>
  <c r="K679" i="3"/>
  <c r="L679" i="3"/>
  <c r="I680" i="3"/>
  <c r="J680" i="3"/>
  <c r="K680" i="3"/>
  <c r="L680" i="3"/>
  <c r="I681" i="3"/>
  <c r="J681" i="3"/>
  <c r="K681" i="3"/>
  <c r="L681" i="3"/>
  <c r="I682" i="3"/>
  <c r="J682" i="3"/>
  <c r="K682" i="3"/>
  <c r="L682" i="3"/>
  <c r="I683" i="3"/>
  <c r="J683" i="3"/>
  <c r="K683" i="3"/>
  <c r="L683" i="3"/>
  <c r="I684" i="3"/>
  <c r="J684" i="3"/>
  <c r="K684" i="3"/>
  <c r="L684" i="3"/>
  <c r="I685" i="3"/>
  <c r="J685" i="3"/>
  <c r="K685" i="3"/>
  <c r="L685" i="3"/>
  <c r="I686" i="3"/>
  <c r="J686" i="3"/>
  <c r="K686" i="3"/>
  <c r="L686" i="3"/>
  <c r="I687" i="3"/>
  <c r="J687" i="3"/>
  <c r="K687" i="3"/>
  <c r="L687" i="3"/>
  <c r="I688" i="3"/>
  <c r="J688" i="3"/>
  <c r="K688" i="3"/>
  <c r="L688" i="3"/>
  <c r="I689" i="3"/>
  <c r="J689" i="3"/>
  <c r="K689" i="3"/>
  <c r="L689" i="3"/>
  <c r="I690" i="3"/>
  <c r="J690" i="3"/>
  <c r="K690" i="3"/>
  <c r="L690" i="3"/>
  <c r="I691" i="3"/>
  <c r="J691" i="3"/>
  <c r="K691" i="3"/>
  <c r="L691" i="3"/>
  <c r="I692" i="3"/>
  <c r="J692" i="3"/>
  <c r="K692" i="3"/>
  <c r="L692" i="3"/>
  <c r="I693" i="3"/>
  <c r="J693" i="3"/>
  <c r="K693" i="3"/>
  <c r="L693" i="3"/>
  <c r="I694" i="3"/>
  <c r="J694" i="3"/>
  <c r="K694" i="3"/>
  <c r="L694" i="3"/>
  <c r="I695" i="3"/>
  <c r="J695" i="3"/>
  <c r="K695" i="3"/>
  <c r="L695" i="3"/>
  <c r="I696" i="3"/>
  <c r="J696" i="3"/>
  <c r="K696" i="3"/>
  <c r="L696" i="3"/>
  <c r="I697" i="3"/>
  <c r="J697" i="3"/>
  <c r="K697" i="3"/>
  <c r="L697" i="3"/>
  <c r="I698" i="3"/>
  <c r="J698" i="3"/>
  <c r="K698" i="3"/>
  <c r="L698" i="3"/>
  <c r="I699" i="3"/>
  <c r="J699" i="3"/>
  <c r="K699" i="3"/>
  <c r="L699" i="3"/>
  <c r="I700" i="3"/>
  <c r="J700" i="3"/>
  <c r="K700" i="3"/>
  <c r="L700" i="3"/>
  <c r="I701" i="3"/>
  <c r="J701" i="3"/>
  <c r="K701" i="3"/>
  <c r="L701" i="3"/>
  <c r="I702" i="3"/>
  <c r="J702" i="3"/>
  <c r="K702" i="3"/>
  <c r="L702" i="3"/>
  <c r="I703" i="3"/>
  <c r="J703" i="3"/>
  <c r="K703" i="3"/>
  <c r="L703" i="3"/>
  <c r="I704" i="3"/>
  <c r="J704" i="3"/>
  <c r="K704" i="3"/>
  <c r="L704" i="3"/>
  <c r="I705" i="3"/>
  <c r="J705" i="3"/>
  <c r="K705" i="3"/>
  <c r="L705" i="3"/>
  <c r="I706" i="3"/>
  <c r="J706" i="3"/>
  <c r="K706" i="3"/>
  <c r="L706" i="3"/>
  <c r="I707" i="3"/>
  <c r="J707" i="3"/>
  <c r="K707" i="3"/>
  <c r="L707" i="3"/>
  <c r="I708" i="3"/>
  <c r="J708" i="3"/>
  <c r="K708" i="3"/>
  <c r="L708" i="3"/>
  <c r="I709" i="3"/>
  <c r="J709" i="3"/>
  <c r="K709" i="3"/>
  <c r="L709" i="3"/>
  <c r="I710" i="3"/>
  <c r="J710" i="3"/>
  <c r="K710" i="3"/>
  <c r="L710" i="3"/>
  <c r="I711" i="3"/>
  <c r="J711" i="3"/>
  <c r="K711" i="3"/>
  <c r="L711" i="3"/>
  <c r="I712" i="3"/>
  <c r="J712" i="3"/>
  <c r="K712" i="3"/>
  <c r="L712" i="3"/>
  <c r="I713" i="3"/>
  <c r="J713" i="3"/>
  <c r="K713" i="3"/>
  <c r="L713" i="3"/>
  <c r="I714" i="3"/>
  <c r="J714" i="3"/>
  <c r="K714" i="3"/>
  <c r="L714" i="3"/>
  <c r="I715" i="3"/>
  <c r="J715" i="3"/>
  <c r="K715" i="3"/>
  <c r="L715" i="3"/>
  <c r="I716" i="3"/>
  <c r="J716" i="3"/>
  <c r="K716" i="3"/>
  <c r="L716" i="3"/>
  <c r="I717" i="3"/>
  <c r="J717" i="3"/>
  <c r="K717" i="3"/>
  <c r="L717" i="3"/>
  <c r="I718" i="3"/>
  <c r="J718" i="3"/>
  <c r="K718" i="3"/>
  <c r="L718" i="3"/>
  <c r="I719" i="3"/>
  <c r="J719" i="3"/>
  <c r="K719" i="3"/>
  <c r="L719" i="3"/>
  <c r="I720" i="3"/>
  <c r="J720" i="3"/>
  <c r="K720" i="3"/>
  <c r="L720" i="3"/>
  <c r="I721" i="3"/>
  <c r="J721" i="3"/>
  <c r="K721" i="3"/>
  <c r="L721" i="3"/>
  <c r="I722" i="3"/>
  <c r="J722" i="3"/>
  <c r="K722" i="3"/>
  <c r="L722" i="3"/>
  <c r="I723" i="3"/>
  <c r="J723" i="3"/>
  <c r="K723" i="3"/>
  <c r="L723" i="3"/>
  <c r="I724" i="3"/>
  <c r="J724" i="3"/>
  <c r="K724" i="3"/>
  <c r="L724" i="3"/>
  <c r="I725" i="3"/>
  <c r="J725" i="3"/>
  <c r="K725" i="3"/>
  <c r="L725" i="3"/>
  <c r="I726" i="3"/>
  <c r="J726" i="3"/>
  <c r="K726" i="3"/>
  <c r="L726" i="3"/>
  <c r="I727" i="3"/>
  <c r="J727" i="3"/>
  <c r="K727" i="3"/>
  <c r="L727" i="3"/>
  <c r="I728" i="3"/>
  <c r="J728" i="3"/>
  <c r="K728" i="3"/>
  <c r="L728" i="3"/>
  <c r="I729" i="3"/>
  <c r="J729" i="3"/>
  <c r="K729" i="3"/>
  <c r="L729" i="3"/>
  <c r="I730" i="3"/>
  <c r="J730" i="3"/>
  <c r="K730" i="3"/>
  <c r="L730" i="3"/>
  <c r="I731" i="3"/>
  <c r="J731" i="3"/>
  <c r="K731" i="3"/>
  <c r="L731" i="3"/>
  <c r="I732" i="3"/>
  <c r="J732" i="3"/>
  <c r="K732" i="3"/>
  <c r="L732" i="3"/>
  <c r="I733" i="3"/>
  <c r="J733" i="3"/>
  <c r="K733" i="3"/>
  <c r="L733" i="3"/>
  <c r="I734" i="3"/>
  <c r="J734" i="3"/>
  <c r="K734" i="3"/>
  <c r="L734" i="3"/>
  <c r="I735" i="3"/>
  <c r="J735" i="3"/>
  <c r="K735" i="3"/>
  <c r="L735" i="3"/>
  <c r="I736" i="3"/>
  <c r="J736" i="3"/>
  <c r="K736" i="3"/>
  <c r="L736" i="3"/>
  <c r="I737" i="3"/>
  <c r="J737" i="3"/>
  <c r="K737" i="3"/>
  <c r="L737" i="3"/>
  <c r="I738" i="3"/>
  <c r="J738" i="3"/>
  <c r="K738" i="3"/>
  <c r="L738" i="3"/>
  <c r="I739" i="3"/>
  <c r="J739" i="3"/>
  <c r="K739" i="3"/>
  <c r="L739" i="3"/>
  <c r="I740" i="3"/>
  <c r="J740" i="3"/>
  <c r="K740" i="3"/>
  <c r="L740" i="3"/>
  <c r="I741" i="3"/>
  <c r="J741" i="3"/>
  <c r="K741" i="3"/>
  <c r="L741" i="3"/>
  <c r="I742" i="3"/>
  <c r="J742" i="3"/>
  <c r="K742" i="3"/>
  <c r="L742" i="3"/>
  <c r="I743" i="3"/>
  <c r="J743" i="3"/>
  <c r="K743" i="3"/>
  <c r="L743" i="3"/>
  <c r="I744" i="3"/>
  <c r="J744" i="3"/>
  <c r="K744" i="3"/>
  <c r="L744" i="3"/>
  <c r="I745" i="3"/>
  <c r="J745" i="3"/>
  <c r="K745" i="3"/>
  <c r="L745" i="3"/>
  <c r="I746" i="3"/>
  <c r="J746" i="3"/>
  <c r="K746" i="3"/>
  <c r="L746" i="3"/>
  <c r="I747" i="3"/>
  <c r="J747" i="3"/>
  <c r="K747" i="3"/>
  <c r="L747" i="3"/>
  <c r="I748" i="3"/>
  <c r="J748" i="3"/>
  <c r="K748" i="3"/>
  <c r="L748" i="3"/>
  <c r="I749" i="3"/>
  <c r="J749" i="3"/>
  <c r="K749" i="3"/>
  <c r="L749" i="3"/>
  <c r="I750" i="3"/>
  <c r="J750" i="3"/>
  <c r="K750" i="3"/>
  <c r="L750" i="3"/>
  <c r="I751" i="3"/>
  <c r="J751" i="3"/>
  <c r="K751" i="3"/>
  <c r="L751" i="3"/>
  <c r="I752" i="3"/>
  <c r="J752" i="3"/>
  <c r="K752" i="3"/>
  <c r="L752" i="3"/>
  <c r="I753" i="3"/>
  <c r="J753" i="3"/>
  <c r="K753" i="3"/>
  <c r="L753" i="3"/>
  <c r="I754" i="3"/>
  <c r="J754" i="3"/>
  <c r="K754" i="3"/>
  <c r="L754" i="3"/>
  <c r="I755" i="3"/>
  <c r="J755" i="3"/>
  <c r="K755" i="3"/>
  <c r="L755" i="3"/>
  <c r="I756" i="3"/>
  <c r="J756" i="3"/>
  <c r="K756" i="3"/>
  <c r="L756" i="3"/>
  <c r="I757" i="3"/>
  <c r="J757" i="3"/>
  <c r="K757" i="3"/>
  <c r="L757" i="3"/>
  <c r="I758" i="3"/>
  <c r="J758" i="3"/>
  <c r="K758" i="3"/>
  <c r="L758" i="3"/>
  <c r="I759" i="3"/>
  <c r="J759" i="3"/>
  <c r="K759" i="3"/>
  <c r="L759" i="3"/>
  <c r="I760" i="3"/>
  <c r="J760" i="3"/>
  <c r="K760" i="3"/>
  <c r="L760" i="3"/>
  <c r="I761" i="3"/>
  <c r="J761" i="3"/>
  <c r="K761" i="3"/>
  <c r="L761" i="3"/>
  <c r="I762" i="3"/>
  <c r="J762" i="3"/>
  <c r="K762" i="3"/>
  <c r="L762" i="3"/>
  <c r="I763" i="3"/>
  <c r="J763" i="3"/>
  <c r="K763" i="3"/>
  <c r="L763" i="3"/>
  <c r="I764" i="3"/>
  <c r="J764" i="3"/>
  <c r="K764" i="3"/>
  <c r="L764" i="3"/>
  <c r="I765" i="3"/>
  <c r="J765" i="3"/>
  <c r="K765" i="3"/>
  <c r="L765" i="3"/>
  <c r="I766" i="3"/>
  <c r="J766" i="3"/>
  <c r="K766" i="3"/>
  <c r="L766" i="3"/>
  <c r="I767" i="3"/>
  <c r="J767" i="3"/>
  <c r="K767" i="3"/>
  <c r="L767" i="3"/>
  <c r="I768" i="3"/>
  <c r="J768" i="3"/>
  <c r="K768" i="3"/>
  <c r="L768" i="3"/>
  <c r="I769" i="3"/>
  <c r="J769" i="3"/>
  <c r="K769" i="3"/>
  <c r="L769" i="3"/>
  <c r="I770" i="3"/>
  <c r="J770" i="3"/>
  <c r="K770" i="3"/>
  <c r="L770" i="3"/>
  <c r="I771" i="3"/>
  <c r="J771" i="3"/>
  <c r="K771" i="3"/>
  <c r="L771" i="3"/>
  <c r="I772" i="3"/>
  <c r="J772" i="3"/>
  <c r="K772" i="3"/>
  <c r="L772" i="3"/>
  <c r="I773" i="3"/>
  <c r="J773" i="3"/>
  <c r="K773" i="3"/>
  <c r="L773" i="3"/>
  <c r="I774" i="3"/>
  <c r="J774" i="3"/>
  <c r="K774" i="3"/>
  <c r="L774" i="3"/>
  <c r="I775" i="3"/>
  <c r="J775" i="3"/>
  <c r="K775" i="3"/>
  <c r="L775" i="3"/>
  <c r="I776" i="3"/>
  <c r="J776" i="3"/>
  <c r="K776" i="3"/>
  <c r="L776" i="3"/>
  <c r="I777" i="3"/>
  <c r="J777" i="3"/>
  <c r="K777" i="3"/>
  <c r="L777" i="3"/>
  <c r="I778" i="3"/>
  <c r="J778" i="3"/>
  <c r="K778" i="3"/>
  <c r="L778" i="3"/>
  <c r="I779" i="3"/>
  <c r="J779" i="3"/>
  <c r="K779" i="3"/>
  <c r="L779" i="3"/>
  <c r="I780" i="3"/>
  <c r="J780" i="3"/>
  <c r="K780" i="3"/>
  <c r="L780" i="3"/>
  <c r="I781" i="3"/>
  <c r="J781" i="3"/>
  <c r="K781" i="3"/>
  <c r="L781" i="3"/>
  <c r="I782" i="3"/>
  <c r="J782" i="3"/>
  <c r="K782" i="3"/>
  <c r="L782" i="3"/>
  <c r="I783" i="3"/>
  <c r="J783" i="3"/>
  <c r="K783" i="3"/>
  <c r="L783" i="3"/>
  <c r="I784" i="3"/>
  <c r="J784" i="3"/>
  <c r="K784" i="3"/>
  <c r="L784" i="3"/>
  <c r="I785" i="3"/>
  <c r="J785" i="3"/>
  <c r="K785" i="3"/>
  <c r="L785" i="3"/>
  <c r="I786" i="3"/>
  <c r="J786" i="3"/>
  <c r="K786" i="3"/>
  <c r="L786" i="3"/>
  <c r="I787" i="3"/>
  <c r="J787" i="3"/>
  <c r="K787" i="3"/>
  <c r="L787" i="3"/>
  <c r="I788" i="3"/>
  <c r="J788" i="3"/>
  <c r="K788" i="3"/>
  <c r="L788" i="3"/>
  <c r="I789" i="3"/>
  <c r="J789" i="3"/>
  <c r="K789" i="3"/>
  <c r="L789" i="3"/>
  <c r="I790" i="3"/>
  <c r="J790" i="3"/>
  <c r="K790" i="3"/>
  <c r="L790" i="3"/>
  <c r="I791" i="3"/>
  <c r="J791" i="3"/>
  <c r="K791" i="3"/>
  <c r="L791" i="3"/>
  <c r="I792" i="3"/>
  <c r="J792" i="3"/>
  <c r="K792" i="3"/>
  <c r="L792" i="3"/>
  <c r="I793" i="3"/>
  <c r="J793" i="3"/>
  <c r="K793" i="3"/>
  <c r="L793" i="3"/>
  <c r="I794" i="3"/>
  <c r="J794" i="3"/>
  <c r="K794" i="3"/>
  <c r="L794" i="3"/>
  <c r="I795" i="3"/>
  <c r="J795" i="3"/>
  <c r="K795" i="3"/>
  <c r="L795" i="3"/>
  <c r="I796" i="3"/>
  <c r="J796" i="3"/>
  <c r="K796" i="3"/>
  <c r="L796" i="3"/>
  <c r="I797" i="3"/>
  <c r="J797" i="3"/>
  <c r="K797" i="3"/>
  <c r="L797" i="3"/>
  <c r="I798" i="3"/>
  <c r="J798" i="3"/>
  <c r="K798" i="3"/>
  <c r="L798" i="3"/>
  <c r="I799" i="3"/>
  <c r="J799" i="3"/>
  <c r="K799" i="3"/>
  <c r="L799" i="3"/>
  <c r="I800" i="3"/>
  <c r="J800" i="3"/>
  <c r="K800" i="3"/>
  <c r="L800" i="3"/>
  <c r="I801" i="3"/>
  <c r="J801" i="3"/>
  <c r="K801" i="3"/>
  <c r="L801" i="3"/>
  <c r="I802" i="3"/>
  <c r="J802" i="3"/>
  <c r="K802" i="3"/>
  <c r="L802" i="3"/>
  <c r="I803" i="3"/>
  <c r="J803" i="3"/>
  <c r="K803" i="3"/>
  <c r="L803" i="3"/>
  <c r="I804" i="3"/>
  <c r="J804" i="3"/>
  <c r="K804" i="3"/>
  <c r="L804" i="3"/>
  <c r="I805" i="3"/>
  <c r="J805" i="3"/>
  <c r="K805" i="3"/>
  <c r="L805" i="3"/>
  <c r="I806" i="3"/>
  <c r="J806" i="3"/>
  <c r="K806" i="3"/>
  <c r="L806" i="3"/>
  <c r="I807" i="3"/>
  <c r="J807" i="3"/>
  <c r="K807" i="3"/>
  <c r="L807" i="3"/>
  <c r="I808" i="3"/>
  <c r="J808" i="3"/>
  <c r="K808" i="3"/>
  <c r="L808" i="3"/>
  <c r="I809" i="3"/>
  <c r="J809" i="3"/>
  <c r="K809" i="3"/>
  <c r="L809" i="3"/>
  <c r="I810" i="3"/>
  <c r="J810" i="3"/>
  <c r="K810" i="3"/>
  <c r="L810" i="3"/>
  <c r="I811" i="3"/>
  <c r="J811" i="3"/>
  <c r="K811" i="3"/>
  <c r="L811" i="3"/>
  <c r="I812" i="3"/>
  <c r="J812" i="3"/>
  <c r="K812" i="3"/>
  <c r="L812" i="3"/>
  <c r="I813" i="3"/>
  <c r="J813" i="3"/>
  <c r="K813" i="3"/>
  <c r="L813" i="3"/>
  <c r="I814" i="3"/>
  <c r="J814" i="3"/>
  <c r="K814" i="3"/>
  <c r="L814" i="3"/>
  <c r="I815" i="3"/>
  <c r="J815" i="3"/>
  <c r="K815" i="3"/>
  <c r="L815" i="3"/>
  <c r="I816" i="3"/>
  <c r="J816" i="3"/>
  <c r="K816" i="3"/>
  <c r="L816" i="3"/>
  <c r="I817" i="3"/>
  <c r="J817" i="3"/>
  <c r="K817" i="3"/>
  <c r="L817" i="3"/>
  <c r="I818" i="3"/>
  <c r="J818" i="3"/>
  <c r="K818" i="3"/>
  <c r="L818" i="3"/>
  <c r="I819" i="3"/>
  <c r="J819" i="3"/>
  <c r="K819" i="3"/>
  <c r="L819" i="3"/>
  <c r="I820" i="3"/>
  <c r="J820" i="3"/>
  <c r="K820" i="3"/>
  <c r="L820" i="3"/>
  <c r="I821" i="3"/>
  <c r="J821" i="3"/>
  <c r="K821" i="3"/>
  <c r="L821" i="3"/>
  <c r="I822" i="3"/>
  <c r="J822" i="3"/>
  <c r="K822" i="3"/>
  <c r="L822" i="3"/>
  <c r="I823" i="3"/>
  <c r="J823" i="3"/>
  <c r="K823" i="3"/>
  <c r="L823" i="3"/>
  <c r="I824" i="3"/>
  <c r="J824" i="3"/>
  <c r="K824" i="3"/>
  <c r="L824" i="3"/>
  <c r="I825" i="3"/>
  <c r="J825" i="3"/>
  <c r="K825" i="3"/>
  <c r="L825" i="3"/>
  <c r="I826" i="3"/>
  <c r="J826" i="3"/>
  <c r="K826" i="3"/>
  <c r="L826" i="3"/>
  <c r="I827" i="3"/>
  <c r="J827" i="3"/>
  <c r="K827" i="3"/>
  <c r="L827" i="3"/>
  <c r="I828" i="3"/>
  <c r="J828" i="3"/>
  <c r="K828" i="3"/>
  <c r="L828" i="3"/>
  <c r="I829" i="3"/>
  <c r="J829" i="3"/>
  <c r="K829" i="3"/>
  <c r="L829" i="3"/>
  <c r="I830" i="3"/>
  <c r="J830" i="3"/>
  <c r="K830" i="3"/>
  <c r="L830" i="3"/>
  <c r="I831" i="3"/>
  <c r="J831" i="3"/>
  <c r="K831" i="3"/>
  <c r="L831" i="3"/>
  <c r="I832" i="3"/>
  <c r="J832" i="3"/>
  <c r="K832" i="3"/>
  <c r="L832" i="3"/>
  <c r="I833" i="3"/>
  <c r="J833" i="3"/>
  <c r="K833" i="3"/>
  <c r="L833" i="3"/>
  <c r="I834" i="3"/>
  <c r="J834" i="3"/>
  <c r="K834" i="3"/>
  <c r="L834" i="3"/>
  <c r="I835" i="3"/>
  <c r="J835" i="3"/>
  <c r="K835" i="3"/>
  <c r="L835" i="3"/>
  <c r="I836" i="3"/>
  <c r="J836" i="3"/>
  <c r="K836" i="3"/>
  <c r="L836" i="3"/>
  <c r="I837" i="3"/>
  <c r="J837" i="3"/>
  <c r="K837" i="3"/>
  <c r="L837" i="3"/>
  <c r="I838" i="3"/>
  <c r="J838" i="3"/>
  <c r="K838" i="3"/>
  <c r="L838" i="3"/>
  <c r="I839" i="3"/>
  <c r="J839" i="3"/>
  <c r="K839" i="3"/>
  <c r="L839" i="3"/>
  <c r="I840" i="3"/>
  <c r="J840" i="3"/>
  <c r="K840" i="3"/>
  <c r="L840" i="3"/>
  <c r="I841" i="3"/>
  <c r="J841" i="3"/>
  <c r="K841" i="3"/>
  <c r="L841" i="3"/>
  <c r="I842" i="3"/>
  <c r="J842" i="3"/>
  <c r="K842" i="3"/>
  <c r="L842" i="3"/>
  <c r="I843" i="3"/>
  <c r="J843" i="3"/>
  <c r="K843" i="3"/>
  <c r="L843" i="3"/>
  <c r="I844" i="3"/>
  <c r="J844" i="3"/>
  <c r="K844" i="3"/>
  <c r="L844" i="3"/>
  <c r="I845" i="3"/>
  <c r="J845" i="3"/>
  <c r="K845" i="3"/>
  <c r="L845" i="3"/>
  <c r="I846" i="3"/>
  <c r="J846" i="3"/>
  <c r="K846" i="3"/>
  <c r="L846" i="3"/>
  <c r="I847" i="3"/>
  <c r="J847" i="3"/>
  <c r="K847" i="3"/>
  <c r="L847" i="3"/>
  <c r="I848" i="3"/>
  <c r="J848" i="3"/>
  <c r="K848" i="3"/>
  <c r="L848" i="3"/>
  <c r="I849" i="3"/>
  <c r="J849" i="3"/>
  <c r="K849" i="3"/>
  <c r="L849" i="3"/>
  <c r="I850" i="3"/>
  <c r="J850" i="3"/>
  <c r="K850" i="3"/>
  <c r="L850" i="3"/>
  <c r="I851" i="3"/>
  <c r="J851" i="3"/>
  <c r="K851" i="3"/>
  <c r="L851" i="3"/>
  <c r="I852" i="3"/>
  <c r="J852" i="3"/>
  <c r="K852" i="3"/>
  <c r="L852" i="3"/>
  <c r="I853" i="3"/>
  <c r="J853" i="3"/>
  <c r="K853" i="3"/>
  <c r="L853" i="3"/>
  <c r="I854" i="3"/>
  <c r="J854" i="3"/>
  <c r="K854" i="3"/>
  <c r="L854" i="3"/>
  <c r="I855" i="3"/>
  <c r="J855" i="3"/>
  <c r="K855" i="3"/>
  <c r="L855" i="3"/>
  <c r="I856" i="3"/>
  <c r="J856" i="3"/>
  <c r="K856" i="3"/>
  <c r="L856" i="3"/>
  <c r="I857" i="3"/>
  <c r="J857" i="3"/>
  <c r="K857" i="3"/>
  <c r="L857" i="3"/>
  <c r="I858" i="3"/>
  <c r="J858" i="3"/>
  <c r="K858" i="3"/>
  <c r="L858" i="3"/>
  <c r="I859" i="3"/>
  <c r="J859" i="3"/>
  <c r="K859" i="3"/>
  <c r="L859" i="3"/>
  <c r="I860" i="3"/>
  <c r="J860" i="3"/>
  <c r="K860" i="3"/>
  <c r="L860" i="3"/>
  <c r="I861" i="3"/>
  <c r="J861" i="3"/>
  <c r="K861" i="3"/>
  <c r="L861" i="3"/>
  <c r="I862" i="3"/>
  <c r="J862" i="3"/>
  <c r="K862" i="3"/>
  <c r="L862" i="3"/>
  <c r="I863" i="3"/>
  <c r="J863" i="3"/>
  <c r="K863" i="3"/>
  <c r="L863" i="3"/>
  <c r="I864" i="3"/>
  <c r="J864" i="3"/>
  <c r="K864" i="3"/>
  <c r="L864" i="3"/>
  <c r="I865" i="3"/>
  <c r="J865" i="3"/>
  <c r="K865" i="3"/>
  <c r="L865" i="3"/>
  <c r="I866" i="3"/>
  <c r="J866" i="3"/>
  <c r="K866" i="3"/>
  <c r="L866" i="3"/>
  <c r="I867" i="3"/>
  <c r="J867" i="3"/>
  <c r="K867" i="3"/>
  <c r="L867" i="3"/>
  <c r="I868" i="3"/>
  <c r="J868" i="3"/>
  <c r="K868" i="3"/>
  <c r="L868" i="3"/>
  <c r="I869" i="3"/>
  <c r="J869" i="3"/>
  <c r="K869" i="3"/>
  <c r="L869" i="3"/>
  <c r="I870" i="3"/>
  <c r="J870" i="3"/>
  <c r="K870" i="3"/>
  <c r="L870" i="3"/>
  <c r="I871" i="3"/>
  <c r="J871" i="3"/>
  <c r="K871" i="3"/>
  <c r="L871" i="3"/>
  <c r="I872" i="3"/>
  <c r="J872" i="3"/>
  <c r="K872" i="3"/>
  <c r="L872" i="3"/>
  <c r="I873" i="3"/>
  <c r="J873" i="3"/>
  <c r="K873" i="3"/>
  <c r="L873" i="3"/>
  <c r="I874" i="3"/>
  <c r="J874" i="3"/>
  <c r="K874" i="3"/>
  <c r="L874" i="3"/>
  <c r="I875" i="3"/>
  <c r="J875" i="3"/>
  <c r="K875" i="3"/>
  <c r="L875" i="3"/>
  <c r="I876" i="3"/>
  <c r="J876" i="3"/>
  <c r="K876" i="3"/>
  <c r="L876" i="3"/>
  <c r="I877" i="3"/>
  <c r="J877" i="3"/>
  <c r="K877" i="3"/>
  <c r="L877" i="3"/>
  <c r="I878" i="3"/>
  <c r="J878" i="3"/>
  <c r="K878" i="3"/>
  <c r="L878" i="3"/>
  <c r="I879" i="3"/>
  <c r="J879" i="3"/>
  <c r="K879" i="3"/>
  <c r="L879" i="3"/>
  <c r="I880" i="3"/>
  <c r="J880" i="3"/>
  <c r="K880" i="3"/>
  <c r="L880" i="3"/>
  <c r="I881" i="3"/>
  <c r="J881" i="3"/>
  <c r="K881" i="3"/>
  <c r="L881" i="3"/>
  <c r="I882" i="3"/>
  <c r="J882" i="3"/>
  <c r="K882" i="3"/>
  <c r="L882" i="3"/>
  <c r="I883" i="3"/>
  <c r="J883" i="3"/>
  <c r="K883" i="3"/>
  <c r="L883" i="3"/>
  <c r="I884" i="3"/>
  <c r="J884" i="3"/>
  <c r="K884" i="3"/>
  <c r="L884" i="3"/>
  <c r="I885" i="3"/>
  <c r="J885" i="3"/>
  <c r="K885" i="3"/>
  <c r="L885" i="3"/>
  <c r="I886" i="3"/>
  <c r="J886" i="3"/>
  <c r="K886" i="3"/>
  <c r="L886" i="3"/>
  <c r="I887" i="3"/>
  <c r="J887" i="3"/>
  <c r="K887" i="3"/>
  <c r="L887" i="3"/>
  <c r="I888" i="3"/>
  <c r="J888" i="3"/>
  <c r="K888" i="3"/>
  <c r="L888" i="3"/>
  <c r="I889" i="3"/>
  <c r="J889" i="3"/>
  <c r="K889" i="3"/>
  <c r="L889" i="3"/>
  <c r="I890" i="3"/>
  <c r="J890" i="3"/>
  <c r="K890" i="3"/>
  <c r="L890" i="3"/>
  <c r="I891" i="3"/>
  <c r="J891" i="3"/>
  <c r="K891" i="3"/>
  <c r="L891" i="3"/>
  <c r="I892" i="3"/>
  <c r="J892" i="3"/>
  <c r="K892" i="3"/>
  <c r="L892" i="3"/>
  <c r="I893" i="3"/>
  <c r="J893" i="3"/>
  <c r="K893" i="3"/>
  <c r="L893" i="3"/>
  <c r="I894" i="3"/>
  <c r="J894" i="3"/>
  <c r="K894" i="3"/>
  <c r="L894" i="3"/>
  <c r="I895" i="3"/>
  <c r="J895" i="3"/>
  <c r="K895" i="3"/>
  <c r="L895" i="3"/>
  <c r="I896" i="3"/>
  <c r="J896" i="3"/>
  <c r="K896" i="3"/>
  <c r="L896" i="3"/>
  <c r="I897" i="3"/>
  <c r="J897" i="3"/>
  <c r="K897" i="3"/>
  <c r="L897" i="3"/>
  <c r="I898" i="3"/>
  <c r="J898" i="3"/>
  <c r="K898" i="3"/>
  <c r="L898" i="3"/>
  <c r="I899" i="3"/>
  <c r="J899" i="3"/>
  <c r="K899" i="3"/>
  <c r="L899" i="3"/>
  <c r="I900" i="3"/>
  <c r="J900" i="3"/>
  <c r="K900" i="3"/>
  <c r="L900" i="3"/>
  <c r="I901" i="3"/>
  <c r="J901" i="3"/>
  <c r="K901" i="3"/>
  <c r="L901" i="3"/>
  <c r="I902" i="3"/>
  <c r="J902" i="3"/>
  <c r="K902" i="3"/>
  <c r="L902" i="3"/>
  <c r="I903" i="3"/>
  <c r="J903" i="3"/>
  <c r="K903" i="3"/>
  <c r="L903" i="3"/>
  <c r="I904" i="3"/>
  <c r="J904" i="3"/>
  <c r="K904" i="3"/>
  <c r="L904" i="3"/>
  <c r="I905" i="3"/>
  <c r="J905" i="3"/>
  <c r="K905" i="3"/>
  <c r="L905" i="3"/>
  <c r="I906" i="3"/>
  <c r="J906" i="3"/>
  <c r="K906" i="3"/>
  <c r="L906" i="3"/>
  <c r="I907" i="3"/>
  <c r="J907" i="3"/>
  <c r="K907" i="3"/>
  <c r="L907" i="3"/>
  <c r="I908" i="3"/>
  <c r="J908" i="3"/>
  <c r="K908" i="3"/>
  <c r="L908" i="3"/>
  <c r="I909" i="3"/>
  <c r="J909" i="3"/>
  <c r="K909" i="3"/>
  <c r="L909" i="3"/>
  <c r="I910" i="3"/>
  <c r="J910" i="3"/>
  <c r="K910" i="3"/>
  <c r="L910" i="3"/>
  <c r="I911" i="3"/>
  <c r="J911" i="3"/>
  <c r="K911" i="3"/>
  <c r="L911" i="3"/>
  <c r="I912" i="3"/>
  <c r="J912" i="3"/>
  <c r="K912" i="3"/>
  <c r="L912" i="3"/>
  <c r="I913" i="3"/>
  <c r="J913" i="3"/>
  <c r="K913" i="3"/>
  <c r="L913" i="3"/>
  <c r="I914" i="3"/>
  <c r="J914" i="3"/>
  <c r="K914" i="3"/>
  <c r="L914" i="3"/>
  <c r="I915" i="3"/>
  <c r="J915" i="3"/>
  <c r="K915" i="3"/>
  <c r="L915" i="3"/>
  <c r="I916" i="3"/>
  <c r="J916" i="3"/>
  <c r="K916" i="3"/>
  <c r="L916" i="3"/>
  <c r="I917" i="3"/>
  <c r="J917" i="3"/>
  <c r="K917" i="3"/>
  <c r="L917" i="3"/>
  <c r="I918" i="3"/>
  <c r="J918" i="3"/>
  <c r="K918" i="3"/>
  <c r="L918" i="3"/>
  <c r="I919" i="3"/>
  <c r="J919" i="3"/>
  <c r="K919" i="3"/>
  <c r="L919" i="3"/>
  <c r="I920" i="3"/>
  <c r="J920" i="3"/>
  <c r="K920" i="3"/>
  <c r="L920" i="3"/>
  <c r="I921" i="3"/>
  <c r="J921" i="3"/>
  <c r="K921" i="3"/>
  <c r="L921" i="3"/>
  <c r="I922" i="3"/>
  <c r="J922" i="3"/>
  <c r="K922" i="3"/>
  <c r="L922" i="3"/>
  <c r="I923" i="3"/>
  <c r="J923" i="3"/>
  <c r="K923" i="3"/>
  <c r="L923" i="3"/>
  <c r="I924" i="3"/>
  <c r="J924" i="3"/>
  <c r="K924" i="3"/>
  <c r="L924" i="3"/>
  <c r="I925" i="3"/>
  <c r="J925" i="3"/>
  <c r="K925" i="3"/>
  <c r="L925" i="3"/>
  <c r="I926" i="3"/>
  <c r="J926" i="3"/>
  <c r="K926" i="3"/>
  <c r="L926" i="3"/>
  <c r="I927" i="3"/>
  <c r="J927" i="3"/>
  <c r="K927" i="3"/>
  <c r="L927" i="3"/>
  <c r="I928" i="3"/>
  <c r="J928" i="3"/>
  <c r="K928" i="3"/>
  <c r="L928" i="3"/>
  <c r="I929" i="3"/>
  <c r="J929" i="3"/>
  <c r="K929" i="3"/>
  <c r="L929" i="3"/>
  <c r="I930" i="3"/>
  <c r="J930" i="3"/>
  <c r="K930" i="3"/>
  <c r="L930" i="3"/>
  <c r="I931" i="3"/>
  <c r="J931" i="3"/>
  <c r="K931" i="3"/>
  <c r="L931" i="3"/>
  <c r="I932" i="3"/>
  <c r="J932" i="3"/>
  <c r="K932" i="3"/>
  <c r="L932" i="3"/>
  <c r="I933" i="3"/>
  <c r="J933" i="3"/>
  <c r="K933" i="3"/>
  <c r="L933" i="3"/>
  <c r="I934" i="3"/>
  <c r="J934" i="3"/>
  <c r="K934" i="3"/>
  <c r="L934" i="3"/>
  <c r="I935" i="3"/>
  <c r="J935" i="3"/>
  <c r="K935" i="3"/>
  <c r="L935" i="3"/>
  <c r="I936" i="3"/>
  <c r="J936" i="3"/>
  <c r="K936" i="3"/>
  <c r="L936" i="3"/>
  <c r="I937" i="3"/>
  <c r="J937" i="3"/>
  <c r="K937" i="3"/>
  <c r="L937" i="3"/>
  <c r="I938" i="3"/>
  <c r="J938" i="3"/>
  <c r="K938" i="3"/>
  <c r="L938" i="3"/>
  <c r="I939" i="3"/>
  <c r="J939" i="3"/>
  <c r="K939" i="3"/>
  <c r="L939" i="3"/>
  <c r="I940" i="3"/>
  <c r="J940" i="3"/>
  <c r="K940" i="3"/>
  <c r="L940" i="3"/>
  <c r="I941" i="3"/>
  <c r="J941" i="3"/>
  <c r="K941" i="3"/>
  <c r="L941" i="3"/>
  <c r="I942" i="3"/>
  <c r="J942" i="3"/>
  <c r="K942" i="3"/>
  <c r="L942" i="3"/>
  <c r="I943" i="3"/>
  <c r="J943" i="3"/>
  <c r="K943" i="3"/>
  <c r="L943" i="3"/>
  <c r="I944" i="3"/>
  <c r="J944" i="3"/>
  <c r="K944" i="3"/>
  <c r="L944" i="3"/>
  <c r="I945" i="3"/>
  <c r="J945" i="3"/>
  <c r="K945" i="3"/>
  <c r="L945" i="3"/>
  <c r="I946" i="3"/>
  <c r="J946" i="3"/>
  <c r="K946" i="3"/>
  <c r="L946" i="3"/>
  <c r="I947" i="3"/>
  <c r="J947" i="3"/>
  <c r="K947" i="3"/>
  <c r="L947" i="3"/>
  <c r="I948" i="3"/>
  <c r="J948" i="3"/>
  <c r="K948" i="3"/>
  <c r="L948" i="3"/>
  <c r="I949" i="3"/>
  <c r="J949" i="3"/>
  <c r="K949" i="3"/>
  <c r="L949" i="3"/>
  <c r="I950" i="3"/>
  <c r="J950" i="3"/>
  <c r="K950" i="3"/>
  <c r="L950" i="3"/>
  <c r="I951" i="3"/>
  <c r="J951" i="3"/>
  <c r="K951" i="3"/>
  <c r="L951" i="3"/>
  <c r="I952" i="3"/>
  <c r="J952" i="3"/>
  <c r="K952" i="3"/>
  <c r="L952" i="3"/>
  <c r="I953" i="3"/>
  <c r="J953" i="3"/>
  <c r="K953" i="3"/>
  <c r="L953" i="3"/>
  <c r="I954" i="3"/>
  <c r="J954" i="3"/>
  <c r="K954" i="3"/>
  <c r="L954" i="3"/>
  <c r="I955" i="3"/>
  <c r="J955" i="3"/>
  <c r="K955" i="3"/>
  <c r="L955" i="3"/>
  <c r="I956" i="3"/>
  <c r="J956" i="3"/>
  <c r="K956" i="3"/>
  <c r="L956" i="3"/>
  <c r="I957" i="3"/>
  <c r="J957" i="3"/>
  <c r="K957" i="3"/>
  <c r="L957" i="3"/>
  <c r="I958" i="3"/>
  <c r="J958" i="3"/>
  <c r="K958" i="3"/>
  <c r="L958" i="3"/>
  <c r="I959" i="3"/>
  <c r="J959" i="3"/>
  <c r="K959" i="3"/>
  <c r="L959" i="3"/>
  <c r="I960" i="3"/>
  <c r="J960" i="3"/>
  <c r="K960" i="3"/>
  <c r="L960" i="3"/>
  <c r="I961" i="3"/>
  <c r="J961" i="3"/>
  <c r="K961" i="3"/>
  <c r="L961" i="3"/>
  <c r="I962" i="3"/>
  <c r="J962" i="3"/>
  <c r="K962" i="3"/>
  <c r="L962" i="3"/>
  <c r="I963" i="3"/>
  <c r="J963" i="3"/>
  <c r="K963" i="3"/>
  <c r="L963" i="3"/>
  <c r="I964" i="3"/>
  <c r="J964" i="3"/>
  <c r="K964" i="3"/>
  <c r="L964" i="3"/>
  <c r="I965" i="3"/>
  <c r="J965" i="3"/>
  <c r="K965" i="3"/>
  <c r="L965" i="3"/>
  <c r="I966" i="3"/>
  <c r="J966" i="3"/>
  <c r="K966" i="3"/>
  <c r="L966" i="3"/>
  <c r="I967" i="3"/>
  <c r="J967" i="3"/>
  <c r="K967" i="3"/>
  <c r="L967" i="3"/>
  <c r="I968" i="3"/>
  <c r="J968" i="3"/>
  <c r="K968" i="3"/>
  <c r="L968" i="3"/>
  <c r="I969" i="3"/>
  <c r="J969" i="3"/>
  <c r="K969" i="3"/>
  <c r="L969" i="3"/>
  <c r="I970" i="3"/>
  <c r="J970" i="3"/>
  <c r="K970" i="3"/>
  <c r="L970" i="3"/>
  <c r="I971" i="3"/>
  <c r="J971" i="3"/>
  <c r="K971" i="3"/>
  <c r="L971" i="3"/>
  <c r="I972" i="3"/>
  <c r="J972" i="3"/>
  <c r="K972" i="3"/>
  <c r="L972" i="3"/>
  <c r="I973" i="3"/>
  <c r="J973" i="3"/>
  <c r="K973" i="3"/>
  <c r="L973" i="3"/>
  <c r="I974" i="3"/>
  <c r="J974" i="3"/>
  <c r="K974" i="3"/>
  <c r="L974" i="3"/>
  <c r="I975" i="3"/>
  <c r="J975" i="3"/>
  <c r="K975" i="3"/>
  <c r="L975" i="3"/>
  <c r="I976" i="3"/>
  <c r="J976" i="3"/>
  <c r="K976" i="3"/>
  <c r="L976" i="3"/>
  <c r="I977" i="3"/>
  <c r="J977" i="3"/>
  <c r="K977" i="3"/>
  <c r="L977" i="3"/>
  <c r="I978" i="3"/>
  <c r="J978" i="3"/>
  <c r="K978" i="3"/>
  <c r="L978" i="3"/>
  <c r="I979" i="3"/>
  <c r="J979" i="3"/>
  <c r="K979" i="3"/>
  <c r="L979" i="3"/>
  <c r="I980" i="3"/>
  <c r="J980" i="3"/>
  <c r="K980" i="3"/>
  <c r="L980" i="3"/>
  <c r="I981" i="3"/>
  <c r="J981" i="3"/>
  <c r="K981" i="3"/>
  <c r="L981" i="3"/>
  <c r="I982" i="3"/>
  <c r="J982" i="3"/>
  <c r="K982" i="3"/>
  <c r="L982" i="3"/>
  <c r="I983" i="3"/>
  <c r="J983" i="3"/>
  <c r="K983" i="3"/>
  <c r="L983" i="3"/>
  <c r="I984" i="3"/>
  <c r="J984" i="3"/>
  <c r="K984" i="3"/>
  <c r="L984" i="3"/>
  <c r="I985" i="3"/>
  <c r="J985" i="3"/>
  <c r="K985" i="3"/>
  <c r="L985" i="3"/>
  <c r="I986" i="3"/>
  <c r="J986" i="3"/>
  <c r="K986" i="3"/>
  <c r="L986" i="3"/>
  <c r="I987" i="3"/>
  <c r="J987" i="3"/>
  <c r="K987" i="3"/>
  <c r="L987" i="3"/>
  <c r="I988" i="3"/>
  <c r="J988" i="3"/>
  <c r="K988" i="3"/>
  <c r="L988" i="3"/>
  <c r="I989" i="3"/>
  <c r="J989" i="3"/>
  <c r="K989" i="3"/>
  <c r="L989" i="3"/>
  <c r="I990" i="3"/>
  <c r="J990" i="3"/>
  <c r="K990" i="3"/>
  <c r="L990" i="3"/>
  <c r="I991" i="3"/>
  <c r="J991" i="3"/>
  <c r="K991" i="3"/>
  <c r="L991" i="3"/>
  <c r="I992" i="3"/>
  <c r="J992" i="3"/>
  <c r="K992" i="3"/>
  <c r="L992" i="3"/>
  <c r="I993" i="3"/>
  <c r="J993" i="3"/>
  <c r="K993" i="3"/>
  <c r="L993" i="3"/>
  <c r="I994" i="3"/>
  <c r="J994" i="3"/>
  <c r="K994" i="3"/>
  <c r="L994" i="3"/>
  <c r="I995" i="3"/>
  <c r="J995" i="3"/>
  <c r="K995" i="3"/>
  <c r="L995" i="3"/>
  <c r="I996" i="3"/>
  <c r="J996" i="3"/>
  <c r="K996" i="3"/>
  <c r="L996" i="3"/>
  <c r="I997" i="3"/>
  <c r="J997" i="3"/>
  <c r="K997" i="3"/>
  <c r="L997" i="3"/>
  <c r="I998" i="3"/>
  <c r="J998" i="3"/>
  <c r="K998" i="3"/>
  <c r="L998" i="3"/>
  <c r="I999" i="3"/>
  <c r="J999" i="3"/>
  <c r="K999" i="3"/>
  <c r="L999" i="3"/>
  <c r="I1000" i="3"/>
  <c r="J1000" i="3"/>
  <c r="K1000" i="3"/>
  <c r="L1000" i="3"/>
  <c r="I1001" i="3"/>
  <c r="J1001" i="3"/>
  <c r="K1001" i="3"/>
  <c r="L1001" i="3"/>
  <c r="I1002" i="3"/>
  <c r="J1002" i="3"/>
  <c r="K1002" i="3"/>
  <c r="L1002" i="3"/>
  <c r="I1003" i="3"/>
  <c r="J1003" i="3"/>
  <c r="K1003" i="3"/>
  <c r="L1003" i="3"/>
  <c r="I1004" i="3"/>
  <c r="J1004" i="3"/>
  <c r="K1004" i="3"/>
  <c r="L1004" i="3"/>
  <c r="I1005" i="3"/>
  <c r="J1005" i="3"/>
  <c r="K1005" i="3"/>
  <c r="L1005" i="3"/>
  <c r="I1006" i="3"/>
  <c r="J1006" i="3"/>
  <c r="K1006" i="3"/>
  <c r="L1006" i="3"/>
  <c r="I1007" i="3"/>
  <c r="J1007" i="3"/>
  <c r="K1007" i="3"/>
  <c r="L1007" i="3"/>
  <c r="I1008" i="3"/>
  <c r="J1008" i="3"/>
  <c r="K1008" i="3"/>
  <c r="L1008" i="3"/>
  <c r="I1009" i="3"/>
  <c r="J1009" i="3"/>
  <c r="K1009" i="3"/>
  <c r="L1009" i="3"/>
  <c r="I1010" i="3"/>
  <c r="J1010" i="3"/>
  <c r="K1010" i="3"/>
  <c r="L1010" i="3"/>
  <c r="I1011" i="3"/>
  <c r="J1011" i="3"/>
  <c r="K1011" i="3"/>
  <c r="L1011" i="3"/>
  <c r="I1012" i="3"/>
  <c r="J1012" i="3"/>
  <c r="K1012" i="3"/>
  <c r="L1012" i="3"/>
  <c r="I1013" i="3"/>
  <c r="J1013" i="3"/>
  <c r="K1013" i="3"/>
  <c r="L1013" i="3"/>
  <c r="I1014" i="3"/>
  <c r="J1014" i="3"/>
  <c r="K1014" i="3"/>
  <c r="L1014" i="3"/>
  <c r="I1015" i="3"/>
  <c r="J1015" i="3"/>
  <c r="K1015" i="3"/>
  <c r="L1015" i="3"/>
  <c r="I1016" i="3"/>
  <c r="J1016" i="3"/>
  <c r="K1016" i="3"/>
  <c r="L1016" i="3"/>
  <c r="I1017" i="3"/>
  <c r="J1017" i="3"/>
  <c r="K1017" i="3"/>
  <c r="L1017" i="3"/>
  <c r="I1018" i="3"/>
  <c r="J1018" i="3"/>
  <c r="K1018" i="3"/>
  <c r="L1018" i="3"/>
  <c r="I1019" i="3"/>
  <c r="J1019" i="3"/>
  <c r="K1019" i="3"/>
  <c r="L1019" i="3"/>
  <c r="I1020" i="3"/>
  <c r="J1020" i="3"/>
  <c r="K1020" i="3"/>
  <c r="L1020" i="3"/>
  <c r="I1021" i="3"/>
  <c r="J1021" i="3"/>
  <c r="K1021" i="3"/>
  <c r="L1021" i="3"/>
  <c r="I1022" i="3"/>
  <c r="J1022" i="3"/>
  <c r="K1022" i="3"/>
  <c r="L1022" i="3"/>
  <c r="I1023" i="3"/>
  <c r="J1023" i="3"/>
  <c r="K1023" i="3"/>
  <c r="L1023" i="3"/>
  <c r="I1024" i="3"/>
  <c r="J1024" i="3"/>
  <c r="K1024" i="3"/>
  <c r="L1024" i="3"/>
  <c r="I1025" i="3"/>
  <c r="J1025" i="3"/>
  <c r="K1025" i="3"/>
  <c r="L1025" i="3"/>
  <c r="I1026" i="3"/>
  <c r="J1026" i="3"/>
  <c r="K1026" i="3"/>
  <c r="L1026" i="3"/>
  <c r="I1027" i="3"/>
  <c r="J1027" i="3"/>
  <c r="K1027" i="3"/>
  <c r="L1027" i="3"/>
  <c r="I1028" i="3"/>
  <c r="J1028" i="3"/>
  <c r="K1028" i="3"/>
  <c r="L1028" i="3"/>
  <c r="I1029" i="3"/>
  <c r="J1029" i="3"/>
  <c r="K1029" i="3"/>
  <c r="L1029" i="3"/>
  <c r="I1030" i="3"/>
  <c r="J1030" i="3"/>
  <c r="K1030" i="3"/>
  <c r="L1030" i="3"/>
  <c r="I1031" i="3"/>
  <c r="J1031" i="3"/>
  <c r="K1031" i="3"/>
  <c r="L1031" i="3"/>
  <c r="I1032" i="3"/>
  <c r="J1032" i="3"/>
  <c r="K1032" i="3"/>
  <c r="L1032" i="3"/>
  <c r="I1033" i="3"/>
  <c r="J1033" i="3"/>
  <c r="K1033" i="3"/>
  <c r="L1033" i="3"/>
  <c r="I1034" i="3"/>
  <c r="J1034" i="3"/>
  <c r="K1034" i="3"/>
  <c r="L1034" i="3"/>
  <c r="I1035" i="3"/>
  <c r="J1035" i="3"/>
  <c r="K1035" i="3"/>
  <c r="L1035" i="3"/>
  <c r="I1036" i="3"/>
  <c r="J1036" i="3"/>
  <c r="K1036" i="3"/>
  <c r="L1036" i="3"/>
  <c r="I1037" i="3"/>
  <c r="J1037" i="3"/>
  <c r="K1037" i="3"/>
  <c r="L1037" i="3"/>
  <c r="I1038" i="3"/>
  <c r="J1038" i="3"/>
  <c r="K1038" i="3"/>
  <c r="L1038" i="3"/>
  <c r="I1039" i="3"/>
  <c r="J1039" i="3"/>
  <c r="K1039" i="3"/>
  <c r="L1039" i="3"/>
  <c r="I1040" i="3"/>
  <c r="J1040" i="3"/>
  <c r="K1040" i="3"/>
  <c r="L1040" i="3"/>
  <c r="I1041" i="3"/>
  <c r="J1041" i="3"/>
  <c r="K1041" i="3"/>
  <c r="L1041" i="3"/>
  <c r="I1042" i="3"/>
  <c r="J1042" i="3"/>
  <c r="K1042" i="3"/>
  <c r="L1042" i="3"/>
  <c r="I1043" i="3"/>
  <c r="J1043" i="3"/>
  <c r="K1043" i="3"/>
  <c r="L1043" i="3"/>
  <c r="I1044" i="3"/>
  <c r="J1044" i="3"/>
  <c r="K1044" i="3"/>
  <c r="L1044" i="3"/>
  <c r="I1045" i="3"/>
  <c r="J1045" i="3"/>
  <c r="K1045" i="3"/>
  <c r="L1045" i="3"/>
  <c r="I1046" i="3"/>
  <c r="J1046" i="3"/>
  <c r="K1046" i="3"/>
  <c r="L1046" i="3"/>
  <c r="I1047" i="3"/>
  <c r="J1047" i="3"/>
  <c r="K1047" i="3"/>
  <c r="L1047" i="3"/>
  <c r="I1048" i="3"/>
  <c r="J1048" i="3"/>
  <c r="K1048" i="3"/>
  <c r="L1048" i="3"/>
  <c r="I1049" i="3"/>
  <c r="J1049" i="3"/>
  <c r="K1049" i="3"/>
  <c r="L1049" i="3"/>
  <c r="I1050" i="3"/>
  <c r="J1050" i="3"/>
  <c r="K1050" i="3"/>
  <c r="L1050" i="3"/>
  <c r="I1051" i="3"/>
  <c r="J1051" i="3"/>
  <c r="K1051" i="3"/>
  <c r="L1051" i="3"/>
  <c r="I1052" i="3"/>
  <c r="J1052" i="3"/>
  <c r="K1052" i="3"/>
  <c r="L1052" i="3"/>
  <c r="I1053" i="3"/>
  <c r="J1053" i="3"/>
  <c r="K1053" i="3"/>
  <c r="L1053" i="3"/>
  <c r="I1054" i="3"/>
  <c r="J1054" i="3"/>
  <c r="K1054" i="3"/>
  <c r="L1054" i="3"/>
  <c r="I1055" i="3"/>
  <c r="J1055" i="3"/>
  <c r="K1055" i="3"/>
  <c r="L1055" i="3"/>
  <c r="I1056" i="3"/>
  <c r="J1056" i="3"/>
  <c r="K1056" i="3"/>
  <c r="L1056" i="3"/>
  <c r="I1057" i="3"/>
  <c r="J1057" i="3"/>
  <c r="K1057" i="3"/>
  <c r="L1057" i="3"/>
  <c r="I1058" i="3"/>
  <c r="J1058" i="3"/>
  <c r="K1058" i="3"/>
  <c r="L1058" i="3"/>
  <c r="I1059" i="3"/>
  <c r="J1059" i="3"/>
  <c r="K1059" i="3"/>
  <c r="L1059" i="3"/>
  <c r="I1060" i="3"/>
  <c r="J1060" i="3"/>
  <c r="K1060" i="3"/>
  <c r="L1060" i="3"/>
  <c r="I1061" i="3"/>
  <c r="J1061" i="3"/>
  <c r="K1061" i="3"/>
  <c r="L1061" i="3"/>
  <c r="I1062" i="3"/>
  <c r="J1062" i="3"/>
  <c r="K1062" i="3"/>
  <c r="L1062" i="3"/>
  <c r="I1063" i="3"/>
  <c r="J1063" i="3"/>
  <c r="K1063" i="3"/>
  <c r="L1063" i="3"/>
  <c r="I1064" i="3"/>
  <c r="J1064" i="3"/>
  <c r="K1064" i="3"/>
  <c r="L1064" i="3"/>
  <c r="I1065" i="3"/>
  <c r="J1065" i="3"/>
  <c r="K1065" i="3"/>
  <c r="L1065" i="3"/>
  <c r="I1066" i="3"/>
  <c r="J1066" i="3"/>
  <c r="K1066" i="3"/>
  <c r="L1066" i="3"/>
  <c r="I1067" i="3"/>
  <c r="J1067" i="3"/>
  <c r="K1067" i="3"/>
  <c r="L1067" i="3"/>
  <c r="I1068" i="3"/>
  <c r="J1068" i="3"/>
  <c r="K1068" i="3"/>
  <c r="L1068" i="3"/>
  <c r="I1069" i="3"/>
  <c r="J1069" i="3"/>
  <c r="K1069" i="3"/>
  <c r="L1069" i="3"/>
  <c r="I1070" i="3"/>
  <c r="J1070" i="3"/>
  <c r="K1070" i="3"/>
  <c r="L1070" i="3"/>
  <c r="I1071" i="3"/>
  <c r="J1071" i="3"/>
  <c r="K1071" i="3"/>
  <c r="L1071" i="3"/>
  <c r="I1072" i="3"/>
  <c r="J1072" i="3"/>
  <c r="K1072" i="3"/>
  <c r="L1072" i="3"/>
  <c r="I1073" i="3"/>
  <c r="J1073" i="3"/>
  <c r="K1073" i="3"/>
  <c r="L1073" i="3"/>
  <c r="I1074" i="3"/>
  <c r="J1074" i="3"/>
  <c r="K1074" i="3"/>
  <c r="L1074" i="3"/>
  <c r="I1075" i="3"/>
  <c r="J1075" i="3"/>
  <c r="K1075" i="3"/>
  <c r="L1075" i="3"/>
  <c r="I1076" i="3"/>
  <c r="J1076" i="3"/>
  <c r="K1076" i="3"/>
  <c r="L1076" i="3"/>
  <c r="I1077" i="3"/>
  <c r="J1077" i="3"/>
  <c r="K1077" i="3"/>
  <c r="L1077" i="3"/>
  <c r="I1078" i="3"/>
  <c r="J1078" i="3"/>
  <c r="K1078" i="3"/>
  <c r="L1078" i="3"/>
  <c r="I1079" i="3"/>
  <c r="J1079" i="3"/>
  <c r="K1079" i="3"/>
  <c r="L1079" i="3"/>
  <c r="I1080" i="3"/>
  <c r="J1080" i="3"/>
  <c r="K1080" i="3"/>
  <c r="L1080" i="3"/>
  <c r="I1081" i="3"/>
  <c r="J1081" i="3"/>
  <c r="K1081" i="3"/>
  <c r="L1081" i="3"/>
  <c r="I1082" i="3"/>
  <c r="J1082" i="3"/>
  <c r="K1082" i="3"/>
  <c r="L1082" i="3"/>
  <c r="I1083" i="3"/>
  <c r="J1083" i="3"/>
  <c r="K1083" i="3"/>
  <c r="L1083" i="3"/>
  <c r="I1084" i="3"/>
  <c r="J1084" i="3"/>
  <c r="K1084" i="3"/>
  <c r="L1084" i="3"/>
  <c r="I1085" i="3"/>
  <c r="J1085" i="3"/>
  <c r="K1085" i="3"/>
  <c r="L1085" i="3"/>
  <c r="I1086" i="3"/>
  <c r="J1086" i="3"/>
  <c r="K1086" i="3"/>
  <c r="L1086" i="3"/>
  <c r="I1087" i="3"/>
  <c r="J1087" i="3"/>
  <c r="K1087" i="3"/>
  <c r="L1087" i="3"/>
  <c r="I1088" i="3"/>
  <c r="J1088" i="3"/>
  <c r="K1088" i="3"/>
  <c r="L1088" i="3"/>
  <c r="I1089" i="3"/>
  <c r="J1089" i="3"/>
  <c r="K1089" i="3"/>
  <c r="L1089" i="3"/>
  <c r="I1090" i="3"/>
  <c r="J1090" i="3"/>
  <c r="K1090" i="3"/>
  <c r="L1090" i="3"/>
  <c r="I1091" i="3"/>
  <c r="J1091" i="3"/>
  <c r="K1091" i="3"/>
  <c r="L1091" i="3"/>
  <c r="I1092" i="3"/>
  <c r="J1092" i="3"/>
  <c r="K1092" i="3"/>
  <c r="L1092" i="3"/>
  <c r="I1093" i="3"/>
  <c r="J1093" i="3"/>
  <c r="K1093" i="3"/>
  <c r="L1093" i="3"/>
  <c r="I1094" i="3"/>
  <c r="J1094" i="3"/>
  <c r="K1094" i="3"/>
  <c r="L1094" i="3"/>
  <c r="I1095" i="3"/>
  <c r="J1095" i="3"/>
  <c r="K1095" i="3"/>
  <c r="L1095" i="3"/>
  <c r="I1096" i="3"/>
  <c r="J1096" i="3"/>
  <c r="K1096" i="3"/>
  <c r="L1096" i="3"/>
  <c r="I1097" i="3"/>
  <c r="J1097" i="3"/>
  <c r="K1097" i="3"/>
  <c r="L1097" i="3"/>
  <c r="I1098" i="3"/>
  <c r="J1098" i="3"/>
  <c r="K1098" i="3"/>
  <c r="L1098" i="3"/>
  <c r="I1099" i="3"/>
  <c r="J1099" i="3"/>
  <c r="K1099" i="3"/>
  <c r="L1099" i="3"/>
  <c r="I1100" i="3"/>
  <c r="J1100" i="3"/>
  <c r="K1100" i="3"/>
  <c r="L1100" i="3"/>
  <c r="I1101" i="3"/>
  <c r="J1101" i="3"/>
  <c r="K1101" i="3"/>
  <c r="L1101" i="3"/>
  <c r="I1102" i="3"/>
  <c r="J1102" i="3"/>
  <c r="K1102" i="3"/>
  <c r="L1102" i="3"/>
  <c r="I1103" i="3"/>
  <c r="J1103" i="3"/>
  <c r="K1103" i="3"/>
  <c r="L1103" i="3"/>
  <c r="I1104" i="3"/>
  <c r="J1104" i="3"/>
  <c r="K1104" i="3"/>
  <c r="L1104" i="3"/>
  <c r="I1105" i="3"/>
  <c r="J1105" i="3"/>
  <c r="K1105" i="3"/>
  <c r="L1105" i="3"/>
  <c r="I1106" i="3"/>
  <c r="J1106" i="3"/>
  <c r="K1106" i="3"/>
  <c r="L1106" i="3"/>
  <c r="I1107" i="3"/>
  <c r="J1107" i="3"/>
  <c r="K1107" i="3"/>
  <c r="L1107" i="3"/>
  <c r="I1108" i="3"/>
  <c r="J1108" i="3"/>
  <c r="K1108" i="3"/>
  <c r="L1108" i="3"/>
  <c r="I1109" i="3"/>
  <c r="J1109" i="3"/>
  <c r="K1109" i="3"/>
  <c r="L1109" i="3"/>
  <c r="I1110" i="3"/>
  <c r="J1110" i="3"/>
  <c r="K1110" i="3"/>
  <c r="L1110" i="3"/>
  <c r="I1111" i="3"/>
  <c r="J1111" i="3"/>
  <c r="K1111" i="3"/>
  <c r="L1111" i="3"/>
  <c r="I1112" i="3"/>
  <c r="J1112" i="3"/>
  <c r="K1112" i="3"/>
  <c r="L1112" i="3"/>
  <c r="I1113" i="3"/>
  <c r="J1113" i="3"/>
  <c r="K1113" i="3"/>
  <c r="L1113" i="3"/>
  <c r="I1114" i="3"/>
  <c r="J1114" i="3"/>
  <c r="K1114" i="3"/>
  <c r="L1114" i="3"/>
  <c r="I1115" i="3"/>
  <c r="J1115" i="3"/>
  <c r="K1115" i="3"/>
  <c r="L1115" i="3"/>
  <c r="I1116" i="3"/>
  <c r="J1116" i="3"/>
  <c r="K1116" i="3"/>
  <c r="L1116" i="3"/>
  <c r="I1117" i="3"/>
  <c r="J1117" i="3"/>
  <c r="K1117" i="3"/>
  <c r="L1117" i="3"/>
  <c r="I1118" i="3"/>
  <c r="J1118" i="3"/>
  <c r="K1118" i="3"/>
  <c r="L1118" i="3"/>
  <c r="I1119" i="3"/>
  <c r="J1119" i="3"/>
  <c r="K1119" i="3"/>
  <c r="L1119" i="3"/>
  <c r="I1120" i="3"/>
  <c r="J1120" i="3"/>
  <c r="K1120" i="3"/>
  <c r="L1120" i="3"/>
  <c r="I1121" i="3"/>
  <c r="J1121" i="3"/>
  <c r="K1121" i="3"/>
  <c r="L1121" i="3"/>
  <c r="I1122" i="3"/>
  <c r="J1122" i="3"/>
  <c r="K1122" i="3"/>
  <c r="L1122" i="3"/>
  <c r="I1123" i="3"/>
  <c r="J1123" i="3"/>
  <c r="K1123" i="3"/>
  <c r="L1123" i="3"/>
  <c r="I1124" i="3"/>
  <c r="J1124" i="3"/>
  <c r="K1124" i="3"/>
  <c r="L1124" i="3"/>
  <c r="I1125" i="3"/>
  <c r="J1125" i="3"/>
  <c r="K1125" i="3"/>
  <c r="L1125" i="3"/>
  <c r="I1126" i="3"/>
  <c r="J1126" i="3"/>
  <c r="K1126" i="3"/>
  <c r="L1126" i="3"/>
  <c r="I1127" i="3"/>
  <c r="J1127" i="3"/>
  <c r="K1127" i="3"/>
  <c r="L1127" i="3"/>
  <c r="I1128" i="3"/>
  <c r="J1128" i="3"/>
  <c r="K1128" i="3"/>
  <c r="L1128" i="3"/>
  <c r="I1129" i="3"/>
  <c r="J1129" i="3"/>
  <c r="K1129" i="3"/>
  <c r="L1129" i="3"/>
  <c r="I1130" i="3"/>
  <c r="J1130" i="3"/>
  <c r="K1130" i="3"/>
  <c r="L1130" i="3"/>
  <c r="I1131" i="3"/>
  <c r="J1131" i="3"/>
  <c r="K1131" i="3"/>
  <c r="L1131" i="3"/>
  <c r="I1132" i="3"/>
  <c r="J1132" i="3"/>
  <c r="K1132" i="3"/>
  <c r="L1132" i="3"/>
  <c r="I1133" i="3"/>
  <c r="J1133" i="3"/>
  <c r="K1133" i="3"/>
  <c r="L1133" i="3"/>
  <c r="I1134" i="3"/>
  <c r="J1134" i="3"/>
  <c r="K1134" i="3"/>
  <c r="L1134" i="3"/>
  <c r="I1135" i="3"/>
  <c r="J1135" i="3"/>
  <c r="K1135" i="3"/>
  <c r="L1135" i="3"/>
  <c r="I1136" i="3"/>
  <c r="J1136" i="3"/>
  <c r="K1136" i="3"/>
  <c r="L1136" i="3"/>
  <c r="I1137" i="3"/>
  <c r="J1137" i="3"/>
  <c r="K1137" i="3"/>
  <c r="L1137" i="3"/>
  <c r="I1138" i="3"/>
  <c r="J1138" i="3"/>
  <c r="K1138" i="3"/>
  <c r="L1138" i="3"/>
  <c r="I1139" i="3"/>
  <c r="J1139" i="3"/>
  <c r="K1139" i="3"/>
  <c r="L1139" i="3"/>
  <c r="I1140" i="3"/>
  <c r="J1140" i="3"/>
  <c r="K1140" i="3"/>
  <c r="L1140" i="3"/>
  <c r="I1141" i="3"/>
  <c r="J1141" i="3"/>
  <c r="K1141" i="3"/>
  <c r="L1141" i="3"/>
  <c r="I1142" i="3"/>
  <c r="J1142" i="3"/>
  <c r="K1142" i="3"/>
  <c r="L1142" i="3"/>
  <c r="I1143" i="3"/>
  <c r="J1143" i="3"/>
  <c r="K1143" i="3"/>
  <c r="L1143" i="3"/>
  <c r="I1144" i="3"/>
  <c r="J1144" i="3"/>
  <c r="K1144" i="3"/>
  <c r="L1144" i="3"/>
  <c r="I1145" i="3"/>
  <c r="J1145" i="3"/>
  <c r="K1145" i="3"/>
  <c r="L1145" i="3"/>
  <c r="I1146" i="3"/>
  <c r="J1146" i="3"/>
  <c r="K1146" i="3"/>
  <c r="L1146" i="3"/>
  <c r="I1147" i="3"/>
  <c r="J1147" i="3"/>
  <c r="K1147" i="3"/>
  <c r="L1147" i="3"/>
  <c r="I1148" i="3"/>
  <c r="J1148" i="3"/>
  <c r="K1148" i="3"/>
  <c r="L1148" i="3"/>
  <c r="I1149" i="3"/>
  <c r="J1149" i="3"/>
  <c r="K1149" i="3"/>
  <c r="L1149" i="3"/>
  <c r="I1150" i="3"/>
  <c r="J1150" i="3"/>
  <c r="K1150" i="3"/>
  <c r="L1150" i="3"/>
  <c r="I1151" i="3"/>
  <c r="J1151" i="3"/>
  <c r="K1151" i="3"/>
  <c r="L1151" i="3"/>
  <c r="I1152" i="3"/>
  <c r="J1152" i="3"/>
  <c r="K1152" i="3"/>
  <c r="L1152" i="3"/>
  <c r="I1153" i="3"/>
  <c r="J1153" i="3"/>
  <c r="K1153" i="3"/>
  <c r="L1153" i="3"/>
  <c r="I1154" i="3"/>
  <c r="J1154" i="3"/>
  <c r="K1154" i="3"/>
  <c r="L1154" i="3"/>
  <c r="I1155" i="3"/>
  <c r="J1155" i="3"/>
  <c r="K1155" i="3"/>
  <c r="L1155" i="3"/>
  <c r="I1156" i="3"/>
  <c r="J1156" i="3"/>
  <c r="K1156" i="3"/>
  <c r="L1156" i="3"/>
  <c r="I1157" i="3"/>
  <c r="J1157" i="3"/>
  <c r="K1157" i="3"/>
  <c r="L1157" i="3"/>
  <c r="I1158" i="3"/>
  <c r="J1158" i="3"/>
  <c r="K1158" i="3"/>
  <c r="L1158" i="3"/>
  <c r="I1159" i="3"/>
  <c r="J1159" i="3"/>
  <c r="K1159" i="3"/>
  <c r="L1159" i="3"/>
  <c r="I1160" i="3"/>
  <c r="J1160" i="3"/>
  <c r="K1160" i="3"/>
  <c r="L1160" i="3"/>
  <c r="I1161" i="3"/>
  <c r="J1161" i="3"/>
  <c r="K1161" i="3"/>
  <c r="L1161" i="3"/>
  <c r="I1162" i="3"/>
  <c r="J1162" i="3"/>
  <c r="K1162" i="3"/>
  <c r="L1162" i="3"/>
  <c r="I1163" i="3"/>
  <c r="J1163" i="3"/>
  <c r="K1163" i="3"/>
  <c r="L1163" i="3"/>
  <c r="I1164" i="3"/>
  <c r="J1164" i="3"/>
  <c r="K1164" i="3"/>
  <c r="L1164" i="3"/>
  <c r="I1165" i="3"/>
  <c r="J1165" i="3"/>
  <c r="K1165" i="3"/>
  <c r="L1165" i="3"/>
  <c r="I1166" i="3"/>
  <c r="J1166" i="3"/>
  <c r="K1166" i="3"/>
  <c r="L1166" i="3"/>
  <c r="I1167" i="3"/>
  <c r="J1167" i="3"/>
  <c r="K1167" i="3"/>
  <c r="L1167" i="3"/>
  <c r="I1168" i="3"/>
  <c r="J1168" i="3"/>
  <c r="K1168" i="3"/>
  <c r="L1168" i="3"/>
  <c r="I1169" i="3"/>
  <c r="J1169" i="3"/>
  <c r="K1169" i="3"/>
  <c r="L1169" i="3"/>
  <c r="I1170" i="3"/>
  <c r="J1170" i="3"/>
  <c r="K1170" i="3"/>
  <c r="L1170" i="3"/>
  <c r="I1171" i="3"/>
  <c r="J1171" i="3"/>
  <c r="K1171" i="3"/>
  <c r="L1171" i="3"/>
  <c r="I1172" i="3"/>
  <c r="J1172" i="3"/>
  <c r="K1172" i="3"/>
  <c r="L1172" i="3"/>
  <c r="I1173" i="3"/>
  <c r="J1173" i="3"/>
  <c r="K1173" i="3"/>
  <c r="L1173" i="3"/>
  <c r="I1174" i="3"/>
  <c r="J1174" i="3"/>
  <c r="K1174" i="3"/>
  <c r="L1174" i="3"/>
  <c r="I1175" i="3"/>
  <c r="J1175" i="3"/>
  <c r="K1175" i="3"/>
  <c r="L1175" i="3"/>
  <c r="I1176" i="3"/>
  <c r="J1176" i="3"/>
  <c r="K1176" i="3"/>
  <c r="L1176" i="3"/>
  <c r="I1177" i="3"/>
  <c r="J1177" i="3"/>
  <c r="K1177" i="3"/>
  <c r="L1177" i="3"/>
  <c r="I1178" i="3"/>
  <c r="J1178" i="3"/>
  <c r="K1178" i="3"/>
  <c r="L1178" i="3"/>
  <c r="I1179" i="3"/>
  <c r="J1179" i="3"/>
  <c r="K1179" i="3"/>
  <c r="L1179" i="3"/>
  <c r="I1180" i="3"/>
  <c r="J1180" i="3"/>
  <c r="K1180" i="3"/>
  <c r="L1180" i="3"/>
  <c r="I1181" i="3"/>
  <c r="J1181" i="3"/>
  <c r="K1181" i="3"/>
  <c r="L1181" i="3"/>
  <c r="I1182" i="3"/>
  <c r="J1182" i="3"/>
  <c r="K1182" i="3"/>
  <c r="L1182" i="3"/>
  <c r="I1183" i="3"/>
  <c r="J1183" i="3"/>
  <c r="K1183" i="3"/>
  <c r="L1183" i="3"/>
  <c r="I1184" i="3"/>
  <c r="J1184" i="3"/>
  <c r="K1184" i="3"/>
  <c r="L1184" i="3"/>
  <c r="I1185" i="3"/>
  <c r="J1185" i="3"/>
  <c r="K1185" i="3"/>
  <c r="L1185" i="3"/>
  <c r="I1186" i="3"/>
  <c r="J1186" i="3"/>
  <c r="K1186" i="3"/>
  <c r="L1186" i="3"/>
  <c r="I1187" i="3"/>
  <c r="J1187" i="3"/>
  <c r="K1187" i="3"/>
  <c r="L1187" i="3"/>
  <c r="I1188" i="3"/>
  <c r="J1188" i="3"/>
  <c r="K1188" i="3"/>
  <c r="L1188" i="3"/>
  <c r="I1189" i="3"/>
  <c r="J1189" i="3"/>
  <c r="K1189" i="3"/>
  <c r="L1189" i="3"/>
  <c r="I1190" i="3"/>
  <c r="J1190" i="3"/>
  <c r="K1190" i="3"/>
  <c r="L1190" i="3"/>
  <c r="I1191" i="3"/>
  <c r="J1191" i="3"/>
  <c r="K1191" i="3"/>
  <c r="L1191" i="3"/>
  <c r="I1192" i="3"/>
  <c r="J1192" i="3"/>
  <c r="K1192" i="3"/>
  <c r="L1192" i="3"/>
  <c r="I1193" i="3"/>
  <c r="J1193" i="3"/>
  <c r="K1193" i="3"/>
  <c r="L1193" i="3"/>
  <c r="I1194" i="3"/>
  <c r="J1194" i="3"/>
  <c r="K1194" i="3"/>
  <c r="L1194" i="3"/>
  <c r="I1195" i="3"/>
  <c r="J1195" i="3"/>
  <c r="K1195" i="3"/>
  <c r="L1195" i="3"/>
  <c r="I1196" i="3"/>
  <c r="J1196" i="3"/>
  <c r="K1196" i="3"/>
  <c r="L1196" i="3"/>
  <c r="I1197" i="3"/>
  <c r="J1197" i="3"/>
  <c r="K1197" i="3"/>
  <c r="L1197" i="3"/>
  <c r="I1198" i="3"/>
  <c r="J1198" i="3"/>
  <c r="K1198" i="3"/>
  <c r="L1198" i="3"/>
  <c r="I1199" i="3"/>
  <c r="J1199" i="3"/>
  <c r="K1199" i="3"/>
  <c r="L1199" i="3"/>
  <c r="I1200" i="3"/>
  <c r="J1200" i="3"/>
  <c r="K1200" i="3"/>
  <c r="L1200" i="3"/>
  <c r="I1201" i="3"/>
  <c r="J1201" i="3"/>
  <c r="K1201" i="3"/>
  <c r="L1201" i="3"/>
  <c r="I1202" i="3"/>
  <c r="J1202" i="3"/>
  <c r="K1202" i="3"/>
  <c r="L1202" i="3"/>
  <c r="I1203" i="3"/>
  <c r="J1203" i="3"/>
  <c r="K1203" i="3"/>
  <c r="L1203" i="3"/>
  <c r="I1204" i="3"/>
  <c r="J1204" i="3"/>
  <c r="K1204" i="3"/>
  <c r="L1204" i="3"/>
  <c r="I1205" i="3"/>
  <c r="J1205" i="3"/>
  <c r="K1205" i="3"/>
  <c r="L1205" i="3"/>
  <c r="I1206" i="3"/>
  <c r="J1206" i="3"/>
  <c r="K1206" i="3"/>
  <c r="L1206" i="3"/>
  <c r="I1207" i="3"/>
  <c r="J1207" i="3"/>
  <c r="K1207" i="3"/>
  <c r="L1207" i="3"/>
  <c r="I1208" i="3"/>
  <c r="J1208" i="3"/>
  <c r="K1208" i="3"/>
  <c r="L1208" i="3"/>
  <c r="I1209" i="3"/>
  <c r="J1209" i="3"/>
  <c r="K1209" i="3"/>
  <c r="L1209" i="3"/>
  <c r="I1210" i="3"/>
  <c r="J1210" i="3"/>
  <c r="K1210" i="3"/>
  <c r="L1210" i="3"/>
  <c r="I1211" i="3"/>
  <c r="J1211" i="3"/>
  <c r="K1211" i="3"/>
  <c r="L1211" i="3"/>
  <c r="I1212" i="3"/>
  <c r="J1212" i="3"/>
  <c r="K1212" i="3"/>
  <c r="L1212" i="3"/>
  <c r="I1213" i="3"/>
  <c r="J1213" i="3"/>
  <c r="K1213" i="3"/>
  <c r="L1213" i="3"/>
  <c r="I1214" i="3"/>
  <c r="J1214" i="3"/>
  <c r="K1214" i="3"/>
  <c r="L1214" i="3"/>
  <c r="I1215" i="3"/>
  <c r="J1215" i="3"/>
  <c r="K1215" i="3"/>
  <c r="L1215" i="3"/>
  <c r="I1216" i="3"/>
  <c r="J1216" i="3"/>
  <c r="K1216" i="3"/>
  <c r="L1216" i="3"/>
  <c r="I1217" i="3"/>
  <c r="J1217" i="3"/>
  <c r="K1217" i="3"/>
  <c r="L1217" i="3"/>
  <c r="I1218" i="3"/>
  <c r="J1218" i="3"/>
  <c r="K1218" i="3"/>
  <c r="L1218" i="3"/>
  <c r="I1219" i="3"/>
  <c r="J1219" i="3"/>
  <c r="K1219" i="3"/>
  <c r="L1219" i="3"/>
  <c r="I1220" i="3"/>
  <c r="J1220" i="3"/>
  <c r="K1220" i="3"/>
  <c r="L1220" i="3"/>
  <c r="I1221" i="3"/>
  <c r="J1221" i="3"/>
  <c r="K1221" i="3"/>
  <c r="L1221" i="3"/>
  <c r="I1222" i="3"/>
  <c r="J1222" i="3"/>
  <c r="K1222" i="3"/>
  <c r="L1222" i="3"/>
  <c r="I1223" i="3"/>
  <c r="J1223" i="3"/>
  <c r="K1223" i="3"/>
  <c r="L1223" i="3"/>
  <c r="I1224" i="3"/>
  <c r="J1224" i="3"/>
  <c r="K1224" i="3"/>
  <c r="L1224" i="3"/>
  <c r="I1225" i="3"/>
  <c r="J1225" i="3"/>
  <c r="K1225" i="3"/>
  <c r="L1225" i="3"/>
  <c r="I1226" i="3"/>
  <c r="J1226" i="3"/>
  <c r="K1226" i="3"/>
  <c r="L1226" i="3"/>
  <c r="I1227" i="3"/>
  <c r="J1227" i="3"/>
  <c r="K1227" i="3"/>
  <c r="L1227" i="3"/>
  <c r="I1228" i="3"/>
  <c r="J1228" i="3"/>
  <c r="K1228" i="3"/>
  <c r="L1228" i="3"/>
  <c r="I1229" i="3"/>
  <c r="J1229" i="3"/>
  <c r="K1229" i="3"/>
  <c r="L1229" i="3"/>
  <c r="I1230" i="3"/>
  <c r="J1230" i="3"/>
  <c r="K1230" i="3"/>
  <c r="L1230" i="3"/>
  <c r="I1231" i="3"/>
  <c r="J1231" i="3"/>
  <c r="K1231" i="3"/>
  <c r="L1231" i="3"/>
  <c r="I1232" i="3"/>
  <c r="J1232" i="3"/>
  <c r="K1232" i="3"/>
  <c r="L1232" i="3"/>
  <c r="I1233" i="3"/>
  <c r="J1233" i="3"/>
  <c r="K1233" i="3"/>
  <c r="L1233" i="3"/>
  <c r="I1234" i="3"/>
  <c r="J1234" i="3"/>
  <c r="K1234" i="3"/>
  <c r="L1234" i="3"/>
  <c r="I1235" i="3"/>
  <c r="J1235" i="3"/>
  <c r="K1235" i="3"/>
  <c r="L1235" i="3"/>
  <c r="I1236" i="3"/>
  <c r="J1236" i="3"/>
  <c r="K1236" i="3"/>
  <c r="L1236" i="3"/>
  <c r="I1237" i="3"/>
  <c r="J1237" i="3"/>
  <c r="K1237" i="3"/>
  <c r="L1237" i="3"/>
  <c r="I1238" i="3"/>
  <c r="J1238" i="3"/>
  <c r="K1238" i="3"/>
  <c r="L1238" i="3"/>
  <c r="I1239" i="3"/>
  <c r="J1239" i="3"/>
  <c r="K1239" i="3"/>
  <c r="L1239" i="3"/>
  <c r="I1240" i="3"/>
  <c r="J1240" i="3"/>
  <c r="K1240" i="3"/>
  <c r="L1240" i="3"/>
  <c r="I1241" i="3"/>
  <c r="J1241" i="3"/>
  <c r="K1241" i="3"/>
  <c r="L1241" i="3"/>
  <c r="I1242" i="3"/>
  <c r="J1242" i="3"/>
  <c r="K1242" i="3"/>
  <c r="L1242" i="3"/>
  <c r="I1243" i="3"/>
  <c r="J1243" i="3"/>
  <c r="K1243" i="3"/>
  <c r="L1243" i="3"/>
  <c r="I1244" i="3"/>
  <c r="J1244" i="3"/>
  <c r="K1244" i="3"/>
  <c r="L1244" i="3"/>
  <c r="I1245" i="3"/>
  <c r="J1245" i="3"/>
  <c r="K1245" i="3"/>
  <c r="L1245" i="3"/>
  <c r="I1246" i="3"/>
  <c r="J1246" i="3"/>
  <c r="K1246" i="3"/>
  <c r="L1246" i="3"/>
  <c r="I1247" i="3"/>
  <c r="J1247" i="3"/>
  <c r="K1247" i="3"/>
  <c r="L1247" i="3"/>
  <c r="I1248" i="3"/>
  <c r="J1248" i="3"/>
  <c r="K1248" i="3"/>
  <c r="L1248" i="3"/>
  <c r="I1249" i="3"/>
  <c r="J1249" i="3"/>
  <c r="K1249" i="3"/>
  <c r="L1249" i="3"/>
  <c r="I1250" i="3"/>
  <c r="J1250" i="3"/>
  <c r="K1250" i="3"/>
  <c r="L1250" i="3"/>
  <c r="I1251" i="3"/>
  <c r="J1251" i="3"/>
  <c r="K1251" i="3"/>
  <c r="L1251" i="3"/>
  <c r="I1252" i="3"/>
  <c r="J1252" i="3"/>
  <c r="K1252" i="3"/>
  <c r="L1252" i="3"/>
  <c r="I1253" i="3"/>
  <c r="J1253" i="3"/>
  <c r="K1253" i="3"/>
  <c r="L1253" i="3"/>
  <c r="I1254" i="3"/>
  <c r="J1254" i="3"/>
  <c r="K1254" i="3"/>
  <c r="L1254" i="3"/>
  <c r="I1255" i="3"/>
  <c r="J1255" i="3"/>
  <c r="K1255" i="3"/>
  <c r="L1255" i="3"/>
  <c r="I1256" i="3"/>
  <c r="J1256" i="3"/>
  <c r="K1256" i="3"/>
  <c r="L1256" i="3"/>
  <c r="I1257" i="3"/>
  <c r="J1257" i="3"/>
  <c r="K1257" i="3"/>
  <c r="L1257" i="3"/>
  <c r="I1258" i="3"/>
  <c r="J1258" i="3"/>
  <c r="K1258" i="3"/>
  <c r="L1258" i="3"/>
  <c r="I1259" i="3"/>
  <c r="J1259" i="3"/>
  <c r="K1259" i="3"/>
  <c r="L1259" i="3"/>
  <c r="I1260" i="3"/>
  <c r="J1260" i="3"/>
  <c r="K1260" i="3"/>
  <c r="L1260" i="3"/>
  <c r="I1261" i="3"/>
  <c r="J1261" i="3"/>
  <c r="K1261" i="3"/>
  <c r="L1261" i="3"/>
  <c r="I1262" i="3"/>
  <c r="J1262" i="3"/>
  <c r="K1262" i="3"/>
  <c r="L1262" i="3"/>
  <c r="I1263" i="3"/>
  <c r="J1263" i="3"/>
  <c r="K1263" i="3"/>
  <c r="L1263" i="3"/>
  <c r="I1264" i="3"/>
  <c r="J1264" i="3"/>
  <c r="K1264" i="3"/>
  <c r="L1264" i="3"/>
  <c r="I1265" i="3"/>
  <c r="J1265" i="3"/>
  <c r="K1265" i="3"/>
  <c r="L1265" i="3"/>
  <c r="I1266" i="3"/>
  <c r="J1266" i="3"/>
  <c r="K1266" i="3"/>
  <c r="L1266" i="3"/>
  <c r="I1267" i="3"/>
  <c r="J1267" i="3"/>
  <c r="K1267" i="3"/>
  <c r="L1267" i="3"/>
  <c r="I1268" i="3"/>
  <c r="J1268" i="3"/>
  <c r="K1268" i="3"/>
  <c r="L1268" i="3"/>
  <c r="I1269" i="3"/>
  <c r="J1269" i="3"/>
  <c r="K1269" i="3"/>
  <c r="L1269" i="3"/>
  <c r="I1270" i="3"/>
  <c r="J1270" i="3"/>
  <c r="K1270" i="3"/>
  <c r="L1270" i="3"/>
  <c r="I1271" i="3"/>
  <c r="J1271" i="3"/>
  <c r="K1271" i="3"/>
  <c r="L1271" i="3"/>
  <c r="I1272" i="3"/>
  <c r="J1272" i="3"/>
  <c r="K1272" i="3"/>
  <c r="L1272" i="3"/>
  <c r="I1273" i="3"/>
  <c r="J1273" i="3"/>
  <c r="K1273" i="3"/>
  <c r="L1273" i="3"/>
  <c r="I1274" i="3"/>
  <c r="J1274" i="3"/>
  <c r="K1274" i="3"/>
  <c r="L1274" i="3"/>
  <c r="I1275" i="3"/>
  <c r="J1275" i="3"/>
  <c r="K1275" i="3"/>
  <c r="L1275" i="3"/>
  <c r="I1276" i="3"/>
  <c r="J1276" i="3"/>
  <c r="K1276" i="3"/>
  <c r="L1276" i="3"/>
  <c r="I1277" i="3"/>
  <c r="J1277" i="3"/>
  <c r="K1277" i="3"/>
  <c r="L1277" i="3"/>
  <c r="I1278" i="3"/>
  <c r="J1278" i="3"/>
  <c r="K1278" i="3"/>
  <c r="L1278" i="3"/>
  <c r="I1279" i="3"/>
  <c r="J1279" i="3"/>
  <c r="K1279" i="3"/>
  <c r="L1279" i="3"/>
  <c r="I1280" i="3"/>
  <c r="J1280" i="3"/>
  <c r="K1280" i="3"/>
  <c r="L1280" i="3"/>
  <c r="I1281" i="3"/>
  <c r="J1281" i="3"/>
  <c r="K1281" i="3"/>
  <c r="L1281" i="3"/>
  <c r="I1282" i="3"/>
  <c r="J1282" i="3"/>
  <c r="K1282" i="3"/>
  <c r="L1282" i="3"/>
  <c r="I1283" i="3"/>
  <c r="J1283" i="3"/>
  <c r="K1283" i="3"/>
  <c r="L1283" i="3"/>
  <c r="I1284" i="3"/>
  <c r="J1284" i="3"/>
  <c r="K1284" i="3"/>
  <c r="L1284" i="3"/>
  <c r="I1285" i="3"/>
  <c r="J1285" i="3"/>
  <c r="K1285" i="3"/>
  <c r="L1285" i="3"/>
  <c r="I1286" i="3"/>
  <c r="J1286" i="3"/>
  <c r="K1286" i="3"/>
  <c r="L1286" i="3"/>
  <c r="I1287" i="3"/>
  <c r="J1287" i="3"/>
  <c r="K1287" i="3"/>
  <c r="L1287" i="3"/>
  <c r="I1288" i="3"/>
  <c r="J1288" i="3"/>
  <c r="K1288" i="3"/>
  <c r="L1288" i="3"/>
  <c r="I1289" i="3"/>
  <c r="J1289" i="3"/>
  <c r="K1289" i="3"/>
  <c r="L1289" i="3"/>
  <c r="I1290" i="3"/>
  <c r="J1290" i="3"/>
  <c r="K1290" i="3"/>
  <c r="L1290" i="3"/>
  <c r="I1291" i="3"/>
  <c r="J1291" i="3"/>
  <c r="K1291" i="3"/>
  <c r="L1291" i="3"/>
  <c r="I1292" i="3"/>
  <c r="J1292" i="3"/>
  <c r="K1292" i="3"/>
  <c r="L1292" i="3"/>
  <c r="I1293" i="3"/>
  <c r="J1293" i="3"/>
  <c r="K1293" i="3"/>
  <c r="L1293" i="3"/>
  <c r="I1294" i="3"/>
  <c r="J1294" i="3"/>
  <c r="K1294" i="3"/>
  <c r="L1294" i="3"/>
  <c r="I1295" i="3"/>
  <c r="J1295" i="3"/>
  <c r="K1295" i="3"/>
  <c r="L1295" i="3"/>
  <c r="I1296" i="3"/>
  <c r="J1296" i="3"/>
  <c r="K1296" i="3"/>
  <c r="L1296" i="3"/>
  <c r="I1297" i="3"/>
  <c r="J1297" i="3"/>
  <c r="K1297" i="3"/>
  <c r="L1297" i="3"/>
  <c r="I1298" i="3"/>
  <c r="J1298" i="3"/>
  <c r="K1298" i="3"/>
  <c r="L1298" i="3"/>
  <c r="I1299" i="3"/>
  <c r="J1299" i="3"/>
  <c r="K1299" i="3"/>
  <c r="L1299" i="3"/>
  <c r="I1300" i="3"/>
  <c r="J1300" i="3"/>
  <c r="K1300" i="3"/>
  <c r="L1300" i="3"/>
  <c r="I1301" i="3"/>
  <c r="J1301" i="3"/>
  <c r="K1301" i="3"/>
  <c r="L1301" i="3"/>
  <c r="I1302" i="3"/>
  <c r="J1302" i="3"/>
  <c r="K1302" i="3"/>
  <c r="L1302" i="3"/>
  <c r="I1303" i="3"/>
  <c r="J1303" i="3"/>
  <c r="K1303" i="3"/>
  <c r="L1303" i="3"/>
  <c r="I1304" i="3"/>
  <c r="J1304" i="3"/>
  <c r="K1304" i="3"/>
  <c r="L1304" i="3"/>
  <c r="I1305" i="3"/>
  <c r="J1305" i="3"/>
  <c r="K1305" i="3"/>
  <c r="L1305" i="3"/>
  <c r="I1306" i="3"/>
  <c r="J1306" i="3"/>
  <c r="K1306" i="3"/>
  <c r="L1306" i="3"/>
  <c r="I1307" i="3"/>
  <c r="J1307" i="3"/>
  <c r="K1307" i="3"/>
  <c r="L1307" i="3"/>
  <c r="I1308" i="3"/>
  <c r="J1308" i="3"/>
  <c r="K1308" i="3"/>
  <c r="L1308" i="3"/>
  <c r="I1309" i="3"/>
  <c r="J1309" i="3"/>
  <c r="K1309" i="3"/>
  <c r="L1309" i="3"/>
  <c r="I1310" i="3"/>
  <c r="J1310" i="3"/>
  <c r="K1310" i="3"/>
  <c r="L1310" i="3"/>
  <c r="I1311" i="3"/>
  <c r="J1311" i="3"/>
  <c r="K1311" i="3"/>
  <c r="L1311" i="3"/>
  <c r="I1312" i="3"/>
  <c r="J1312" i="3"/>
  <c r="K1312" i="3"/>
  <c r="L1312" i="3"/>
  <c r="I1313" i="3"/>
  <c r="J1313" i="3"/>
  <c r="K1313" i="3"/>
  <c r="L1313" i="3"/>
  <c r="I1314" i="3"/>
  <c r="J1314" i="3"/>
  <c r="K1314" i="3"/>
  <c r="L1314" i="3"/>
  <c r="I1315" i="3"/>
  <c r="J1315" i="3"/>
  <c r="K1315" i="3"/>
  <c r="L1315" i="3"/>
  <c r="I1316" i="3"/>
  <c r="J1316" i="3"/>
  <c r="K1316" i="3"/>
  <c r="L1316" i="3"/>
  <c r="I1317" i="3"/>
  <c r="J1317" i="3"/>
  <c r="K1317" i="3"/>
  <c r="L1317" i="3"/>
  <c r="I1318" i="3"/>
  <c r="J1318" i="3"/>
  <c r="K1318" i="3"/>
  <c r="L1318" i="3"/>
  <c r="I1319" i="3"/>
  <c r="J1319" i="3"/>
  <c r="K1319" i="3"/>
  <c r="L1319" i="3"/>
  <c r="I1320" i="3"/>
  <c r="J1320" i="3"/>
  <c r="K1320" i="3"/>
  <c r="L1320" i="3"/>
  <c r="I1321" i="3"/>
  <c r="J1321" i="3"/>
  <c r="K1321" i="3"/>
  <c r="L1321" i="3"/>
  <c r="I1322" i="3"/>
  <c r="J1322" i="3"/>
  <c r="K1322" i="3"/>
  <c r="L1322" i="3"/>
  <c r="I1323" i="3"/>
  <c r="J1323" i="3"/>
  <c r="K1323" i="3"/>
  <c r="L1323" i="3"/>
  <c r="I1324" i="3"/>
  <c r="J1324" i="3"/>
  <c r="K1324" i="3"/>
  <c r="L1324" i="3"/>
  <c r="I1325" i="3"/>
  <c r="J1325" i="3"/>
  <c r="K1325" i="3"/>
  <c r="L1325" i="3"/>
  <c r="I1326" i="3"/>
  <c r="J1326" i="3"/>
  <c r="K1326" i="3"/>
  <c r="L1326" i="3"/>
  <c r="I1327" i="3"/>
  <c r="J1327" i="3"/>
  <c r="K1327" i="3"/>
  <c r="L1327" i="3"/>
  <c r="I1328" i="3"/>
  <c r="J1328" i="3"/>
  <c r="K1328" i="3"/>
  <c r="L1328" i="3"/>
  <c r="I1329" i="3"/>
  <c r="J1329" i="3"/>
  <c r="K1329" i="3"/>
  <c r="L1329" i="3"/>
  <c r="I1330" i="3"/>
  <c r="J1330" i="3"/>
  <c r="K1330" i="3"/>
  <c r="L1330" i="3"/>
  <c r="I1331" i="3"/>
  <c r="J1331" i="3"/>
  <c r="K1331" i="3"/>
  <c r="L1331" i="3"/>
  <c r="I1332" i="3"/>
  <c r="J1332" i="3"/>
  <c r="K1332" i="3"/>
  <c r="L1332" i="3"/>
  <c r="I1333" i="3"/>
  <c r="J1333" i="3"/>
  <c r="K1333" i="3"/>
  <c r="L1333" i="3"/>
  <c r="I1334" i="3"/>
  <c r="J1334" i="3"/>
  <c r="K1334" i="3"/>
  <c r="L1334" i="3"/>
  <c r="I1335" i="3"/>
  <c r="J1335" i="3"/>
  <c r="K1335" i="3"/>
  <c r="L1335" i="3"/>
  <c r="I1336" i="3"/>
  <c r="J1336" i="3"/>
  <c r="K1336" i="3"/>
  <c r="L1336" i="3"/>
  <c r="I1337" i="3"/>
  <c r="J1337" i="3"/>
  <c r="K1337" i="3"/>
  <c r="L1337" i="3"/>
  <c r="I1338" i="3"/>
  <c r="J1338" i="3"/>
  <c r="K1338" i="3"/>
  <c r="L1338" i="3"/>
  <c r="I1339" i="3"/>
  <c r="J1339" i="3"/>
  <c r="K1339" i="3"/>
  <c r="L1339" i="3"/>
  <c r="I1340" i="3"/>
  <c r="J1340" i="3"/>
  <c r="K1340" i="3"/>
  <c r="L1340" i="3"/>
  <c r="I1341" i="3"/>
  <c r="J1341" i="3"/>
  <c r="K1341" i="3"/>
  <c r="L1341" i="3"/>
  <c r="I1342" i="3"/>
  <c r="J1342" i="3"/>
  <c r="K1342" i="3"/>
  <c r="L1342" i="3"/>
  <c r="I1343" i="3"/>
  <c r="J1343" i="3"/>
  <c r="K1343" i="3"/>
  <c r="L1343" i="3"/>
  <c r="I1344" i="3"/>
  <c r="J1344" i="3"/>
  <c r="K1344" i="3"/>
  <c r="L1344" i="3"/>
  <c r="I1345" i="3"/>
  <c r="J1345" i="3"/>
  <c r="K1345" i="3"/>
  <c r="L1345" i="3"/>
  <c r="I1346" i="3"/>
  <c r="J1346" i="3"/>
  <c r="K1346" i="3"/>
  <c r="L1346" i="3"/>
  <c r="I1347" i="3"/>
  <c r="J1347" i="3"/>
  <c r="K1347" i="3"/>
  <c r="L1347" i="3"/>
  <c r="I1348" i="3"/>
  <c r="J1348" i="3"/>
  <c r="K1348" i="3"/>
  <c r="L1348" i="3"/>
  <c r="I1349" i="3"/>
  <c r="J1349" i="3"/>
  <c r="K1349" i="3"/>
  <c r="L1349" i="3"/>
  <c r="I1350" i="3"/>
  <c r="J1350" i="3"/>
  <c r="K1350" i="3"/>
  <c r="L1350" i="3"/>
  <c r="I1351" i="3"/>
  <c r="J1351" i="3"/>
  <c r="K1351" i="3"/>
  <c r="L1351" i="3"/>
  <c r="I1352" i="3"/>
  <c r="J1352" i="3"/>
  <c r="K1352" i="3"/>
  <c r="L1352" i="3"/>
  <c r="I1353" i="3"/>
  <c r="J1353" i="3"/>
  <c r="K1353" i="3"/>
  <c r="L1353" i="3"/>
  <c r="I1354" i="3"/>
  <c r="J1354" i="3"/>
  <c r="K1354" i="3"/>
  <c r="L1354" i="3"/>
  <c r="I1355" i="3"/>
  <c r="J1355" i="3"/>
  <c r="K1355" i="3"/>
  <c r="L1355" i="3"/>
  <c r="I1356" i="3"/>
  <c r="J1356" i="3"/>
  <c r="K1356" i="3"/>
  <c r="L1356" i="3"/>
  <c r="I1357" i="3"/>
  <c r="J1357" i="3"/>
  <c r="K1357" i="3"/>
  <c r="L1357" i="3"/>
  <c r="I1358" i="3"/>
  <c r="J1358" i="3"/>
  <c r="K1358" i="3"/>
  <c r="L1358" i="3"/>
  <c r="I1359" i="3"/>
  <c r="J1359" i="3"/>
  <c r="K1359" i="3"/>
  <c r="L1359" i="3"/>
  <c r="I1360" i="3"/>
  <c r="J1360" i="3"/>
  <c r="K1360" i="3"/>
  <c r="L1360" i="3"/>
  <c r="I1361" i="3"/>
  <c r="J1361" i="3"/>
  <c r="K1361" i="3"/>
  <c r="L1361" i="3"/>
  <c r="I1362" i="3"/>
  <c r="J1362" i="3"/>
  <c r="K1362" i="3"/>
  <c r="L1362" i="3"/>
  <c r="I1363" i="3"/>
  <c r="J1363" i="3"/>
  <c r="K1363" i="3"/>
  <c r="L1363" i="3"/>
  <c r="I1364" i="3"/>
  <c r="J1364" i="3"/>
  <c r="K1364" i="3"/>
  <c r="L1364" i="3"/>
  <c r="I1365" i="3"/>
  <c r="J1365" i="3"/>
  <c r="K1365" i="3"/>
  <c r="L1365" i="3"/>
  <c r="I1366" i="3"/>
  <c r="J1366" i="3"/>
  <c r="K1366" i="3"/>
  <c r="L1366" i="3"/>
  <c r="I1367" i="3"/>
  <c r="J1367" i="3"/>
  <c r="K1367" i="3"/>
  <c r="L1367" i="3"/>
  <c r="I1368" i="3"/>
  <c r="J1368" i="3"/>
  <c r="K1368" i="3"/>
  <c r="L1368" i="3"/>
  <c r="I1369" i="3"/>
  <c r="J1369" i="3"/>
  <c r="K1369" i="3"/>
  <c r="L1369" i="3"/>
  <c r="I1370" i="3"/>
  <c r="J1370" i="3"/>
  <c r="K1370" i="3"/>
  <c r="L1370" i="3"/>
  <c r="I1371" i="3"/>
  <c r="J1371" i="3"/>
  <c r="K1371" i="3"/>
  <c r="L1371" i="3"/>
  <c r="I1372" i="3"/>
  <c r="J1372" i="3"/>
  <c r="K1372" i="3"/>
  <c r="L1372" i="3"/>
  <c r="I1373" i="3"/>
  <c r="J1373" i="3"/>
  <c r="K1373" i="3"/>
  <c r="L1373" i="3"/>
  <c r="I1374" i="3"/>
  <c r="J1374" i="3"/>
  <c r="K1374" i="3"/>
  <c r="L1374" i="3"/>
  <c r="I1375" i="3"/>
  <c r="J1375" i="3"/>
  <c r="K1375" i="3"/>
  <c r="L1375" i="3"/>
  <c r="I1376" i="3"/>
  <c r="J1376" i="3"/>
  <c r="K1376" i="3"/>
  <c r="L1376" i="3"/>
  <c r="I1377" i="3"/>
  <c r="J1377" i="3"/>
  <c r="K1377" i="3"/>
  <c r="L1377" i="3"/>
  <c r="I1378" i="3"/>
  <c r="J1378" i="3"/>
  <c r="K1378" i="3"/>
  <c r="L1378" i="3"/>
  <c r="I1379" i="3"/>
  <c r="J1379" i="3"/>
  <c r="K1379" i="3"/>
  <c r="L1379" i="3"/>
  <c r="I1380" i="3"/>
  <c r="J1380" i="3"/>
  <c r="K1380" i="3"/>
  <c r="L1380" i="3"/>
  <c r="I1381" i="3"/>
  <c r="J1381" i="3"/>
  <c r="K1381" i="3"/>
  <c r="L1381" i="3"/>
  <c r="I1382" i="3"/>
  <c r="J1382" i="3"/>
  <c r="K1382" i="3"/>
  <c r="L1382" i="3"/>
  <c r="I1383" i="3"/>
  <c r="J1383" i="3"/>
  <c r="K1383" i="3"/>
  <c r="L1383" i="3"/>
  <c r="I1384" i="3"/>
  <c r="J1384" i="3"/>
  <c r="K1384" i="3"/>
  <c r="L1384" i="3"/>
  <c r="I1385" i="3"/>
  <c r="J1385" i="3"/>
  <c r="K1385" i="3"/>
  <c r="L1385" i="3"/>
  <c r="I1386" i="3"/>
  <c r="J1386" i="3"/>
  <c r="K1386" i="3"/>
  <c r="L1386" i="3"/>
  <c r="I1387" i="3"/>
  <c r="J1387" i="3"/>
  <c r="K1387" i="3"/>
  <c r="L1387" i="3"/>
  <c r="I1388" i="3"/>
  <c r="J1388" i="3"/>
  <c r="K1388" i="3"/>
  <c r="L1388" i="3"/>
  <c r="I1389" i="3"/>
  <c r="J1389" i="3"/>
  <c r="K1389" i="3"/>
  <c r="L1389" i="3"/>
  <c r="I1390" i="3"/>
  <c r="J1390" i="3"/>
  <c r="K1390" i="3"/>
  <c r="L1390" i="3"/>
  <c r="I1391" i="3"/>
  <c r="J1391" i="3"/>
  <c r="K1391" i="3"/>
  <c r="L1391" i="3"/>
  <c r="I1392" i="3"/>
  <c r="J1392" i="3"/>
  <c r="K1392" i="3"/>
  <c r="L1392" i="3"/>
  <c r="I1393" i="3"/>
  <c r="J1393" i="3"/>
  <c r="K1393" i="3"/>
  <c r="L1393" i="3"/>
  <c r="I1394" i="3"/>
  <c r="J1394" i="3"/>
  <c r="K1394" i="3"/>
  <c r="L1394" i="3"/>
  <c r="I1395" i="3"/>
  <c r="J1395" i="3"/>
  <c r="K1395" i="3"/>
  <c r="L1395" i="3"/>
  <c r="I1396" i="3"/>
  <c r="J1396" i="3"/>
  <c r="K1396" i="3"/>
  <c r="L1396" i="3"/>
  <c r="I1397" i="3"/>
  <c r="J1397" i="3"/>
  <c r="K1397" i="3"/>
  <c r="L1397" i="3"/>
  <c r="I1398" i="3"/>
  <c r="J1398" i="3"/>
  <c r="K1398" i="3"/>
  <c r="L1398" i="3"/>
  <c r="I1399" i="3"/>
  <c r="J1399" i="3"/>
  <c r="K1399" i="3"/>
  <c r="L1399" i="3"/>
  <c r="I1400" i="3"/>
  <c r="J1400" i="3"/>
  <c r="K1400" i="3"/>
  <c r="L1400" i="3"/>
  <c r="I1401" i="3"/>
  <c r="J1401" i="3"/>
  <c r="K1401" i="3"/>
  <c r="L1401" i="3"/>
  <c r="I1402" i="3"/>
  <c r="J1402" i="3"/>
  <c r="K1402" i="3"/>
  <c r="L1402" i="3"/>
  <c r="I1403" i="3"/>
  <c r="J1403" i="3"/>
  <c r="K1403" i="3"/>
  <c r="L1403" i="3"/>
  <c r="I1404" i="3"/>
  <c r="J1404" i="3"/>
  <c r="K1404" i="3"/>
  <c r="L1404" i="3"/>
  <c r="I1405" i="3"/>
  <c r="J1405" i="3"/>
  <c r="K1405" i="3"/>
  <c r="L1405" i="3"/>
  <c r="I1406" i="3"/>
  <c r="J1406" i="3"/>
  <c r="K1406" i="3"/>
  <c r="L1406" i="3"/>
  <c r="I1407" i="3"/>
  <c r="J1407" i="3"/>
  <c r="K1407" i="3"/>
  <c r="L1407" i="3"/>
  <c r="I1408" i="3"/>
  <c r="J1408" i="3"/>
  <c r="K1408" i="3"/>
  <c r="L1408" i="3"/>
  <c r="I1409" i="3"/>
  <c r="J1409" i="3"/>
  <c r="K1409" i="3"/>
  <c r="L1409" i="3"/>
  <c r="I1410" i="3"/>
  <c r="J1410" i="3"/>
  <c r="K1410" i="3"/>
  <c r="L1410" i="3"/>
  <c r="I1411" i="3"/>
  <c r="J1411" i="3"/>
  <c r="K1411" i="3"/>
  <c r="L1411" i="3"/>
  <c r="I1412" i="3"/>
  <c r="J1412" i="3"/>
  <c r="K1412" i="3"/>
  <c r="L1412" i="3"/>
  <c r="I1413" i="3"/>
  <c r="J1413" i="3"/>
  <c r="K1413" i="3"/>
  <c r="L1413" i="3"/>
  <c r="I1414" i="3"/>
  <c r="J1414" i="3"/>
  <c r="K1414" i="3"/>
  <c r="L1414" i="3"/>
  <c r="I1415" i="3"/>
  <c r="J1415" i="3"/>
  <c r="K1415" i="3"/>
  <c r="L1415" i="3"/>
  <c r="I1416" i="3"/>
  <c r="J1416" i="3"/>
  <c r="K1416" i="3"/>
  <c r="L1416" i="3"/>
  <c r="I1417" i="3"/>
  <c r="J1417" i="3"/>
  <c r="K1417" i="3"/>
  <c r="L1417" i="3"/>
  <c r="I1418" i="3"/>
  <c r="J1418" i="3"/>
  <c r="K1418" i="3"/>
  <c r="L1418" i="3"/>
  <c r="I1419" i="3"/>
  <c r="J1419" i="3"/>
  <c r="K1419" i="3"/>
  <c r="L1419" i="3"/>
  <c r="I1420" i="3"/>
  <c r="J1420" i="3"/>
  <c r="K1420" i="3"/>
  <c r="L1420" i="3"/>
  <c r="I1421" i="3"/>
  <c r="J1421" i="3"/>
  <c r="K1421" i="3"/>
  <c r="L1421" i="3"/>
  <c r="I1422" i="3"/>
  <c r="J1422" i="3"/>
  <c r="K1422" i="3"/>
  <c r="L1422" i="3"/>
  <c r="I1423" i="3"/>
  <c r="J1423" i="3"/>
  <c r="K1423" i="3"/>
  <c r="L1423" i="3"/>
  <c r="I1424" i="3"/>
  <c r="J1424" i="3"/>
  <c r="K1424" i="3"/>
  <c r="L1424" i="3"/>
  <c r="I1425" i="3"/>
  <c r="J1425" i="3"/>
  <c r="K1425" i="3"/>
  <c r="L1425" i="3"/>
  <c r="I1426" i="3"/>
  <c r="J1426" i="3"/>
  <c r="K1426" i="3"/>
  <c r="L1426" i="3"/>
  <c r="I1427" i="3"/>
  <c r="J1427" i="3"/>
  <c r="K1427" i="3"/>
  <c r="L1427" i="3"/>
  <c r="I1428" i="3"/>
  <c r="J1428" i="3"/>
  <c r="K1428" i="3"/>
  <c r="L1428" i="3"/>
  <c r="I1429" i="3"/>
  <c r="J1429" i="3"/>
  <c r="K1429" i="3"/>
  <c r="L1429" i="3"/>
  <c r="I1430" i="3"/>
  <c r="J1430" i="3"/>
  <c r="K1430" i="3"/>
  <c r="L1430" i="3"/>
  <c r="I1431" i="3"/>
  <c r="J1431" i="3"/>
  <c r="K1431" i="3"/>
  <c r="L1431" i="3"/>
  <c r="I1432" i="3"/>
  <c r="J1432" i="3"/>
  <c r="K1432" i="3"/>
  <c r="L1432" i="3"/>
  <c r="I1433" i="3"/>
  <c r="J1433" i="3"/>
  <c r="K1433" i="3"/>
  <c r="L1433" i="3"/>
  <c r="I1434" i="3"/>
  <c r="J1434" i="3"/>
  <c r="K1434" i="3"/>
  <c r="L1434" i="3"/>
  <c r="I1435" i="3"/>
  <c r="J1435" i="3"/>
  <c r="K1435" i="3"/>
  <c r="L1435" i="3"/>
  <c r="I1436" i="3"/>
  <c r="J1436" i="3"/>
  <c r="K1436" i="3"/>
  <c r="L1436" i="3"/>
  <c r="I1437" i="3"/>
  <c r="J1437" i="3"/>
  <c r="K1437" i="3"/>
  <c r="L1437" i="3"/>
  <c r="I1438" i="3"/>
  <c r="J1438" i="3"/>
  <c r="K1438" i="3"/>
  <c r="L1438" i="3"/>
  <c r="I1439" i="3"/>
  <c r="J1439" i="3"/>
  <c r="K1439" i="3"/>
  <c r="L1439" i="3"/>
  <c r="I1440" i="3"/>
  <c r="J1440" i="3"/>
  <c r="K1440" i="3"/>
  <c r="L1440" i="3"/>
  <c r="I1441" i="3"/>
  <c r="J1441" i="3"/>
  <c r="K1441" i="3"/>
  <c r="L1441" i="3"/>
  <c r="I1442" i="3"/>
  <c r="J1442" i="3"/>
  <c r="K1442" i="3"/>
  <c r="L1442" i="3"/>
  <c r="I1443" i="3"/>
  <c r="J1443" i="3"/>
  <c r="K1443" i="3"/>
  <c r="L1443" i="3"/>
  <c r="I1444" i="3"/>
  <c r="J1444" i="3"/>
  <c r="K1444" i="3"/>
  <c r="L1444" i="3"/>
  <c r="I1445" i="3"/>
  <c r="J1445" i="3"/>
  <c r="K1445" i="3"/>
  <c r="L1445" i="3"/>
  <c r="I1446" i="3"/>
  <c r="J1446" i="3"/>
  <c r="K1446" i="3"/>
  <c r="L1446" i="3"/>
  <c r="I1447" i="3"/>
  <c r="J1447" i="3"/>
  <c r="K1447" i="3"/>
  <c r="L1447" i="3"/>
  <c r="I1448" i="3"/>
  <c r="J1448" i="3"/>
  <c r="K1448" i="3"/>
  <c r="L1448" i="3"/>
  <c r="I1449" i="3"/>
  <c r="J1449" i="3"/>
  <c r="K1449" i="3"/>
  <c r="L1449" i="3"/>
  <c r="I1450" i="3"/>
  <c r="J1450" i="3"/>
  <c r="K1450" i="3"/>
  <c r="L1450" i="3"/>
  <c r="I1451" i="3"/>
  <c r="J1451" i="3"/>
  <c r="K1451" i="3"/>
  <c r="L1451" i="3"/>
  <c r="I1452" i="3"/>
  <c r="J1452" i="3"/>
  <c r="K1452" i="3"/>
  <c r="L1452" i="3"/>
  <c r="I1453" i="3"/>
  <c r="J1453" i="3"/>
  <c r="K1453" i="3"/>
  <c r="L1453" i="3"/>
  <c r="I1454" i="3"/>
  <c r="J1454" i="3"/>
  <c r="K1454" i="3"/>
  <c r="L1454" i="3"/>
  <c r="I1455" i="3"/>
  <c r="J1455" i="3"/>
  <c r="K1455" i="3"/>
  <c r="L1455" i="3"/>
  <c r="I1456" i="3"/>
  <c r="J1456" i="3"/>
  <c r="K1456" i="3"/>
  <c r="L1456" i="3"/>
  <c r="I1457" i="3"/>
  <c r="J1457" i="3"/>
  <c r="K1457" i="3"/>
  <c r="L1457" i="3"/>
  <c r="I1458" i="3"/>
  <c r="J1458" i="3"/>
  <c r="K1458" i="3"/>
  <c r="L1458" i="3"/>
  <c r="I1459" i="3"/>
  <c r="J1459" i="3"/>
  <c r="K1459" i="3"/>
  <c r="L1459" i="3"/>
  <c r="I1460" i="3"/>
  <c r="J1460" i="3"/>
  <c r="K1460" i="3"/>
  <c r="L1460" i="3"/>
  <c r="I1461" i="3"/>
  <c r="J1461" i="3"/>
  <c r="K1461" i="3"/>
  <c r="L1461" i="3"/>
  <c r="I1462" i="3"/>
  <c r="J1462" i="3"/>
  <c r="K1462" i="3"/>
  <c r="L1462" i="3"/>
  <c r="I1463" i="3"/>
  <c r="J1463" i="3"/>
  <c r="K1463" i="3"/>
  <c r="L1463" i="3"/>
  <c r="I1464" i="3"/>
  <c r="J1464" i="3"/>
  <c r="K1464" i="3"/>
  <c r="L1464" i="3"/>
  <c r="I1465" i="3"/>
  <c r="J1465" i="3"/>
  <c r="K1465" i="3"/>
  <c r="L1465" i="3"/>
  <c r="I1466" i="3"/>
  <c r="J1466" i="3"/>
  <c r="K1466" i="3"/>
  <c r="L1466" i="3"/>
  <c r="I1467" i="3"/>
  <c r="J1467" i="3"/>
  <c r="K1467" i="3"/>
  <c r="L1467" i="3"/>
  <c r="I1468" i="3"/>
  <c r="J1468" i="3"/>
  <c r="K1468" i="3"/>
  <c r="L1468" i="3"/>
  <c r="I1469" i="3"/>
  <c r="J1469" i="3"/>
  <c r="K1469" i="3"/>
  <c r="L1469" i="3"/>
  <c r="I1470" i="3"/>
  <c r="J1470" i="3"/>
  <c r="K1470" i="3"/>
  <c r="L1470" i="3"/>
  <c r="I1471" i="3"/>
  <c r="J1471" i="3"/>
  <c r="K1471" i="3"/>
  <c r="L1471" i="3"/>
  <c r="I1472" i="3"/>
  <c r="J1472" i="3"/>
  <c r="K1472" i="3"/>
  <c r="L1472" i="3"/>
  <c r="I1473" i="3"/>
  <c r="J1473" i="3"/>
  <c r="K1473" i="3"/>
  <c r="L1473" i="3"/>
  <c r="I1474" i="3"/>
  <c r="J1474" i="3"/>
  <c r="K1474" i="3"/>
  <c r="L1474" i="3"/>
  <c r="I1475" i="3"/>
  <c r="J1475" i="3"/>
  <c r="K1475" i="3"/>
  <c r="L1475" i="3"/>
  <c r="I1476" i="3"/>
  <c r="J1476" i="3"/>
  <c r="K1476" i="3"/>
  <c r="L1476" i="3"/>
  <c r="I1477" i="3"/>
  <c r="J1477" i="3"/>
  <c r="K1477" i="3"/>
  <c r="L1477" i="3"/>
  <c r="I1478" i="3"/>
  <c r="J1478" i="3"/>
  <c r="K1478" i="3"/>
  <c r="L1478" i="3"/>
  <c r="I1479" i="3"/>
  <c r="J1479" i="3"/>
  <c r="K1479" i="3"/>
  <c r="L1479" i="3"/>
  <c r="I1480" i="3"/>
  <c r="J1480" i="3"/>
  <c r="K1480" i="3"/>
  <c r="L1480" i="3"/>
  <c r="I1481" i="3"/>
  <c r="J1481" i="3"/>
  <c r="K1481" i="3"/>
  <c r="L1481" i="3"/>
  <c r="I1482" i="3"/>
  <c r="J1482" i="3"/>
  <c r="K1482" i="3"/>
  <c r="L1482" i="3"/>
  <c r="I1483" i="3"/>
  <c r="J1483" i="3"/>
  <c r="K1483" i="3"/>
  <c r="L1483" i="3"/>
  <c r="I1484" i="3"/>
  <c r="J1484" i="3"/>
  <c r="K1484" i="3"/>
  <c r="L1484" i="3"/>
  <c r="I1485" i="3"/>
  <c r="J1485" i="3"/>
  <c r="K1485" i="3"/>
  <c r="L1485" i="3"/>
  <c r="I1486" i="3"/>
  <c r="J1486" i="3"/>
  <c r="K1486" i="3"/>
  <c r="L1486" i="3"/>
  <c r="I1487" i="3"/>
  <c r="J1487" i="3"/>
  <c r="K1487" i="3"/>
  <c r="L1487" i="3"/>
  <c r="I1488" i="3"/>
  <c r="J1488" i="3"/>
  <c r="K1488" i="3"/>
  <c r="L1488" i="3"/>
  <c r="I1489" i="3"/>
  <c r="J1489" i="3"/>
  <c r="K1489" i="3"/>
  <c r="L1489" i="3"/>
  <c r="I1490" i="3"/>
  <c r="J1490" i="3"/>
  <c r="K1490" i="3"/>
  <c r="L1490" i="3"/>
  <c r="I1491" i="3"/>
  <c r="J1491" i="3"/>
  <c r="K1491" i="3"/>
  <c r="L1491" i="3"/>
  <c r="I1492" i="3"/>
  <c r="J1492" i="3"/>
  <c r="K1492" i="3"/>
  <c r="L1492" i="3"/>
  <c r="I1493" i="3"/>
  <c r="J1493" i="3"/>
  <c r="K1493" i="3"/>
  <c r="L1493" i="3"/>
  <c r="I1494" i="3"/>
  <c r="J1494" i="3"/>
  <c r="K1494" i="3"/>
  <c r="L1494" i="3"/>
  <c r="I1495" i="3"/>
  <c r="J1495" i="3"/>
  <c r="K1495" i="3"/>
  <c r="L1495" i="3"/>
  <c r="I1496" i="3"/>
  <c r="J1496" i="3"/>
  <c r="K1496" i="3"/>
  <c r="L1496" i="3"/>
  <c r="I1497" i="3"/>
  <c r="J1497" i="3"/>
  <c r="K1497" i="3"/>
  <c r="L1497" i="3"/>
  <c r="I1498" i="3"/>
  <c r="J1498" i="3"/>
  <c r="K1498" i="3"/>
  <c r="L1498" i="3"/>
  <c r="I1499" i="3"/>
  <c r="J1499" i="3"/>
  <c r="K1499" i="3"/>
  <c r="L1499" i="3"/>
  <c r="I1500" i="3"/>
  <c r="J1500" i="3"/>
  <c r="K1500" i="3"/>
  <c r="L1500" i="3"/>
  <c r="I1501" i="3"/>
  <c r="J1501" i="3"/>
  <c r="K1501" i="3"/>
  <c r="L1501" i="3"/>
  <c r="I1502" i="3"/>
  <c r="J1502" i="3"/>
  <c r="K1502" i="3"/>
  <c r="L1502" i="3"/>
  <c r="I1503" i="3"/>
  <c r="J1503" i="3"/>
  <c r="K1503" i="3"/>
  <c r="L1503" i="3"/>
  <c r="I1504" i="3"/>
  <c r="J1504" i="3"/>
  <c r="K1504" i="3"/>
  <c r="L1504" i="3"/>
  <c r="I1505" i="3"/>
  <c r="J1505" i="3"/>
  <c r="K1505" i="3"/>
  <c r="L1505" i="3"/>
  <c r="I1506" i="3"/>
  <c r="J1506" i="3"/>
  <c r="K1506" i="3"/>
  <c r="L1506" i="3"/>
  <c r="I1507" i="3"/>
  <c r="J1507" i="3"/>
  <c r="K1507" i="3"/>
  <c r="L1507" i="3"/>
  <c r="I1508" i="3"/>
  <c r="J1508" i="3"/>
  <c r="K1508" i="3"/>
  <c r="L1508" i="3"/>
  <c r="I1509" i="3"/>
  <c r="J1509" i="3"/>
  <c r="K1509" i="3"/>
  <c r="L1509" i="3"/>
  <c r="I1510" i="3"/>
  <c r="J1510" i="3"/>
  <c r="K1510" i="3"/>
  <c r="L1510" i="3"/>
  <c r="I1511" i="3"/>
  <c r="J1511" i="3"/>
  <c r="K1511" i="3"/>
  <c r="L1511" i="3"/>
  <c r="I1512" i="3"/>
  <c r="J1512" i="3"/>
  <c r="K1512" i="3"/>
  <c r="L1512" i="3"/>
  <c r="I1513" i="3"/>
  <c r="J1513" i="3"/>
  <c r="K1513" i="3"/>
  <c r="L1513" i="3"/>
  <c r="I1514" i="3"/>
  <c r="J1514" i="3"/>
  <c r="K1514" i="3"/>
  <c r="L1514" i="3"/>
  <c r="I1515" i="3"/>
  <c r="J1515" i="3"/>
  <c r="K1515" i="3"/>
  <c r="L1515" i="3"/>
  <c r="I1516" i="3"/>
  <c r="J1516" i="3"/>
  <c r="K1516" i="3"/>
  <c r="L1516" i="3"/>
  <c r="I1517" i="3"/>
  <c r="J1517" i="3"/>
  <c r="K1517" i="3"/>
  <c r="L1517" i="3"/>
  <c r="I1518" i="3"/>
  <c r="J1518" i="3"/>
  <c r="K1518" i="3"/>
  <c r="L1518" i="3"/>
  <c r="I1519" i="3"/>
  <c r="J1519" i="3"/>
  <c r="K1519" i="3"/>
  <c r="L1519" i="3"/>
  <c r="I1520" i="3"/>
  <c r="J1520" i="3"/>
  <c r="K1520" i="3"/>
  <c r="L1520" i="3"/>
  <c r="I1521" i="3"/>
  <c r="J1521" i="3"/>
  <c r="K1521" i="3"/>
  <c r="L1521" i="3"/>
  <c r="I1522" i="3"/>
  <c r="J1522" i="3"/>
  <c r="K1522" i="3"/>
  <c r="L1522" i="3"/>
  <c r="I1523" i="3"/>
  <c r="J1523" i="3"/>
  <c r="K1523" i="3"/>
  <c r="L1523" i="3"/>
  <c r="I1524" i="3"/>
  <c r="J1524" i="3"/>
  <c r="K1524" i="3"/>
  <c r="L1524" i="3"/>
  <c r="I1525" i="3"/>
  <c r="J1525" i="3"/>
  <c r="K1525" i="3"/>
  <c r="L1525" i="3"/>
  <c r="I1526" i="3"/>
  <c r="J1526" i="3"/>
  <c r="K1526" i="3"/>
  <c r="L1526" i="3"/>
  <c r="I1527" i="3"/>
  <c r="J1527" i="3"/>
  <c r="K1527" i="3"/>
  <c r="L1527" i="3"/>
  <c r="I1528" i="3"/>
  <c r="J1528" i="3"/>
  <c r="K1528" i="3"/>
  <c r="L1528" i="3"/>
  <c r="I1529" i="3"/>
  <c r="J1529" i="3"/>
  <c r="K1529" i="3"/>
  <c r="L1529" i="3"/>
  <c r="I1530" i="3"/>
  <c r="J1530" i="3"/>
  <c r="K1530" i="3"/>
  <c r="L1530" i="3"/>
  <c r="I1531" i="3"/>
  <c r="J1531" i="3"/>
  <c r="K1531" i="3"/>
  <c r="L1531" i="3"/>
  <c r="I1532" i="3"/>
  <c r="J1532" i="3"/>
  <c r="K1532" i="3"/>
  <c r="L1532" i="3"/>
  <c r="I1533" i="3"/>
  <c r="J1533" i="3"/>
  <c r="K1533" i="3"/>
  <c r="L1533" i="3"/>
  <c r="I1534" i="3"/>
  <c r="J1534" i="3"/>
  <c r="K1534" i="3"/>
  <c r="L1534" i="3"/>
  <c r="I1535" i="3"/>
  <c r="J1535" i="3"/>
  <c r="K1535" i="3"/>
  <c r="L1535" i="3"/>
  <c r="I1536" i="3"/>
  <c r="J1536" i="3"/>
  <c r="K1536" i="3"/>
  <c r="L1536" i="3"/>
  <c r="I1537" i="3"/>
  <c r="J1537" i="3"/>
  <c r="K1537" i="3"/>
  <c r="L1537" i="3"/>
  <c r="I1538" i="3"/>
  <c r="J1538" i="3"/>
  <c r="K1538" i="3"/>
  <c r="L1538" i="3"/>
  <c r="I1539" i="3"/>
  <c r="J1539" i="3"/>
  <c r="K1539" i="3"/>
  <c r="L1539" i="3"/>
  <c r="I1540" i="3"/>
  <c r="J1540" i="3"/>
  <c r="K1540" i="3"/>
  <c r="L1540" i="3"/>
  <c r="I1541" i="3"/>
  <c r="J1541" i="3"/>
  <c r="K1541" i="3"/>
  <c r="L1541" i="3"/>
  <c r="I1542" i="3"/>
  <c r="J1542" i="3"/>
  <c r="K1542" i="3"/>
  <c r="L1542" i="3"/>
  <c r="I1543" i="3"/>
  <c r="J1543" i="3"/>
  <c r="K1543" i="3"/>
  <c r="L1543" i="3"/>
  <c r="I1544" i="3"/>
  <c r="J1544" i="3"/>
  <c r="K1544" i="3"/>
  <c r="L1544" i="3"/>
  <c r="I1545" i="3"/>
  <c r="J1545" i="3"/>
  <c r="K1545" i="3"/>
  <c r="L1545" i="3"/>
  <c r="I1546" i="3"/>
  <c r="J1546" i="3"/>
  <c r="K1546" i="3"/>
  <c r="L1546" i="3"/>
  <c r="I1547" i="3"/>
  <c r="J1547" i="3"/>
  <c r="K1547" i="3"/>
  <c r="L1547" i="3"/>
  <c r="I1548" i="3"/>
  <c r="J1548" i="3"/>
  <c r="K1548" i="3"/>
  <c r="L1548" i="3"/>
  <c r="I1549" i="3"/>
  <c r="J1549" i="3"/>
  <c r="K1549" i="3"/>
  <c r="L1549" i="3"/>
  <c r="I1550" i="3"/>
  <c r="J1550" i="3"/>
  <c r="K1550" i="3"/>
  <c r="L1550" i="3"/>
  <c r="I1551" i="3"/>
  <c r="J1551" i="3"/>
  <c r="K1551" i="3"/>
  <c r="L1551" i="3"/>
  <c r="I1552" i="3"/>
  <c r="J1552" i="3"/>
  <c r="K1552" i="3"/>
  <c r="L1552" i="3"/>
  <c r="I1553" i="3"/>
  <c r="J1553" i="3"/>
  <c r="K1553" i="3"/>
  <c r="L1553" i="3"/>
  <c r="I1554" i="3"/>
  <c r="J1554" i="3"/>
  <c r="K1554" i="3"/>
  <c r="L1554" i="3"/>
  <c r="I1555" i="3"/>
  <c r="J1555" i="3"/>
  <c r="K1555" i="3"/>
  <c r="L1555" i="3"/>
  <c r="I1556" i="3"/>
  <c r="J1556" i="3"/>
  <c r="K1556" i="3"/>
  <c r="L1556" i="3"/>
  <c r="I1557" i="3"/>
  <c r="J1557" i="3"/>
  <c r="K1557" i="3"/>
  <c r="L1557" i="3"/>
  <c r="I1558" i="3"/>
  <c r="J1558" i="3"/>
  <c r="K1558" i="3"/>
  <c r="L1558" i="3"/>
  <c r="I1559" i="3"/>
  <c r="J1559" i="3"/>
  <c r="K1559" i="3"/>
  <c r="L1559" i="3"/>
  <c r="I1560" i="3"/>
  <c r="J1560" i="3"/>
  <c r="K1560" i="3"/>
  <c r="L1560" i="3"/>
  <c r="I1561" i="3"/>
  <c r="J1561" i="3"/>
  <c r="K1561" i="3"/>
  <c r="L1561" i="3"/>
  <c r="I1562" i="3"/>
  <c r="J1562" i="3"/>
  <c r="K1562" i="3"/>
  <c r="L1562" i="3"/>
  <c r="I1563" i="3"/>
  <c r="J1563" i="3"/>
  <c r="K1563" i="3"/>
  <c r="L1563" i="3"/>
  <c r="I1564" i="3"/>
  <c r="J1564" i="3"/>
  <c r="K1564" i="3"/>
  <c r="L1564" i="3"/>
  <c r="I1565" i="3"/>
  <c r="J1565" i="3"/>
  <c r="K1565" i="3"/>
  <c r="L1565" i="3"/>
  <c r="I1566" i="3"/>
  <c r="J1566" i="3"/>
  <c r="K1566" i="3"/>
  <c r="L1566" i="3"/>
  <c r="I1567" i="3"/>
  <c r="J1567" i="3"/>
  <c r="K1567" i="3"/>
  <c r="L1567" i="3"/>
  <c r="I1568" i="3"/>
  <c r="J1568" i="3"/>
  <c r="K1568" i="3"/>
  <c r="L1568" i="3"/>
  <c r="I1569" i="3"/>
  <c r="J1569" i="3"/>
  <c r="K1569" i="3"/>
  <c r="L1569" i="3"/>
  <c r="I1570" i="3"/>
  <c r="J1570" i="3"/>
  <c r="K1570" i="3"/>
  <c r="L1570" i="3"/>
  <c r="I1571" i="3"/>
  <c r="J1571" i="3"/>
  <c r="K1571" i="3"/>
  <c r="L1571" i="3"/>
  <c r="I1572" i="3"/>
  <c r="J1572" i="3"/>
  <c r="K1572" i="3"/>
  <c r="L1572" i="3"/>
  <c r="I1573" i="3"/>
  <c r="J1573" i="3"/>
  <c r="K1573" i="3"/>
  <c r="L1573" i="3"/>
  <c r="I1574" i="3"/>
  <c r="J1574" i="3"/>
  <c r="K1574" i="3"/>
  <c r="L1574" i="3"/>
  <c r="I1575" i="3"/>
  <c r="J1575" i="3"/>
  <c r="K1575" i="3"/>
  <c r="L1575" i="3"/>
  <c r="I1576" i="3"/>
  <c r="J1576" i="3"/>
  <c r="K1576" i="3"/>
  <c r="L1576" i="3"/>
  <c r="I1577" i="3"/>
  <c r="J1577" i="3"/>
  <c r="K1577" i="3"/>
  <c r="L1577" i="3"/>
  <c r="I1578" i="3"/>
  <c r="J1578" i="3"/>
  <c r="K1578" i="3"/>
  <c r="L1578" i="3"/>
  <c r="I1579" i="3"/>
  <c r="J1579" i="3"/>
  <c r="K1579" i="3"/>
  <c r="L1579" i="3"/>
  <c r="I1580" i="3"/>
  <c r="J1580" i="3"/>
  <c r="K1580" i="3"/>
  <c r="L1580" i="3"/>
  <c r="I1581" i="3"/>
  <c r="J1581" i="3"/>
  <c r="K1581" i="3"/>
  <c r="L1581" i="3"/>
  <c r="I1582" i="3"/>
  <c r="J1582" i="3"/>
  <c r="K1582" i="3"/>
  <c r="L1582" i="3"/>
  <c r="I1583" i="3"/>
  <c r="J1583" i="3"/>
  <c r="K1583" i="3"/>
  <c r="L1583" i="3"/>
  <c r="I1584" i="3"/>
  <c r="J1584" i="3"/>
  <c r="K1584" i="3"/>
  <c r="L1584" i="3"/>
  <c r="I1585" i="3"/>
  <c r="J1585" i="3"/>
  <c r="K1585" i="3"/>
  <c r="L1585" i="3"/>
  <c r="I1586" i="3"/>
  <c r="J1586" i="3"/>
  <c r="K1586" i="3"/>
  <c r="L1586" i="3"/>
  <c r="I1587" i="3"/>
  <c r="J1587" i="3"/>
  <c r="K1587" i="3"/>
  <c r="L1587" i="3"/>
  <c r="I1588" i="3"/>
  <c r="J1588" i="3"/>
  <c r="K1588" i="3"/>
  <c r="L1588" i="3"/>
  <c r="I1589" i="3"/>
  <c r="J1589" i="3"/>
  <c r="K1589" i="3"/>
  <c r="L1589" i="3"/>
  <c r="I1590" i="3"/>
  <c r="J1590" i="3"/>
  <c r="K1590" i="3"/>
  <c r="L1590" i="3"/>
  <c r="I1591" i="3"/>
  <c r="J1591" i="3"/>
  <c r="K1591" i="3"/>
  <c r="L1591" i="3"/>
  <c r="I1592" i="3"/>
  <c r="J1592" i="3"/>
  <c r="K1592" i="3"/>
  <c r="L1592" i="3"/>
  <c r="I1593" i="3"/>
  <c r="J1593" i="3"/>
  <c r="K1593" i="3"/>
  <c r="L1593" i="3"/>
  <c r="I1594" i="3"/>
  <c r="J1594" i="3"/>
  <c r="K1594" i="3"/>
  <c r="L1594" i="3"/>
  <c r="I1595" i="3"/>
  <c r="J1595" i="3"/>
  <c r="K1595" i="3"/>
  <c r="L1595" i="3"/>
  <c r="I1596" i="3"/>
  <c r="J1596" i="3"/>
  <c r="K1596" i="3"/>
  <c r="L1596" i="3"/>
  <c r="I1597" i="3"/>
  <c r="J1597" i="3"/>
  <c r="K1597" i="3"/>
  <c r="L1597" i="3"/>
  <c r="I1598" i="3"/>
  <c r="J1598" i="3"/>
  <c r="K1598" i="3"/>
  <c r="L1598" i="3"/>
  <c r="I1599" i="3"/>
  <c r="J1599" i="3"/>
  <c r="K1599" i="3"/>
  <c r="L1599" i="3"/>
  <c r="I1600" i="3"/>
  <c r="J1600" i="3"/>
  <c r="K1600" i="3"/>
  <c r="L1600" i="3"/>
  <c r="I1601" i="3"/>
  <c r="J1601" i="3"/>
  <c r="K1601" i="3"/>
  <c r="L1601" i="3"/>
  <c r="I1602" i="3"/>
  <c r="J1602" i="3"/>
  <c r="K1602" i="3"/>
  <c r="L1602" i="3"/>
  <c r="I1603" i="3"/>
  <c r="J1603" i="3"/>
  <c r="K1603" i="3"/>
  <c r="L1603" i="3"/>
  <c r="I1604" i="3"/>
  <c r="J1604" i="3"/>
  <c r="K1604" i="3"/>
  <c r="L1604" i="3"/>
  <c r="I1605" i="3"/>
  <c r="J1605" i="3"/>
  <c r="K1605" i="3"/>
  <c r="L1605" i="3"/>
  <c r="I1606" i="3"/>
  <c r="J1606" i="3"/>
  <c r="K1606" i="3"/>
  <c r="L1606" i="3"/>
  <c r="I1607" i="3"/>
  <c r="J1607" i="3"/>
  <c r="K1607" i="3"/>
  <c r="L1607" i="3"/>
  <c r="I1608" i="3"/>
  <c r="J1608" i="3"/>
  <c r="K1608" i="3"/>
  <c r="L1608" i="3"/>
  <c r="I1609" i="3"/>
  <c r="J1609" i="3"/>
  <c r="K1609" i="3"/>
  <c r="L1609" i="3"/>
  <c r="I1610" i="3"/>
  <c r="J1610" i="3"/>
  <c r="K1610" i="3"/>
  <c r="L1610" i="3"/>
  <c r="I1611" i="3"/>
  <c r="J1611" i="3"/>
  <c r="K1611" i="3"/>
  <c r="L1611" i="3"/>
  <c r="I1612" i="3"/>
  <c r="J1612" i="3"/>
  <c r="K1612" i="3"/>
  <c r="L1612" i="3"/>
  <c r="I1613" i="3"/>
  <c r="J1613" i="3"/>
  <c r="K1613" i="3"/>
  <c r="L1613" i="3"/>
  <c r="I1614" i="3"/>
  <c r="J1614" i="3"/>
  <c r="K1614" i="3"/>
  <c r="L1614" i="3"/>
  <c r="I1615" i="3"/>
  <c r="J1615" i="3"/>
  <c r="K1615" i="3"/>
  <c r="L1615" i="3"/>
  <c r="I1616" i="3"/>
  <c r="J1616" i="3"/>
  <c r="K1616" i="3"/>
  <c r="L1616" i="3"/>
  <c r="I1617" i="3"/>
  <c r="J1617" i="3"/>
  <c r="K1617" i="3"/>
  <c r="L1617" i="3"/>
  <c r="I1618" i="3"/>
  <c r="J1618" i="3"/>
  <c r="K1618" i="3"/>
  <c r="L1618" i="3"/>
  <c r="I1619" i="3"/>
  <c r="J1619" i="3"/>
  <c r="K1619" i="3"/>
  <c r="L1619" i="3"/>
  <c r="I1620" i="3"/>
  <c r="J1620" i="3"/>
  <c r="K1620" i="3"/>
  <c r="L1620" i="3"/>
  <c r="I1621" i="3"/>
  <c r="J1621" i="3"/>
  <c r="K1621" i="3"/>
  <c r="L1621" i="3"/>
  <c r="I1622" i="3"/>
  <c r="J1622" i="3"/>
  <c r="K1622" i="3"/>
  <c r="L1622" i="3"/>
  <c r="I1623" i="3"/>
  <c r="J1623" i="3"/>
  <c r="K1623" i="3"/>
  <c r="L1623" i="3"/>
  <c r="I1624" i="3"/>
  <c r="J1624" i="3"/>
  <c r="K1624" i="3"/>
  <c r="L1624" i="3"/>
  <c r="I1625" i="3"/>
  <c r="J1625" i="3"/>
  <c r="K1625" i="3"/>
  <c r="L1625" i="3"/>
  <c r="I1626" i="3"/>
  <c r="J1626" i="3"/>
  <c r="K1626" i="3"/>
  <c r="L1626" i="3"/>
  <c r="I1627" i="3"/>
  <c r="J1627" i="3"/>
  <c r="K1627" i="3"/>
  <c r="L1627" i="3"/>
  <c r="I1628" i="3"/>
  <c r="J1628" i="3"/>
  <c r="K1628" i="3"/>
  <c r="L1628" i="3"/>
  <c r="I1629" i="3"/>
  <c r="J1629" i="3"/>
  <c r="K1629" i="3"/>
  <c r="L1629" i="3"/>
  <c r="I1630" i="3"/>
  <c r="J1630" i="3"/>
  <c r="K1630" i="3"/>
  <c r="L1630" i="3"/>
  <c r="I1631" i="3"/>
  <c r="J1631" i="3"/>
  <c r="K1631" i="3"/>
  <c r="L1631" i="3"/>
  <c r="I1632" i="3"/>
  <c r="J1632" i="3"/>
  <c r="K1632" i="3"/>
  <c r="L1632" i="3"/>
  <c r="I1633" i="3"/>
  <c r="J1633" i="3"/>
  <c r="K1633" i="3"/>
  <c r="L1633" i="3"/>
  <c r="I1634" i="3"/>
  <c r="J1634" i="3"/>
  <c r="K1634" i="3"/>
  <c r="L1634" i="3"/>
  <c r="I1635" i="3"/>
  <c r="J1635" i="3"/>
  <c r="K1635" i="3"/>
  <c r="L1635" i="3"/>
  <c r="I1636" i="3"/>
  <c r="J1636" i="3"/>
  <c r="K1636" i="3"/>
  <c r="L1636" i="3"/>
  <c r="I1637" i="3"/>
  <c r="J1637" i="3"/>
  <c r="K1637" i="3"/>
  <c r="L1637" i="3"/>
  <c r="I1638" i="3"/>
  <c r="J1638" i="3"/>
  <c r="K1638" i="3"/>
  <c r="L1638" i="3"/>
  <c r="I1639" i="3"/>
  <c r="J1639" i="3"/>
  <c r="K1639" i="3"/>
  <c r="L1639" i="3"/>
  <c r="I1640" i="3"/>
  <c r="J1640" i="3"/>
  <c r="K1640" i="3"/>
  <c r="L1640" i="3"/>
  <c r="I1641" i="3"/>
  <c r="J1641" i="3"/>
  <c r="K1641" i="3"/>
  <c r="L1641" i="3"/>
  <c r="I1642" i="3"/>
  <c r="J1642" i="3"/>
  <c r="K1642" i="3"/>
  <c r="L1642" i="3"/>
  <c r="I1643" i="3"/>
  <c r="J1643" i="3"/>
  <c r="K1643" i="3"/>
  <c r="L1643" i="3"/>
  <c r="I1644" i="3"/>
  <c r="J1644" i="3"/>
  <c r="K1644" i="3"/>
  <c r="L1644" i="3"/>
  <c r="I1645" i="3"/>
  <c r="J1645" i="3"/>
  <c r="K1645" i="3"/>
  <c r="L1645" i="3"/>
  <c r="I1646" i="3"/>
  <c r="J1646" i="3"/>
  <c r="K1646" i="3"/>
  <c r="L1646" i="3"/>
  <c r="I1647" i="3"/>
  <c r="J1647" i="3"/>
  <c r="K1647" i="3"/>
  <c r="L1647" i="3"/>
  <c r="I1648" i="3"/>
  <c r="J1648" i="3"/>
  <c r="K1648" i="3"/>
  <c r="L1648" i="3"/>
  <c r="I1649" i="3"/>
  <c r="J1649" i="3"/>
  <c r="K1649" i="3"/>
  <c r="L1649" i="3"/>
  <c r="I1650" i="3"/>
  <c r="J1650" i="3"/>
  <c r="K1650" i="3"/>
  <c r="L1650" i="3"/>
  <c r="I1651" i="3"/>
  <c r="J1651" i="3"/>
  <c r="K1651" i="3"/>
  <c r="L1651" i="3"/>
  <c r="I1652" i="3"/>
  <c r="J1652" i="3"/>
  <c r="K1652" i="3"/>
  <c r="L1652" i="3"/>
  <c r="I1653" i="3"/>
  <c r="J1653" i="3"/>
  <c r="K1653" i="3"/>
  <c r="L1653" i="3"/>
  <c r="I1654" i="3"/>
  <c r="J1654" i="3"/>
  <c r="K1654" i="3"/>
  <c r="L1654" i="3"/>
  <c r="I1655" i="3"/>
  <c r="J1655" i="3"/>
  <c r="K1655" i="3"/>
  <c r="L1655" i="3"/>
  <c r="I1656" i="3"/>
  <c r="J1656" i="3"/>
  <c r="K1656" i="3"/>
  <c r="L1656" i="3"/>
  <c r="I1657" i="3"/>
  <c r="J1657" i="3"/>
  <c r="K1657" i="3"/>
  <c r="L1657" i="3"/>
  <c r="I1658" i="3"/>
  <c r="J1658" i="3"/>
  <c r="K1658" i="3"/>
  <c r="L1658" i="3"/>
  <c r="I1659" i="3"/>
  <c r="J1659" i="3"/>
  <c r="K1659" i="3"/>
  <c r="L1659" i="3"/>
  <c r="I1660" i="3"/>
  <c r="J1660" i="3"/>
  <c r="K1660" i="3"/>
  <c r="L1660" i="3"/>
  <c r="I1661" i="3"/>
  <c r="J1661" i="3"/>
  <c r="K1661" i="3"/>
  <c r="L1661" i="3"/>
  <c r="I1662" i="3"/>
  <c r="J1662" i="3"/>
  <c r="K1662" i="3"/>
  <c r="L1662" i="3"/>
  <c r="I1663" i="3"/>
  <c r="J1663" i="3"/>
  <c r="K1663" i="3"/>
  <c r="L1663" i="3"/>
  <c r="I1664" i="3"/>
  <c r="J1664" i="3"/>
  <c r="K1664" i="3"/>
  <c r="L1664" i="3"/>
  <c r="I1665" i="3"/>
  <c r="J1665" i="3"/>
  <c r="K1665" i="3"/>
  <c r="L1665" i="3"/>
  <c r="I1666" i="3"/>
  <c r="J1666" i="3"/>
  <c r="K1666" i="3"/>
  <c r="L1666" i="3"/>
  <c r="I1667" i="3"/>
  <c r="J1667" i="3"/>
  <c r="K1667" i="3"/>
  <c r="L1667" i="3"/>
  <c r="I1668" i="3"/>
  <c r="J1668" i="3"/>
  <c r="K1668" i="3"/>
  <c r="L1668" i="3"/>
  <c r="I1669" i="3"/>
  <c r="J1669" i="3"/>
  <c r="K1669" i="3"/>
  <c r="L1669" i="3"/>
  <c r="I1670" i="3"/>
  <c r="J1670" i="3"/>
  <c r="K1670" i="3"/>
  <c r="L1670" i="3"/>
  <c r="I1671" i="3"/>
  <c r="J1671" i="3"/>
  <c r="K1671" i="3"/>
  <c r="L1671" i="3"/>
  <c r="I1672" i="3"/>
  <c r="J1672" i="3"/>
  <c r="K1672" i="3"/>
  <c r="L1672" i="3"/>
  <c r="I1673" i="3"/>
  <c r="J1673" i="3"/>
  <c r="K1673" i="3"/>
  <c r="L1673" i="3"/>
  <c r="I1674" i="3"/>
  <c r="J1674" i="3"/>
  <c r="K1674" i="3"/>
  <c r="L1674" i="3"/>
  <c r="I1675" i="3"/>
  <c r="J1675" i="3"/>
  <c r="K1675" i="3"/>
  <c r="L1675" i="3"/>
  <c r="I1676" i="3"/>
  <c r="J1676" i="3"/>
  <c r="K1676" i="3"/>
  <c r="L1676" i="3"/>
  <c r="I1677" i="3"/>
  <c r="J1677" i="3"/>
  <c r="K1677" i="3"/>
  <c r="L1677" i="3"/>
  <c r="I1678" i="3"/>
  <c r="J1678" i="3"/>
  <c r="K1678" i="3"/>
  <c r="L1678" i="3"/>
  <c r="I1679" i="3"/>
  <c r="J1679" i="3"/>
  <c r="K1679" i="3"/>
  <c r="L1679" i="3"/>
  <c r="I1680" i="3"/>
  <c r="J1680" i="3"/>
  <c r="K1680" i="3"/>
  <c r="L1680" i="3"/>
  <c r="I1681" i="3"/>
  <c r="J1681" i="3"/>
  <c r="K1681" i="3"/>
  <c r="L1681" i="3"/>
  <c r="I1682" i="3"/>
  <c r="J1682" i="3"/>
  <c r="K1682" i="3"/>
  <c r="L1682" i="3"/>
  <c r="I1683" i="3"/>
  <c r="J1683" i="3"/>
  <c r="K1683" i="3"/>
  <c r="L1683" i="3"/>
  <c r="I1684" i="3"/>
  <c r="J1684" i="3"/>
  <c r="K1684" i="3"/>
  <c r="L1684" i="3"/>
  <c r="I1685" i="3"/>
  <c r="J1685" i="3"/>
  <c r="K1685" i="3"/>
  <c r="L1685" i="3"/>
  <c r="I1686" i="3"/>
  <c r="J1686" i="3"/>
  <c r="K1686" i="3"/>
  <c r="L1686" i="3"/>
  <c r="I1687" i="3"/>
  <c r="J1687" i="3"/>
  <c r="K1687" i="3"/>
  <c r="L1687" i="3"/>
  <c r="I1688" i="3"/>
  <c r="J1688" i="3"/>
  <c r="K1688" i="3"/>
  <c r="L1688" i="3"/>
  <c r="I1689" i="3"/>
  <c r="J1689" i="3"/>
  <c r="K1689" i="3"/>
  <c r="L1689" i="3"/>
  <c r="I1690" i="3"/>
  <c r="J1690" i="3"/>
  <c r="K1690" i="3"/>
  <c r="L1690" i="3"/>
  <c r="I1691" i="3"/>
  <c r="J1691" i="3"/>
  <c r="K1691" i="3"/>
  <c r="L1691" i="3"/>
  <c r="I1692" i="3"/>
  <c r="J1692" i="3"/>
  <c r="K1692" i="3"/>
  <c r="L1692" i="3"/>
  <c r="I1693" i="3"/>
  <c r="J1693" i="3"/>
  <c r="K1693" i="3"/>
  <c r="L1693" i="3"/>
  <c r="I1694" i="3"/>
  <c r="J1694" i="3"/>
  <c r="K1694" i="3"/>
  <c r="L1694" i="3"/>
  <c r="I1695" i="3"/>
  <c r="J1695" i="3"/>
  <c r="K1695" i="3"/>
  <c r="L1695" i="3"/>
  <c r="I1696" i="3"/>
  <c r="J1696" i="3"/>
  <c r="K1696" i="3"/>
  <c r="L1696" i="3"/>
  <c r="I1697" i="3"/>
  <c r="J1697" i="3"/>
  <c r="K1697" i="3"/>
  <c r="L1697" i="3"/>
  <c r="I1698" i="3"/>
  <c r="J1698" i="3"/>
  <c r="K1698" i="3"/>
  <c r="L1698" i="3"/>
  <c r="I1699" i="3"/>
  <c r="J1699" i="3"/>
  <c r="K1699" i="3"/>
  <c r="L1699" i="3"/>
  <c r="I1700" i="3"/>
  <c r="J1700" i="3"/>
  <c r="K1700" i="3"/>
  <c r="L1700" i="3"/>
  <c r="I1701" i="3"/>
  <c r="J1701" i="3"/>
  <c r="K1701" i="3"/>
  <c r="L1701" i="3"/>
  <c r="I1702" i="3"/>
  <c r="J1702" i="3"/>
  <c r="K1702" i="3"/>
  <c r="L1702" i="3"/>
  <c r="I1703" i="3"/>
  <c r="J1703" i="3"/>
  <c r="K1703" i="3"/>
  <c r="L1703" i="3"/>
  <c r="I1704" i="3"/>
  <c r="J1704" i="3"/>
  <c r="K1704" i="3"/>
  <c r="L1704" i="3"/>
  <c r="I1705" i="3"/>
  <c r="J1705" i="3"/>
  <c r="K1705" i="3"/>
  <c r="L1705" i="3"/>
  <c r="I1706" i="3"/>
  <c r="J1706" i="3"/>
  <c r="K1706" i="3"/>
  <c r="L1706" i="3"/>
  <c r="I1707" i="3"/>
  <c r="J1707" i="3"/>
  <c r="K1707" i="3"/>
  <c r="L1707" i="3"/>
  <c r="I1708" i="3"/>
  <c r="J1708" i="3"/>
  <c r="K1708" i="3"/>
  <c r="L1708" i="3"/>
  <c r="I1709" i="3"/>
  <c r="J1709" i="3"/>
  <c r="K1709" i="3"/>
  <c r="L1709" i="3"/>
  <c r="I1710" i="3"/>
  <c r="J1710" i="3"/>
  <c r="K1710" i="3"/>
  <c r="L1710" i="3"/>
  <c r="I1711" i="3"/>
  <c r="J1711" i="3"/>
  <c r="K1711" i="3"/>
  <c r="L1711" i="3"/>
  <c r="I1712" i="3"/>
  <c r="J1712" i="3"/>
  <c r="K1712" i="3"/>
  <c r="L1712" i="3"/>
  <c r="I1713" i="3"/>
  <c r="J1713" i="3"/>
  <c r="K1713" i="3"/>
  <c r="L1713" i="3"/>
  <c r="I1714" i="3"/>
  <c r="J1714" i="3"/>
  <c r="K1714" i="3"/>
  <c r="L1714" i="3"/>
  <c r="I1715" i="3"/>
  <c r="J1715" i="3"/>
  <c r="K1715" i="3"/>
  <c r="L1715" i="3"/>
  <c r="I1716" i="3"/>
  <c r="J1716" i="3"/>
  <c r="K1716" i="3"/>
  <c r="L1716" i="3"/>
  <c r="I1717" i="3"/>
  <c r="J1717" i="3"/>
  <c r="K1717" i="3"/>
  <c r="L1717" i="3"/>
  <c r="I1718" i="3"/>
  <c r="J1718" i="3"/>
  <c r="K1718" i="3"/>
  <c r="L1718" i="3"/>
  <c r="I1719" i="3"/>
  <c r="J1719" i="3"/>
  <c r="K1719" i="3"/>
  <c r="L1719" i="3"/>
  <c r="I1720" i="3"/>
  <c r="J1720" i="3"/>
  <c r="K1720" i="3"/>
  <c r="L1720" i="3"/>
  <c r="I1721" i="3"/>
  <c r="J1721" i="3"/>
  <c r="K1721" i="3"/>
  <c r="L1721" i="3"/>
  <c r="I1722" i="3"/>
  <c r="J1722" i="3"/>
  <c r="K1722" i="3"/>
  <c r="L1722" i="3"/>
  <c r="I1723" i="3"/>
  <c r="J1723" i="3"/>
  <c r="K1723" i="3"/>
  <c r="L1723" i="3"/>
  <c r="I1724" i="3"/>
  <c r="J1724" i="3"/>
  <c r="K1724" i="3"/>
  <c r="L1724" i="3"/>
  <c r="I1725" i="3"/>
  <c r="J1725" i="3"/>
  <c r="K1725" i="3"/>
  <c r="L1725" i="3"/>
  <c r="I1726" i="3"/>
  <c r="J1726" i="3"/>
  <c r="K1726" i="3"/>
  <c r="L1726" i="3"/>
  <c r="I1727" i="3"/>
  <c r="J1727" i="3"/>
  <c r="K1727" i="3"/>
  <c r="L1727" i="3"/>
  <c r="I1728" i="3"/>
  <c r="J1728" i="3"/>
  <c r="K1728" i="3"/>
  <c r="L1728" i="3"/>
  <c r="I1729" i="3"/>
  <c r="J1729" i="3"/>
  <c r="K1729" i="3"/>
  <c r="L1729" i="3"/>
  <c r="I1730" i="3"/>
  <c r="J1730" i="3"/>
  <c r="K1730" i="3"/>
  <c r="L1730" i="3"/>
  <c r="I1731" i="3"/>
  <c r="J1731" i="3"/>
  <c r="K1731" i="3"/>
  <c r="L1731" i="3"/>
  <c r="I1732" i="3"/>
  <c r="J1732" i="3"/>
  <c r="K1732" i="3"/>
  <c r="L1732" i="3"/>
  <c r="I1733" i="3"/>
  <c r="J1733" i="3"/>
  <c r="K1733" i="3"/>
  <c r="L1733" i="3"/>
  <c r="I1734" i="3"/>
  <c r="J1734" i="3"/>
  <c r="K1734" i="3"/>
  <c r="L1734" i="3"/>
  <c r="I1735" i="3"/>
  <c r="J1735" i="3"/>
  <c r="K1735" i="3"/>
  <c r="L1735" i="3"/>
  <c r="I1736" i="3"/>
  <c r="J1736" i="3"/>
  <c r="K1736" i="3"/>
  <c r="L1736" i="3"/>
  <c r="I1737" i="3"/>
  <c r="J1737" i="3"/>
  <c r="K1737" i="3"/>
  <c r="L1737" i="3"/>
  <c r="I1738" i="3"/>
  <c r="J1738" i="3"/>
  <c r="K1738" i="3"/>
  <c r="L1738" i="3"/>
  <c r="I1739" i="3"/>
  <c r="J1739" i="3"/>
  <c r="K1739" i="3"/>
  <c r="L1739" i="3"/>
  <c r="I1740" i="3"/>
  <c r="J1740" i="3"/>
  <c r="K1740" i="3"/>
  <c r="L1740" i="3"/>
  <c r="I1741" i="3"/>
  <c r="J1741" i="3"/>
  <c r="K1741" i="3"/>
  <c r="L1741" i="3"/>
  <c r="I1742" i="3"/>
  <c r="J1742" i="3"/>
  <c r="K1742" i="3"/>
  <c r="L1742" i="3"/>
  <c r="I1743" i="3"/>
  <c r="J1743" i="3"/>
  <c r="K1743" i="3"/>
  <c r="L1743" i="3"/>
  <c r="I1744" i="3"/>
  <c r="J1744" i="3"/>
  <c r="K1744" i="3"/>
  <c r="L1744" i="3"/>
  <c r="I1745" i="3"/>
  <c r="J1745" i="3"/>
  <c r="K1745" i="3"/>
  <c r="L1745" i="3"/>
  <c r="I1746" i="3"/>
  <c r="J1746" i="3"/>
  <c r="K1746" i="3"/>
  <c r="L1746" i="3"/>
  <c r="I1747" i="3"/>
  <c r="J1747" i="3"/>
  <c r="K1747" i="3"/>
  <c r="L1747" i="3"/>
  <c r="I1748" i="3"/>
  <c r="J1748" i="3"/>
  <c r="K1748" i="3"/>
  <c r="L1748" i="3"/>
  <c r="I1749" i="3"/>
  <c r="J1749" i="3"/>
  <c r="K1749" i="3"/>
  <c r="L1749" i="3"/>
  <c r="I1750" i="3"/>
  <c r="J1750" i="3"/>
  <c r="K1750" i="3"/>
  <c r="L1750" i="3"/>
  <c r="I1751" i="3"/>
  <c r="J1751" i="3"/>
  <c r="K1751" i="3"/>
  <c r="L1751" i="3"/>
  <c r="I1752" i="3"/>
  <c r="J1752" i="3"/>
  <c r="K1752" i="3"/>
  <c r="L1752" i="3"/>
  <c r="I1753" i="3"/>
  <c r="J1753" i="3"/>
  <c r="K1753" i="3"/>
  <c r="L1753" i="3"/>
  <c r="I1754" i="3"/>
  <c r="J1754" i="3"/>
  <c r="K1754" i="3"/>
  <c r="L1754" i="3"/>
  <c r="I1755" i="3"/>
  <c r="J1755" i="3"/>
  <c r="K1755" i="3"/>
  <c r="L1755" i="3"/>
  <c r="I1756" i="3"/>
  <c r="J1756" i="3"/>
  <c r="K1756" i="3"/>
  <c r="L1756" i="3"/>
  <c r="I1757" i="3"/>
  <c r="J1757" i="3"/>
  <c r="K1757" i="3"/>
  <c r="L1757" i="3"/>
  <c r="I1758" i="3"/>
  <c r="J1758" i="3"/>
  <c r="K1758" i="3"/>
  <c r="L1758" i="3"/>
  <c r="I1759" i="3"/>
  <c r="J1759" i="3"/>
  <c r="K1759" i="3"/>
  <c r="L1759" i="3"/>
  <c r="I1760" i="3"/>
  <c r="J1760" i="3"/>
  <c r="K1760" i="3"/>
  <c r="L1760" i="3"/>
  <c r="I1761" i="3"/>
  <c r="J1761" i="3"/>
  <c r="K1761" i="3"/>
  <c r="L1761" i="3"/>
  <c r="I1762" i="3"/>
  <c r="J1762" i="3"/>
  <c r="K1762" i="3"/>
  <c r="L1762" i="3"/>
  <c r="I1763" i="3"/>
  <c r="J1763" i="3"/>
  <c r="K1763" i="3"/>
  <c r="L1763" i="3"/>
  <c r="I1764" i="3"/>
  <c r="J1764" i="3"/>
  <c r="K1764" i="3"/>
  <c r="L1764" i="3"/>
  <c r="I1765" i="3"/>
  <c r="J1765" i="3"/>
  <c r="K1765" i="3"/>
  <c r="L1765" i="3"/>
  <c r="I1766" i="3"/>
  <c r="J1766" i="3"/>
  <c r="K1766" i="3"/>
  <c r="L1766" i="3"/>
  <c r="I1767" i="3"/>
  <c r="J1767" i="3"/>
  <c r="K1767" i="3"/>
  <c r="L1767" i="3"/>
  <c r="I1768" i="3"/>
  <c r="J1768" i="3"/>
  <c r="K1768" i="3"/>
  <c r="L1768" i="3"/>
  <c r="I1769" i="3"/>
  <c r="J1769" i="3"/>
  <c r="K1769" i="3"/>
  <c r="L1769" i="3"/>
  <c r="I1770" i="3"/>
  <c r="J1770" i="3"/>
  <c r="K1770" i="3"/>
  <c r="L1770" i="3"/>
  <c r="I1771" i="3"/>
  <c r="J1771" i="3"/>
  <c r="K1771" i="3"/>
  <c r="L1771" i="3"/>
  <c r="I1772" i="3"/>
  <c r="J1772" i="3"/>
  <c r="K1772" i="3"/>
  <c r="L1772" i="3"/>
  <c r="I1773" i="3"/>
  <c r="J1773" i="3"/>
  <c r="K1773" i="3"/>
  <c r="L1773" i="3"/>
  <c r="I1774" i="3"/>
  <c r="J1774" i="3"/>
  <c r="K1774" i="3"/>
  <c r="L1774" i="3"/>
  <c r="I1775" i="3"/>
  <c r="J1775" i="3"/>
  <c r="K1775" i="3"/>
  <c r="L1775" i="3"/>
  <c r="I1776" i="3"/>
  <c r="J1776" i="3"/>
  <c r="K1776" i="3"/>
  <c r="L1776" i="3"/>
  <c r="I1777" i="3"/>
  <c r="J1777" i="3"/>
  <c r="K1777" i="3"/>
  <c r="L1777" i="3"/>
  <c r="I1778" i="3"/>
  <c r="J1778" i="3"/>
  <c r="K1778" i="3"/>
  <c r="L1778" i="3"/>
  <c r="I1779" i="3"/>
  <c r="J1779" i="3"/>
  <c r="K1779" i="3"/>
  <c r="L1779" i="3"/>
  <c r="I1780" i="3"/>
  <c r="J1780" i="3"/>
  <c r="K1780" i="3"/>
  <c r="L1780" i="3"/>
  <c r="I1781" i="3"/>
  <c r="J1781" i="3"/>
  <c r="K1781" i="3"/>
  <c r="L1781" i="3"/>
  <c r="I1782" i="3"/>
  <c r="J1782" i="3"/>
  <c r="K1782" i="3"/>
  <c r="L1782" i="3"/>
  <c r="I1783" i="3"/>
  <c r="J1783" i="3"/>
  <c r="K1783" i="3"/>
  <c r="L1783" i="3"/>
  <c r="I1784" i="3"/>
  <c r="J1784" i="3"/>
  <c r="K1784" i="3"/>
  <c r="L1784" i="3"/>
  <c r="I1785" i="3"/>
  <c r="J1785" i="3"/>
  <c r="K1785" i="3"/>
  <c r="L1785" i="3"/>
  <c r="I1786" i="3"/>
  <c r="J1786" i="3"/>
  <c r="K1786" i="3"/>
  <c r="L1786" i="3"/>
  <c r="I1787" i="3"/>
  <c r="J1787" i="3"/>
  <c r="K1787" i="3"/>
  <c r="L1787" i="3"/>
  <c r="I1788" i="3"/>
  <c r="J1788" i="3"/>
  <c r="K1788" i="3"/>
  <c r="L1788" i="3"/>
  <c r="I1789" i="3"/>
  <c r="J1789" i="3"/>
  <c r="K1789" i="3"/>
  <c r="L1789" i="3"/>
  <c r="I1790" i="3"/>
  <c r="J1790" i="3"/>
  <c r="K1790" i="3"/>
  <c r="L1790" i="3"/>
  <c r="I1791" i="3"/>
  <c r="J1791" i="3"/>
  <c r="K1791" i="3"/>
  <c r="L1791" i="3"/>
  <c r="I1792" i="3"/>
  <c r="J1792" i="3"/>
  <c r="K1792" i="3"/>
  <c r="L1792" i="3"/>
  <c r="I1793" i="3"/>
  <c r="J1793" i="3"/>
  <c r="K1793" i="3"/>
  <c r="L1793" i="3"/>
  <c r="I1794" i="3"/>
  <c r="J1794" i="3"/>
  <c r="K1794" i="3"/>
  <c r="L1794" i="3"/>
  <c r="I1795" i="3"/>
  <c r="J1795" i="3"/>
  <c r="K1795" i="3"/>
  <c r="L1795" i="3"/>
  <c r="I1796" i="3"/>
  <c r="J1796" i="3"/>
  <c r="K1796" i="3"/>
  <c r="L1796" i="3"/>
  <c r="I1797" i="3"/>
  <c r="J1797" i="3"/>
  <c r="K1797" i="3"/>
  <c r="L1797" i="3"/>
  <c r="I1798" i="3"/>
  <c r="J1798" i="3"/>
  <c r="K1798" i="3"/>
  <c r="L1798" i="3"/>
  <c r="I1799" i="3"/>
  <c r="J1799" i="3"/>
  <c r="K1799" i="3"/>
  <c r="L1799" i="3"/>
  <c r="I1800" i="3"/>
  <c r="J1800" i="3"/>
  <c r="K1800" i="3"/>
  <c r="L1800" i="3"/>
  <c r="I1801" i="3"/>
  <c r="J1801" i="3"/>
  <c r="K1801" i="3"/>
  <c r="L1801" i="3"/>
  <c r="I1802" i="3"/>
  <c r="J1802" i="3"/>
  <c r="K1802" i="3"/>
  <c r="L1802" i="3"/>
  <c r="I1803" i="3"/>
  <c r="J1803" i="3"/>
  <c r="K1803" i="3"/>
  <c r="L1803" i="3"/>
  <c r="I1804" i="3"/>
  <c r="J1804" i="3"/>
  <c r="K1804" i="3"/>
  <c r="L1804" i="3"/>
  <c r="I1805" i="3"/>
  <c r="J1805" i="3"/>
  <c r="K1805" i="3"/>
  <c r="L1805" i="3"/>
  <c r="I1806" i="3"/>
  <c r="J1806" i="3"/>
  <c r="K1806" i="3"/>
  <c r="L1806" i="3"/>
  <c r="I1807" i="3"/>
  <c r="J1807" i="3"/>
  <c r="K1807" i="3"/>
  <c r="L1807" i="3"/>
  <c r="I1808" i="3"/>
  <c r="J1808" i="3"/>
  <c r="K1808" i="3"/>
  <c r="L1808" i="3"/>
  <c r="I1809" i="3"/>
  <c r="J1809" i="3"/>
  <c r="K1809" i="3"/>
  <c r="L1809" i="3"/>
  <c r="I1810" i="3"/>
  <c r="J1810" i="3"/>
  <c r="K1810" i="3"/>
  <c r="L1810" i="3"/>
  <c r="I1811" i="3"/>
  <c r="J1811" i="3"/>
  <c r="K1811" i="3"/>
  <c r="L1811" i="3"/>
  <c r="I1812" i="3"/>
  <c r="J1812" i="3"/>
  <c r="K1812" i="3"/>
  <c r="L1812" i="3"/>
  <c r="I1813" i="3"/>
  <c r="J1813" i="3"/>
  <c r="K1813" i="3"/>
  <c r="L1813" i="3"/>
  <c r="I1814" i="3"/>
  <c r="J1814" i="3"/>
  <c r="K1814" i="3"/>
  <c r="L1814" i="3"/>
  <c r="I1815" i="3"/>
  <c r="J1815" i="3"/>
  <c r="K1815" i="3"/>
  <c r="L1815" i="3"/>
  <c r="I1816" i="3"/>
  <c r="J1816" i="3"/>
  <c r="K1816" i="3"/>
  <c r="L1816" i="3"/>
  <c r="I1817" i="3"/>
  <c r="J1817" i="3"/>
  <c r="K1817" i="3"/>
  <c r="L1817" i="3"/>
  <c r="I1818" i="3"/>
  <c r="J1818" i="3"/>
  <c r="K1818" i="3"/>
  <c r="L1818" i="3"/>
  <c r="I1819" i="3"/>
  <c r="J1819" i="3"/>
  <c r="K1819" i="3"/>
  <c r="L1819" i="3"/>
  <c r="I1820" i="3"/>
  <c r="J1820" i="3"/>
  <c r="K1820" i="3"/>
  <c r="L1820" i="3"/>
  <c r="I1821" i="3"/>
  <c r="J1821" i="3"/>
  <c r="K1821" i="3"/>
  <c r="L1821" i="3"/>
  <c r="I1822" i="3"/>
  <c r="J1822" i="3"/>
  <c r="K1822" i="3"/>
  <c r="L1822" i="3"/>
  <c r="I1823" i="3"/>
  <c r="J1823" i="3"/>
  <c r="K1823" i="3"/>
  <c r="L1823" i="3"/>
  <c r="I1824" i="3"/>
  <c r="J1824" i="3"/>
  <c r="K1824" i="3"/>
  <c r="L1824" i="3"/>
  <c r="I1825" i="3"/>
  <c r="J1825" i="3"/>
  <c r="K1825" i="3"/>
  <c r="L1825" i="3"/>
  <c r="I1826" i="3"/>
  <c r="J1826" i="3"/>
  <c r="K1826" i="3"/>
  <c r="L1826" i="3"/>
  <c r="I1827" i="3"/>
  <c r="J1827" i="3"/>
  <c r="K1827" i="3"/>
  <c r="L1827" i="3"/>
  <c r="I1828" i="3"/>
  <c r="J1828" i="3"/>
  <c r="K1828" i="3"/>
  <c r="L1828" i="3"/>
  <c r="I1829" i="3"/>
  <c r="J1829" i="3"/>
  <c r="K1829" i="3"/>
  <c r="L1829" i="3"/>
  <c r="I1830" i="3"/>
  <c r="J1830" i="3"/>
  <c r="K1830" i="3"/>
  <c r="L1830" i="3"/>
  <c r="I1831" i="3"/>
  <c r="J1831" i="3"/>
  <c r="K1831" i="3"/>
  <c r="L1831" i="3"/>
  <c r="I1832" i="3"/>
  <c r="J1832" i="3"/>
  <c r="K1832" i="3"/>
  <c r="L1832" i="3"/>
  <c r="I1833" i="3"/>
  <c r="J1833" i="3"/>
  <c r="K1833" i="3"/>
  <c r="L1833" i="3"/>
  <c r="I1834" i="3"/>
  <c r="J1834" i="3"/>
  <c r="K1834" i="3"/>
  <c r="L1834" i="3"/>
  <c r="I1835" i="3"/>
  <c r="J1835" i="3"/>
  <c r="K1835" i="3"/>
  <c r="L1835" i="3"/>
  <c r="I1836" i="3"/>
  <c r="J1836" i="3"/>
  <c r="K1836" i="3"/>
  <c r="L1836" i="3"/>
  <c r="I1837" i="3"/>
  <c r="J1837" i="3"/>
  <c r="K1837" i="3"/>
  <c r="L1837" i="3"/>
  <c r="I1838" i="3"/>
  <c r="J1838" i="3"/>
  <c r="K1838" i="3"/>
  <c r="L1838" i="3"/>
  <c r="I1839" i="3"/>
  <c r="J1839" i="3"/>
  <c r="K1839" i="3"/>
  <c r="L1839" i="3"/>
  <c r="I1840" i="3"/>
  <c r="J1840" i="3"/>
  <c r="K1840" i="3"/>
  <c r="L1840" i="3"/>
  <c r="I1841" i="3"/>
  <c r="J1841" i="3"/>
  <c r="K1841" i="3"/>
  <c r="L1841" i="3"/>
  <c r="I1842" i="3"/>
  <c r="J1842" i="3"/>
  <c r="K1842" i="3"/>
  <c r="L1842" i="3"/>
  <c r="I1843" i="3"/>
  <c r="J1843" i="3"/>
  <c r="K1843" i="3"/>
  <c r="L1843" i="3"/>
  <c r="I1844" i="3"/>
  <c r="J1844" i="3"/>
  <c r="K1844" i="3"/>
  <c r="L1844" i="3"/>
  <c r="I1845" i="3"/>
  <c r="J1845" i="3"/>
  <c r="K1845" i="3"/>
  <c r="L1845" i="3"/>
  <c r="I1846" i="3"/>
  <c r="J1846" i="3"/>
  <c r="K1846" i="3"/>
  <c r="L1846" i="3"/>
  <c r="I1847" i="3"/>
  <c r="J1847" i="3"/>
  <c r="K1847" i="3"/>
  <c r="L1847" i="3"/>
  <c r="I1848" i="3"/>
  <c r="J1848" i="3"/>
  <c r="K1848" i="3"/>
  <c r="L1848" i="3"/>
  <c r="I1849" i="3"/>
  <c r="J1849" i="3"/>
  <c r="K1849" i="3"/>
  <c r="L1849" i="3"/>
  <c r="I1850" i="3"/>
  <c r="J1850" i="3"/>
  <c r="K1850" i="3"/>
  <c r="L1850" i="3"/>
  <c r="I1851" i="3"/>
  <c r="J1851" i="3"/>
  <c r="K1851" i="3"/>
  <c r="L1851" i="3"/>
  <c r="I1852" i="3"/>
  <c r="J1852" i="3"/>
  <c r="K1852" i="3"/>
  <c r="L1852" i="3"/>
  <c r="I1853" i="3"/>
  <c r="J1853" i="3"/>
  <c r="K1853" i="3"/>
  <c r="L1853" i="3"/>
  <c r="I1854" i="3"/>
  <c r="J1854" i="3"/>
  <c r="K1854" i="3"/>
  <c r="L1854" i="3"/>
  <c r="I1855" i="3"/>
  <c r="J1855" i="3"/>
  <c r="K1855" i="3"/>
  <c r="L1855" i="3"/>
  <c r="I1856" i="3"/>
  <c r="J1856" i="3"/>
  <c r="K1856" i="3"/>
  <c r="L1856" i="3"/>
  <c r="I1857" i="3"/>
  <c r="J1857" i="3"/>
  <c r="K1857" i="3"/>
  <c r="L1857" i="3"/>
  <c r="I1858" i="3"/>
  <c r="J1858" i="3"/>
  <c r="K1858" i="3"/>
  <c r="L1858" i="3"/>
  <c r="I1859" i="3"/>
  <c r="J1859" i="3"/>
  <c r="K1859" i="3"/>
  <c r="L1859" i="3"/>
  <c r="I1860" i="3"/>
  <c r="J1860" i="3"/>
  <c r="K1860" i="3"/>
  <c r="L1860" i="3"/>
  <c r="I1861" i="3"/>
  <c r="J1861" i="3"/>
  <c r="K1861" i="3"/>
  <c r="L1861" i="3"/>
  <c r="I1862" i="3"/>
  <c r="J1862" i="3"/>
  <c r="K1862" i="3"/>
  <c r="L1862" i="3"/>
  <c r="I1863" i="3"/>
  <c r="J1863" i="3"/>
  <c r="K1863" i="3"/>
  <c r="L1863" i="3"/>
  <c r="I1864" i="3"/>
  <c r="J1864" i="3"/>
  <c r="K1864" i="3"/>
  <c r="L1864" i="3"/>
  <c r="I1865" i="3"/>
  <c r="J1865" i="3"/>
  <c r="K1865" i="3"/>
  <c r="L1865" i="3"/>
  <c r="I1866" i="3"/>
  <c r="J1866" i="3"/>
  <c r="K1866" i="3"/>
  <c r="L1866" i="3"/>
  <c r="I1867" i="3"/>
  <c r="J1867" i="3"/>
  <c r="K1867" i="3"/>
  <c r="L1867" i="3"/>
  <c r="I1868" i="3"/>
  <c r="J1868" i="3"/>
  <c r="K1868" i="3"/>
  <c r="L1868" i="3"/>
  <c r="I1869" i="3"/>
  <c r="J1869" i="3"/>
  <c r="K1869" i="3"/>
  <c r="L1869" i="3"/>
  <c r="I1870" i="3"/>
  <c r="J1870" i="3"/>
  <c r="K1870" i="3"/>
  <c r="L1870" i="3"/>
  <c r="I1871" i="3"/>
  <c r="J1871" i="3"/>
  <c r="K1871" i="3"/>
  <c r="L1871" i="3"/>
  <c r="I1872" i="3"/>
  <c r="J1872" i="3"/>
  <c r="K1872" i="3"/>
  <c r="L1872" i="3"/>
  <c r="I1873" i="3"/>
  <c r="J1873" i="3"/>
  <c r="K1873" i="3"/>
  <c r="L1873" i="3"/>
  <c r="I1874" i="3"/>
  <c r="J1874" i="3"/>
  <c r="K1874" i="3"/>
  <c r="L1874" i="3"/>
  <c r="I1875" i="3"/>
  <c r="J1875" i="3"/>
  <c r="K1875" i="3"/>
  <c r="L1875" i="3"/>
  <c r="I1876" i="3"/>
  <c r="J1876" i="3"/>
  <c r="K1876" i="3"/>
  <c r="L1876" i="3"/>
  <c r="I1877" i="3"/>
  <c r="J1877" i="3"/>
  <c r="K1877" i="3"/>
  <c r="L1877" i="3"/>
  <c r="I1878" i="3"/>
  <c r="J1878" i="3"/>
  <c r="K1878" i="3"/>
  <c r="L1878" i="3"/>
  <c r="I1879" i="3"/>
  <c r="J1879" i="3"/>
  <c r="K1879" i="3"/>
  <c r="L1879" i="3"/>
  <c r="I1880" i="3"/>
  <c r="J1880" i="3"/>
  <c r="K1880" i="3"/>
  <c r="L1880" i="3"/>
  <c r="I1881" i="3"/>
  <c r="J1881" i="3"/>
  <c r="K1881" i="3"/>
  <c r="L1881" i="3"/>
  <c r="I1882" i="3"/>
  <c r="J1882" i="3"/>
  <c r="K1882" i="3"/>
  <c r="L1882" i="3"/>
  <c r="I1883" i="3"/>
  <c r="J1883" i="3"/>
  <c r="K1883" i="3"/>
  <c r="L1883" i="3"/>
  <c r="I1884" i="3"/>
  <c r="J1884" i="3"/>
  <c r="K1884" i="3"/>
  <c r="L1884" i="3"/>
  <c r="I1885" i="3"/>
  <c r="J1885" i="3"/>
  <c r="K1885" i="3"/>
  <c r="L1885" i="3"/>
  <c r="I1886" i="3"/>
  <c r="J1886" i="3"/>
  <c r="K1886" i="3"/>
  <c r="L1886" i="3"/>
  <c r="I1887" i="3"/>
  <c r="J1887" i="3"/>
  <c r="K1887" i="3"/>
  <c r="L1887" i="3"/>
  <c r="I1888" i="3"/>
  <c r="J1888" i="3"/>
  <c r="K1888" i="3"/>
  <c r="L1888" i="3"/>
  <c r="I1889" i="3"/>
  <c r="J1889" i="3"/>
  <c r="K1889" i="3"/>
  <c r="L1889" i="3"/>
  <c r="I1890" i="3"/>
  <c r="J1890" i="3"/>
  <c r="K1890" i="3"/>
  <c r="L1890" i="3"/>
  <c r="I1891" i="3"/>
  <c r="J1891" i="3"/>
  <c r="K1891" i="3"/>
  <c r="L1891" i="3"/>
  <c r="I1892" i="3"/>
  <c r="J1892" i="3"/>
  <c r="K1892" i="3"/>
  <c r="L1892" i="3"/>
  <c r="I1893" i="3"/>
  <c r="J1893" i="3"/>
  <c r="K1893" i="3"/>
  <c r="L1893" i="3"/>
  <c r="I1894" i="3"/>
  <c r="J1894" i="3"/>
  <c r="K1894" i="3"/>
  <c r="L1894" i="3"/>
  <c r="I1895" i="3"/>
  <c r="J1895" i="3"/>
  <c r="K1895" i="3"/>
  <c r="L1895" i="3"/>
  <c r="I1896" i="3"/>
  <c r="J1896" i="3"/>
  <c r="K1896" i="3"/>
  <c r="L1896" i="3"/>
  <c r="I1897" i="3"/>
  <c r="J1897" i="3"/>
  <c r="K1897" i="3"/>
  <c r="L1897" i="3"/>
  <c r="I1898" i="3"/>
  <c r="J1898" i="3"/>
  <c r="K1898" i="3"/>
  <c r="L1898" i="3"/>
  <c r="I1899" i="3"/>
  <c r="J1899" i="3"/>
  <c r="K1899" i="3"/>
  <c r="L1899" i="3"/>
  <c r="I1900" i="3"/>
  <c r="J1900" i="3"/>
  <c r="K1900" i="3"/>
  <c r="L1900" i="3"/>
  <c r="I1901" i="3"/>
  <c r="J1901" i="3"/>
  <c r="K1901" i="3"/>
  <c r="L1901" i="3"/>
  <c r="I1902" i="3"/>
  <c r="J1902" i="3"/>
  <c r="K1902" i="3"/>
  <c r="L1902" i="3"/>
  <c r="I1903" i="3"/>
  <c r="J1903" i="3"/>
  <c r="K1903" i="3"/>
  <c r="L1903" i="3"/>
  <c r="I1904" i="3"/>
  <c r="J1904" i="3"/>
  <c r="K1904" i="3"/>
  <c r="L1904" i="3"/>
  <c r="I1905" i="3"/>
  <c r="J1905" i="3"/>
  <c r="K1905" i="3"/>
  <c r="L1905" i="3"/>
  <c r="I1906" i="3"/>
  <c r="J1906" i="3"/>
  <c r="K1906" i="3"/>
  <c r="L1906" i="3"/>
  <c r="I1907" i="3"/>
  <c r="J1907" i="3"/>
  <c r="K1907" i="3"/>
  <c r="L1907" i="3"/>
  <c r="I1908" i="3"/>
  <c r="J1908" i="3"/>
  <c r="K1908" i="3"/>
  <c r="L1908" i="3"/>
  <c r="I1909" i="3"/>
  <c r="J1909" i="3"/>
  <c r="K1909" i="3"/>
  <c r="L1909" i="3"/>
  <c r="I1910" i="3"/>
  <c r="J1910" i="3"/>
  <c r="K1910" i="3"/>
  <c r="L1910" i="3"/>
  <c r="I1911" i="3"/>
  <c r="J1911" i="3"/>
  <c r="K1911" i="3"/>
  <c r="L1911" i="3"/>
  <c r="I1912" i="3"/>
  <c r="J1912" i="3"/>
  <c r="K1912" i="3"/>
  <c r="L1912" i="3"/>
  <c r="I1913" i="3"/>
  <c r="J1913" i="3"/>
  <c r="K1913" i="3"/>
  <c r="L1913" i="3"/>
  <c r="I1914" i="3"/>
  <c r="J1914" i="3"/>
  <c r="K1914" i="3"/>
  <c r="L1914" i="3"/>
  <c r="I1915" i="3"/>
  <c r="J1915" i="3"/>
  <c r="K1915" i="3"/>
  <c r="L1915" i="3"/>
  <c r="I1916" i="3"/>
  <c r="J1916" i="3"/>
  <c r="K1916" i="3"/>
  <c r="L1916" i="3"/>
  <c r="I1917" i="3"/>
  <c r="J1917" i="3"/>
  <c r="K1917" i="3"/>
  <c r="L1917" i="3"/>
  <c r="I1918" i="3"/>
  <c r="J1918" i="3"/>
  <c r="K1918" i="3"/>
  <c r="L1918" i="3"/>
  <c r="I1919" i="3"/>
  <c r="J1919" i="3"/>
  <c r="K1919" i="3"/>
  <c r="L1919" i="3"/>
  <c r="I1920" i="3"/>
  <c r="J1920" i="3"/>
  <c r="K1920" i="3"/>
  <c r="L1920" i="3"/>
  <c r="I1921" i="3"/>
  <c r="J1921" i="3"/>
  <c r="K1921" i="3"/>
  <c r="L1921" i="3"/>
  <c r="I1922" i="3"/>
  <c r="J1922" i="3"/>
  <c r="K1922" i="3"/>
  <c r="L1922" i="3"/>
  <c r="I1923" i="3"/>
  <c r="J1923" i="3"/>
  <c r="K1923" i="3"/>
  <c r="L1923" i="3"/>
  <c r="I1924" i="3"/>
  <c r="J1924" i="3"/>
  <c r="K1924" i="3"/>
  <c r="L1924" i="3"/>
  <c r="I1925" i="3"/>
  <c r="J1925" i="3"/>
  <c r="K1925" i="3"/>
  <c r="L1925" i="3"/>
  <c r="I1926" i="3"/>
  <c r="J1926" i="3"/>
  <c r="K1926" i="3"/>
  <c r="L1926" i="3"/>
  <c r="I1927" i="3"/>
  <c r="J1927" i="3"/>
  <c r="K1927" i="3"/>
  <c r="L1927" i="3"/>
  <c r="I1928" i="3"/>
  <c r="J1928" i="3"/>
  <c r="K1928" i="3"/>
  <c r="L1928" i="3"/>
  <c r="I1929" i="3"/>
  <c r="J1929" i="3"/>
  <c r="K1929" i="3"/>
  <c r="L1929" i="3"/>
  <c r="I1930" i="3"/>
  <c r="J1930" i="3"/>
  <c r="K1930" i="3"/>
  <c r="L1930" i="3"/>
  <c r="I1931" i="3"/>
  <c r="J1931" i="3"/>
  <c r="K1931" i="3"/>
  <c r="L1931" i="3"/>
  <c r="I1932" i="3"/>
  <c r="J1932" i="3"/>
  <c r="K1932" i="3"/>
  <c r="L1932" i="3"/>
  <c r="I1933" i="3"/>
  <c r="J1933" i="3"/>
  <c r="K1933" i="3"/>
  <c r="L1933" i="3"/>
  <c r="I1934" i="3"/>
  <c r="J1934" i="3"/>
  <c r="K1934" i="3"/>
  <c r="L1934" i="3"/>
  <c r="I1935" i="3"/>
  <c r="J1935" i="3"/>
  <c r="K1935" i="3"/>
  <c r="L1935" i="3"/>
  <c r="I1936" i="3"/>
  <c r="J1936" i="3"/>
  <c r="K1936" i="3"/>
  <c r="L1936" i="3"/>
  <c r="I1937" i="3"/>
  <c r="J1937" i="3"/>
  <c r="K1937" i="3"/>
  <c r="L1937" i="3"/>
  <c r="I1938" i="3"/>
  <c r="J1938" i="3"/>
  <c r="K1938" i="3"/>
  <c r="L1938" i="3"/>
  <c r="I1939" i="3"/>
  <c r="J1939" i="3"/>
  <c r="K1939" i="3"/>
  <c r="L1939" i="3"/>
  <c r="I1940" i="3"/>
  <c r="J1940" i="3"/>
  <c r="K1940" i="3"/>
  <c r="L1940" i="3"/>
  <c r="I1941" i="3"/>
  <c r="J1941" i="3"/>
  <c r="K1941" i="3"/>
  <c r="L1941" i="3"/>
  <c r="I1942" i="3"/>
  <c r="J1942" i="3"/>
  <c r="K1942" i="3"/>
  <c r="L1942" i="3"/>
  <c r="I1943" i="3"/>
  <c r="J1943" i="3"/>
  <c r="K1943" i="3"/>
  <c r="L1943" i="3"/>
  <c r="I1944" i="3"/>
  <c r="J1944" i="3"/>
  <c r="K1944" i="3"/>
  <c r="L1944" i="3"/>
  <c r="I1945" i="3"/>
  <c r="J1945" i="3"/>
  <c r="K1945" i="3"/>
  <c r="L1945" i="3"/>
  <c r="I1946" i="3"/>
  <c r="J1946" i="3"/>
  <c r="K1946" i="3"/>
  <c r="L1946" i="3"/>
  <c r="I1947" i="3"/>
  <c r="J1947" i="3"/>
  <c r="K1947" i="3"/>
  <c r="L1947" i="3"/>
  <c r="I1948" i="3"/>
  <c r="J1948" i="3"/>
  <c r="K1948" i="3"/>
  <c r="L1948" i="3"/>
  <c r="I1949" i="3"/>
  <c r="J1949" i="3"/>
  <c r="K1949" i="3"/>
  <c r="L1949" i="3"/>
  <c r="I1950" i="3"/>
  <c r="J1950" i="3"/>
  <c r="K1950" i="3"/>
  <c r="L1950" i="3"/>
  <c r="I1951" i="3"/>
  <c r="J1951" i="3"/>
  <c r="K1951" i="3"/>
  <c r="L1951" i="3"/>
  <c r="I1952" i="3"/>
  <c r="J1952" i="3"/>
  <c r="K1952" i="3"/>
  <c r="L1952" i="3"/>
  <c r="I1953" i="3"/>
  <c r="J1953" i="3"/>
  <c r="K1953" i="3"/>
  <c r="L1953" i="3"/>
  <c r="I1954" i="3"/>
  <c r="J1954" i="3"/>
  <c r="K1954" i="3"/>
  <c r="L1954" i="3"/>
  <c r="I1955" i="3"/>
  <c r="J1955" i="3"/>
  <c r="K1955" i="3"/>
  <c r="L1955" i="3"/>
  <c r="I1956" i="3"/>
  <c r="J1956" i="3"/>
  <c r="K1956" i="3"/>
  <c r="L1956" i="3"/>
  <c r="I1957" i="3"/>
  <c r="J1957" i="3"/>
  <c r="K1957" i="3"/>
  <c r="L1957" i="3"/>
  <c r="I1958" i="3"/>
  <c r="J1958" i="3"/>
  <c r="K1958" i="3"/>
  <c r="L1958" i="3"/>
  <c r="I1959" i="3"/>
  <c r="J1959" i="3"/>
  <c r="K1959" i="3"/>
  <c r="L1959" i="3"/>
  <c r="I1960" i="3"/>
  <c r="J1960" i="3"/>
  <c r="K1960" i="3"/>
  <c r="L1960" i="3"/>
  <c r="I1961" i="3"/>
  <c r="J1961" i="3"/>
  <c r="K1961" i="3"/>
  <c r="L1961" i="3"/>
  <c r="I1962" i="3"/>
  <c r="J1962" i="3"/>
  <c r="K1962" i="3"/>
  <c r="L1962" i="3"/>
  <c r="I1963" i="3"/>
  <c r="J1963" i="3"/>
  <c r="K1963" i="3"/>
  <c r="L1963" i="3"/>
  <c r="I1964" i="3"/>
  <c r="J1964" i="3"/>
  <c r="K1964" i="3"/>
  <c r="L1964" i="3"/>
  <c r="I1965" i="3"/>
  <c r="J1965" i="3"/>
  <c r="K1965" i="3"/>
  <c r="L1965" i="3"/>
  <c r="I1966" i="3"/>
  <c r="J1966" i="3"/>
  <c r="K1966" i="3"/>
  <c r="L1966" i="3"/>
  <c r="I1967" i="3"/>
  <c r="J1967" i="3"/>
  <c r="K1967" i="3"/>
  <c r="L1967" i="3"/>
  <c r="I1968" i="3"/>
  <c r="J1968" i="3"/>
  <c r="K1968" i="3"/>
  <c r="L1968" i="3"/>
  <c r="I1969" i="3"/>
  <c r="J1969" i="3"/>
  <c r="K1969" i="3"/>
  <c r="L1969" i="3"/>
  <c r="I1970" i="3"/>
  <c r="J1970" i="3"/>
  <c r="K1970" i="3"/>
  <c r="L1970" i="3"/>
  <c r="I1971" i="3"/>
  <c r="J1971" i="3"/>
  <c r="K1971" i="3"/>
  <c r="L1971" i="3"/>
  <c r="I1972" i="3"/>
  <c r="J1972" i="3"/>
  <c r="K1972" i="3"/>
  <c r="L1972" i="3"/>
  <c r="I1973" i="3"/>
  <c r="J1973" i="3"/>
  <c r="K1973" i="3"/>
  <c r="L1973" i="3"/>
  <c r="I1974" i="3"/>
  <c r="J1974" i="3"/>
  <c r="K1974" i="3"/>
  <c r="L1974" i="3"/>
  <c r="I1975" i="3"/>
  <c r="J1975" i="3"/>
  <c r="K1975" i="3"/>
  <c r="L1975" i="3"/>
  <c r="I1976" i="3"/>
  <c r="J1976" i="3"/>
  <c r="K1976" i="3"/>
  <c r="L1976" i="3"/>
  <c r="I1977" i="3"/>
  <c r="J1977" i="3"/>
  <c r="K1977" i="3"/>
  <c r="L1977" i="3"/>
  <c r="I1978" i="3"/>
  <c r="J1978" i="3"/>
  <c r="K1978" i="3"/>
  <c r="L1978" i="3"/>
  <c r="I1979" i="3"/>
  <c r="J1979" i="3"/>
  <c r="K1979" i="3"/>
  <c r="L1979" i="3"/>
  <c r="I1980" i="3"/>
  <c r="J1980" i="3"/>
  <c r="K1980" i="3"/>
  <c r="L1980" i="3"/>
  <c r="I1981" i="3"/>
  <c r="J1981" i="3"/>
  <c r="K1981" i="3"/>
  <c r="L1981" i="3"/>
  <c r="I1982" i="3"/>
  <c r="J1982" i="3"/>
  <c r="K1982" i="3"/>
  <c r="L1982" i="3"/>
  <c r="I1983" i="3"/>
  <c r="J1983" i="3"/>
  <c r="K1983" i="3"/>
  <c r="L1983" i="3"/>
  <c r="I1984" i="3"/>
  <c r="J1984" i="3"/>
  <c r="K1984" i="3"/>
  <c r="L1984" i="3"/>
  <c r="I1985" i="3"/>
  <c r="J1985" i="3"/>
  <c r="K1985" i="3"/>
  <c r="L1985" i="3"/>
  <c r="I1986" i="3"/>
  <c r="J1986" i="3"/>
  <c r="K1986" i="3"/>
  <c r="L1986" i="3"/>
  <c r="I1987" i="3"/>
  <c r="J1987" i="3"/>
  <c r="K1987" i="3"/>
  <c r="L1987" i="3"/>
  <c r="I1988" i="3"/>
  <c r="J1988" i="3"/>
  <c r="K1988" i="3"/>
  <c r="L1988" i="3"/>
  <c r="I1989" i="3"/>
  <c r="J1989" i="3"/>
  <c r="K1989" i="3"/>
  <c r="L1989" i="3"/>
  <c r="I1990" i="3"/>
  <c r="J1990" i="3"/>
  <c r="K1990" i="3"/>
  <c r="L1990" i="3"/>
  <c r="I1991" i="3"/>
  <c r="J1991" i="3"/>
  <c r="K1991" i="3"/>
  <c r="L1991" i="3"/>
  <c r="I1992" i="3"/>
  <c r="J1992" i="3"/>
  <c r="K1992" i="3"/>
  <c r="L1992" i="3"/>
  <c r="I1993" i="3"/>
  <c r="J1993" i="3"/>
  <c r="K1993" i="3"/>
  <c r="L1993" i="3"/>
  <c r="I1994" i="3"/>
  <c r="J1994" i="3"/>
  <c r="K1994" i="3"/>
  <c r="L1994" i="3"/>
  <c r="I1995" i="3"/>
  <c r="J1995" i="3"/>
  <c r="K1995" i="3"/>
  <c r="L1995" i="3"/>
  <c r="I1996" i="3"/>
  <c r="J1996" i="3"/>
  <c r="K1996" i="3"/>
  <c r="L1996" i="3"/>
  <c r="I1997" i="3"/>
  <c r="J1997" i="3"/>
  <c r="K1997" i="3"/>
  <c r="L1997" i="3"/>
  <c r="I1998" i="3"/>
  <c r="J1998" i="3"/>
  <c r="K1998" i="3"/>
  <c r="L1998" i="3"/>
  <c r="I1999" i="3"/>
  <c r="J1999" i="3"/>
  <c r="K1999" i="3"/>
  <c r="L1999" i="3"/>
  <c r="I2000" i="3"/>
  <c r="J2000" i="3"/>
  <c r="K2000" i="3"/>
  <c r="L2000" i="3"/>
  <c r="I2001" i="3"/>
  <c r="J2001" i="3"/>
  <c r="K2001" i="3"/>
  <c r="L2001" i="3"/>
  <c r="I2002" i="3"/>
  <c r="J2002" i="3"/>
  <c r="K2002" i="3"/>
  <c r="L2002" i="3"/>
  <c r="I2003" i="3"/>
  <c r="J2003" i="3"/>
  <c r="K2003" i="3"/>
  <c r="L2003" i="3"/>
  <c r="I2004" i="3"/>
  <c r="J2004" i="3"/>
  <c r="K2004" i="3"/>
  <c r="L2004" i="3"/>
  <c r="I2005" i="3"/>
  <c r="J2005" i="3"/>
  <c r="K2005" i="3"/>
  <c r="L2005" i="3"/>
  <c r="I2006" i="3"/>
  <c r="J2006" i="3"/>
  <c r="K2006" i="3"/>
  <c r="L2006" i="3"/>
  <c r="I2007" i="3"/>
  <c r="J2007" i="3"/>
  <c r="K2007" i="3"/>
  <c r="L2007" i="3"/>
  <c r="I2008" i="3"/>
  <c r="J2008" i="3"/>
  <c r="K2008" i="3"/>
  <c r="L2008" i="3"/>
  <c r="I2009" i="3"/>
  <c r="J2009" i="3"/>
  <c r="K2009" i="3"/>
  <c r="L2009" i="3"/>
  <c r="I2010" i="3"/>
  <c r="J2010" i="3"/>
  <c r="K2010" i="3"/>
  <c r="L2010" i="3"/>
  <c r="I2011" i="3"/>
  <c r="J2011" i="3"/>
  <c r="K2011" i="3"/>
  <c r="L2011" i="3"/>
  <c r="I2012" i="3"/>
  <c r="J2012" i="3"/>
  <c r="K2012" i="3"/>
  <c r="L2012" i="3"/>
  <c r="I2013" i="3"/>
  <c r="J2013" i="3"/>
  <c r="K2013" i="3"/>
  <c r="L2013" i="3"/>
  <c r="I2014" i="3"/>
  <c r="J2014" i="3"/>
  <c r="K2014" i="3"/>
  <c r="L2014" i="3"/>
  <c r="I2015" i="3"/>
  <c r="J2015" i="3"/>
  <c r="K2015" i="3"/>
  <c r="L2015" i="3"/>
  <c r="I2016" i="3"/>
  <c r="J2016" i="3"/>
  <c r="K2016" i="3"/>
  <c r="L2016" i="3"/>
  <c r="I2017" i="3"/>
  <c r="J2017" i="3"/>
  <c r="K2017" i="3"/>
  <c r="L2017" i="3"/>
  <c r="I2018" i="3"/>
  <c r="J2018" i="3"/>
  <c r="K2018" i="3"/>
  <c r="L2018" i="3"/>
  <c r="I2019" i="3"/>
  <c r="J2019" i="3"/>
  <c r="K2019" i="3"/>
  <c r="L2019" i="3"/>
  <c r="I2020" i="3"/>
  <c r="J2020" i="3"/>
  <c r="K2020" i="3"/>
  <c r="L2020" i="3"/>
  <c r="I2021" i="3"/>
  <c r="J2021" i="3"/>
  <c r="K2021" i="3"/>
  <c r="L2021" i="3"/>
  <c r="I2022" i="3"/>
  <c r="J2022" i="3"/>
  <c r="K2022" i="3"/>
  <c r="L2022" i="3"/>
  <c r="I2023" i="3"/>
  <c r="J2023" i="3"/>
  <c r="K2023" i="3"/>
  <c r="L2023" i="3"/>
  <c r="I2024" i="3"/>
  <c r="J2024" i="3"/>
  <c r="K2024" i="3"/>
  <c r="L2024" i="3"/>
  <c r="I2025" i="3"/>
  <c r="J2025" i="3"/>
  <c r="K2025" i="3"/>
  <c r="L2025" i="3"/>
  <c r="I2026" i="3"/>
  <c r="J2026" i="3"/>
  <c r="K2026" i="3"/>
  <c r="L2026" i="3"/>
  <c r="I2027" i="3"/>
  <c r="J2027" i="3"/>
  <c r="K2027" i="3"/>
  <c r="L2027" i="3"/>
  <c r="I2028" i="3"/>
  <c r="J2028" i="3"/>
  <c r="K2028" i="3"/>
  <c r="L2028" i="3"/>
  <c r="I2029" i="3"/>
  <c r="J2029" i="3"/>
  <c r="K2029" i="3"/>
  <c r="L2029" i="3"/>
  <c r="I2030" i="3"/>
  <c r="J2030" i="3"/>
  <c r="K2030" i="3"/>
  <c r="L2030" i="3"/>
  <c r="I2031" i="3"/>
  <c r="J2031" i="3"/>
  <c r="K2031" i="3"/>
  <c r="L2031" i="3"/>
  <c r="I2032" i="3"/>
  <c r="J2032" i="3"/>
  <c r="K2032" i="3"/>
  <c r="L2032" i="3"/>
  <c r="I2033" i="3"/>
  <c r="J2033" i="3"/>
  <c r="K2033" i="3"/>
  <c r="L2033" i="3"/>
  <c r="I2034" i="3"/>
  <c r="J2034" i="3"/>
  <c r="K2034" i="3"/>
  <c r="L2034" i="3"/>
  <c r="I2035" i="3"/>
  <c r="J2035" i="3"/>
  <c r="K2035" i="3"/>
  <c r="L2035" i="3"/>
  <c r="I2036" i="3"/>
  <c r="J2036" i="3"/>
  <c r="K2036" i="3"/>
  <c r="L2036" i="3"/>
  <c r="I2037" i="3"/>
  <c r="J2037" i="3"/>
  <c r="K2037" i="3"/>
  <c r="L2037" i="3"/>
  <c r="I2038" i="3"/>
  <c r="J2038" i="3"/>
  <c r="K2038" i="3"/>
  <c r="L2038" i="3"/>
  <c r="I2039" i="3"/>
  <c r="J2039" i="3"/>
  <c r="K2039" i="3"/>
  <c r="L2039" i="3"/>
  <c r="I2040" i="3"/>
  <c r="J2040" i="3"/>
  <c r="K2040" i="3"/>
  <c r="L2040" i="3"/>
  <c r="I2041" i="3"/>
  <c r="J2041" i="3"/>
  <c r="K2041" i="3"/>
  <c r="L2041" i="3"/>
  <c r="I2042" i="3"/>
  <c r="J2042" i="3"/>
  <c r="K2042" i="3"/>
  <c r="L2042" i="3"/>
  <c r="I2043" i="3"/>
  <c r="J2043" i="3"/>
  <c r="K2043" i="3"/>
  <c r="L2043" i="3"/>
  <c r="I2044" i="3"/>
  <c r="J2044" i="3"/>
  <c r="K2044" i="3"/>
  <c r="L2044" i="3"/>
  <c r="I2045" i="3"/>
  <c r="J2045" i="3"/>
  <c r="K2045" i="3"/>
  <c r="L2045" i="3"/>
  <c r="I2046" i="3"/>
  <c r="J2046" i="3"/>
  <c r="K2046" i="3"/>
  <c r="L2046" i="3"/>
  <c r="I2047" i="3"/>
  <c r="J2047" i="3"/>
  <c r="K2047" i="3"/>
  <c r="L2047" i="3"/>
  <c r="I2048" i="3"/>
  <c r="J2048" i="3"/>
  <c r="K2048" i="3"/>
  <c r="L2048" i="3"/>
  <c r="I2049" i="3"/>
  <c r="J2049" i="3"/>
  <c r="K2049" i="3"/>
  <c r="L2049" i="3"/>
  <c r="I2050" i="3"/>
  <c r="J2050" i="3"/>
  <c r="K2050" i="3"/>
  <c r="L2050" i="3"/>
  <c r="I2051" i="3"/>
  <c r="J2051" i="3"/>
  <c r="K2051" i="3"/>
  <c r="L2051" i="3"/>
  <c r="I2052" i="3"/>
  <c r="J2052" i="3"/>
  <c r="K2052" i="3"/>
  <c r="L2052" i="3"/>
  <c r="I2053" i="3"/>
  <c r="J2053" i="3"/>
  <c r="K2053" i="3"/>
  <c r="L2053" i="3"/>
  <c r="I2054" i="3"/>
  <c r="J2054" i="3"/>
  <c r="K2054" i="3"/>
  <c r="L2054" i="3"/>
  <c r="I2055" i="3"/>
  <c r="J2055" i="3"/>
  <c r="K2055" i="3"/>
  <c r="L2055" i="3"/>
  <c r="I2056" i="3"/>
  <c r="J2056" i="3"/>
  <c r="K2056" i="3"/>
  <c r="L2056" i="3"/>
  <c r="I2057" i="3"/>
  <c r="J2057" i="3"/>
  <c r="K2057" i="3"/>
  <c r="L2057" i="3"/>
  <c r="I2058" i="3"/>
  <c r="J2058" i="3"/>
  <c r="K2058" i="3"/>
  <c r="L2058" i="3"/>
  <c r="I2059" i="3"/>
  <c r="J2059" i="3"/>
  <c r="K2059" i="3"/>
  <c r="L2059" i="3"/>
  <c r="I2060" i="3"/>
  <c r="J2060" i="3"/>
  <c r="K2060" i="3"/>
  <c r="L2060" i="3"/>
  <c r="I2061" i="3"/>
  <c r="J2061" i="3"/>
  <c r="K2061" i="3"/>
  <c r="L2061" i="3"/>
  <c r="I2062" i="3"/>
  <c r="J2062" i="3"/>
  <c r="K2062" i="3"/>
  <c r="L2062" i="3"/>
  <c r="I2063" i="3"/>
  <c r="J2063" i="3"/>
  <c r="K2063" i="3"/>
  <c r="L2063" i="3"/>
  <c r="I2064" i="3"/>
  <c r="J2064" i="3"/>
  <c r="K2064" i="3"/>
  <c r="L2064" i="3"/>
  <c r="I2065" i="3"/>
  <c r="J2065" i="3"/>
  <c r="K2065" i="3"/>
  <c r="L2065" i="3"/>
  <c r="I2066" i="3"/>
  <c r="J2066" i="3"/>
  <c r="K2066" i="3"/>
  <c r="L2066" i="3"/>
  <c r="I2067" i="3"/>
  <c r="J2067" i="3"/>
  <c r="K2067" i="3"/>
  <c r="L2067" i="3"/>
  <c r="I2068" i="3"/>
  <c r="J2068" i="3"/>
  <c r="K2068" i="3"/>
  <c r="L2068" i="3"/>
  <c r="I2069" i="3"/>
  <c r="J2069" i="3"/>
  <c r="K2069" i="3"/>
  <c r="L2069" i="3"/>
  <c r="I2070" i="3"/>
  <c r="J2070" i="3"/>
  <c r="K2070" i="3"/>
  <c r="L2070" i="3"/>
  <c r="I2071" i="3"/>
  <c r="J2071" i="3"/>
  <c r="K2071" i="3"/>
  <c r="L2071" i="3"/>
  <c r="I2072" i="3"/>
  <c r="J2072" i="3"/>
  <c r="K2072" i="3"/>
  <c r="L2072" i="3"/>
  <c r="I2073" i="3"/>
  <c r="J2073" i="3"/>
  <c r="K2073" i="3"/>
  <c r="L2073" i="3"/>
  <c r="I2074" i="3"/>
  <c r="J2074" i="3"/>
  <c r="K2074" i="3"/>
  <c r="L2074" i="3"/>
  <c r="I2075" i="3"/>
  <c r="J2075" i="3"/>
  <c r="K2075" i="3"/>
  <c r="L2075" i="3"/>
  <c r="I2076" i="3"/>
  <c r="J2076" i="3"/>
  <c r="K2076" i="3"/>
  <c r="L2076" i="3"/>
  <c r="I2077" i="3"/>
  <c r="J2077" i="3"/>
  <c r="K2077" i="3"/>
  <c r="L2077" i="3"/>
  <c r="I2078" i="3"/>
  <c r="J2078" i="3"/>
  <c r="K2078" i="3"/>
  <c r="L2078" i="3"/>
  <c r="I2079" i="3"/>
  <c r="J2079" i="3"/>
  <c r="K2079" i="3"/>
  <c r="L2079" i="3"/>
  <c r="I2080" i="3"/>
  <c r="J2080" i="3"/>
  <c r="K2080" i="3"/>
  <c r="L2080" i="3"/>
  <c r="I2081" i="3"/>
  <c r="J2081" i="3"/>
  <c r="K2081" i="3"/>
  <c r="L2081" i="3"/>
  <c r="I2082" i="3"/>
  <c r="J2082" i="3"/>
  <c r="K2082" i="3"/>
  <c r="L2082" i="3"/>
  <c r="I2083" i="3"/>
  <c r="J2083" i="3"/>
  <c r="K2083" i="3"/>
  <c r="L2083" i="3"/>
  <c r="I2084" i="3"/>
  <c r="J2084" i="3"/>
  <c r="K2084" i="3"/>
  <c r="L2084" i="3"/>
  <c r="I2085" i="3"/>
  <c r="J2085" i="3"/>
  <c r="K2085" i="3"/>
  <c r="L2085" i="3"/>
  <c r="I2086" i="3"/>
  <c r="J2086" i="3"/>
  <c r="K2086" i="3"/>
  <c r="L2086" i="3"/>
  <c r="I2087" i="3"/>
  <c r="J2087" i="3"/>
  <c r="K2087" i="3"/>
  <c r="L2087" i="3"/>
  <c r="I2088" i="3"/>
  <c r="J2088" i="3"/>
  <c r="K2088" i="3"/>
  <c r="L2088" i="3"/>
  <c r="I2089" i="3"/>
  <c r="J2089" i="3"/>
  <c r="K2089" i="3"/>
  <c r="L2089" i="3"/>
  <c r="I2090" i="3"/>
  <c r="J2090" i="3"/>
  <c r="K2090" i="3"/>
  <c r="L2090" i="3"/>
  <c r="I2091" i="3"/>
  <c r="J2091" i="3"/>
  <c r="K2091" i="3"/>
  <c r="L2091" i="3"/>
  <c r="I2092" i="3"/>
  <c r="J2092" i="3"/>
  <c r="K2092" i="3"/>
  <c r="L2092" i="3"/>
  <c r="I2093" i="3"/>
  <c r="J2093" i="3"/>
  <c r="K2093" i="3"/>
  <c r="L2093" i="3"/>
  <c r="I2094" i="3"/>
  <c r="J2094" i="3"/>
  <c r="K2094" i="3"/>
  <c r="L2094" i="3"/>
  <c r="I2095" i="3"/>
  <c r="J2095" i="3"/>
  <c r="K2095" i="3"/>
  <c r="L2095" i="3"/>
  <c r="I2096" i="3"/>
  <c r="J2096" i="3"/>
  <c r="K2096" i="3"/>
  <c r="L2096" i="3"/>
  <c r="I2097" i="3"/>
  <c r="J2097" i="3"/>
  <c r="K2097" i="3"/>
  <c r="L2097" i="3"/>
  <c r="I2098" i="3"/>
  <c r="J2098" i="3"/>
  <c r="K2098" i="3"/>
  <c r="L2098" i="3"/>
  <c r="I2099" i="3"/>
  <c r="J2099" i="3"/>
  <c r="K2099" i="3"/>
  <c r="L2099" i="3"/>
  <c r="I2100" i="3"/>
  <c r="J2100" i="3"/>
  <c r="K2100" i="3"/>
  <c r="L2100" i="3"/>
  <c r="I2101" i="3"/>
  <c r="J2101" i="3"/>
  <c r="K2101" i="3"/>
  <c r="L2101" i="3"/>
  <c r="I2102" i="3"/>
  <c r="J2102" i="3"/>
  <c r="K2102" i="3"/>
  <c r="L2102" i="3"/>
  <c r="I2103" i="3"/>
  <c r="J2103" i="3"/>
  <c r="K2103" i="3"/>
  <c r="L2103" i="3"/>
  <c r="I2104" i="3"/>
  <c r="J2104" i="3"/>
  <c r="K2104" i="3"/>
  <c r="L2104" i="3"/>
  <c r="I2105" i="3"/>
  <c r="J2105" i="3"/>
  <c r="K2105" i="3"/>
  <c r="L2105" i="3"/>
  <c r="I2106" i="3"/>
  <c r="J2106" i="3"/>
  <c r="K2106" i="3"/>
  <c r="L2106" i="3"/>
  <c r="I2107" i="3"/>
  <c r="J2107" i="3"/>
  <c r="K2107" i="3"/>
  <c r="L2107" i="3"/>
  <c r="I2108" i="3"/>
  <c r="J2108" i="3"/>
  <c r="K2108" i="3"/>
  <c r="L2108" i="3"/>
  <c r="I2109" i="3"/>
  <c r="J2109" i="3"/>
  <c r="K2109" i="3"/>
  <c r="L2109" i="3"/>
  <c r="I2110" i="3"/>
  <c r="J2110" i="3"/>
  <c r="K2110" i="3"/>
  <c r="L2110" i="3"/>
  <c r="I2111" i="3"/>
  <c r="J2111" i="3"/>
  <c r="K2111" i="3"/>
  <c r="L2111" i="3"/>
  <c r="I2112" i="3"/>
  <c r="J2112" i="3"/>
  <c r="K2112" i="3"/>
  <c r="L2112" i="3"/>
  <c r="I2113" i="3"/>
  <c r="J2113" i="3"/>
  <c r="K2113" i="3"/>
  <c r="L2113" i="3"/>
  <c r="I2114" i="3"/>
  <c r="J2114" i="3"/>
  <c r="K2114" i="3"/>
  <c r="L2114" i="3"/>
  <c r="I2115" i="3"/>
  <c r="J2115" i="3"/>
  <c r="K2115" i="3"/>
  <c r="L2115" i="3"/>
  <c r="I2116" i="3"/>
  <c r="J2116" i="3"/>
  <c r="K2116" i="3"/>
  <c r="L2116" i="3"/>
  <c r="I2117" i="3"/>
  <c r="J2117" i="3"/>
  <c r="K2117" i="3"/>
  <c r="L2117" i="3"/>
  <c r="I2118" i="3"/>
  <c r="J2118" i="3"/>
  <c r="K2118" i="3"/>
  <c r="L2118" i="3"/>
  <c r="I2119" i="3"/>
  <c r="J2119" i="3"/>
  <c r="K2119" i="3"/>
  <c r="L2119" i="3"/>
  <c r="I2120" i="3"/>
  <c r="J2120" i="3"/>
  <c r="K2120" i="3"/>
  <c r="L2120" i="3"/>
  <c r="I2121" i="3"/>
  <c r="J2121" i="3"/>
  <c r="K2121" i="3"/>
  <c r="L2121" i="3"/>
  <c r="I2122" i="3"/>
  <c r="J2122" i="3"/>
  <c r="K2122" i="3"/>
  <c r="L2122" i="3"/>
  <c r="I2123" i="3"/>
  <c r="J2123" i="3"/>
  <c r="K2123" i="3"/>
  <c r="L2123" i="3"/>
  <c r="I2124" i="3"/>
  <c r="J2124" i="3"/>
  <c r="K2124" i="3"/>
  <c r="L2124" i="3"/>
  <c r="I2125" i="3"/>
  <c r="J2125" i="3"/>
  <c r="K2125" i="3"/>
  <c r="L2125" i="3"/>
  <c r="I2126" i="3"/>
  <c r="J2126" i="3"/>
  <c r="K2126" i="3"/>
  <c r="L2126" i="3"/>
  <c r="I2127" i="3"/>
  <c r="J2127" i="3"/>
  <c r="K2127" i="3"/>
  <c r="L2127" i="3"/>
  <c r="I2128" i="3"/>
  <c r="J2128" i="3"/>
  <c r="K2128" i="3"/>
  <c r="L2128" i="3"/>
  <c r="I2129" i="3"/>
  <c r="J2129" i="3"/>
  <c r="K2129" i="3"/>
  <c r="L2129" i="3"/>
  <c r="I2130" i="3"/>
  <c r="J2130" i="3"/>
  <c r="K2130" i="3"/>
  <c r="L2130" i="3"/>
  <c r="I2131" i="3"/>
  <c r="J2131" i="3"/>
  <c r="K2131" i="3"/>
  <c r="L2131" i="3"/>
  <c r="I2132" i="3"/>
  <c r="J2132" i="3"/>
  <c r="K2132" i="3"/>
  <c r="L2132" i="3"/>
  <c r="I2133" i="3"/>
  <c r="J2133" i="3"/>
  <c r="K2133" i="3"/>
  <c r="L2133" i="3"/>
  <c r="I2134" i="3"/>
  <c r="J2134" i="3"/>
  <c r="K2134" i="3"/>
  <c r="L2134" i="3"/>
  <c r="I2135" i="3"/>
  <c r="J2135" i="3"/>
  <c r="K2135" i="3"/>
  <c r="L2135" i="3"/>
  <c r="I2136" i="3"/>
  <c r="J2136" i="3"/>
  <c r="K2136" i="3"/>
  <c r="L2136" i="3"/>
  <c r="I2137" i="3"/>
  <c r="J2137" i="3"/>
  <c r="K2137" i="3"/>
  <c r="L2137" i="3"/>
  <c r="I2138" i="3"/>
  <c r="J2138" i="3"/>
  <c r="K2138" i="3"/>
  <c r="L2138" i="3"/>
  <c r="I2139" i="3"/>
  <c r="J2139" i="3"/>
  <c r="K2139" i="3"/>
  <c r="L2139" i="3"/>
  <c r="I2140" i="3"/>
  <c r="J2140" i="3"/>
  <c r="K2140" i="3"/>
  <c r="L2140" i="3"/>
  <c r="I2141" i="3"/>
  <c r="J2141" i="3"/>
  <c r="K2141" i="3"/>
  <c r="L2141" i="3"/>
  <c r="I2142" i="3"/>
  <c r="J2142" i="3"/>
  <c r="K2142" i="3"/>
  <c r="L2142" i="3"/>
  <c r="I2143" i="3"/>
  <c r="J2143" i="3"/>
  <c r="K2143" i="3"/>
  <c r="L2143" i="3"/>
  <c r="I2144" i="3"/>
  <c r="J2144" i="3"/>
  <c r="K2144" i="3"/>
  <c r="L2144" i="3"/>
  <c r="I2145" i="3"/>
  <c r="J2145" i="3"/>
  <c r="K2145" i="3"/>
  <c r="L2145" i="3"/>
  <c r="I2146" i="3"/>
  <c r="J2146" i="3"/>
  <c r="K2146" i="3"/>
  <c r="L2146" i="3"/>
  <c r="I2147" i="3"/>
  <c r="J2147" i="3"/>
  <c r="K2147" i="3"/>
  <c r="L2147" i="3"/>
  <c r="I2148" i="3"/>
  <c r="J2148" i="3"/>
  <c r="K2148" i="3"/>
  <c r="L2148" i="3"/>
  <c r="I2149" i="3"/>
  <c r="J2149" i="3"/>
  <c r="K2149" i="3"/>
  <c r="L2149" i="3"/>
  <c r="I2150" i="3"/>
  <c r="J2150" i="3"/>
  <c r="K2150" i="3"/>
  <c r="L2150" i="3"/>
  <c r="I2151" i="3"/>
  <c r="J2151" i="3"/>
  <c r="K2151" i="3"/>
  <c r="L2151" i="3"/>
  <c r="I2152" i="3"/>
  <c r="J2152" i="3"/>
  <c r="K2152" i="3"/>
  <c r="L2152" i="3"/>
  <c r="I2153" i="3"/>
  <c r="J2153" i="3"/>
  <c r="K2153" i="3"/>
  <c r="L2153" i="3"/>
  <c r="I2154" i="3"/>
  <c r="J2154" i="3"/>
  <c r="K2154" i="3"/>
  <c r="L2154" i="3"/>
  <c r="I2155" i="3"/>
  <c r="J2155" i="3"/>
  <c r="K2155" i="3"/>
  <c r="L2155" i="3"/>
  <c r="I2156" i="3"/>
  <c r="J2156" i="3"/>
  <c r="K2156" i="3"/>
  <c r="L2156" i="3"/>
  <c r="I2157" i="3"/>
  <c r="J2157" i="3"/>
  <c r="K2157" i="3"/>
  <c r="L2157" i="3"/>
  <c r="I2158" i="3"/>
  <c r="J2158" i="3"/>
  <c r="K2158" i="3"/>
  <c r="L2158" i="3"/>
  <c r="I2159" i="3"/>
  <c r="J2159" i="3"/>
  <c r="K2159" i="3"/>
  <c r="L2159" i="3"/>
  <c r="I2160" i="3"/>
  <c r="J2160" i="3"/>
  <c r="K2160" i="3"/>
  <c r="L2160" i="3"/>
  <c r="I2161" i="3"/>
  <c r="J2161" i="3"/>
  <c r="K2161" i="3"/>
  <c r="L2161" i="3"/>
  <c r="I2162" i="3"/>
  <c r="J2162" i="3"/>
  <c r="K2162" i="3"/>
  <c r="L2162" i="3"/>
  <c r="I2163" i="3"/>
  <c r="J2163" i="3"/>
  <c r="K2163" i="3"/>
  <c r="L2163" i="3"/>
  <c r="I2164" i="3"/>
  <c r="J2164" i="3"/>
  <c r="K2164" i="3"/>
  <c r="L2164" i="3"/>
  <c r="I2165" i="3"/>
  <c r="J2165" i="3"/>
  <c r="K2165" i="3"/>
  <c r="L2165" i="3"/>
  <c r="I2166" i="3"/>
  <c r="J2166" i="3"/>
  <c r="K2166" i="3"/>
  <c r="L2166" i="3"/>
  <c r="I2167" i="3"/>
  <c r="J2167" i="3"/>
  <c r="K2167" i="3"/>
  <c r="L2167" i="3"/>
  <c r="I2168" i="3"/>
  <c r="J2168" i="3"/>
  <c r="K2168" i="3"/>
  <c r="L2168" i="3"/>
  <c r="I2169" i="3"/>
  <c r="J2169" i="3"/>
  <c r="K2169" i="3"/>
  <c r="L2169" i="3"/>
  <c r="I2170" i="3"/>
  <c r="J2170" i="3"/>
  <c r="K2170" i="3"/>
  <c r="L2170" i="3"/>
  <c r="I2171" i="3"/>
  <c r="J2171" i="3"/>
  <c r="K2171" i="3"/>
  <c r="L2171" i="3"/>
  <c r="I2172" i="3"/>
  <c r="J2172" i="3"/>
  <c r="K2172" i="3"/>
  <c r="L2172" i="3"/>
  <c r="I2173" i="3"/>
  <c r="J2173" i="3"/>
  <c r="K2173" i="3"/>
  <c r="L2173" i="3"/>
  <c r="I2174" i="3"/>
  <c r="J2174" i="3"/>
  <c r="K2174" i="3"/>
  <c r="L2174" i="3"/>
  <c r="I2175" i="3"/>
  <c r="J2175" i="3"/>
  <c r="K2175" i="3"/>
  <c r="L2175" i="3"/>
  <c r="I2176" i="3"/>
  <c r="J2176" i="3"/>
  <c r="K2176" i="3"/>
  <c r="L2176" i="3"/>
  <c r="I2177" i="3"/>
  <c r="J2177" i="3"/>
  <c r="K2177" i="3"/>
  <c r="L2177" i="3"/>
  <c r="I2178" i="3"/>
  <c r="J2178" i="3"/>
  <c r="K2178" i="3"/>
  <c r="L2178" i="3"/>
  <c r="I2179" i="3"/>
  <c r="J2179" i="3"/>
  <c r="K2179" i="3"/>
  <c r="L2179" i="3"/>
  <c r="I2180" i="3"/>
  <c r="J2180" i="3"/>
  <c r="K2180" i="3"/>
  <c r="L2180" i="3"/>
  <c r="I2181" i="3"/>
  <c r="J2181" i="3"/>
  <c r="K2181" i="3"/>
  <c r="L2181" i="3"/>
  <c r="I2182" i="3"/>
  <c r="J2182" i="3"/>
  <c r="K2182" i="3"/>
  <c r="L2182" i="3"/>
  <c r="I2183" i="3"/>
  <c r="J2183" i="3"/>
  <c r="K2183" i="3"/>
  <c r="L2183" i="3"/>
  <c r="I2184" i="3"/>
  <c r="J2184" i="3"/>
  <c r="K2184" i="3"/>
  <c r="L2184" i="3"/>
  <c r="I2185" i="3"/>
  <c r="J2185" i="3"/>
  <c r="K2185" i="3"/>
  <c r="L2185" i="3"/>
  <c r="I2186" i="3"/>
  <c r="J2186" i="3"/>
  <c r="K2186" i="3"/>
  <c r="L2186" i="3"/>
  <c r="I2187" i="3"/>
  <c r="J2187" i="3"/>
  <c r="K2187" i="3"/>
  <c r="L2187" i="3"/>
  <c r="I2188" i="3"/>
  <c r="J2188" i="3"/>
  <c r="K2188" i="3"/>
  <c r="L2188" i="3"/>
  <c r="I2189" i="3"/>
  <c r="J2189" i="3"/>
  <c r="K2189" i="3"/>
  <c r="L2189" i="3"/>
  <c r="I2190" i="3"/>
  <c r="J2190" i="3"/>
  <c r="K2190" i="3"/>
  <c r="L2190" i="3"/>
  <c r="I2191" i="3"/>
  <c r="J2191" i="3"/>
  <c r="K2191" i="3"/>
  <c r="L2191" i="3"/>
  <c r="I2192" i="3"/>
  <c r="J2192" i="3"/>
  <c r="K2192" i="3"/>
  <c r="L2192" i="3"/>
  <c r="I2193" i="3"/>
  <c r="J2193" i="3"/>
  <c r="K2193" i="3"/>
  <c r="L2193" i="3"/>
  <c r="I2194" i="3"/>
  <c r="J2194" i="3"/>
  <c r="K2194" i="3"/>
  <c r="L2194" i="3"/>
  <c r="I2195" i="3"/>
  <c r="J2195" i="3"/>
  <c r="K2195" i="3"/>
  <c r="L2195" i="3"/>
  <c r="I2196" i="3"/>
  <c r="J2196" i="3"/>
  <c r="K2196" i="3"/>
  <c r="L2196" i="3"/>
  <c r="I2197" i="3"/>
  <c r="J2197" i="3"/>
  <c r="K2197" i="3"/>
  <c r="L2197" i="3"/>
  <c r="I2198" i="3"/>
  <c r="J2198" i="3"/>
  <c r="K2198" i="3"/>
  <c r="L2198" i="3"/>
  <c r="I2199" i="3"/>
  <c r="J2199" i="3"/>
  <c r="K2199" i="3"/>
  <c r="L2199" i="3"/>
  <c r="I2200" i="3"/>
  <c r="J2200" i="3"/>
  <c r="K2200" i="3"/>
  <c r="L2200" i="3"/>
  <c r="I2201" i="3"/>
  <c r="J2201" i="3"/>
  <c r="K2201" i="3"/>
  <c r="L2201" i="3"/>
  <c r="I2202" i="3"/>
  <c r="J2202" i="3"/>
  <c r="K2202" i="3"/>
  <c r="L2202" i="3"/>
  <c r="I2203" i="3"/>
  <c r="J2203" i="3"/>
  <c r="K2203" i="3"/>
  <c r="L2203" i="3"/>
  <c r="I2204" i="3"/>
  <c r="J2204" i="3"/>
  <c r="K2204" i="3"/>
  <c r="L2204" i="3"/>
  <c r="I2205" i="3"/>
  <c r="J2205" i="3"/>
  <c r="K2205" i="3"/>
  <c r="L2205" i="3"/>
  <c r="I2206" i="3"/>
  <c r="J2206" i="3"/>
  <c r="K2206" i="3"/>
  <c r="L2206" i="3"/>
  <c r="I2207" i="3"/>
  <c r="J2207" i="3"/>
  <c r="K2207" i="3"/>
  <c r="L2207" i="3"/>
  <c r="I2208" i="3"/>
  <c r="J2208" i="3"/>
  <c r="K2208" i="3"/>
  <c r="L2208" i="3"/>
  <c r="I2209" i="3"/>
  <c r="J2209" i="3"/>
  <c r="K2209" i="3"/>
  <c r="L2209" i="3"/>
  <c r="I2210" i="3"/>
  <c r="J2210" i="3"/>
  <c r="K2210" i="3"/>
  <c r="L2210" i="3"/>
  <c r="I2211" i="3"/>
  <c r="J2211" i="3"/>
  <c r="K2211" i="3"/>
  <c r="L2211" i="3"/>
  <c r="I2212" i="3"/>
  <c r="J2212" i="3"/>
  <c r="K2212" i="3"/>
  <c r="L2212" i="3"/>
  <c r="I2213" i="3"/>
  <c r="J2213" i="3"/>
  <c r="K2213" i="3"/>
  <c r="L2213" i="3"/>
  <c r="I2214" i="3"/>
  <c r="J2214" i="3"/>
  <c r="K2214" i="3"/>
  <c r="L2214" i="3"/>
  <c r="I2215" i="3"/>
  <c r="J2215" i="3"/>
  <c r="K2215" i="3"/>
  <c r="L2215" i="3"/>
  <c r="I2216" i="3"/>
  <c r="J2216" i="3"/>
  <c r="K2216" i="3"/>
  <c r="L2216" i="3"/>
  <c r="I2217" i="3"/>
  <c r="J2217" i="3"/>
  <c r="K2217" i="3"/>
  <c r="L2217" i="3"/>
  <c r="I2218" i="3"/>
  <c r="J2218" i="3"/>
  <c r="K2218" i="3"/>
  <c r="L2218" i="3"/>
  <c r="I2219" i="3"/>
  <c r="J2219" i="3"/>
  <c r="K2219" i="3"/>
  <c r="L2219" i="3"/>
  <c r="I2220" i="3"/>
  <c r="J2220" i="3"/>
  <c r="K2220" i="3"/>
  <c r="L2220" i="3"/>
  <c r="I2221" i="3"/>
  <c r="J2221" i="3"/>
  <c r="K2221" i="3"/>
  <c r="L2221" i="3"/>
  <c r="I2222" i="3"/>
  <c r="J2222" i="3"/>
  <c r="K2222" i="3"/>
  <c r="L2222" i="3"/>
  <c r="I2223" i="3"/>
  <c r="J2223" i="3"/>
  <c r="K2223" i="3"/>
  <c r="L2223" i="3"/>
  <c r="I2224" i="3"/>
  <c r="J2224" i="3"/>
  <c r="K2224" i="3"/>
  <c r="L2224" i="3"/>
  <c r="I2225" i="3"/>
  <c r="J2225" i="3"/>
  <c r="K2225" i="3"/>
  <c r="L2225" i="3"/>
  <c r="J4" i="3"/>
  <c r="K4" i="3"/>
  <c r="L4" i="3"/>
  <c r="I4" i="3"/>
  <c r="K49" i="12" l="1"/>
  <c r="F16" i="42"/>
  <c r="F17" i="42" s="1"/>
  <c r="H49" i="12"/>
  <c r="P49" i="12" s="1"/>
  <c r="L49" i="12"/>
  <c r="E16" i="42"/>
  <c r="H16" i="42"/>
  <c r="J16" i="42"/>
  <c r="K48" i="12"/>
  <c r="F14" i="42"/>
  <c r="F15" i="42" s="1"/>
  <c r="H48" i="12"/>
  <c r="P48" i="12" s="1"/>
  <c r="L48" i="12"/>
  <c r="H14" i="42"/>
  <c r="E14" i="42"/>
  <c r="J14" i="42"/>
  <c r="F12" i="42"/>
  <c r="F13" i="42" s="1"/>
  <c r="H47" i="12"/>
  <c r="H12" i="42"/>
  <c r="E12" i="42"/>
  <c r="J12" i="42"/>
  <c r="G2225" i="3"/>
  <c r="G2224" i="3"/>
  <c r="G2223" i="3"/>
  <c r="G2222" i="3"/>
  <c r="G2221" i="3"/>
  <c r="G2220" i="3"/>
  <c r="G2219" i="3"/>
  <c r="G2218" i="3"/>
  <c r="G2217" i="3"/>
  <c r="G2216" i="3"/>
  <c r="G2215" i="3"/>
  <c r="G2214" i="3"/>
  <c r="G2213" i="3"/>
  <c r="G2212" i="3"/>
  <c r="G2211" i="3"/>
  <c r="G2210" i="3"/>
  <c r="G2209" i="3"/>
  <c r="G2208" i="3"/>
  <c r="G2207" i="3"/>
  <c r="G2206" i="3"/>
  <c r="G2205" i="3"/>
  <c r="G2204" i="3"/>
  <c r="G2203" i="3"/>
  <c r="G2202" i="3"/>
  <c r="G2201" i="3"/>
  <c r="G2200" i="3"/>
  <c r="G2199" i="3"/>
  <c r="G2198" i="3"/>
  <c r="G2197" i="3"/>
  <c r="G2196" i="3"/>
  <c r="G2195" i="3"/>
  <c r="G2194" i="3"/>
  <c r="G2193" i="3"/>
  <c r="G2192" i="3"/>
  <c r="G2191" i="3"/>
  <c r="G2190" i="3"/>
  <c r="G2189" i="3"/>
  <c r="G2188" i="3"/>
  <c r="G2187" i="3"/>
  <c r="G2186" i="3"/>
  <c r="G2185" i="3"/>
  <c r="G2184" i="3"/>
  <c r="G2183" i="3"/>
  <c r="G2182" i="3"/>
  <c r="G2181" i="3"/>
  <c r="G2180" i="3"/>
  <c r="G2179" i="3"/>
  <c r="G2178" i="3"/>
  <c r="G2177" i="3"/>
  <c r="G2176" i="3"/>
  <c r="G2175" i="3"/>
  <c r="G2174" i="3"/>
  <c r="G2173" i="3"/>
  <c r="G2172" i="3"/>
  <c r="G2171" i="3"/>
  <c r="G2170" i="3"/>
  <c r="G2169" i="3"/>
  <c r="G2168" i="3"/>
  <c r="G2167" i="3"/>
  <c r="G2166" i="3"/>
  <c r="G2165" i="3"/>
  <c r="G2164" i="3"/>
  <c r="G2163" i="3"/>
  <c r="G2162" i="3"/>
  <c r="G2161" i="3"/>
  <c r="G2160" i="3"/>
  <c r="G2159" i="3"/>
  <c r="G2158" i="3"/>
  <c r="G2157" i="3"/>
  <c r="G2156" i="3"/>
  <c r="G2155" i="3"/>
  <c r="G2154" i="3"/>
  <c r="G2153" i="3"/>
  <c r="G2152" i="3"/>
  <c r="G2151" i="3"/>
  <c r="G2150" i="3"/>
  <c r="G2149" i="3"/>
  <c r="G2148" i="3"/>
  <c r="G2147" i="3"/>
  <c r="G2146" i="3"/>
  <c r="G2145" i="3"/>
  <c r="G2144" i="3"/>
  <c r="G2143" i="3"/>
  <c r="G2142" i="3"/>
  <c r="G2141" i="3"/>
  <c r="G2140" i="3"/>
  <c r="G2139" i="3"/>
  <c r="G2138" i="3"/>
  <c r="G2137" i="3"/>
  <c r="G2136" i="3"/>
  <c r="G2135" i="3"/>
  <c r="G2134" i="3"/>
  <c r="G2133" i="3"/>
  <c r="G2132" i="3"/>
  <c r="G2131" i="3"/>
  <c r="G2130" i="3"/>
  <c r="G2129" i="3"/>
  <c r="G2128" i="3"/>
  <c r="G2127" i="3"/>
  <c r="G2126" i="3"/>
  <c r="G2125" i="3"/>
  <c r="G2124" i="3"/>
  <c r="G2123" i="3"/>
  <c r="G2122" i="3"/>
  <c r="G2121" i="3"/>
  <c r="G2120" i="3"/>
  <c r="G2119" i="3"/>
  <c r="G2118" i="3"/>
  <c r="G2117" i="3"/>
  <c r="G2116" i="3"/>
  <c r="G2115" i="3"/>
  <c r="G2114" i="3"/>
  <c r="G2113" i="3"/>
  <c r="G2112" i="3"/>
  <c r="G2111" i="3"/>
  <c r="G2110" i="3"/>
  <c r="G2109" i="3"/>
  <c r="G2108" i="3"/>
  <c r="G2107" i="3"/>
  <c r="G2106" i="3"/>
  <c r="G2105" i="3"/>
  <c r="G2104" i="3"/>
  <c r="G2103" i="3"/>
  <c r="G2102" i="3"/>
  <c r="G2101" i="3"/>
  <c r="G2100" i="3"/>
  <c r="G2099" i="3"/>
  <c r="G2098" i="3"/>
  <c r="G2097" i="3"/>
  <c r="G2096" i="3"/>
  <c r="G2095" i="3"/>
  <c r="G2094" i="3"/>
  <c r="G2093" i="3"/>
  <c r="G2092" i="3"/>
  <c r="G2091" i="3"/>
  <c r="G2090" i="3"/>
  <c r="G2089" i="3"/>
  <c r="G2088" i="3"/>
  <c r="G2087" i="3"/>
  <c r="G2086" i="3"/>
  <c r="G2085" i="3"/>
  <c r="G2084" i="3"/>
  <c r="G2083" i="3"/>
  <c r="G2082" i="3"/>
  <c r="G2081" i="3"/>
  <c r="G2080" i="3"/>
  <c r="G2079" i="3"/>
  <c r="G2078" i="3"/>
  <c r="G2077" i="3"/>
  <c r="G2076" i="3"/>
  <c r="G2075" i="3"/>
  <c r="G2074" i="3"/>
  <c r="G2073" i="3"/>
  <c r="G2072" i="3"/>
  <c r="G2071" i="3"/>
  <c r="G2070" i="3"/>
  <c r="G2069" i="3"/>
  <c r="G2068" i="3"/>
  <c r="G2067" i="3"/>
  <c r="G2066" i="3"/>
  <c r="G2065" i="3"/>
  <c r="G2064" i="3"/>
  <c r="G2063" i="3"/>
  <c r="G2062" i="3"/>
  <c r="G2061" i="3"/>
  <c r="G2060" i="3"/>
  <c r="G2059" i="3"/>
  <c r="G2058" i="3"/>
  <c r="G2057" i="3"/>
  <c r="G2056" i="3"/>
  <c r="G2055" i="3"/>
  <c r="G2054" i="3"/>
  <c r="G2053" i="3"/>
  <c r="G2052" i="3"/>
  <c r="G2051" i="3"/>
  <c r="G2050" i="3"/>
  <c r="G2049" i="3"/>
  <c r="G2048" i="3"/>
  <c r="G2047" i="3"/>
  <c r="G2046" i="3"/>
  <c r="G2045" i="3"/>
  <c r="G2044" i="3"/>
  <c r="G2043" i="3"/>
  <c r="G2042" i="3"/>
  <c r="G2041" i="3"/>
  <c r="G2040" i="3"/>
  <c r="G2039" i="3"/>
  <c r="G2038" i="3"/>
  <c r="G2037" i="3"/>
  <c r="G2036" i="3"/>
  <c r="G2035" i="3"/>
  <c r="G2034" i="3"/>
  <c r="G2033" i="3"/>
  <c r="G2032" i="3"/>
  <c r="G2031" i="3"/>
  <c r="G2030" i="3"/>
  <c r="G2029" i="3"/>
  <c r="G2028" i="3"/>
  <c r="G2027" i="3"/>
  <c r="G2026" i="3"/>
  <c r="G2025" i="3"/>
  <c r="G2024" i="3"/>
  <c r="G2023" i="3"/>
  <c r="G2022" i="3"/>
  <c r="G2021" i="3"/>
  <c r="G2020" i="3"/>
  <c r="G2019" i="3"/>
  <c r="G2018" i="3"/>
  <c r="G2017" i="3"/>
  <c r="G2016" i="3"/>
  <c r="G2015" i="3"/>
  <c r="G2014" i="3"/>
  <c r="G2013" i="3"/>
  <c r="G2012" i="3"/>
  <c r="G2011" i="3"/>
  <c r="G2010" i="3"/>
  <c r="G2009" i="3"/>
  <c r="G2008" i="3"/>
  <c r="G2007" i="3"/>
  <c r="G2006" i="3"/>
  <c r="G2005" i="3"/>
  <c r="G2004" i="3"/>
  <c r="G2003" i="3"/>
  <c r="G2002" i="3"/>
  <c r="G2001" i="3"/>
  <c r="G2000" i="3"/>
  <c r="G1999" i="3"/>
  <c r="G1998" i="3"/>
  <c r="G1997" i="3"/>
  <c r="G1996" i="3"/>
  <c r="G1995" i="3"/>
  <c r="G1994" i="3"/>
  <c r="G1993" i="3"/>
  <c r="G1992" i="3"/>
  <c r="G1991" i="3"/>
  <c r="G1990" i="3"/>
  <c r="G1989" i="3"/>
  <c r="G1988" i="3"/>
  <c r="G1987" i="3"/>
  <c r="G1986" i="3"/>
  <c r="G1985" i="3"/>
  <c r="G1984" i="3"/>
  <c r="G1983" i="3"/>
  <c r="G1982" i="3"/>
  <c r="G1981" i="3"/>
  <c r="G1980" i="3"/>
  <c r="G1979" i="3"/>
  <c r="G1978" i="3"/>
  <c r="G1977" i="3"/>
  <c r="G1976" i="3"/>
  <c r="G1975" i="3"/>
  <c r="G1974" i="3"/>
  <c r="G1973" i="3"/>
  <c r="G1972" i="3"/>
  <c r="G1971" i="3"/>
  <c r="G1970" i="3"/>
  <c r="G1969" i="3"/>
  <c r="G1968" i="3"/>
  <c r="G1967" i="3"/>
  <c r="G1966" i="3"/>
  <c r="G1965" i="3"/>
  <c r="G1964" i="3"/>
  <c r="G1963" i="3"/>
  <c r="G1962" i="3"/>
  <c r="G1961" i="3"/>
  <c r="G1960" i="3"/>
  <c r="G1959" i="3"/>
  <c r="G1958" i="3"/>
  <c r="G1957" i="3"/>
  <c r="G1956" i="3"/>
  <c r="G1955" i="3"/>
  <c r="G1954" i="3"/>
  <c r="G1953" i="3"/>
  <c r="G1952" i="3"/>
  <c r="G1951" i="3"/>
  <c r="G1950" i="3"/>
  <c r="G1949" i="3"/>
  <c r="G1948" i="3"/>
  <c r="G1947" i="3"/>
  <c r="G1946" i="3"/>
  <c r="G1945" i="3"/>
  <c r="G1944" i="3"/>
  <c r="G1943" i="3"/>
  <c r="G1942" i="3"/>
  <c r="G1941" i="3"/>
  <c r="G1940" i="3"/>
  <c r="G1939" i="3"/>
  <c r="G1938" i="3"/>
  <c r="G1937" i="3"/>
  <c r="G1936" i="3"/>
  <c r="G1935" i="3"/>
  <c r="G1934" i="3"/>
  <c r="G1933" i="3"/>
  <c r="G1932" i="3"/>
  <c r="G1931" i="3"/>
  <c r="G1930" i="3"/>
  <c r="G1929" i="3"/>
  <c r="G1928" i="3"/>
  <c r="G1927" i="3"/>
  <c r="G1926" i="3"/>
  <c r="G1925" i="3"/>
  <c r="G1924" i="3"/>
  <c r="G1923" i="3"/>
  <c r="G1922" i="3"/>
  <c r="G1921" i="3"/>
  <c r="G1920" i="3"/>
  <c r="G1919" i="3"/>
  <c r="G1918" i="3"/>
  <c r="G1917" i="3"/>
  <c r="G1916" i="3"/>
  <c r="G1915" i="3"/>
  <c r="G1914" i="3"/>
  <c r="G1913" i="3"/>
  <c r="G1912" i="3"/>
  <c r="G1911" i="3"/>
  <c r="G1910" i="3"/>
  <c r="G1909" i="3"/>
  <c r="G1908" i="3"/>
  <c r="G1907" i="3"/>
  <c r="G1906" i="3"/>
  <c r="G1905" i="3"/>
  <c r="G1904" i="3"/>
  <c r="G1903" i="3"/>
  <c r="G1902" i="3"/>
  <c r="G1901" i="3"/>
  <c r="G1900" i="3"/>
  <c r="G1899" i="3"/>
  <c r="G1898" i="3"/>
  <c r="G1897" i="3"/>
  <c r="G1896" i="3"/>
  <c r="G1895" i="3"/>
  <c r="G1894" i="3"/>
  <c r="G1893" i="3"/>
  <c r="G1892" i="3"/>
  <c r="G1891" i="3"/>
  <c r="G1890" i="3"/>
  <c r="G1889" i="3"/>
  <c r="G1888" i="3"/>
  <c r="G1887" i="3"/>
  <c r="G1886" i="3"/>
  <c r="G1885" i="3"/>
  <c r="G1884" i="3"/>
  <c r="G1883" i="3"/>
  <c r="G1882" i="3"/>
  <c r="G1881" i="3"/>
  <c r="G1880" i="3"/>
  <c r="G1879" i="3"/>
  <c r="G1878" i="3"/>
  <c r="G1877" i="3"/>
  <c r="G1876" i="3"/>
  <c r="G1875" i="3"/>
  <c r="G1874" i="3"/>
  <c r="G1873" i="3"/>
  <c r="G1872" i="3"/>
  <c r="G1871" i="3"/>
  <c r="G1870" i="3"/>
  <c r="G1869" i="3"/>
  <c r="G1868" i="3"/>
  <c r="G1867" i="3"/>
  <c r="G1866" i="3"/>
  <c r="G1865" i="3"/>
  <c r="G1864" i="3"/>
  <c r="G1863" i="3"/>
  <c r="G1862" i="3"/>
  <c r="G1861" i="3"/>
  <c r="G1860" i="3"/>
  <c r="G1859" i="3"/>
  <c r="G1858" i="3"/>
  <c r="G1857" i="3"/>
  <c r="G1856" i="3"/>
  <c r="G1855" i="3"/>
  <c r="G1854" i="3"/>
  <c r="G1853" i="3"/>
  <c r="G1852" i="3"/>
  <c r="G1851" i="3"/>
  <c r="G1850" i="3"/>
  <c r="G1849" i="3"/>
  <c r="G1848" i="3"/>
  <c r="G1847" i="3"/>
  <c r="G1846" i="3"/>
  <c r="G1845" i="3"/>
  <c r="G1844" i="3"/>
  <c r="G1843" i="3"/>
  <c r="G1842" i="3"/>
  <c r="G1841" i="3"/>
  <c r="G1840" i="3"/>
  <c r="G1839" i="3"/>
  <c r="G1838" i="3"/>
  <c r="G1837" i="3"/>
  <c r="G1836" i="3"/>
  <c r="G1835" i="3"/>
  <c r="G1834" i="3"/>
  <c r="G1833" i="3"/>
  <c r="G1832" i="3"/>
  <c r="G1831" i="3"/>
  <c r="G1830" i="3"/>
  <c r="G1829" i="3"/>
  <c r="G1828" i="3"/>
  <c r="G1827" i="3"/>
  <c r="G1826" i="3"/>
  <c r="G1825" i="3"/>
  <c r="G1824" i="3"/>
  <c r="G1823" i="3"/>
  <c r="G1822" i="3"/>
  <c r="G1821" i="3"/>
  <c r="G1820" i="3"/>
  <c r="G1819" i="3"/>
  <c r="G1818" i="3"/>
  <c r="G1817" i="3"/>
  <c r="G1816" i="3"/>
  <c r="G1815" i="3"/>
  <c r="G1814" i="3"/>
  <c r="G1813" i="3"/>
  <c r="G1812" i="3"/>
  <c r="G1811" i="3"/>
  <c r="G1810" i="3"/>
  <c r="G1809" i="3"/>
  <c r="G1808" i="3"/>
  <c r="G1807" i="3"/>
  <c r="G1806" i="3"/>
  <c r="G1805" i="3"/>
  <c r="G1804" i="3"/>
  <c r="G1803" i="3"/>
  <c r="G1802" i="3"/>
  <c r="G1801" i="3"/>
  <c r="G1800" i="3"/>
  <c r="G1799" i="3"/>
  <c r="G1798" i="3"/>
  <c r="G1797" i="3"/>
  <c r="G1796" i="3"/>
  <c r="G1795" i="3"/>
  <c r="G1794" i="3"/>
  <c r="G1793" i="3"/>
  <c r="G1792" i="3"/>
  <c r="G1791" i="3"/>
  <c r="G1790" i="3"/>
  <c r="G1789" i="3"/>
  <c r="G1788" i="3"/>
  <c r="G1787" i="3"/>
  <c r="G1786" i="3"/>
  <c r="G1785" i="3"/>
  <c r="G1784" i="3"/>
  <c r="G1783" i="3"/>
  <c r="G1782" i="3"/>
  <c r="G1781" i="3"/>
  <c r="G1780" i="3"/>
  <c r="G1779" i="3"/>
  <c r="G1778" i="3"/>
  <c r="G1777" i="3"/>
  <c r="G1776" i="3"/>
  <c r="G1775" i="3"/>
  <c r="G1774" i="3"/>
  <c r="G1773" i="3"/>
  <c r="G1772" i="3"/>
  <c r="G1771" i="3"/>
  <c r="G1770" i="3"/>
  <c r="G1769" i="3"/>
  <c r="G1768" i="3"/>
  <c r="G1767" i="3"/>
  <c r="G1766" i="3"/>
  <c r="G1765" i="3"/>
  <c r="G1764" i="3"/>
  <c r="G1763" i="3"/>
  <c r="G1762" i="3"/>
  <c r="G1761" i="3"/>
  <c r="G1760" i="3"/>
  <c r="G1759" i="3"/>
  <c r="G1758" i="3"/>
  <c r="G1757" i="3"/>
  <c r="G1756" i="3"/>
  <c r="G1755" i="3"/>
  <c r="G1754" i="3"/>
  <c r="G1753" i="3"/>
  <c r="G1752" i="3"/>
  <c r="G1751" i="3"/>
  <c r="G1750" i="3"/>
  <c r="G1749" i="3"/>
  <c r="G1748" i="3"/>
  <c r="G1747" i="3"/>
  <c r="G1746" i="3"/>
  <c r="G1745" i="3"/>
  <c r="G1744" i="3"/>
  <c r="G1743" i="3"/>
  <c r="G1742" i="3"/>
  <c r="G1741" i="3"/>
  <c r="G1740" i="3"/>
  <c r="G1739" i="3"/>
  <c r="G1738" i="3"/>
  <c r="G1737" i="3"/>
  <c r="G1736" i="3"/>
  <c r="G1735" i="3"/>
  <c r="G1734" i="3"/>
  <c r="G1733" i="3"/>
  <c r="G1732" i="3"/>
  <c r="G1731" i="3"/>
  <c r="G1730" i="3"/>
  <c r="G1729" i="3"/>
  <c r="G1728" i="3"/>
  <c r="G1727" i="3"/>
  <c r="G1726" i="3"/>
  <c r="G1725" i="3"/>
  <c r="G1724" i="3"/>
  <c r="G1723" i="3"/>
  <c r="G1722" i="3"/>
  <c r="G1721" i="3"/>
  <c r="G1720" i="3"/>
  <c r="G1719" i="3"/>
  <c r="G1718" i="3"/>
  <c r="G1717" i="3"/>
  <c r="G1716" i="3"/>
  <c r="G1715" i="3"/>
  <c r="G1714" i="3"/>
  <c r="G1713" i="3"/>
  <c r="G1712" i="3"/>
  <c r="G1711" i="3"/>
  <c r="G1710" i="3"/>
  <c r="G1709" i="3"/>
  <c r="G1708" i="3"/>
  <c r="G1707" i="3"/>
  <c r="G1706" i="3"/>
  <c r="G1705" i="3"/>
  <c r="G1704" i="3"/>
  <c r="G1703" i="3"/>
  <c r="G1702" i="3"/>
  <c r="G1701" i="3"/>
  <c r="G1700" i="3"/>
  <c r="G1699" i="3"/>
  <c r="G1698" i="3"/>
  <c r="G1697" i="3"/>
  <c r="G1696" i="3"/>
  <c r="G1695" i="3"/>
  <c r="G1694" i="3"/>
  <c r="G1693" i="3"/>
  <c r="G1692" i="3"/>
  <c r="G1691" i="3"/>
  <c r="G1690" i="3"/>
  <c r="G1689" i="3"/>
  <c r="G1688" i="3"/>
  <c r="G1687" i="3"/>
  <c r="G1686" i="3"/>
  <c r="G1685" i="3"/>
  <c r="G1684" i="3"/>
  <c r="G1683" i="3"/>
  <c r="G1682" i="3"/>
  <c r="G1681" i="3"/>
  <c r="G1680" i="3"/>
  <c r="G1679" i="3"/>
  <c r="G1678" i="3"/>
  <c r="G1677" i="3"/>
  <c r="G1676" i="3"/>
  <c r="G1675" i="3"/>
  <c r="G1674" i="3"/>
  <c r="G1673" i="3"/>
  <c r="G1672" i="3"/>
  <c r="G1671" i="3"/>
  <c r="G1670" i="3"/>
  <c r="G1669" i="3"/>
  <c r="G1668" i="3"/>
  <c r="G1667" i="3"/>
  <c r="G1666" i="3"/>
  <c r="G1665" i="3"/>
  <c r="G1664" i="3"/>
  <c r="G1663" i="3"/>
  <c r="G1662" i="3"/>
  <c r="G1661" i="3"/>
  <c r="G1660" i="3"/>
  <c r="G1659" i="3"/>
  <c r="G1658" i="3"/>
  <c r="G1657" i="3"/>
  <c r="G1656" i="3"/>
  <c r="G1655" i="3"/>
  <c r="G1654" i="3"/>
  <c r="G1653" i="3"/>
  <c r="G1652" i="3"/>
  <c r="G1651" i="3"/>
  <c r="G1650" i="3"/>
  <c r="G1649" i="3"/>
  <c r="G1648" i="3"/>
  <c r="G1647" i="3"/>
  <c r="G1646" i="3"/>
  <c r="G1645" i="3"/>
  <c r="G1644" i="3"/>
  <c r="G1643" i="3"/>
  <c r="G1642" i="3"/>
  <c r="G1641" i="3"/>
  <c r="G1640" i="3"/>
  <c r="G1639" i="3"/>
  <c r="G1638" i="3"/>
  <c r="G1637" i="3"/>
  <c r="G1636" i="3"/>
  <c r="G1635" i="3"/>
  <c r="G1634" i="3"/>
  <c r="G1633" i="3"/>
  <c r="G1632" i="3"/>
  <c r="G1631" i="3"/>
  <c r="G1630" i="3"/>
  <c r="G1629" i="3"/>
  <c r="G1628" i="3"/>
  <c r="G1627" i="3"/>
  <c r="G1626" i="3"/>
  <c r="G1625" i="3"/>
  <c r="G1624" i="3"/>
  <c r="G1623" i="3"/>
  <c r="G1622" i="3"/>
  <c r="G1621" i="3"/>
  <c r="G1620" i="3"/>
  <c r="G1619" i="3"/>
  <c r="G1618" i="3"/>
  <c r="G1617" i="3"/>
  <c r="G1616" i="3"/>
  <c r="G1615" i="3"/>
  <c r="G1614" i="3"/>
  <c r="G1613" i="3"/>
  <c r="G1612" i="3"/>
  <c r="G1611" i="3"/>
  <c r="G1610" i="3"/>
  <c r="G1609" i="3"/>
  <c r="G1608" i="3"/>
  <c r="G1607" i="3"/>
  <c r="G1606" i="3"/>
  <c r="G1605" i="3"/>
  <c r="G1604" i="3"/>
  <c r="G1603" i="3"/>
  <c r="G1602" i="3"/>
  <c r="G1601" i="3"/>
  <c r="G1600" i="3"/>
  <c r="G1599" i="3"/>
  <c r="G1598" i="3"/>
  <c r="G1597" i="3"/>
  <c r="G1596" i="3"/>
  <c r="G1595" i="3"/>
  <c r="G1594" i="3"/>
  <c r="G1593" i="3"/>
  <c r="G1592" i="3"/>
  <c r="G1591" i="3"/>
  <c r="G1590" i="3"/>
  <c r="G1589" i="3"/>
  <c r="G1588" i="3"/>
  <c r="G1587" i="3"/>
  <c r="G1586" i="3"/>
  <c r="G1585" i="3"/>
  <c r="G1584" i="3"/>
  <c r="G1583" i="3"/>
  <c r="G1582" i="3"/>
  <c r="G1581" i="3"/>
  <c r="G1580" i="3"/>
  <c r="G1579" i="3"/>
  <c r="G1578" i="3"/>
  <c r="G1577" i="3"/>
  <c r="G1576" i="3"/>
  <c r="G1575" i="3"/>
  <c r="G1574" i="3"/>
  <c r="G1573" i="3"/>
  <c r="G1572" i="3"/>
  <c r="G1571" i="3"/>
  <c r="G1570" i="3"/>
  <c r="G1569" i="3"/>
  <c r="G1568" i="3"/>
  <c r="G1567" i="3"/>
  <c r="G1566" i="3"/>
  <c r="G1565" i="3"/>
  <c r="G1564" i="3"/>
  <c r="G1563" i="3"/>
  <c r="G1562" i="3"/>
  <c r="G1561" i="3"/>
  <c r="G1560" i="3"/>
  <c r="G1559" i="3"/>
  <c r="G1558" i="3"/>
  <c r="G1557" i="3"/>
  <c r="G1556" i="3"/>
  <c r="G1555" i="3"/>
  <c r="G1554" i="3"/>
  <c r="G1553" i="3"/>
  <c r="G1552" i="3"/>
  <c r="G1551" i="3"/>
  <c r="G1550" i="3"/>
  <c r="G1549" i="3"/>
  <c r="G1548" i="3"/>
  <c r="G1547" i="3"/>
  <c r="G1546" i="3"/>
  <c r="G1545" i="3"/>
  <c r="G1544" i="3"/>
  <c r="G1543" i="3"/>
  <c r="G1542" i="3"/>
  <c r="G1541" i="3"/>
  <c r="G1540" i="3"/>
  <c r="G1539" i="3"/>
  <c r="G1538" i="3"/>
  <c r="G1537" i="3"/>
  <c r="G1536" i="3"/>
  <c r="G1535" i="3"/>
  <c r="G1534" i="3"/>
  <c r="G1533" i="3"/>
  <c r="G1532" i="3"/>
  <c r="G1531" i="3"/>
  <c r="G1530" i="3"/>
  <c r="G1529" i="3"/>
  <c r="G1528" i="3"/>
  <c r="G1527" i="3"/>
  <c r="G1526" i="3"/>
  <c r="G1525" i="3"/>
  <c r="G1524" i="3"/>
  <c r="G1523" i="3"/>
  <c r="G1522" i="3"/>
  <c r="G1521" i="3"/>
  <c r="G1520" i="3"/>
  <c r="G1519" i="3"/>
  <c r="G1518" i="3"/>
  <c r="G1517" i="3"/>
  <c r="G1516" i="3"/>
  <c r="G1515" i="3"/>
  <c r="G1514" i="3"/>
  <c r="G1513" i="3"/>
  <c r="G1512" i="3"/>
  <c r="G1511" i="3"/>
  <c r="G1510" i="3"/>
  <c r="G1509" i="3"/>
  <c r="G1508" i="3"/>
  <c r="G1507" i="3"/>
  <c r="G1506" i="3"/>
  <c r="G1505" i="3"/>
  <c r="G1504" i="3"/>
  <c r="G1503" i="3"/>
  <c r="G1502" i="3"/>
  <c r="G1501" i="3"/>
  <c r="G1500" i="3"/>
  <c r="G1499" i="3"/>
  <c r="G1498" i="3"/>
  <c r="G1497" i="3"/>
  <c r="G1496" i="3"/>
  <c r="G1495" i="3"/>
  <c r="G1494" i="3"/>
  <c r="G1493" i="3"/>
  <c r="G1492" i="3"/>
  <c r="G1491" i="3"/>
  <c r="G1490" i="3"/>
  <c r="G1489" i="3"/>
  <c r="G1488" i="3"/>
  <c r="G1487" i="3"/>
  <c r="G1486" i="3"/>
  <c r="G1485" i="3"/>
  <c r="G1484" i="3"/>
  <c r="G1483" i="3"/>
  <c r="G1482" i="3"/>
  <c r="G1481" i="3"/>
  <c r="G1480" i="3"/>
  <c r="G1479" i="3"/>
  <c r="G1478" i="3"/>
  <c r="G1477" i="3"/>
  <c r="G1476" i="3"/>
  <c r="G1475" i="3"/>
  <c r="G1474" i="3"/>
  <c r="G1473" i="3"/>
  <c r="G1472" i="3"/>
  <c r="G1471" i="3"/>
  <c r="G1470" i="3"/>
  <c r="G1469" i="3"/>
  <c r="G1468" i="3"/>
  <c r="G1467" i="3"/>
  <c r="G1466" i="3"/>
  <c r="G1465" i="3"/>
  <c r="G1464" i="3"/>
  <c r="G1463" i="3"/>
  <c r="G1462" i="3"/>
  <c r="G1461" i="3"/>
  <c r="G1460" i="3"/>
  <c r="G1459" i="3"/>
  <c r="G1458" i="3"/>
  <c r="G1457" i="3"/>
  <c r="G1456" i="3"/>
  <c r="G1455" i="3"/>
  <c r="G1454" i="3"/>
  <c r="G1453" i="3"/>
  <c r="G1452" i="3"/>
  <c r="G1451" i="3"/>
  <c r="G1450" i="3"/>
  <c r="G1449" i="3"/>
  <c r="G1448" i="3"/>
  <c r="G1447" i="3"/>
  <c r="G1446" i="3"/>
  <c r="G1445" i="3"/>
  <c r="G1444" i="3"/>
  <c r="G1443" i="3"/>
  <c r="G1442" i="3"/>
  <c r="G1441" i="3"/>
  <c r="G1440" i="3"/>
  <c r="G1439" i="3"/>
  <c r="G1438" i="3"/>
  <c r="G1437" i="3"/>
  <c r="G1436" i="3"/>
  <c r="G1435" i="3"/>
  <c r="G1434" i="3"/>
  <c r="G1433" i="3"/>
  <c r="G1432" i="3"/>
  <c r="G1431" i="3"/>
  <c r="G1430" i="3"/>
  <c r="G1429" i="3"/>
  <c r="G1428" i="3"/>
  <c r="G1427" i="3"/>
  <c r="G1426" i="3"/>
  <c r="G1425" i="3"/>
  <c r="G1424" i="3"/>
  <c r="G1423" i="3"/>
  <c r="G1422" i="3"/>
  <c r="G1421" i="3"/>
  <c r="G1420" i="3"/>
  <c r="G1419" i="3"/>
  <c r="G1418" i="3"/>
  <c r="G1417" i="3"/>
  <c r="G1416" i="3"/>
  <c r="G1415" i="3"/>
  <c r="G1414" i="3"/>
  <c r="G1413" i="3"/>
  <c r="G1412" i="3"/>
  <c r="G1411" i="3"/>
  <c r="G1410" i="3"/>
  <c r="G1409" i="3"/>
  <c r="G1408" i="3"/>
  <c r="G1407" i="3"/>
  <c r="G1406" i="3"/>
  <c r="G1405" i="3"/>
  <c r="G1404" i="3"/>
  <c r="G1403" i="3"/>
  <c r="G1402" i="3"/>
  <c r="G1401" i="3"/>
  <c r="G1400" i="3"/>
  <c r="G1399" i="3"/>
  <c r="G1398" i="3"/>
  <c r="G1397" i="3"/>
  <c r="G1396" i="3"/>
  <c r="G1395" i="3"/>
  <c r="G1394" i="3"/>
  <c r="G1393" i="3"/>
  <c r="G1392" i="3"/>
  <c r="G1391" i="3"/>
  <c r="G1390" i="3"/>
  <c r="G1389" i="3"/>
  <c r="G1388" i="3"/>
  <c r="G1387" i="3"/>
  <c r="G1386" i="3"/>
  <c r="G1385" i="3"/>
  <c r="G1384" i="3"/>
  <c r="G1383" i="3"/>
  <c r="G1382" i="3"/>
  <c r="G1381" i="3"/>
  <c r="G1380" i="3"/>
  <c r="G1379" i="3"/>
  <c r="G1378" i="3"/>
  <c r="G1377" i="3"/>
  <c r="G1376" i="3"/>
  <c r="G1375" i="3"/>
  <c r="G1374" i="3"/>
  <c r="G1373" i="3"/>
  <c r="G1372" i="3"/>
  <c r="G1371" i="3"/>
  <c r="G1370" i="3"/>
  <c r="G1369" i="3"/>
  <c r="G1368" i="3"/>
  <c r="G1367" i="3"/>
  <c r="G1366" i="3"/>
  <c r="G1365" i="3"/>
  <c r="G1364" i="3"/>
  <c r="G1363" i="3"/>
  <c r="G1362" i="3"/>
  <c r="G1361" i="3"/>
  <c r="G1360" i="3"/>
  <c r="G1359" i="3"/>
  <c r="G1358" i="3"/>
  <c r="G1357" i="3"/>
  <c r="G1356" i="3"/>
  <c r="G1355" i="3"/>
  <c r="G1354" i="3"/>
  <c r="G1353" i="3"/>
  <c r="G1352" i="3"/>
  <c r="G1351" i="3"/>
  <c r="G1350" i="3"/>
  <c r="G1349" i="3"/>
  <c r="G1348" i="3"/>
  <c r="G1347" i="3"/>
  <c r="G1346" i="3"/>
  <c r="G1345" i="3"/>
  <c r="G1344" i="3"/>
  <c r="G1343" i="3"/>
  <c r="G1342" i="3"/>
  <c r="G1341" i="3"/>
  <c r="G1340" i="3"/>
  <c r="G1339" i="3"/>
  <c r="G1338" i="3"/>
  <c r="G1337" i="3"/>
  <c r="G1336" i="3"/>
  <c r="G1335" i="3"/>
  <c r="G1334" i="3"/>
  <c r="G1333" i="3"/>
  <c r="G1332" i="3"/>
  <c r="G1331" i="3"/>
  <c r="G1330" i="3"/>
  <c r="G1329" i="3"/>
  <c r="G1328" i="3"/>
  <c r="G1327" i="3"/>
  <c r="G1326" i="3"/>
  <c r="G1325" i="3"/>
  <c r="G1324" i="3"/>
  <c r="G1323" i="3"/>
  <c r="G1322" i="3"/>
  <c r="G1321" i="3"/>
  <c r="G1320" i="3"/>
  <c r="G1319" i="3"/>
  <c r="G1318" i="3"/>
  <c r="G1317" i="3"/>
  <c r="G1316" i="3"/>
  <c r="G1315" i="3"/>
  <c r="G1314" i="3"/>
  <c r="G1313" i="3"/>
  <c r="G1312" i="3"/>
  <c r="G1311" i="3"/>
  <c r="G1310" i="3"/>
  <c r="G1309" i="3"/>
  <c r="G1308" i="3"/>
  <c r="G1307" i="3"/>
  <c r="G1306" i="3"/>
  <c r="G1305" i="3"/>
  <c r="G1304" i="3"/>
  <c r="G1303" i="3"/>
  <c r="G1302" i="3"/>
  <c r="G1301" i="3"/>
  <c r="G1300" i="3"/>
  <c r="G1299" i="3"/>
  <c r="G1298" i="3"/>
  <c r="G1297" i="3"/>
  <c r="G1296" i="3"/>
  <c r="G1295" i="3"/>
  <c r="G1294" i="3"/>
  <c r="G1293" i="3"/>
  <c r="G1292" i="3"/>
  <c r="G1291" i="3"/>
  <c r="G1290" i="3"/>
  <c r="G1289" i="3"/>
  <c r="G1288" i="3"/>
  <c r="G1287" i="3"/>
  <c r="G1286" i="3"/>
  <c r="G1285" i="3"/>
  <c r="G1284" i="3"/>
  <c r="G1283" i="3"/>
  <c r="G1282" i="3"/>
  <c r="G1281" i="3"/>
  <c r="G1280" i="3"/>
  <c r="G1279" i="3"/>
  <c r="G1278" i="3"/>
  <c r="G1277" i="3"/>
  <c r="G1276" i="3"/>
  <c r="G1275" i="3"/>
  <c r="G1274" i="3"/>
  <c r="G1273" i="3"/>
  <c r="G1272" i="3"/>
  <c r="G1271" i="3"/>
  <c r="G1270" i="3"/>
  <c r="G1269" i="3"/>
  <c r="G1268" i="3"/>
  <c r="G1267" i="3"/>
  <c r="G1266" i="3"/>
  <c r="G1265" i="3"/>
  <c r="G1264" i="3"/>
  <c r="G1263" i="3"/>
  <c r="G1262" i="3"/>
  <c r="G1261" i="3"/>
  <c r="G1260" i="3"/>
  <c r="G1259" i="3"/>
  <c r="G1258" i="3"/>
  <c r="G1257" i="3"/>
  <c r="G1256" i="3"/>
  <c r="G1255" i="3"/>
  <c r="G1254" i="3"/>
  <c r="G1253" i="3"/>
  <c r="G1252" i="3"/>
  <c r="G1251" i="3"/>
  <c r="G1250" i="3"/>
  <c r="G1249" i="3"/>
  <c r="G1248" i="3"/>
  <c r="G1247" i="3"/>
  <c r="G1246" i="3"/>
  <c r="G1245" i="3"/>
  <c r="G1244" i="3"/>
  <c r="G1243" i="3"/>
  <c r="G1242" i="3"/>
  <c r="G1241" i="3"/>
  <c r="G1240" i="3"/>
  <c r="G1239" i="3"/>
  <c r="G1238" i="3"/>
  <c r="G1237" i="3"/>
  <c r="G1236" i="3"/>
  <c r="G1235" i="3"/>
  <c r="G1234" i="3"/>
  <c r="G1233" i="3"/>
  <c r="G1232" i="3"/>
  <c r="G1231" i="3"/>
  <c r="G1230" i="3"/>
  <c r="G1229" i="3"/>
  <c r="G1228" i="3"/>
  <c r="G1227" i="3"/>
  <c r="G1226" i="3"/>
  <c r="G1225" i="3"/>
  <c r="G1224" i="3"/>
  <c r="G1223" i="3"/>
  <c r="G1222" i="3"/>
  <c r="G1221" i="3"/>
  <c r="G1220" i="3"/>
  <c r="G1219" i="3"/>
  <c r="G1218" i="3"/>
  <c r="G1217" i="3"/>
  <c r="G1216" i="3"/>
  <c r="G1215" i="3"/>
  <c r="G1214" i="3"/>
  <c r="G1213" i="3"/>
  <c r="G1212" i="3"/>
  <c r="G1211" i="3"/>
  <c r="G1210" i="3"/>
  <c r="G1209" i="3"/>
  <c r="G1208" i="3"/>
  <c r="G1207" i="3"/>
  <c r="G1206" i="3"/>
  <c r="G1205" i="3"/>
  <c r="G1204" i="3"/>
  <c r="G1203" i="3"/>
  <c r="G1202" i="3"/>
  <c r="G1201" i="3"/>
  <c r="G1200" i="3"/>
  <c r="G1199" i="3"/>
  <c r="G1198" i="3"/>
  <c r="G1197" i="3"/>
  <c r="G1196" i="3"/>
  <c r="G1195" i="3"/>
  <c r="G1194" i="3"/>
  <c r="G1193" i="3"/>
  <c r="G1192" i="3"/>
  <c r="G1191" i="3"/>
  <c r="G1190" i="3"/>
  <c r="G1189" i="3"/>
  <c r="G1188" i="3"/>
  <c r="G1187" i="3"/>
  <c r="G1186" i="3"/>
  <c r="G1185" i="3"/>
  <c r="G1184" i="3"/>
  <c r="G1183" i="3"/>
  <c r="G1182" i="3"/>
  <c r="G1181" i="3"/>
  <c r="G1180" i="3"/>
  <c r="G1179" i="3"/>
  <c r="G1178" i="3"/>
  <c r="G1177" i="3"/>
  <c r="G1176" i="3"/>
  <c r="G1175" i="3"/>
  <c r="G1174" i="3"/>
  <c r="G1173" i="3"/>
  <c r="G1172" i="3"/>
  <c r="G1171" i="3"/>
  <c r="G1170" i="3"/>
  <c r="G1169" i="3"/>
  <c r="G1168" i="3"/>
  <c r="G1167" i="3"/>
  <c r="G1166" i="3"/>
  <c r="G1165" i="3"/>
  <c r="G1164" i="3"/>
  <c r="G1163" i="3"/>
  <c r="G1162" i="3"/>
  <c r="G1161" i="3"/>
  <c r="G1160" i="3"/>
  <c r="G1159" i="3"/>
  <c r="G1158" i="3"/>
  <c r="G1157" i="3"/>
  <c r="G1156" i="3"/>
  <c r="G1155" i="3"/>
  <c r="G1154" i="3"/>
  <c r="G1153" i="3"/>
  <c r="G1152" i="3"/>
  <c r="G1151" i="3"/>
  <c r="G1150" i="3"/>
  <c r="G1149" i="3"/>
  <c r="G1148" i="3"/>
  <c r="G1147" i="3"/>
  <c r="G1146" i="3"/>
  <c r="G1145" i="3"/>
  <c r="G1144" i="3"/>
  <c r="G1143" i="3"/>
  <c r="G1142" i="3"/>
  <c r="G1141" i="3"/>
  <c r="G1140" i="3"/>
  <c r="G1139" i="3"/>
  <c r="G1138" i="3"/>
  <c r="G1137" i="3"/>
  <c r="G1136" i="3"/>
  <c r="G1135" i="3"/>
  <c r="G1134" i="3"/>
  <c r="G1133" i="3"/>
  <c r="G1132" i="3"/>
  <c r="G1131" i="3"/>
  <c r="G1130" i="3"/>
  <c r="G1129" i="3"/>
  <c r="G1128" i="3"/>
  <c r="G1127" i="3"/>
  <c r="G1126" i="3"/>
  <c r="G1125" i="3"/>
  <c r="G1124" i="3"/>
  <c r="G1123" i="3"/>
  <c r="G1122" i="3"/>
  <c r="G1121" i="3"/>
  <c r="G1120" i="3"/>
  <c r="G1119" i="3"/>
  <c r="G1118" i="3"/>
  <c r="G1117" i="3"/>
  <c r="G1116" i="3"/>
  <c r="G1115" i="3"/>
  <c r="G1114" i="3"/>
  <c r="G1113" i="3"/>
  <c r="G1112" i="3"/>
  <c r="G1111" i="3"/>
  <c r="G1110" i="3"/>
  <c r="G1109" i="3"/>
  <c r="G1108" i="3"/>
  <c r="G1107" i="3"/>
  <c r="G1106" i="3"/>
  <c r="G1105" i="3"/>
  <c r="G1104" i="3"/>
  <c r="G1103" i="3"/>
  <c r="G1102" i="3"/>
  <c r="G1101" i="3"/>
  <c r="G1100" i="3"/>
  <c r="G1099" i="3"/>
  <c r="G1098" i="3"/>
  <c r="G1097" i="3"/>
  <c r="G1096" i="3"/>
  <c r="G1095" i="3"/>
  <c r="G1094" i="3"/>
  <c r="G1093" i="3"/>
  <c r="G1092" i="3"/>
  <c r="G1091" i="3"/>
  <c r="G1090" i="3"/>
  <c r="G1089" i="3"/>
  <c r="G1088" i="3"/>
  <c r="G1087" i="3"/>
  <c r="G1086" i="3"/>
  <c r="G1085" i="3"/>
  <c r="G1084" i="3"/>
  <c r="G1083" i="3"/>
  <c r="G1082" i="3"/>
  <c r="G1081" i="3"/>
  <c r="G1080" i="3"/>
  <c r="G1079" i="3"/>
  <c r="G1078" i="3"/>
  <c r="G1077" i="3"/>
  <c r="G1076" i="3"/>
  <c r="G1075" i="3"/>
  <c r="G1074" i="3"/>
  <c r="G1073" i="3"/>
  <c r="G1072" i="3"/>
  <c r="G1071" i="3"/>
  <c r="G1070" i="3"/>
  <c r="G1069" i="3"/>
  <c r="G1068" i="3"/>
  <c r="G1067" i="3"/>
  <c r="G1066" i="3"/>
  <c r="G1065" i="3"/>
  <c r="G1064" i="3"/>
  <c r="G1063" i="3"/>
  <c r="G1062" i="3"/>
  <c r="G1061" i="3"/>
  <c r="G1060" i="3"/>
  <c r="G1059" i="3"/>
  <c r="G1058" i="3"/>
  <c r="G1057" i="3"/>
  <c r="G1056" i="3"/>
  <c r="G1055" i="3"/>
  <c r="G1054" i="3"/>
  <c r="G1053" i="3"/>
  <c r="G1052" i="3"/>
  <c r="G1051" i="3"/>
  <c r="G1050" i="3"/>
  <c r="G1049" i="3"/>
  <c r="G1048" i="3"/>
  <c r="G1047" i="3"/>
  <c r="G1046" i="3"/>
  <c r="G1045" i="3"/>
  <c r="G1044" i="3"/>
  <c r="G1043" i="3"/>
  <c r="G1042" i="3"/>
  <c r="G1041" i="3"/>
  <c r="G1040" i="3"/>
  <c r="G1039" i="3"/>
  <c r="G1038" i="3"/>
  <c r="G1037" i="3"/>
  <c r="G1036" i="3"/>
  <c r="G1035" i="3"/>
  <c r="G1034" i="3"/>
  <c r="G1033" i="3"/>
  <c r="G1032" i="3"/>
  <c r="G1031" i="3"/>
  <c r="G1030" i="3"/>
  <c r="G1029" i="3"/>
  <c r="G1028" i="3"/>
  <c r="G1027" i="3"/>
  <c r="G1026" i="3"/>
  <c r="G1025" i="3"/>
  <c r="G1024" i="3"/>
  <c r="G1023" i="3"/>
  <c r="G1022" i="3"/>
  <c r="G1021" i="3"/>
  <c r="G1020" i="3"/>
  <c r="G1019" i="3"/>
  <c r="G1018" i="3"/>
  <c r="G1017" i="3"/>
  <c r="G1016" i="3"/>
  <c r="G1015" i="3"/>
  <c r="G1014" i="3"/>
  <c r="G1013" i="3"/>
  <c r="G1012" i="3"/>
  <c r="G1011" i="3"/>
  <c r="G1010" i="3"/>
  <c r="G1009" i="3"/>
  <c r="G1008" i="3"/>
  <c r="G1007" i="3"/>
  <c r="G1006" i="3"/>
  <c r="G1005" i="3"/>
  <c r="G1004" i="3"/>
  <c r="G1003" i="3"/>
  <c r="G1002" i="3"/>
  <c r="G1001" i="3"/>
  <c r="G1000" i="3"/>
  <c r="G999" i="3"/>
  <c r="G998" i="3"/>
  <c r="G997" i="3"/>
  <c r="G996" i="3"/>
  <c r="G995" i="3"/>
  <c r="G994" i="3"/>
  <c r="G993" i="3"/>
  <c r="G992" i="3"/>
  <c r="G991" i="3"/>
  <c r="G990" i="3"/>
  <c r="G989" i="3"/>
  <c r="G988" i="3"/>
  <c r="G987" i="3"/>
  <c r="G986" i="3"/>
  <c r="G985" i="3"/>
  <c r="G984" i="3"/>
  <c r="G983" i="3"/>
  <c r="G982" i="3"/>
  <c r="G981" i="3"/>
  <c r="G980" i="3"/>
  <c r="G979" i="3"/>
  <c r="G978" i="3"/>
  <c r="G977" i="3"/>
  <c r="G976" i="3"/>
  <c r="G975" i="3"/>
  <c r="G974" i="3"/>
  <c r="G973" i="3"/>
  <c r="G972" i="3"/>
  <c r="G971" i="3"/>
  <c r="G970" i="3"/>
  <c r="G969" i="3"/>
  <c r="G968" i="3"/>
  <c r="G967" i="3"/>
  <c r="G966" i="3"/>
  <c r="G965" i="3"/>
  <c r="G964" i="3"/>
  <c r="G963" i="3"/>
  <c r="G962" i="3"/>
  <c r="G961" i="3"/>
  <c r="G960" i="3"/>
  <c r="G959" i="3"/>
  <c r="G958" i="3"/>
  <c r="G957" i="3"/>
  <c r="G956" i="3"/>
  <c r="G955" i="3"/>
  <c r="G954" i="3"/>
  <c r="G953" i="3"/>
  <c r="G952" i="3"/>
  <c r="G951" i="3"/>
  <c r="G950" i="3"/>
  <c r="G949" i="3"/>
  <c r="G948" i="3"/>
  <c r="G947" i="3"/>
  <c r="G946" i="3"/>
  <c r="G945" i="3"/>
  <c r="G944" i="3"/>
  <c r="G943" i="3"/>
  <c r="G942" i="3"/>
  <c r="G941" i="3"/>
  <c r="G940" i="3"/>
  <c r="G939" i="3"/>
  <c r="G938" i="3"/>
  <c r="G937" i="3"/>
  <c r="G936" i="3"/>
  <c r="G935" i="3"/>
  <c r="G934" i="3"/>
  <c r="G933" i="3"/>
  <c r="G932" i="3"/>
  <c r="G931" i="3"/>
  <c r="G930" i="3"/>
  <c r="G929" i="3"/>
  <c r="G928" i="3"/>
  <c r="G927" i="3"/>
  <c r="G926" i="3"/>
  <c r="G925" i="3"/>
  <c r="G924" i="3"/>
  <c r="G923" i="3"/>
  <c r="G922" i="3"/>
  <c r="G921" i="3"/>
  <c r="G920" i="3"/>
  <c r="G919" i="3"/>
  <c r="G918" i="3"/>
  <c r="G917" i="3"/>
  <c r="G916" i="3"/>
  <c r="G915" i="3"/>
  <c r="G914" i="3"/>
  <c r="G913" i="3"/>
  <c r="G912" i="3"/>
  <c r="G911" i="3"/>
  <c r="G910" i="3"/>
  <c r="G909" i="3"/>
  <c r="G908" i="3"/>
  <c r="G907" i="3"/>
  <c r="G906" i="3"/>
  <c r="G905" i="3"/>
  <c r="G904" i="3"/>
  <c r="G903" i="3"/>
  <c r="G902" i="3"/>
  <c r="G901" i="3"/>
  <c r="G900" i="3"/>
  <c r="G899" i="3"/>
  <c r="G898" i="3"/>
  <c r="G897" i="3"/>
  <c r="G896" i="3"/>
  <c r="G895" i="3"/>
  <c r="G894" i="3"/>
  <c r="G893" i="3"/>
  <c r="G892" i="3"/>
  <c r="G891" i="3"/>
  <c r="G890" i="3"/>
  <c r="G889" i="3"/>
  <c r="G888" i="3"/>
  <c r="G887" i="3"/>
  <c r="G886" i="3"/>
  <c r="G885" i="3"/>
  <c r="G884" i="3"/>
  <c r="G883" i="3"/>
  <c r="G882" i="3"/>
  <c r="G881" i="3"/>
  <c r="G880" i="3"/>
  <c r="G879" i="3"/>
  <c r="G878" i="3"/>
  <c r="G877" i="3"/>
  <c r="G876" i="3"/>
  <c r="G875" i="3"/>
  <c r="G874" i="3"/>
  <c r="G873" i="3"/>
  <c r="G872" i="3"/>
  <c r="G871" i="3"/>
  <c r="G2502" i="3"/>
  <c r="G2501" i="3"/>
  <c r="G2500" i="3"/>
  <c r="G2499" i="3"/>
  <c r="G2498" i="3"/>
  <c r="G2497" i="3"/>
  <c r="G2496" i="3"/>
  <c r="G2495" i="3"/>
  <c r="G2494" i="3"/>
  <c r="G2493" i="3"/>
  <c r="G2492" i="3"/>
  <c r="G2491" i="3"/>
  <c r="G2490" i="3"/>
  <c r="G2489" i="3"/>
  <c r="G2488" i="3"/>
  <c r="G2487" i="3"/>
  <c r="G2486" i="3"/>
  <c r="G2485" i="3"/>
  <c r="G2484" i="3"/>
  <c r="G2483" i="3"/>
  <c r="G2482" i="3"/>
  <c r="G2481" i="3"/>
  <c r="G2480" i="3"/>
  <c r="G2479" i="3"/>
  <c r="G2478" i="3"/>
  <c r="G2477" i="3"/>
  <c r="G2476" i="3"/>
  <c r="G2475" i="3"/>
  <c r="G2474" i="3"/>
  <c r="G2473" i="3"/>
  <c r="G2472" i="3"/>
  <c r="G2471" i="3"/>
  <c r="G2470" i="3"/>
  <c r="G2469" i="3"/>
  <c r="G2468" i="3"/>
  <c r="G2467" i="3"/>
  <c r="G2466" i="3"/>
  <c r="G2465" i="3"/>
  <c r="G2464" i="3"/>
  <c r="G2463" i="3"/>
  <c r="G2462" i="3"/>
  <c r="G2461" i="3"/>
  <c r="G2460" i="3"/>
  <c r="G2459" i="3"/>
  <c r="G2458" i="3"/>
  <c r="G2457" i="3"/>
  <c r="G2456" i="3"/>
  <c r="G2455" i="3"/>
  <c r="G2454" i="3"/>
  <c r="G2453" i="3"/>
  <c r="G2452" i="3"/>
  <c r="G2451" i="3"/>
  <c r="G2450" i="3"/>
  <c r="G2449" i="3"/>
  <c r="G2448" i="3"/>
  <c r="G2447" i="3"/>
  <c r="G2446" i="3"/>
  <c r="G2445" i="3"/>
  <c r="G2444" i="3"/>
  <c r="G2443" i="3"/>
  <c r="G2442" i="3"/>
  <c r="G2441" i="3"/>
  <c r="G2440" i="3"/>
  <c r="G2439" i="3"/>
  <c r="G2438" i="3"/>
  <c r="G2437" i="3"/>
  <c r="G2436" i="3"/>
  <c r="G2435" i="3"/>
  <c r="G2434" i="3"/>
  <c r="G2433" i="3"/>
  <c r="G2432" i="3"/>
  <c r="G2431" i="3"/>
  <c r="G2430" i="3"/>
  <c r="G2429" i="3"/>
  <c r="G2428" i="3"/>
  <c r="G2427" i="3"/>
  <c r="G2426" i="3"/>
  <c r="G2425" i="3"/>
  <c r="G2424" i="3"/>
  <c r="G2423" i="3"/>
  <c r="G2422" i="3"/>
  <c r="G2421" i="3"/>
  <c r="G2420" i="3"/>
  <c r="G2419" i="3"/>
  <c r="G2418" i="3"/>
  <c r="G2417" i="3"/>
  <c r="G2416" i="3"/>
  <c r="G2415" i="3"/>
  <c r="G2414" i="3"/>
  <c r="G2413" i="3"/>
  <c r="G2412" i="3"/>
  <c r="G2411" i="3"/>
  <c r="G2410" i="3"/>
  <c r="G2409" i="3"/>
  <c r="G2408" i="3"/>
  <c r="G2407" i="3"/>
  <c r="G2406" i="3"/>
  <c r="G2405" i="3"/>
  <c r="G2404" i="3"/>
  <c r="G2403" i="3"/>
  <c r="G2402" i="3"/>
  <c r="G2401" i="3"/>
  <c r="G2400" i="3"/>
  <c r="G2399" i="3"/>
  <c r="G2398" i="3"/>
  <c r="G2397" i="3"/>
  <c r="G2396" i="3"/>
  <c r="G2395" i="3"/>
  <c r="G2394" i="3"/>
  <c r="G2393" i="3"/>
  <c r="G2392" i="3"/>
  <c r="G2391" i="3"/>
  <c r="G2390" i="3"/>
  <c r="G2389" i="3"/>
  <c r="G2388" i="3"/>
  <c r="G2387" i="3"/>
  <c r="G2386" i="3"/>
  <c r="G2385" i="3"/>
  <c r="G2384" i="3"/>
  <c r="G2383" i="3"/>
  <c r="G2382" i="3"/>
  <c r="G2381" i="3"/>
  <c r="G2380" i="3"/>
  <c r="G2379" i="3"/>
  <c r="G2378" i="3"/>
  <c r="G2377" i="3"/>
  <c r="G2376" i="3"/>
  <c r="G2375" i="3"/>
  <c r="G2374" i="3"/>
  <c r="G2373" i="3"/>
  <c r="G2372" i="3"/>
  <c r="G2371" i="3"/>
  <c r="G2370" i="3"/>
  <c r="G2369" i="3"/>
  <c r="G2368" i="3"/>
  <c r="G2367" i="3"/>
  <c r="G2366" i="3"/>
  <c r="G2365" i="3"/>
  <c r="G2364" i="3"/>
  <c r="G2363" i="3"/>
  <c r="G2362" i="3"/>
  <c r="G2361" i="3"/>
  <c r="G2360" i="3"/>
  <c r="G2359" i="3"/>
  <c r="G2358" i="3"/>
  <c r="G2357" i="3"/>
  <c r="G2356" i="3"/>
  <c r="G2355" i="3"/>
  <c r="G2354" i="3"/>
  <c r="G2353" i="3"/>
  <c r="G2352" i="3"/>
  <c r="G2351" i="3"/>
  <c r="G2350" i="3"/>
  <c r="G2349" i="3"/>
  <c r="G2348" i="3"/>
  <c r="G2347" i="3"/>
  <c r="G2346" i="3"/>
  <c r="G2345" i="3"/>
  <c r="G2344" i="3"/>
  <c r="G2343" i="3"/>
  <c r="G2342" i="3"/>
  <c r="G2341" i="3"/>
  <c r="G2340" i="3"/>
  <c r="G2339" i="3"/>
  <c r="G2338" i="3"/>
  <c r="G2337" i="3"/>
  <c r="G2336" i="3"/>
  <c r="G2335" i="3"/>
  <c r="G2334" i="3"/>
  <c r="G2333" i="3"/>
  <c r="G2332" i="3"/>
  <c r="G2331" i="3"/>
  <c r="G2330" i="3"/>
  <c r="G2329" i="3"/>
  <c r="G2328" i="3"/>
  <c r="G2327" i="3"/>
  <c r="G2326" i="3"/>
  <c r="G2325" i="3"/>
  <c r="G2324" i="3"/>
  <c r="G2323" i="3"/>
  <c r="G2322" i="3"/>
  <c r="G2321" i="3"/>
  <c r="G2320" i="3"/>
  <c r="G2319" i="3"/>
  <c r="G2318" i="3"/>
  <c r="G2317" i="3"/>
  <c r="G2316" i="3"/>
  <c r="G2315" i="3"/>
  <c r="G2314" i="3"/>
  <c r="G2313" i="3"/>
  <c r="G2312" i="3"/>
  <c r="G2311" i="3"/>
  <c r="G2310" i="3"/>
  <c r="G2309" i="3"/>
  <c r="G2308" i="3"/>
  <c r="G2307" i="3"/>
  <c r="G2306" i="3"/>
  <c r="G2305" i="3"/>
  <c r="G2304" i="3"/>
  <c r="G2303" i="3"/>
  <c r="G2302" i="3"/>
  <c r="G2301" i="3"/>
  <c r="G2300" i="3"/>
  <c r="G2299" i="3"/>
  <c r="G2298" i="3"/>
  <c r="G2297" i="3"/>
  <c r="G2296" i="3"/>
  <c r="G2295" i="3"/>
  <c r="G2294" i="3"/>
  <c r="G2293" i="3"/>
  <c r="G2292" i="3"/>
  <c r="G2291" i="3"/>
  <c r="G2290" i="3"/>
  <c r="G2289" i="3"/>
  <c r="G2288" i="3"/>
  <c r="G2287" i="3"/>
  <c r="G2286" i="3"/>
  <c r="G2285" i="3"/>
  <c r="G2284" i="3"/>
  <c r="G2283" i="3"/>
  <c r="G2282" i="3"/>
  <c r="G2281" i="3"/>
  <c r="G2280" i="3"/>
  <c r="G2279" i="3"/>
  <c r="G2278" i="3"/>
  <c r="G2277" i="3"/>
  <c r="G2276" i="3"/>
  <c r="G2275" i="3"/>
  <c r="G2274" i="3"/>
  <c r="G2273" i="3"/>
  <c r="G2272" i="3"/>
  <c r="G2271" i="3"/>
  <c r="G2270" i="3"/>
  <c r="G2269" i="3"/>
  <c r="G2268" i="3"/>
  <c r="G2267" i="3"/>
  <c r="G2266" i="3"/>
  <c r="G2265" i="3"/>
  <c r="G2264" i="3"/>
  <c r="G2263" i="3"/>
  <c r="G2262" i="3"/>
  <c r="G2261" i="3"/>
  <c r="G2260" i="3"/>
  <c r="G2259" i="3"/>
  <c r="G2258" i="3"/>
  <c r="G2257" i="3"/>
  <c r="G2256" i="3"/>
  <c r="G2255" i="3"/>
  <c r="G2254" i="3"/>
  <c r="G2253" i="3"/>
  <c r="G2252" i="3"/>
  <c r="G2251" i="3"/>
  <c r="G2250" i="3"/>
  <c r="G2249" i="3"/>
  <c r="G2248" i="3"/>
  <c r="G2247" i="3"/>
  <c r="G2246" i="3"/>
  <c r="G2245" i="3"/>
  <c r="G2244" i="3"/>
  <c r="G2243" i="3"/>
  <c r="G2242" i="3"/>
  <c r="G2241" i="3"/>
  <c r="G2240" i="3"/>
  <c r="G2239" i="3"/>
  <c r="G2238" i="3"/>
  <c r="G2237" i="3"/>
  <c r="G2236" i="3"/>
  <c r="G2235" i="3"/>
  <c r="G2234" i="3"/>
  <c r="G2233" i="3"/>
  <c r="G2232" i="3"/>
  <c r="G2231" i="3"/>
  <c r="G2230" i="3"/>
  <c r="G2229" i="3"/>
  <c r="G2228" i="3"/>
  <c r="G2227" i="3"/>
  <c r="G2226" i="3"/>
  <c r="K33" i="12"/>
  <c r="H33" i="12"/>
  <c r="K34" i="12"/>
  <c r="H34" i="12"/>
  <c r="G870" i="3"/>
  <c r="G869" i="3"/>
  <c r="G868" i="3"/>
  <c r="G867" i="3"/>
  <c r="G866" i="3"/>
  <c r="G865" i="3"/>
  <c r="G864" i="3"/>
  <c r="G863" i="3"/>
  <c r="G862" i="3"/>
  <c r="G861" i="3"/>
  <c r="G860" i="3"/>
  <c r="G859" i="3"/>
  <c r="G858" i="3"/>
  <c r="G857" i="3"/>
  <c r="G856" i="3"/>
  <c r="G855" i="3"/>
  <c r="G854" i="3"/>
  <c r="G853" i="3"/>
  <c r="G852" i="3"/>
  <c r="G851" i="3"/>
  <c r="G850" i="3"/>
  <c r="G849" i="3"/>
  <c r="G848" i="3"/>
  <c r="G847" i="3"/>
  <c r="G846" i="3"/>
  <c r="G845" i="3"/>
  <c r="G844" i="3"/>
  <c r="G843" i="3"/>
  <c r="G842" i="3"/>
  <c r="G841" i="3"/>
  <c r="G840" i="3"/>
  <c r="G839" i="3"/>
  <c r="G838" i="3"/>
  <c r="G837" i="3"/>
  <c r="G836" i="3"/>
  <c r="G835" i="3"/>
  <c r="G834" i="3"/>
  <c r="G833" i="3"/>
  <c r="G832" i="3"/>
  <c r="G831" i="3"/>
  <c r="G830" i="3"/>
  <c r="G829" i="3"/>
  <c r="G828" i="3"/>
  <c r="G827" i="3"/>
  <c r="G826" i="3"/>
  <c r="G825" i="3"/>
  <c r="G824" i="3"/>
  <c r="G823" i="3"/>
  <c r="G822" i="3"/>
  <c r="G821" i="3"/>
  <c r="G820" i="3"/>
  <c r="G819" i="3"/>
  <c r="G818" i="3"/>
  <c r="G817" i="3"/>
  <c r="G816" i="3"/>
  <c r="G815" i="3"/>
  <c r="G814" i="3"/>
  <c r="G813" i="3"/>
  <c r="G812" i="3"/>
  <c r="G811" i="3"/>
  <c r="G810" i="3"/>
  <c r="G809" i="3"/>
  <c r="G808" i="3"/>
  <c r="G807" i="3"/>
  <c r="G806" i="3"/>
  <c r="G805" i="3"/>
  <c r="G804" i="3"/>
  <c r="G803" i="3"/>
  <c r="G802" i="3"/>
  <c r="G801" i="3"/>
  <c r="G800" i="3"/>
  <c r="G799" i="3"/>
  <c r="G798" i="3"/>
  <c r="G797" i="3"/>
  <c r="G796" i="3"/>
  <c r="G795" i="3"/>
  <c r="G794" i="3"/>
  <c r="G793" i="3"/>
  <c r="G792" i="3"/>
  <c r="G791" i="3"/>
  <c r="G790" i="3"/>
  <c r="G789" i="3"/>
  <c r="G788" i="3"/>
  <c r="G787" i="3"/>
  <c r="G786" i="3"/>
  <c r="G785" i="3"/>
  <c r="G784" i="3"/>
  <c r="G783" i="3"/>
  <c r="G782" i="3"/>
  <c r="G781" i="3"/>
  <c r="G780" i="3"/>
  <c r="G779" i="3"/>
  <c r="G778" i="3"/>
  <c r="G777" i="3"/>
  <c r="G776" i="3"/>
  <c r="G775" i="3"/>
  <c r="G774" i="3"/>
  <c r="G773" i="3"/>
  <c r="G772" i="3"/>
  <c r="G771" i="3"/>
  <c r="G770" i="3"/>
  <c r="G769" i="3"/>
  <c r="G768" i="3"/>
  <c r="G767" i="3"/>
  <c r="G766" i="3"/>
  <c r="G765" i="3"/>
  <c r="G764" i="3"/>
  <c r="G763" i="3"/>
  <c r="G762" i="3"/>
  <c r="G761" i="3"/>
  <c r="G760" i="3"/>
  <c r="G759" i="3"/>
  <c r="G758" i="3"/>
  <c r="G757" i="3"/>
  <c r="G756" i="3"/>
  <c r="G755" i="3"/>
  <c r="G754" i="3"/>
  <c r="G753" i="3"/>
  <c r="G752" i="3"/>
  <c r="G751" i="3"/>
  <c r="G750" i="3"/>
  <c r="G749" i="3"/>
  <c r="G748" i="3"/>
  <c r="G747" i="3"/>
  <c r="G746" i="3"/>
  <c r="G745" i="3"/>
  <c r="G744" i="3"/>
  <c r="G743" i="3"/>
  <c r="G742" i="3"/>
  <c r="G741" i="3"/>
  <c r="G740" i="3"/>
  <c r="G739" i="3"/>
  <c r="G738" i="3"/>
  <c r="G737" i="3"/>
  <c r="G736" i="3"/>
  <c r="G735" i="3"/>
  <c r="G734" i="3"/>
  <c r="G733" i="3"/>
  <c r="G732" i="3"/>
  <c r="G731" i="3"/>
  <c r="G730" i="3"/>
  <c r="G729" i="3"/>
  <c r="G728" i="3"/>
  <c r="G727" i="3"/>
  <c r="G726" i="3"/>
  <c r="G725" i="3"/>
  <c r="G724" i="3"/>
  <c r="G723" i="3"/>
  <c r="G722" i="3"/>
  <c r="G721" i="3"/>
  <c r="G720" i="3"/>
  <c r="G719" i="3"/>
  <c r="G718" i="3"/>
  <c r="G717" i="3"/>
  <c r="G716" i="3"/>
  <c r="G715" i="3"/>
  <c r="G714" i="3"/>
  <c r="G713" i="3"/>
  <c r="G712" i="3"/>
  <c r="G711" i="3"/>
  <c r="G710" i="3"/>
  <c r="G709" i="3"/>
  <c r="G708" i="3"/>
  <c r="G707" i="3"/>
  <c r="G706" i="3"/>
  <c r="G705" i="3"/>
  <c r="G704" i="3"/>
  <c r="G703" i="3"/>
  <c r="G702" i="3"/>
  <c r="G701" i="3"/>
  <c r="G700" i="3"/>
  <c r="G699" i="3"/>
  <c r="G698" i="3"/>
  <c r="G697" i="3"/>
  <c r="G696" i="3"/>
  <c r="G695" i="3"/>
  <c r="G694" i="3"/>
  <c r="G693" i="3"/>
  <c r="G692" i="3"/>
  <c r="G691" i="3"/>
  <c r="G690" i="3"/>
  <c r="G689" i="3"/>
  <c r="G688" i="3"/>
  <c r="G687" i="3"/>
  <c r="G686" i="3"/>
  <c r="G685" i="3"/>
  <c r="G684" i="3"/>
  <c r="G683" i="3"/>
  <c r="G682" i="3"/>
  <c r="G681" i="3"/>
  <c r="G680" i="3"/>
  <c r="G679" i="3"/>
  <c r="G678" i="3"/>
  <c r="G677" i="3"/>
  <c r="G676" i="3"/>
  <c r="G675" i="3"/>
  <c r="G674" i="3"/>
  <c r="G673" i="3"/>
  <c r="G672" i="3"/>
  <c r="G671" i="3"/>
  <c r="G670" i="3"/>
  <c r="G669" i="3"/>
  <c r="G668" i="3"/>
  <c r="G667" i="3"/>
  <c r="G666" i="3"/>
  <c r="G665" i="3"/>
  <c r="G664" i="3"/>
  <c r="G663" i="3"/>
  <c r="G662" i="3"/>
  <c r="G661" i="3"/>
  <c r="G660" i="3"/>
  <c r="G659" i="3"/>
  <c r="G658" i="3"/>
  <c r="G657" i="3"/>
  <c r="G656" i="3"/>
  <c r="G655" i="3"/>
  <c r="G654" i="3"/>
  <c r="G653" i="3"/>
  <c r="G652" i="3"/>
  <c r="G651" i="3"/>
  <c r="G650" i="3"/>
  <c r="G649" i="3"/>
  <c r="G648" i="3"/>
  <c r="G647" i="3"/>
  <c r="G646" i="3"/>
  <c r="G645" i="3"/>
  <c r="G644" i="3"/>
  <c r="G643" i="3"/>
  <c r="G642" i="3"/>
  <c r="G641" i="3"/>
  <c r="G640" i="3"/>
  <c r="G639" i="3"/>
  <c r="G638" i="3"/>
  <c r="G637" i="3"/>
  <c r="G636" i="3"/>
  <c r="G635" i="3"/>
  <c r="G634" i="3"/>
  <c r="G633" i="3"/>
  <c r="G632" i="3"/>
  <c r="G631" i="3"/>
  <c r="G630" i="3"/>
  <c r="G629" i="3"/>
  <c r="G628" i="3"/>
  <c r="G627" i="3"/>
  <c r="G626" i="3"/>
  <c r="G625" i="3"/>
  <c r="G624" i="3"/>
  <c r="G623" i="3"/>
  <c r="G622" i="3"/>
  <c r="G621" i="3"/>
  <c r="G620" i="3"/>
  <c r="G619" i="3"/>
  <c r="G618" i="3"/>
  <c r="G617" i="3"/>
  <c r="G616" i="3"/>
  <c r="G615" i="3"/>
  <c r="G614" i="3"/>
  <c r="G613" i="3"/>
  <c r="G612" i="3"/>
  <c r="G611" i="3"/>
  <c r="G610" i="3"/>
  <c r="G609" i="3"/>
  <c r="G608" i="3"/>
  <c r="G607" i="3"/>
  <c r="G606" i="3"/>
  <c r="G605" i="3"/>
  <c r="G604" i="3"/>
  <c r="G603" i="3"/>
  <c r="G602" i="3"/>
  <c r="G601" i="3"/>
  <c r="G600" i="3"/>
  <c r="G599" i="3"/>
  <c r="G598" i="3"/>
  <c r="G597" i="3"/>
  <c r="G596" i="3"/>
  <c r="G595" i="3"/>
  <c r="G594" i="3"/>
  <c r="G593" i="3"/>
  <c r="G592" i="3"/>
  <c r="G591" i="3"/>
  <c r="G590" i="3"/>
  <c r="G589" i="3"/>
  <c r="G588" i="3"/>
  <c r="G587" i="3"/>
  <c r="G586" i="3"/>
  <c r="G585" i="3"/>
  <c r="G584" i="3"/>
  <c r="G583" i="3"/>
  <c r="G582" i="3"/>
  <c r="G581" i="3"/>
  <c r="G580" i="3"/>
  <c r="G579" i="3"/>
  <c r="G578" i="3"/>
  <c r="G577" i="3"/>
  <c r="G576" i="3"/>
  <c r="G575" i="3"/>
  <c r="G574" i="3"/>
  <c r="G573" i="3"/>
  <c r="G572" i="3"/>
  <c r="G571" i="3"/>
  <c r="G570" i="3"/>
  <c r="G569" i="3"/>
  <c r="G568" i="3"/>
  <c r="G567" i="3"/>
  <c r="G566" i="3"/>
  <c r="G565" i="3"/>
  <c r="G564" i="3"/>
  <c r="G563" i="3"/>
  <c r="G562" i="3"/>
  <c r="G561" i="3"/>
  <c r="G560" i="3"/>
  <c r="G559" i="3"/>
  <c r="G558" i="3"/>
  <c r="G557" i="3"/>
  <c r="G556" i="3"/>
  <c r="G555" i="3"/>
  <c r="G554" i="3"/>
  <c r="G553" i="3"/>
  <c r="G552" i="3"/>
  <c r="G551" i="3"/>
  <c r="G550" i="3"/>
  <c r="G549" i="3"/>
  <c r="G548" i="3"/>
  <c r="G547" i="3"/>
  <c r="G546" i="3"/>
  <c r="G545" i="3"/>
  <c r="G544" i="3"/>
  <c r="G543" i="3"/>
  <c r="G542" i="3"/>
  <c r="G541" i="3"/>
  <c r="G540" i="3"/>
  <c r="G539" i="3"/>
  <c r="G538" i="3"/>
  <c r="G537" i="3"/>
  <c r="G536" i="3"/>
  <c r="G535" i="3"/>
  <c r="G534" i="3"/>
  <c r="G533" i="3"/>
  <c r="G532" i="3"/>
  <c r="G531" i="3"/>
  <c r="G530" i="3"/>
  <c r="G529" i="3"/>
  <c r="G528" i="3"/>
  <c r="G527" i="3"/>
  <c r="G526" i="3"/>
  <c r="G525" i="3"/>
  <c r="G524" i="3"/>
  <c r="G523" i="3"/>
  <c r="G522" i="3"/>
  <c r="G521" i="3"/>
  <c r="G520" i="3"/>
  <c r="G519" i="3"/>
  <c r="G518" i="3"/>
  <c r="G517" i="3"/>
  <c r="G516" i="3"/>
  <c r="G515" i="3"/>
  <c r="G514" i="3"/>
  <c r="G513" i="3"/>
  <c r="G512" i="3"/>
  <c r="G511" i="3"/>
  <c r="G510" i="3"/>
  <c r="G509" i="3"/>
  <c r="G508" i="3"/>
  <c r="G507" i="3"/>
  <c r="G506" i="3"/>
  <c r="G505" i="3"/>
  <c r="G504" i="3"/>
  <c r="G503" i="3"/>
  <c r="G502" i="3"/>
  <c r="G501" i="3"/>
  <c r="G500" i="3"/>
  <c r="G499" i="3"/>
  <c r="G498" i="3"/>
  <c r="G497" i="3"/>
  <c r="G496" i="3"/>
  <c r="G495" i="3"/>
  <c r="G494" i="3"/>
  <c r="G493" i="3"/>
  <c r="G492" i="3"/>
  <c r="G491" i="3"/>
  <c r="G490" i="3"/>
  <c r="G489" i="3"/>
  <c r="G488" i="3"/>
  <c r="G487" i="3"/>
  <c r="G486" i="3"/>
  <c r="G485" i="3"/>
  <c r="G484" i="3"/>
  <c r="G483" i="3"/>
  <c r="G482" i="3"/>
  <c r="G481" i="3"/>
  <c r="G480" i="3"/>
  <c r="G479" i="3"/>
  <c r="G478" i="3"/>
  <c r="G477" i="3"/>
  <c r="G476" i="3"/>
  <c r="G475" i="3"/>
  <c r="G474" i="3"/>
  <c r="G473" i="3"/>
  <c r="G472" i="3"/>
  <c r="G471" i="3"/>
  <c r="G470" i="3"/>
  <c r="G469" i="3"/>
  <c r="G468" i="3"/>
  <c r="G467" i="3"/>
  <c r="G466" i="3"/>
  <c r="G465" i="3"/>
  <c r="G464" i="3"/>
  <c r="G463" i="3"/>
  <c r="G462" i="3"/>
  <c r="G461" i="3"/>
  <c r="G460" i="3"/>
  <c r="G459" i="3"/>
  <c r="G458" i="3"/>
  <c r="G457" i="3"/>
  <c r="G456" i="3"/>
  <c r="G455" i="3"/>
  <c r="G454" i="3"/>
  <c r="G453" i="3"/>
  <c r="G452" i="3"/>
  <c r="G451" i="3"/>
  <c r="G450" i="3"/>
  <c r="G449" i="3"/>
  <c r="G448" i="3"/>
  <c r="G447" i="3"/>
  <c r="G446" i="3"/>
  <c r="G445" i="3"/>
  <c r="G444" i="3"/>
  <c r="G443" i="3"/>
  <c r="G442" i="3"/>
  <c r="G441" i="3"/>
  <c r="G440" i="3"/>
  <c r="G439" i="3"/>
  <c r="G438" i="3"/>
  <c r="G437" i="3"/>
  <c r="G436" i="3"/>
  <c r="G435" i="3"/>
  <c r="G434" i="3"/>
  <c r="G433" i="3"/>
  <c r="G432" i="3"/>
  <c r="G431" i="3"/>
  <c r="G430" i="3"/>
  <c r="G429" i="3"/>
  <c r="G428" i="3"/>
  <c r="G427" i="3"/>
  <c r="G426" i="3"/>
  <c r="G425" i="3"/>
  <c r="G424" i="3"/>
  <c r="G423" i="3"/>
  <c r="G422" i="3"/>
  <c r="G421" i="3"/>
  <c r="G420" i="3"/>
  <c r="G419" i="3"/>
  <c r="G418" i="3"/>
  <c r="G417" i="3"/>
  <c r="G416" i="3"/>
  <c r="G415" i="3"/>
  <c r="G414" i="3"/>
  <c r="G413" i="3"/>
  <c r="G412" i="3"/>
  <c r="G411" i="3"/>
  <c r="G410" i="3"/>
  <c r="G409" i="3"/>
  <c r="G408" i="3"/>
  <c r="G407" i="3"/>
  <c r="G406" i="3"/>
  <c r="G405" i="3"/>
  <c r="G404" i="3"/>
  <c r="G403" i="3"/>
  <c r="G402" i="3"/>
  <c r="G401" i="3"/>
  <c r="G400" i="3"/>
  <c r="G399" i="3"/>
  <c r="G398" i="3"/>
  <c r="G397" i="3"/>
  <c r="G396" i="3"/>
  <c r="G395" i="3"/>
  <c r="G394" i="3"/>
  <c r="G393" i="3"/>
  <c r="G392" i="3"/>
  <c r="G391" i="3"/>
  <c r="G390" i="3"/>
  <c r="G389" i="3"/>
  <c r="G388" i="3"/>
  <c r="G387" i="3"/>
  <c r="G386" i="3"/>
  <c r="G385" i="3"/>
  <c r="G384" i="3"/>
  <c r="G383" i="3"/>
  <c r="G382" i="3"/>
  <c r="G381" i="3"/>
  <c r="G380" i="3"/>
  <c r="G379" i="3"/>
  <c r="G378" i="3"/>
  <c r="G377" i="3"/>
  <c r="G376" i="3"/>
  <c r="G375" i="3"/>
  <c r="G374" i="3"/>
  <c r="G373" i="3"/>
  <c r="G372" i="3"/>
  <c r="G371" i="3"/>
  <c r="G370" i="3"/>
  <c r="G369" i="3"/>
  <c r="G368" i="3"/>
  <c r="G367" i="3"/>
  <c r="G366" i="3"/>
  <c r="G365" i="3"/>
  <c r="G364" i="3"/>
  <c r="G363" i="3"/>
  <c r="G362" i="3"/>
  <c r="G361" i="3"/>
  <c r="G360" i="3"/>
  <c r="G359" i="3"/>
  <c r="G358" i="3"/>
  <c r="G357" i="3"/>
  <c r="G356" i="3"/>
  <c r="G355" i="3"/>
  <c r="G354" i="3"/>
  <c r="G353" i="3"/>
  <c r="G352" i="3"/>
  <c r="G351" i="3"/>
  <c r="G350" i="3"/>
  <c r="G349" i="3"/>
  <c r="G348" i="3"/>
  <c r="G347" i="3"/>
  <c r="G346" i="3"/>
  <c r="G345" i="3"/>
  <c r="G344" i="3"/>
  <c r="G343" i="3"/>
  <c r="G342" i="3"/>
  <c r="G341" i="3"/>
  <c r="G340" i="3"/>
  <c r="G339" i="3"/>
  <c r="G338" i="3"/>
  <c r="G337" i="3"/>
  <c r="G336" i="3"/>
  <c r="G335" i="3"/>
  <c r="G334" i="3"/>
  <c r="G333" i="3"/>
  <c r="G332" i="3"/>
  <c r="G331" i="3"/>
  <c r="G330" i="3"/>
  <c r="G329" i="3"/>
  <c r="G328" i="3"/>
  <c r="G327" i="3"/>
  <c r="G326" i="3"/>
  <c r="G325" i="3"/>
  <c r="G324" i="3"/>
  <c r="G323" i="3"/>
  <c r="G322" i="3"/>
  <c r="G321" i="3"/>
  <c r="G320" i="3"/>
  <c r="G319" i="3"/>
  <c r="G318" i="3"/>
  <c r="G317" i="3"/>
  <c r="G316" i="3"/>
  <c r="G315" i="3"/>
  <c r="G314" i="3"/>
  <c r="G313" i="3"/>
  <c r="G312" i="3"/>
  <c r="G311" i="3"/>
  <c r="G310" i="3"/>
  <c r="G309" i="3"/>
  <c r="G308" i="3"/>
  <c r="G307" i="3"/>
  <c r="G306" i="3"/>
  <c r="G305" i="3"/>
  <c r="G304" i="3"/>
  <c r="G303" i="3"/>
  <c r="G302" i="3"/>
  <c r="G301" i="3"/>
  <c r="G300" i="3"/>
  <c r="G299" i="3"/>
  <c r="G298" i="3"/>
  <c r="G297" i="3"/>
  <c r="G296" i="3"/>
  <c r="G295" i="3"/>
  <c r="G294" i="3"/>
  <c r="G293" i="3"/>
  <c r="G292" i="3"/>
  <c r="G291" i="3"/>
  <c r="G290" i="3"/>
  <c r="G289" i="3"/>
  <c r="G288" i="3"/>
  <c r="G287" i="3"/>
  <c r="G286" i="3"/>
  <c r="G285" i="3"/>
  <c r="G284" i="3"/>
  <c r="G283" i="3"/>
  <c r="G282" i="3"/>
  <c r="G281" i="3"/>
  <c r="G280" i="3"/>
  <c r="G279" i="3"/>
  <c r="G278" i="3"/>
  <c r="G277" i="3"/>
  <c r="G276" i="3"/>
  <c r="G275" i="3"/>
  <c r="G274" i="3"/>
  <c r="G273" i="3"/>
  <c r="G272" i="3"/>
  <c r="G271" i="3"/>
  <c r="G270" i="3"/>
  <c r="G269" i="3"/>
  <c r="G268" i="3"/>
  <c r="G267" i="3"/>
  <c r="G266" i="3"/>
  <c r="G265" i="3"/>
  <c r="G264" i="3"/>
  <c r="G263" i="3"/>
  <c r="G262" i="3"/>
  <c r="G261" i="3"/>
  <c r="G260" i="3"/>
  <c r="G259" i="3"/>
  <c r="G258" i="3"/>
  <c r="G257" i="3"/>
  <c r="G256" i="3"/>
  <c r="G255" i="3"/>
  <c r="G254" i="3"/>
  <c r="G253" i="3"/>
  <c r="G252" i="3"/>
  <c r="G251" i="3"/>
  <c r="G250" i="3"/>
  <c r="G249" i="3"/>
  <c r="G248" i="3"/>
  <c r="G247" i="3"/>
  <c r="G246" i="3"/>
  <c r="G245" i="3"/>
  <c r="G244" i="3"/>
  <c r="G243" i="3"/>
  <c r="G242" i="3"/>
  <c r="G241" i="3"/>
  <c r="G240" i="3"/>
  <c r="G239" i="3"/>
  <c r="G238" i="3"/>
  <c r="G237" i="3"/>
  <c r="G236" i="3"/>
  <c r="G235" i="3"/>
  <c r="G234" i="3"/>
  <c r="G233" i="3"/>
  <c r="G232" i="3"/>
  <c r="G231" i="3"/>
  <c r="G230" i="3"/>
  <c r="G229" i="3"/>
  <c r="G228" i="3"/>
  <c r="G227" i="3"/>
  <c r="G226" i="3"/>
  <c r="G225" i="3"/>
  <c r="G224" i="3"/>
  <c r="G223" i="3"/>
  <c r="G222" i="3"/>
  <c r="G221" i="3"/>
  <c r="G220" i="3"/>
  <c r="G219" i="3"/>
  <c r="G218" i="3"/>
  <c r="G217" i="3"/>
  <c r="G216" i="3"/>
  <c r="G215" i="3"/>
  <c r="G214" i="3"/>
  <c r="G213" i="3"/>
  <c r="G212" i="3"/>
  <c r="G211" i="3"/>
  <c r="G210" i="3"/>
  <c r="G209" i="3"/>
  <c r="G208" i="3"/>
  <c r="G207" i="3"/>
  <c r="G206" i="3"/>
  <c r="G205" i="3"/>
  <c r="G204" i="3"/>
  <c r="G203" i="3"/>
  <c r="G202" i="3"/>
  <c r="G201" i="3"/>
  <c r="G200" i="3"/>
  <c r="G199" i="3"/>
  <c r="G198" i="3"/>
  <c r="G197" i="3"/>
  <c r="G196" i="3"/>
  <c r="G195" i="3"/>
  <c r="G194" i="3"/>
  <c r="G193" i="3"/>
  <c r="G192" i="3"/>
  <c r="G191" i="3"/>
  <c r="G190" i="3"/>
  <c r="G189" i="3"/>
  <c r="G188" i="3"/>
  <c r="G187" i="3"/>
  <c r="G186" i="3"/>
  <c r="G185" i="3"/>
  <c r="G184" i="3"/>
  <c r="G183" i="3"/>
  <c r="G182" i="3"/>
  <c r="G181" i="3"/>
  <c r="G180" i="3"/>
  <c r="G179" i="3"/>
  <c r="G178" i="3"/>
  <c r="G177" i="3"/>
  <c r="G176" i="3"/>
  <c r="G175" i="3"/>
  <c r="G174" i="3"/>
  <c r="G173" i="3"/>
  <c r="G172" i="3"/>
  <c r="G171" i="3"/>
  <c r="G170" i="3"/>
  <c r="G169" i="3"/>
  <c r="G168" i="3"/>
  <c r="G167" i="3"/>
  <c r="G166" i="3"/>
  <c r="G165" i="3"/>
  <c r="G164" i="3"/>
  <c r="G163" i="3"/>
  <c r="G162" i="3"/>
  <c r="G161" i="3"/>
  <c r="G160" i="3"/>
  <c r="G159" i="3"/>
  <c r="G158" i="3"/>
  <c r="G157" i="3"/>
  <c r="G156" i="3"/>
  <c r="G155" i="3"/>
  <c r="G154" i="3"/>
  <c r="G153" i="3"/>
  <c r="G152" i="3"/>
  <c r="G151" i="3"/>
  <c r="G150" i="3"/>
  <c r="G149" i="3"/>
  <c r="G148" i="3"/>
  <c r="G147" i="3"/>
  <c r="G146" i="3"/>
  <c r="G145" i="3"/>
  <c r="G144"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K32" i="12"/>
  <c r="H32" i="12"/>
  <c r="K30" i="12"/>
  <c r="H30" i="12"/>
  <c r="K31" i="12"/>
  <c r="H31" i="12"/>
  <c r="L37" i="12"/>
  <c r="L38" i="12" s="1"/>
  <c r="L47" i="12"/>
  <c r="L50" i="12" s="1"/>
  <c r="L51" i="12" s="1"/>
  <c r="K47" i="12"/>
  <c r="K50" i="12" s="1"/>
  <c r="K51" i="12" s="1"/>
  <c r="C84" i="12"/>
  <c r="P47" i="12"/>
  <c r="K37" i="12"/>
  <c r="K11" i="42"/>
  <c r="D11" i="42" s="1"/>
  <c r="L22" i="12"/>
  <c r="L23" i="12" s="1"/>
  <c r="L12" i="12"/>
  <c r="L13" i="12" s="1"/>
  <c r="O50" i="12"/>
  <c r="O51" i="12" s="1"/>
  <c r="G17" i="3"/>
  <c r="G15" i="3"/>
  <c r="G13" i="3"/>
  <c r="G11" i="3"/>
  <c r="G9" i="3"/>
  <c r="G7" i="3"/>
  <c r="G5" i="3"/>
  <c r="G4" i="3"/>
  <c r="G16" i="3"/>
  <c r="G14" i="3"/>
  <c r="G12" i="3"/>
  <c r="G10" i="3"/>
  <c r="G8" i="3"/>
  <c r="G6" i="3"/>
  <c r="H9" i="12"/>
  <c r="K5" i="42"/>
  <c r="L5" i="42"/>
  <c r="H35" i="12"/>
  <c r="D4" i="42"/>
  <c r="D81" i="12" s="1"/>
  <c r="E81" i="12" s="1"/>
  <c r="D10" i="42"/>
  <c r="D86" i="12" s="1"/>
  <c r="D7" i="42"/>
  <c r="D6" i="42"/>
  <c r="G5" i="42"/>
  <c r="H29" i="12"/>
  <c r="H28" i="12"/>
  <c r="H18" i="12"/>
  <c r="H19" i="12"/>
  <c r="H36" i="12"/>
  <c r="H21" i="12"/>
  <c r="C61" i="12" s="1"/>
  <c r="H20" i="12"/>
  <c r="H10" i="12"/>
  <c r="H11" i="12"/>
  <c r="T66" i="7" a="1"/>
  <c r="W66" i="7" a="1"/>
  <c r="E58" i="12" l="1"/>
  <c r="C58" i="12"/>
  <c r="E57" i="12"/>
  <c r="C57" i="12"/>
  <c r="E56" i="12"/>
  <c r="C56" i="12"/>
  <c r="M20" i="12"/>
  <c r="E62" i="12"/>
  <c r="M21" i="12"/>
  <c r="E61" i="12"/>
  <c r="M36" i="12"/>
  <c r="E75" i="12"/>
  <c r="M19" i="12"/>
  <c r="E63" i="12"/>
  <c r="C64" i="12"/>
  <c r="M28" i="12"/>
  <c r="C67" i="12"/>
  <c r="M29" i="12"/>
  <c r="C68" i="12"/>
  <c r="M35" i="12"/>
  <c r="C74" i="12"/>
  <c r="C70" i="12"/>
  <c r="M30" i="12"/>
  <c r="E69" i="12"/>
  <c r="C71" i="12"/>
  <c r="C73" i="12"/>
  <c r="M33" i="12"/>
  <c r="C72" i="12"/>
  <c r="K12" i="42"/>
  <c r="J13" i="42"/>
  <c r="E13" i="42"/>
  <c r="G13" i="42" s="1"/>
  <c r="G12" i="42"/>
  <c r="I12" i="42"/>
  <c r="H13" i="42"/>
  <c r="I13" i="42" s="1"/>
  <c r="K14" i="42"/>
  <c r="J15" i="42"/>
  <c r="K15" i="42" s="1"/>
  <c r="E15" i="42"/>
  <c r="G15" i="42" s="1"/>
  <c r="G14" i="42"/>
  <c r="I14" i="42"/>
  <c r="H15" i="42"/>
  <c r="I15" i="42" s="1"/>
  <c r="K16" i="42"/>
  <c r="J17" i="42"/>
  <c r="K17" i="42" s="1"/>
  <c r="I16" i="42"/>
  <c r="H17" i="42"/>
  <c r="G16" i="42"/>
  <c r="D16" i="42" s="1"/>
  <c r="D87" i="12" s="1"/>
  <c r="E87" i="12" s="1"/>
  <c r="E17" i="42"/>
  <c r="G17" i="42" s="1"/>
  <c r="D17" i="42" s="1"/>
  <c r="M34" i="12"/>
  <c r="M31" i="12"/>
  <c r="M32" i="12"/>
  <c r="M11" i="12"/>
  <c r="O11" i="12"/>
  <c r="M10" i="12"/>
  <c r="O10" i="12"/>
  <c r="M9" i="12"/>
  <c r="O9" i="12"/>
  <c r="O12" i="12" s="1"/>
  <c r="O13" i="12" s="1"/>
  <c r="M37" i="12"/>
  <c r="M38" i="12" s="1"/>
  <c r="M12" i="12"/>
  <c r="M13" i="12" s="1"/>
  <c r="M22" i="12"/>
  <c r="M23" i="12" s="1"/>
  <c r="E86" i="12"/>
  <c r="D5" i="42"/>
  <c r="I15" i="41" s="1"/>
  <c r="L15" i="41"/>
  <c r="L31" i="41"/>
  <c r="L47" i="41"/>
  <c r="L63" i="41"/>
  <c r="L79" i="41"/>
  <c r="L95" i="41"/>
  <c r="L111" i="41"/>
  <c r="L12" i="41"/>
  <c r="L28" i="41"/>
  <c r="L44" i="41"/>
  <c r="L60" i="41"/>
  <c r="L76" i="41"/>
  <c r="L92" i="41"/>
  <c r="L108" i="41"/>
  <c r="L17" i="41"/>
  <c r="L33" i="41"/>
  <c r="L49" i="41"/>
  <c r="L65" i="41"/>
  <c r="L81" i="41"/>
  <c r="L97" i="41"/>
  <c r="L16" i="41"/>
  <c r="L32" i="41"/>
  <c r="L48" i="41"/>
  <c r="L64" i="41"/>
  <c r="L80" i="41"/>
  <c r="L96" i="41"/>
  <c r="L123" i="41"/>
  <c r="L18" i="41"/>
  <c r="L34" i="41"/>
  <c r="L50" i="41"/>
  <c r="L66" i="41"/>
  <c r="L82" i="41"/>
  <c r="L98" i="41"/>
  <c r="L128" i="41"/>
  <c r="L109" i="41"/>
  <c r="L125" i="41"/>
  <c r="L107" i="41"/>
  <c r="L112" i="41"/>
  <c r="L114" i="41"/>
  <c r="L130" i="41"/>
  <c r="L13" i="41"/>
  <c r="L29" i="41"/>
  <c r="L45" i="41"/>
  <c r="L61" i="41"/>
  <c r="L77" i="41"/>
  <c r="L93" i="41"/>
  <c r="L110" i="41"/>
  <c r="L127" i="41"/>
  <c r="L124" i="41"/>
  <c r="L14" i="41"/>
  <c r="L11" i="41"/>
  <c r="L27" i="41"/>
  <c r="L43" i="41"/>
  <c r="L59" i="41"/>
  <c r="L75" i="41"/>
  <c r="L91" i="41"/>
  <c r="L126" i="41"/>
  <c r="L94" i="41"/>
  <c r="L46" i="41"/>
  <c r="L129" i="41"/>
  <c r="L78" i="41"/>
  <c r="L30" i="41"/>
  <c r="L62" i="41"/>
  <c r="L113" i="41"/>
  <c r="L7" i="41"/>
  <c r="L23" i="41"/>
  <c r="L39" i="41"/>
  <c r="L55" i="41"/>
  <c r="L71" i="41"/>
  <c r="L87" i="41"/>
  <c r="L103" i="41"/>
  <c r="L4" i="41"/>
  <c r="L20" i="41"/>
  <c r="L36" i="41"/>
  <c r="L52" i="41"/>
  <c r="L68" i="41"/>
  <c r="L84" i="41"/>
  <c r="L100" i="41"/>
  <c r="L9" i="41"/>
  <c r="L25" i="41"/>
  <c r="L41" i="41"/>
  <c r="L57" i="41"/>
  <c r="L73" i="41"/>
  <c r="L89" i="41"/>
  <c r="L105" i="41"/>
  <c r="L6" i="41"/>
  <c r="L8" i="41"/>
  <c r="L24" i="41"/>
  <c r="L40" i="41"/>
  <c r="L56" i="41"/>
  <c r="L72" i="41"/>
  <c r="L88" i="41"/>
  <c r="L21" i="41"/>
  <c r="L37" i="41"/>
  <c r="L53" i="41"/>
  <c r="L69" i="41"/>
  <c r="L85" i="41"/>
  <c r="L115" i="41"/>
  <c r="L101" i="41"/>
  <c r="L106" i="41"/>
  <c r="L120" i="41"/>
  <c r="L22" i="41"/>
  <c r="L38" i="41"/>
  <c r="L54" i="41"/>
  <c r="L70" i="41"/>
  <c r="L86" i="41"/>
  <c r="L104" i="41"/>
  <c r="L117" i="41"/>
  <c r="L3" i="41"/>
  <c r="L5" i="41"/>
  <c r="L19" i="41"/>
  <c r="L35" i="41"/>
  <c r="L51" i="41"/>
  <c r="L67" i="41"/>
  <c r="L83" i="41"/>
  <c r="L99" i="41"/>
  <c r="L102" i="41"/>
  <c r="L122" i="41"/>
  <c r="L119" i="41"/>
  <c r="L10" i="41"/>
  <c r="L26" i="41"/>
  <c r="L42" i="41"/>
  <c r="L58" i="41"/>
  <c r="L74" i="41"/>
  <c r="L90" i="41"/>
  <c r="L116" i="41"/>
  <c r="L118" i="41"/>
  <c r="L121" i="41"/>
  <c r="I71" i="41"/>
  <c r="I79" i="41"/>
  <c r="I87" i="41"/>
  <c r="I95" i="41"/>
  <c r="I103" i="41"/>
  <c r="I111" i="41"/>
  <c r="I119" i="41"/>
  <c r="I127" i="41"/>
  <c r="I72" i="41"/>
  <c r="I80" i="41"/>
  <c r="I88" i="41"/>
  <c r="I96" i="41"/>
  <c r="I104" i="41"/>
  <c r="I112" i="41"/>
  <c r="I120" i="41"/>
  <c r="I128" i="41"/>
  <c r="I73" i="41"/>
  <c r="I81" i="41"/>
  <c r="I89" i="41"/>
  <c r="I97" i="41"/>
  <c r="I105" i="41"/>
  <c r="I113" i="41"/>
  <c r="I121" i="41"/>
  <c r="I129" i="41"/>
  <c r="I68" i="41"/>
  <c r="I76" i="41"/>
  <c r="I84" i="41"/>
  <c r="I92" i="41"/>
  <c r="I100" i="41"/>
  <c r="I108" i="41"/>
  <c r="I116" i="41"/>
  <c r="I124" i="41"/>
  <c r="I78" i="41"/>
  <c r="I94" i="41"/>
  <c r="I110" i="41"/>
  <c r="I126" i="41"/>
  <c r="I101" i="41"/>
  <c r="I86" i="41"/>
  <c r="I90" i="41"/>
  <c r="I123" i="41"/>
  <c r="I82" i="41"/>
  <c r="I98" i="41"/>
  <c r="I114" i="41"/>
  <c r="I130" i="41"/>
  <c r="I69" i="41"/>
  <c r="I117" i="41"/>
  <c r="I118" i="41"/>
  <c r="I74" i="41"/>
  <c r="I122" i="41"/>
  <c r="I75" i="41"/>
  <c r="I67" i="41"/>
  <c r="I83" i="41"/>
  <c r="I99" i="41"/>
  <c r="I115" i="41"/>
  <c r="I85" i="41"/>
  <c r="I102" i="41"/>
  <c r="I106" i="41"/>
  <c r="I91" i="41"/>
  <c r="I77" i="41"/>
  <c r="I93" i="41"/>
  <c r="I109" i="41"/>
  <c r="I125" i="41"/>
  <c r="I70" i="41"/>
  <c r="I107" i="41"/>
  <c r="O8" i="41"/>
  <c r="O16" i="41"/>
  <c r="O24" i="41"/>
  <c r="O32" i="41"/>
  <c r="O40" i="41"/>
  <c r="O48" i="41"/>
  <c r="O56" i="41"/>
  <c r="O64" i="41"/>
  <c r="O72" i="41"/>
  <c r="O80" i="41"/>
  <c r="O88" i="41"/>
  <c r="O96" i="41"/>
  <c r="O104" i="41"/>
  <c r="O112" i="41"/>
  <c r="O10" i="41"/>
  <c r="O18" i="41"/>
  <c r="O26" i="41"/>
  <c r="O34" i="41"/>
  <c r="O42" i="41"/>
  <c r="O50" i="41"/>
  <c r="O58" i="41"/>
  <c r="O66" i="41"/>
  <c r="O74" i="41"/>
  <c r="O82" i="41"/>
  <c r="O90" i="41"/>
  <c r="O98" i="41"/>
  <c r="O106" i="41"/>
  <c r="O4" i="41"/>
  <c r="O14" i="41"/>
  <c r="O30" i="41"/>
  <c r="O46" i="41"/>
  <c r="O62" i="41"/>
  <c r="O78" i="41"/>
  <c r="O94" i="41"/>
  <c r="O108" i="41"/>
  <c r="O116" i="41"/>
  <c r="O124" i="41"/>
  <c r="O118" i="41"/>
  <c r="O126" i="41"/>
  <c r="O12" i="41"/>
  <c r="O28" i="41"/>
  <c r="O44" i="41"/>
  <c r="O60" i="41"/>
  <c r="O76" i="41"/>
  <c r="O92" i="41"/>
  <c r="O6" i="41"/>
  <c r="O22" i="41"/>
  <c r="O38" i="41"/>
  <c r="O54" i="41"/>
  <c r="O70" i="41"/>
  <c r="O86" i="41"/>
  <c r="O120" i="41"/>
  <c r="O128" i="41"/>
  <c r="O20" i="41"/>
  <c r="O36" i="41"/>
  <c r="O52" i="41"/>
  <c r="O68" i="41"/>
  <c r="O84" i="41"/>
  <c r="O100" i="41"/>
  <c r="O110" i="41"/>
  <c r="O114" i="41"/>
  <c r="O130" i="41"/>
  <c r="O102" i="41"/>
  <c r="O122" i="41"/>
  <c r="J40" i="41"/>
  <c r="J48" i="41"/>
  <c r="J56" i="41"/>
  <c r="J64" i="41"/>
  <c r="J104" i="41"/>
  <c r="J112" i="41"/>
  <c r="J120" i="41"/>
  <c r="J128" i="41"/>
  <c r="J35" i="41"/>
  <c r="J41" i="41"/>
  <c r="J49" i="41"/>
  <c r="J57" i="41"/>
  <c r="J65" i="41"/>
  <c r="J105" i="41"/>
  <c r="J113" i="41"/>
  <c r="J121" i="41"/>
  <c r="J129" i="41"/>
  <c r="J42" i="41"/>
  <c r="J50" i="41"/>
  <c r="J58" i="41"/>
  <c r="J66" i="41"/>
  <c r="J106" i="41"/>
  <c r="J114" i="41"/>
  <c r="J122" i="41"/>
  <c r="J130" i="41"/>
  <c r="J36" i="41"/>
  <c r="J44" i="41"/>
  <c r="J52" i="41"/>
  <c r="J37" i="41"/>
  <c r="J45" i="41"/>
  <c r="J53" i="41"/>
  <c r="J61" i="41"/>
  <c r="J101" i="41"/>
  <c r="J109" i="41"/>
  <c r="J117" i="41"/>
  <c r="J125" i="41"/>
  <c r="J39" i="41"/>
  <c r="J47" i="41"/>
  <c r="J43" i="41"/>
  <c r="J63" i="41"/>
  <c r="J111" i="41"/>
  <c r="J127" i="41"/>
  <c r="J118" i="41"/>
  <c r="J59" i="41"/>
  <c r="J124" i="41"/>
  <c r="J46" i="41"/>
  <c r="J99" i="41"/>
  <c r="J115" i="41"/>
  <c r="J54" i="41"/>
  <c r="J102" i="41"/>
  <c r="J119" i="41"/>
  <c r="J107" i="41"/>
  <c r="J60" i="41"/>
  <c r="J108" i="41"/>
  <c r="J51" i="41"/>
  <c r="J100" i="41"/>
  <c r="J116" i="41"/>
  <c r="J55" i="41"/>
  <c r="J103" i="41"/>
  <c r="J123" i="41"/>
  <c r="J38" i="41"/>
  <c r="J62" i="41"/>
  <c r="J110" i="41"/>
  <c r="J126" i="41"/>
  <c r="O5" i="41"/>
  <c r="O13" i="41"/>
  <c r="O21" i="41"/>
  <c r="O29" i="41"/>
  <c r="O37" i="41"/>
  <c r="O45" i="41"/>
  <c r="O53" i="41"/>
  <c r="O61" i="41"/>
  <c r="O69" i="41"/>
  <c r="O77" i="41"/>
  <c r="O85" i="41"/>
  <c r="O93" i="41"/>
  <c r="O101" i="41"/>
  <c r="O109" i="41"/>
  <c r="O9" i="41"/>
  <c r="O17" i="41"/>
  <c r="O25" i="41"/>
  <c r="O33" i="41"/>
  <c r="O41" i="41"/>
  <c r="O49" i="41"/>
  <c r="O57" i="41"/>
  <c r="O65" i="41"/>
  <c r="O73" i="41"/>
  <c r="O81" i="41"/>
  <c r="O89" i="41"/>
  <c r="O97" i="41"/>
  <c r="O103" i="41"/>
  <c r="O11" i="41"/>
  <c r="O27" i="41"/>
  <c r="O43" i="41"/>
  <c r="O59" i="41"/>
  <c r="O75" i="41"/>
  <c r="O91" i="41"/>
  <c r="O111" i="41"/>
  <c r="O113" i="41"/>
  <c r="O121" i="41"/>
  <c r="O129" i="41"/>
  <c r="O15" i="41"/>
  <c r="O31" i="41"/>
  <c r="O47" i="41"/>
  <c r="O63" i="41"/>
  <c r="O79" i="41"/>
  <c r="O95" i="41"/>
  <c r="O115" i="41"/>
  <c r="O123" i="41"/>
  <c r="O19" i="41"/>
  <c r="O35" i="41"/>
  <c r="O51" i="41"/>
  <c r="O67" i="41"/>
  <c r="O83" i="41"/>
  <c r="O99" i="41"/>
  <c r="O117" i="41"/>
  <c r="O125" i="41"/>
  <c r="O7" i="41"/>
  <c r="O105" i="41"/>
  <c r="O119" i="41"/>
  <c r="O127" i="41"/>
  <c r="O3" i="41"/>
  <c r="O107" i="41"/>
  <c r="O71" i="41"/>
  <c r="O87" i="41"/>
  <c r="O23" i="41"/>
  <c r="O55" i="41"/>
  <c r="O39" i="41"/>
  <c r="J8" i="41"/>
  <c r="J16" i="41"/>
  <c r="J24" i="41"/>
  <c r="J32" i="41"/>
  <c r="J72" i="41"/>
  <c r="J80" i="41"/>
  <c r="J88" i="41"/>
  <c r="J96" i="41"/>
  <c r="J27" i="41"/>
  <c r="J9" i="41"/>
  <c r="J17" i="41"/>
  <c r="J25" i="41"/>
  <c r="J33" i="41"/>
  <c r="J73" i="41"/>
  <c r="J81" i="41"/>
  <c r="J89" i="41"/>
  <c r="J97" i="41"/>
  <c r="J10" i="41"/>
  <c r="J18" i="41"/>
  <c r="J26" i="41"/>
  <c r="J34" i="41"/>
  <c r="J74" i="41"/>
  <c r="J82" i="41"/>
  <c r="J90" i="41"/>
  <c r="J98" i="41"/>
  <c r="J11" i="41"/>
  <c r="J19" i="41"/>
  <c r="J4" i="41"/>
  <c r="J12" i="41"/>
  <c r="J20" i="41"/>
  <c r="J28" i="41"/>
  <c r="J5" i="41"/>
  <c r="J13" i="41"/>
  <c r="J21" i="41"/>
  <c r="J29" i="41"/>
  <c r="J69" i="41"/>
  <c r="J77" i="41"/>
  <c r="J85" i="41"/>
  <c r="J93" i="41"/>
  <c r="J7" i="41"/>
  <c r="J15" i="41"/>
  <c r="J23" i="41"/>
  <c r="J31" i="41"/>
  <c r="J79" i="41"/>
  <c r="J95" i="41"/>
  <c r="J70" i="41"/>
  <c r="J87" i="41"/>
  <c r="J91" i="41"/>
  <c r="J67" i="41"/>
  <c r="J83" i="41"/>
  <c r="J3" i="41"/>
  <c r="J14" i="41"/>
  <c r="J71" i="41"/>
  <c r="J22" i="41"/>
  <c r="J68" i="41"/>
  <c r="J84" i="41"/>
  <c r="J6" i="41"/>
  <c r="J86" i="41"/>
  <c r="J30" i="41"/>
  <c r="J92" i="41"/>
  <c r="J78" i="41"/>
  <c r="J94" i="41"/>
  <c r="J75" i="41"/>
  <c r="J76" i="41"/>
  <c r="T66" i="7"/>
  <c r="X70" i="7"/>
  <c r="X78" i="7"/>
  <c r="X86" i="7"/>
  <c r="X71" i="7"/>
  <c r="X79" i="7"/>
  <c r="X87" i="7"/>
  <c r="X72" i="7"/>
  <c r="X80" i="7"/>
  <c r="X88" i="7"/>
  <c r="X73" i="7"/>
  <c r="X89" i="7"/>
  <c r="X68" i="7"/>
  <c r="X76" i="7"/>
  <c r="X84" i="7"/>
  <c r="X69" i="7"/>
  <c r="X77" i="7"/>
  <c r="X81" i="7"/>
  <c r="X74" i="7"/>
  <c r="X82" i="7"/>
  <c r="X90" i="7"/>
  <c r="X67" i="7"/>
  <c r="X75" i="7"/>
  <c r="X83" i="7"/>
  <c r="X91" i="7"/>
  <c r="X85" i="7"/>
  <c r="W66" i="7"/>
  <c r="O11" i="34"/>
  <c r="M11" i="34"/>
  <c r="D14" i="42" l="1"/>
  <c r="D15" i="42"/>
  <c r="D12" i="42"/>
  <c r="K13" i="42"/>
  <c r="L13" i="42"/>
  <c r="K38" i="12"/>
  <c r="J38" i="12" s="1"/>
  <c r="K22" i="12"/>
  <c r="K23" i="12" s="1"/>
  <c r="J23" i="12" s="1"/>
  <c r="K12" i="12"/>
  <c r="K13" i="12" s="1"/>
  <c r="J13" i="12" s="1"/>
  <c r="I18" i="41"/>
  <c r="I9" i="41"/>
  <c r="I7" i="41"/>
  <c r="I65" i="41"/>
  <c r="I13" i="41"/>
  <c r="I3" i="41"/>
  <c r="I14" i="41"/>
  <c r="I4" i="41"/>
  <c r="I8" i="41"/>
  <c r="I43" i="41"/>
  <c r="I27" i="41"/>
  <c r="I11" i="41"/>
  <c r="I59" i="41"/>
  <c r="I60" i="41"/>
  <c r="I64" i="41"/>
  <c r="I63" i="41"/>
  <c r="I58" i="41"/>
  <c r="I42" i="41"/>
  <c r="I10" i="41"/>
  <c r="I26" i="41"/>
  <c r="I52" i="41"/>
  <c r="I57" i="41"/>
  <c r="I56" i="41"/>
  <c r="I55" i="41"/>
  <c r="I38" i="41"/>
  <c r="I44" i="41"/>
  <c r="I47" i="41"/>
  <c r="I5" i="41"/>
  <c r="I41" i="41"/>
  <c r="I61" i="41"/>
  <c r="I51" i="41"/>
  <c r="I66" i="41"/>
  <c r="I62" i="41"/>
  <c r="I28" i="41"/>
  <c r="I33" i="41"/>
  <c r="I32" i="41"/>
  <c r="I31" i="41"/>
  <c r="I54" i="41"/>
  <c r="I49" i="41"/>
  <c r="I53" i="41"/>
  <c r="I37" i="41"/>
  <c r="I40" i="41"/>
  <c r="I45" i="41"/>
  <c r="I35" i="41"/>
  <c r="I50" i="41"/>
  <c r="I46" i="41"/>
  <c r="I20" i="41"/>
  <c r="I25" i="41"/>
  <c r="I24" i="41"/>
  <c r="I23" i="41"/>
  <c r="I6" i="41"/>
  <c r="I22" i="41"/>
  <c r="I48" i="41"/>
  <c r="I21" i="41"/>
  <c r="I36" i="41"/>
  <c r="I39" i="41"/>
  <c r="I29" i="41"/>
  <c r="I19" i="41"/>
  <c r="I34" i="41"/>
  <c r="I30" i="41"/>
  <c r="I12" i="41"/>
  <c r="I17" i="41"/>
  <c r="I16" i="41"/>
  <c r="X66" i="7"/>
  <c r="E4" i="10"/>
  <c r="E5" i="10"/>
  <c r="E6" i="10"/>
  <c r="E7" i="10"/>
  <c r="E8" i="10"/>
  <c r="E9" i="10"/>
  <c r="E10" i="10"/>
  <c r="E11" i="10"/>
  <c r="E12" i="10"/>
  <c r="E13" i="10"/>
  <c r="E14" i="10"/>
  <c r="E15" i="10"/>
  <c r="E16" i="10"/>
  <c r="E17" i="10"/>
  <c r="E18" i="10"/>
  <c r="E19" i="10"/>
  <c r="E20" i="10"/>
  <c r="E21" i="10"/>
  <c r="E22" i="10"/>
  <c r="E23" i="10"/>
  <c r="E24" i="10"/>
  <c r="E25" i="10"/>
  <c r="E26" i="10"/>
  <c r="E27" i="10"/>
  <c r="D13" i="42" l="1"/>
  <c r="D84" i="12"/>
  <c r="E84" i="12" s="1"/>
  <c r="M10" i="41"/>
  <c r="M18" i="41"/>
  <c r="M26" i="41"/>
  <c r="M34" i="41"/>
  <c r="M42" i="41"/>
  <c r="M50" i="41"/>
  <c r="M58" i="41"/>
  <c r="M66" i="41"/>
  <c r="M74" i="41"/>
  <c r="M82" i="41"/>
  <c r="M90" i="41"/>
  <c r="M98" i="41"/>
  <c r="M106" i="41"/>
  <c r="M7" i="41"/>
  <c r="M15" i="41"/>
  <c r="M23" i="41"/>
  <c r="M31" i="41"/>
  <c r="M39" i="41"/>
  <c r="M47" i="41"/>
  <c r="M55" i="41"/>
  <c r="M63" i="41"/>
  <c r="M71" i="41"/>
  <c r="M79" i="41"/>
  <c r="M87" i="41"/>
  <c r="M95" i="41"/>
  <c r="M103" i="41"/>
  <c r="M111" i="41"/>
  <c r="M8" i="41"/>
  <c r="M24" i="41"/>
  <c r="M40" i="41"/>
  <c r="M56" i="41"/>
  <c r="M72" i="41"/>
  <c r="M88" i="41"/>
  <c r="M9" i="41"/>
  <c r="M25" i="41"/>
  <c r="M41" i="41"/>
  <c r="M57" i="41"/>
  <c r="M73" i="41"/>
  <c r="M89" i="41"/>
  <c r="M120" i="41"/>
  <c r="M128" i="41"/>
  <c r="M104" i="41"/>
  <c r="M16" i="41"/>
  <c r="M32" i="41"/>
  <c r="M48" i="41"/>
  <c r="M64" i="41"/>
  <c r="M80" i="41"/>
  <c r="M96" i="41"/>
  <c r="M112" i="41"/>
  <c r="M114" i="41"/>
  <c r="M122" i="41"/>
  <c r="M130" i="41"/>
  <c r="M105" i="41"/>
  <c r="M119" i="41"/>
  <c r="M127" i="41"/>
  <c r="M113" i="41"/>
  <c r="M121" i="41"/>
  <c r="M129" i="41"/>
  <c r="M17" i="41"/>
  <c r="M97" i="41"/>
  <c r="M81" i="41"/>
  <c r="M33" i="41"/>
  <c r="M49" i="41"/>
  <c r="M65" i="41"/>
  <c r="N95" i="41"/>
  <c r="N124" i="41"/>
  <c r="N35" i="41"/>
  <c r="N3" i="41"/>
  <c r="N19" i="41"/>
  <c r="N116" i="41"/>
  <c r="N91" i="41"/>
  <c r="N112" i="41"/>
  <c r="N120" i="41"/>
  <c r="N43" i="41"/>
  <c r="N64" i="41"/>
  <c r="N76" i="41"/>
  <c r="N79" i="41"/>
  <c r="N60" i="41"/>
  <c r="N100" i="41"/>
  <c r="N32" i="41"/>
  <c r="N28" i="41"/>
  <c r="N39" i="41"/>
  <c r="N48" i="41"/>
  <c r="N20" i="41"/>
  <c r="N104" i="41"/>
  <c r="N88" i="41"/>
  <c r="N23" i="41"/>
  <c r="N36" i="41"/>
  <c r="N47" i="41"/>
  <c r="N68" i="41"/>
  <c r="N51" i="41"/>
  <c r="N24" i="41"/>
  <c r="N84" i="41"/>
  <c r="N108" i="41"/>
  <c r="N16" i="41"/>
  <c r="N128" i="41"/>
  <c r="N12" i="41"/>
  <c r="N75" i="41"/>
  <c r="N31" i="41"/>
  <c r="N119" i="41"/>
  <c r="N107" i="41"/>
  <c r="N99" i="41"/>
  <c r="N123" i="41"/>
  <c r="N72" i="41"/>
  <c r="N11" i="41"/>
  <c r="N15" i="41"/>
  <c r="N52" i="41"/>
  <c r="N96" i="41"/>
  <c r="N83" i="41"/>
  <c r="N115" i="41"/>
  <c r="N56" i="41"/>
  <c r="N111" i="41"/>
  <c r="N55" i="41"/>
  <c r="N127" i="41"/>
  <c r="N80" i="41"/>
  <c r="N67" i="41"/>
  <c r="N92" i="41"/>
  <c r="N40" i="41"/>
  <c r="N103" i="41"/>
  <c r="N87" i="41"/>
  <c r="N7" i="41"/>
  <c r="N59" i="41"/>
  <c r="N71" i="41"/>
  <c r="N27" i="41"/>
  <c r="N63" i="41"/>
  <c r="N44" i="41"/>
  <c r="N8" i="41"/>
  <c r="N4" i="41"/>
  <c r="N5" i="41"/>
  <c r="N13" i="41"/>
  <c r="N21" i="41"/>
  <c r="N29" i="41"/>
  <c r="N37" i="41"/>
  <c r="N45" i="41"/>
  <c r="N53" i="41"/>
  <c r="N61" i="41"/>
  <c r="N69" i="41"/>
  <c r="N77" i="41"/>
  <c r="N85" i="41"/>
  <c r="N93" i="41"/>
  <c r="N101" i="41"/>
  <c r="N109" i="41"/>
  <c r="N10" i="41"/>
  <c r="N18" i="41"/>
  <c r="N26" i="41"/>
  <c r="N34" i="41"/>
  <c r="N42" i="41"/>
  <c r="N50" i="41"/>
  <c r="N58" i="41"/>
  <c r="N66" i="41"/>
  <c r="N74" i="41"/>
  <c r="N82" i="41"/>
  <c r="N90" i="41"/>
  <c r="N98" i="41"/>
  <c r="N106" i="41"/>
  <c r="N6" i="41"/>
  <c r="N14" i="41"/>
  <c r="N22" i="41"/>
  <c r="N30" i="41"/>
  <c r="N38" i="41"/>
  <c r="N46" i="41"/>
  <c r="N54" i="41"/>
  <c r="N62" i="41"/>
  <c r="N70" i="41"/>
  <c r="N78" i="41"/>
  <c r="N86" i="41"/>
  <c r="N94" i="41"/>
  <c r="N113" i="41"/>
  <c r="N121" i="41"/>
  <c r="N129" i="41"/>
  <c r="N118" i="41"/>
  <c r="N126" i="41"/>
  <c r="N9" i="41"/>
  <c r="N25" i="41"/>
  <c r="N41" i="41"/>
  <c r="N57" i="41"/>
  <c r="N73" i="41"/>
  <c r="N89" i="41"/>
  <c r="N117" i="41"/>
  <c r="N125" i="41"/>
  <c r="N102" i="41"/>
  <c r="N114" i="41"/>
  <c r="N122" i="41"/>
  <c r="N130" i="41"/>
  <c r="N17" i="41"/>
  <c r="N33" i="41"/>
  <c r="N49" i="41"/>
  <c r="N65" i="41"/>
  <c r="N81" i="41"/>
  <c r="N97" i="41"/>
  <c r="N105" i="41"/>
  <c r="N110" i="41"/>
  <c r="T94" i="7"/>
  <c r="T95" i="7"/>
  <c r="M60" i="41" l="1"/>
  <c r="M124" i="41"/>
  <c r="M109" i="41"/>
  <c r="M59" i="41"/>
  <c r="M70" i="41"/>
  <c r="M43" i="41"/>
  <c r="M86" i="41"/>
  <c r="M51" i="41"/>
  <c r="M14" i="41"/>
  <c r="M115" i="41"/>
  <c r="M92" i="41"/>
  <c r="M93" i="41"/>
  <c r="M85" i="41"/>
  <c r="M84" i="41"/>
  <c r="M77" i="41"/>
  <c r="M53" i="41"/>
  <c r="M68" i="41"/>
  <c r="M61" i="41"/>
  <c r="M21" i="41"/>
  <c r="M52" i="41"/>
  <c r="M117" i="41"/>
  <c r="M67" i="41"/>
  <c r="M46" i="41"/>
  <c r="M125" i="41"/>
  <c r="M123" i="41"/>
  <c r="M83" i="41"/>
  <c r="M100" i="41"/>
  <c r="M94" i="41"/>
  <c r="M45" i="41"/>
  <c r="M38" i="41"/>
  <c r="M126" i="41"/>
  <c r="M35" i="41"/>
  <c r="M28" i="41"/>
  <c r="M78" i="41"/>
  <c r="M29" i="41"/>
  <c r="M101" i="41"/>
  <c r="M118" i="41"/>
  <c r="M6" i="41"/>
  <c r="M20" i="41"/>
  <c r="M62" i="41"/>
  <c r="M107" i="41"/>
  <c r="M3" i="41"/>
  <c r="M99" i="41"/>
  <c r="M108" i="41"/>
  <c r="M4" i="41"/>
  <c r="M5" i="41"/>
  <c r="M19" i="41"/>
  <c r="M44" i="41"/>
  <c r="M36" i="41"/>
  <c r="M30" i="41"/>
  <c r="M13" i="41"/>
  <c r="M54" i="41"/>
  <c r="M69" i="41"/>
  <c r="M91" i="41"/>
  <c r="M27" i="41"/>
  <c r="M76" i="41"/>
  <c r="M12" i="41"/>
  <c r="M116" i="41"/>
  <c r="M110" i="41"/>
  <c r="M102" i="41"/>
  <c r="M22" i="41"/>
  <c r="M37" i="41"/>
  <c r="M75" i="41"/>
  <c r="M11" i="41"/>
  <c r="B75" i="12"/>
  <c r="C75" i="12" s="1"/>
  <c r="B74" i="12"/>
  <c r="E74" i="12" s="1"/>
  <c r="B68" i="12"/>
  <c r="E68" i="12" s="1"/>
  <c r="B69" i="12"/>
  <c r="C69" i="12" s="1"/>
  <c r="B70" i="12"/>
  <c r="E70" i="12" s="1"/>
  <c r="B71" i="12"/>
  <c r="E71" i="12" s="1"/>
  <c r="B72" i="12"/>
  <c r="E72" i="12" s="1"/>
  <c r="B73" i="12"/>
  <c r="E73" i="12" s="1"/>
  <c r="B67" i="12"/>
  <c r="E67" i="12" s="1"/>
  <c r="B62" i="12"/>
  <c r="C62" i="12" s="1"/>
  <c r="B63" i="12"/>
  <c r="C63" i="12" s="1"/>
  <c r="B64" i="12"/>
  <c r="E64" i="12" s="1"/>
  <c r="B61" i="12"/>
  <c r="AX66" i="7" l="1" a="1"/>
  <c r="AY66" i="7" a="1"/>
  <c r="AY66" i="7" s="1"/>
  <c r="AL66" i="7" a="1"/>
  <c r="AL66" i="7" s="1"/>
  <c r="AF66" i="7" a="1"/>
  <c r="AH66" i="7" a="1"/>
  <c r="AH97" i="7" l="1"/>
  <c r="AH98" i="7"/>
  <c r="AH99" i="7"/>
  <c r="AH100" i="7"/>
  <c r="AH101" i="7"/>
  <c r="AH102" i="7"/>
  <c r="AH103" i="7"/>
  <c r="AH104" i="7"/>
  <c r="AH105" i="7"/>
  <c r="AH106" i="7"/>
  <c r="AH107" i="7"/>
  <c r="AH108" i="7"/>
  <c r="AH109" i="7"/>
  <c r="AH110" i="7"/>
  <c r="AH111" i="7"/>
  <c r="AH112" i="7"/>
  <c r="AH113" i="7"/>
  <c r="AH114" i="7"/>
  <c r="AH115" i="7"/>
  <c r="AH116" i="7"/>
  <c r="AH117" i="7"/>
  <c r="AH118" i="7"/>
  <c r="AH119" i="7"/>
  <c r="AH120" i="7"/>
  <c r="AH121" i="7"/>
  <c r="T97" i="7"/>
  <c r="T98" i="7"/>
  <c r="T99" i="7"/>
  <c r="T100" i="7"/>
  <c r="T101" i="7"/>
  <c r="T102" i="7"/>
  <c r="T103" i="7"/>
  <c r="T104" i="7"/>
  <c r="T105" i="7"/>
  <c r="T106" i="7"/>
  <c r="T107" i="7"/>
  <c r="T108" i="7"/>
  <c r="T109" i="7"/>
  <c r="T110" i="7"/>
  <c r="T111" i="7"/>
  <c r="T112" i="7"/>
  <c r="T113" i="7"/>
  <c r="T114" i="7"/>
  <c r="T115" i="7"/>
  <c r="T116" i="7"/>
  <c r="T117" i="7"/>
  <c r="T118" i="7"/>
  <c r="T119" i="7"/>
  <c r="T120" i="7"/>
  <c r="T121" i="7"/>
  <c r="AX97" i="7"/>
  <c r="BA67" i="7"/>
  <c r="AN73" i="7"/>
  <c r="AN81" i="7"/>
  <c r="AN89" i="7"/>
  <c r="AN74" i="7"/>
  <c r="AN82" i="7"/>
  <c r="AN90" i="7"/>
  <c r="AN67" i="7"/>
  <c r="AN75" i="7"/>
  <c r="AN83" i="7"/>
  <c r="AN91" i="7"/>
  <c r="AN68" i="7"/>
  <c r="AN76" i="7"/>
  <c r="AN84" i="7"/>
  <c r="AN69" i="7"/>
  <c r="AN77" i="7"/>
  <c r="AN85" i="7"/>
  <c r="AN70" i="7"/>
  <c r="AN78" i="7"/>
  <c r="AN86" i="7"/>
  <c r="AN71" i="7"/>
  <c r="AN87" i="7"/>
  <c r="AN72" i="7"/>
  <c r="AN80" i="7"/>
  <c r="AN88" i="7"/>
  <c r="AN79" i="7"/>
  <c r="AX66" i="7"/>
  <c r="BA66" i="7" s="1"/>
  <c r="AF66" i="7"/>
  <c r="T96" i="7" s="1"/>
  <c r="AH66" i="7"/>
  <c r="AN66" i="7" l="1"/>
  <c r="AH96" i="7"/>
  <c r="T92" i="7"/>
  <c r="AH94" i="7"/>
  <c r="AH95" i="7"/>
  <c r="AX95" i="7"/>
  <c r="AX94" i="7"/>
  <c r="AX92" i="7"/>
  <c r="AX96" i="7"/>
  <c r="AX93" i="7" s="1"/>
  <c r="AH92" i="7"/>
  <c r="BC33" i="7" l="1"/>
  <c r="AH93" i="7" l="1"/>
  <c r="AP33" i="7" s="1"/>
  <c r="F20" i="32" s="1"/>
  <c r="D20" i="32"/>
  <c r="D19" i="32" s="1"/>
  <c r="H20" i="32"/>
  <c r="H19" i="32" s="1"/>
  <c r="H18" i="32" s="1"/>
  <c r="F19" i="32" l="1"/>
  <c r="F18" i="32" s="1"/>
  <c r="F17" i="32" s="1"/>
  <c r="F7" i="32" s="1"/>
  <c r="E19" i="32" l="1"/>
  <c r="D18" i="32"/>
  <c r="D17" i="32" s="1"/>
  <c r="D7" i="32" s="1"/>
  <c r="L19" i="32"/>
  <c r="H17" i="32"/>
  <c r="H7" i="32" s="1"/>
  <c r="G19" i="32"/>
  <c r="E17" i="32" l="1"/>
  <c r="L7" i="32"/>
  <c r="H6" i="32"/>
  <c r="L17" i="32"/>
  <c r="D6" i="32" l="1"/>
  <c r="E7" i="32"/>
  <c r="G17" i="32" l="1"/>
  <c r="F6" i="32"/>
  <c r="B44" i="12"/>
  <c r="C82" i="12" s="1"/>
  <c r="B48" i="12" l="1"/>
  <c r="G7" i="32"/>
  <c r="G4" i="32" s="1"/>
  <c r="D82" i="12"/>
  <c r="D85" i="12" l="1"/>
  <c r="C85" i="12"/>
  <c r="E82" i="12"/>
  <c r="D5" i="32"/>
  <c r="E85" i="12" l="1"/>
  <c r="E4" i="32"/>
  <c r="T19" i="7" s="1"/>
  <c r="T18" i="7"/>
  <c r="F5" i="32"/>
  <c r="T21" i="7" s="1"/>
  <c r="T20" i="7" l="1"/>
  <c r="M502" i="2"/>
  <c r="R13" i="33"/>
  <c r="R10" i="33"/>
  <c r="R12" i="33"/>
  <c r="R9" i="33"/>
  <c r="M12" i="34" l="1"/>
  <c r="J8" i="42" l="1"/>
  <c r="E9" i="42"/>
  <c r="F8" i="42"/>
  <c r="F9" i="42" s="1"/>
  <c r="H45" i="12"/>
  <c r="P45" i="12" s="1"/>
  <c r="P50" i="12" s="1"/>
  <c r="P51" i="12" s="1"/>
  <c r="N50" i="12" l="1"/>
  <c r="I8" i="42"/>
  <c r="H9" i="42"/>
  <c r="I9" i="42" s="1"/>
  <c r="G8" i="42"/>
  <c r="G9" i="42"/>
  <c r="K8" i="42"/>
  <c r="J9" i="42"/>
  <c r="K9" i="42" s="1"/>
  <c r="N51" i="12" l="1"/>
  <c r="J51" i="12" s="1"/>
  <c r="D8" i="42"/>
  <c r="D83" i="12" s="1"/>
  <c r="D9" i="42"/>
  <c r="K76" i="41" s="1"/>
  <c r="P76" i="41" s="1"/>
  <c r="H5" i="32"/>
  <c r="E83" i="12" l="1"/>
  <c r="C90" i="12" s="1"/>
  <c r="C88" i="12"/>
  <c r="K103" i="41"/>
  <c r="P103" i="41" s="1"/>
  <c r="K104" i="41"/>
  <c r="P104" i="41" s="1"/>
  <c r="K42" i="41"/>
  <c r="P42" i="41" s="1"/>
  <c r="K10" i="41"/>
  <c r="P10" i="41" s="1"/>
  <c r="K71" i="41"/>
  <c r="P71" i="41" s="1"/>
  <c r="K16" i="41"/>
  <c r="P16" i="41" s="1"/>
  <c r="K77" i="41"/>
  <c r="P77" i="41" s="1"/>
  <c r="K105" i="41"/>
  <c r="P105" i="41" s="1"/>
  <c r="K48" i="41"/>
  <c r="P48" i="41" s="1"/>
  <c r="K107" i="41"/>
  <c r="P107" i="41" s="1"/>
  <c r="K75" i="41"/>
  <c r="P75" i="41" s="1"/>
  <c r="K7" i="41"/>
  <c r="P7" i="41" s="1"/>
  <c r="K99" i="41"/>
  <c r="P99" i="41" s="1"/>
  <c r="K68" i="41"/>
  <c r="P68" i="41" s="1"/>
  <c r="K72" i="41"/>
  <c r="P72" i="41" s="1"/>
  <c r="K47" i="41"/>
  <c r="P47" i="41" s="1"/>
  <c r="K11" i="41"/>
  <c r="P11" i="41" s="1"/>
  <c r="K101" i="41"/>
  <c r="P101" i="41" s="1"/>
  <c r="K39" i="41"/>
  <c r="P39" i="41" s="1"/>
  <c r="K43" i="41"/>
  <c r="P43" i="41" s="1"/>
  <c r="K74" i="41"/>
  <c r="P74" i="41" s="1"/>
  <c r="K67" i="41"/>
  <c r="P67" i="41" s="1"/>
  <c r="K44" i="41"/>
  <c r="P44" i="41" s="1"/>
  <c r="K40" i="41"/>
  <c r="P40" i="41" s="1"/>
  <c r="K80" i="41"/>
  <c r="P80" i="41" s="1"/>
  <c r="K111" i="41"/>
  <c r="P111" i="41" s="1"/>
  <c r="K36" i="41"/>
  <c r="P36" i="41" s="1"/>
  <c r="K82" i="41"/>
  <c r="P82" i="41" s="1"/>
  <c r="K13" i="41"/>
  <c r="P13" i="41" s="1"/>
  <c r="K12" i="41"/>
  <c r="P12" i="41" s="1"/>
  <c r="K109" i="41"/>
  <c r="P109" i="41" s="1"/>
  <c r="K5" i="41"/>
  <c r="P5" i="41" s="1"/>
  <c r="K110" i="41"/>
  <c r="P110" i="41" s="1"/>
  <c r="K102" i="41"/>
  <c r="P102" i="41" s="1"/>
  <c r="K112" i="41"/>
  <c r="P112" i="41" s="1"/>
  <c r="K106" i="41"/>
  <c r="P106" i="41" s="1"/>
  <c r="K70" i="41"/>
  <c r="P70" i="41" s="1"/>
  <c r="K14" i="41"/>
  <c r="P14" i="41" s="1"/>
  <c r="K8" i="41"/>
  <c r="P8" i="41" s="1"/>
  <c r="K3" i="41"/>
  <c r="P3" i="41" s="1"/>
  <c r="K35" i="41"/>
  <c r="P35" i="41" s="1"/>
  <c r="K18" i="41"/>
  <c r="P18" i="41" s="1"/>
  <c r="K6" i="41"/>
  <c r="P6" i="41" s="1"/>
  <c r="K114" i="41"/>
  <c r="P114" i="41" s="1"/>
  <c r="K79" i="41"/>
  <c r="P79" i="41" s="1"/>
  <c r="K37" i="41"/>
  <c r="P37" i="41" s="1"/>
  <c r="K113" i="41"/>
  <c r="P113" i="41" s="1"/>
  <c r="K9" i="41"/>
  <c r="P9" i="41" s="1"/>
  <c r="K81" i="41"/>
  <c r="P81" i="41" s="1"/>
  <c r="K73" i="41"/>
  <c r="P73" i="41" s="1"/>
  <c r="K50" i="41"/>
  <c r="P50" i="41" s="1"/>
  <c r="K78" i="41"/>
  <c r="P78" i="41" s="1"/>
  <c r="K41" i="41"/>
  <c r="P41" i="41" s="1"/>
  <c r="K15" i="41"/>
  <c r="P15" i="41" s="1"/>
  <c r="K69" i="41"/>
  <c r="P69" i="41" s="1"/>
  <c r="K38" i="41"/>
  <c r="P38" i="41" s="1"/>
  <c r="K17" i="41"/>
  <c r="P17" i="41" s="1"/>
  <c r="K45" i="41"/>
  <c r="P45" i="41" s="1"/>
  <c r="K46" i="41"/>
  <c r="P46" i="41" s="1"/>
  <c r="K49" i="41"/>
  <c r="P49" i="41" s="1"/>
  <c r="K4" i="41"/>
  <c r="P4" i="41" s="1"/>
  <c r="K108" i="41"/>
  <c r="P108" i="41" s="1"/>
  <c r="K100" i="41"/>
  <c r="P100" i="41" s="1"/>
  <c r="K20" i="41"/>
  <c r="P20" i="41" s="1"/>
  <c r="K28" i="41"/>
  <c r="P28" i="41" s="1"/>
  <c r="K52" i="41"/>
  <c r="P52" i="41" s="1"/>
  <c r="K60" i="41"/>
  <c r="P60" i="41" s="1"/>
  <c r="K84" i="41"/>
  <c r="P84" i="41" s="1"/>
  <c r="K92" i="41"/>
  <c r="P92" i="41" s="1"/>
  <c r="K25" i="41"/>
  <c r="P25" i="41" s="1"/>
  <c r="K33" i="41"/>
  <c r="P33" i="41" s="1"/>
  <c r="K57" i="41"/>
  <c r="P57" i="41" s="1"/>
  <c r="K65" i="41"/>
  <c r="P65" i="41" s="1"/>
  <c r="K89" i="41"/>
  <c r="P89" i="41" s="1"/>
  <c r="K97" i="41"/>
  <c r="P97" i="41" s="1"/>
  <c r="K22" i="41"/>
  <c r="P22" i="41" s="1"/>
  <c r="K30" i="41"/>
  <c r="P30" i="41" s="1"/>
  <c r="K54" i="41"/>
  <c r="P54" i="41" s="1"/>
  <c r="K62" i="41"/>
  <c r="P62" i="41" s="1"/>
  <c r="K86" i="41"/>
  <c r="P86" i="41" s="1"/>
  <c r="K94" i="41"/>
  <c r="P94" i="41" s="1"/>
  <c r="K21" i="41"/>
  <c r="P21" i="41" s="1"/>
  <c r="K29" i="41"/>
  <c r="P29" i="41" s="1"/>
  <c r="K53" i="41"/>
  <c r="P53" i="41" s="1"/>
  <c r="K61" i="41"/>
  <c r="P61" i="41" s="1"/>
  <c r="K85" i="41"/>
  <c r="P85" i="41" s="1"/>
  <c r="K93" i="41"/>
  <c r="P93" i="41" s="1"/>
  <c r="K34" i="41"/>
  <c r="P34" i="41" s="1"/>
  <c r="K66" i="41"/>
  <c r="P66" i="41" s="1"/>
  <c r="K98" i="41"/>
  <c r="P98" i="41" s="1"/>
  <c r="K120" i="41"/>
  <c r="P120" i="41" s="1"/>
  <c r="K128" i="41"/>
  <c r="P128" i="41" s="1"/>
  <c r="K31" i="41"/>
  <c r="P31" i="41" s="1"/>
  <c r="K63" i="41"/>
  <c r="P63" i="41" s="1"/>
  <c r="K95" i="41"/>
  <c r="P95" i="41" s="1"/>
  <c r="K117" i="41"/>
  <c r="P117" i="41" s="1"/>
  <c r="K125" i="41"/>
  <c r="P125" i="41" s="1"/>
  <c r="K19" i="41"/>
  <c r="P19" i="41" s="1"/>
  <c r="K51" i="41"/>
  <c r="P51" i="41" s="1"/>
  <c r="K83" i="41"/>
  <c r="P83" i="41" s="1"/>
  <c r="K122" i="41"/>
  <c r="P122" i="41" s="1"/>
  <c r="K130" i="41"/>
  <c r="P130" i="41" s="1"/>
  <c r="K32" i="41"/>
  <c r="P32" i="41" s="1"/>
  <c r="K64" i="41"/>
  <c r="P64" i="41" s="1"/>
  <c r="K96" i="41"/>
  <c r="P96" i="41" s="1"/>
  <c r="K119" i="41"/>
  <c r="P119" i="41" s="1"/>
  <c r="K127" i="41"/>
  <c r="P127" i="41" s="1"/>
  <c r="K26" i="41"/>
  <c r="P26" i="41" s="1"/>
  <c r="K58" i="41"/>
  <c r="P58" i="41" s="1"/>
  <c r="K90" i="41"/>
  <c r="P90" i="41" s="1"/>
  <c r="K116" i="41"/>
  <c r="P116" i="41" s="1"/>
  <c r="K124" i="41"/>
  <c r="P124" i="41" s="1"/>
  <c r="K23" i="41"/>
  <c r="P23" i="41" s="1"/>
  <c r="K55" i="41"/>
  <c r="P55" i="41" s="1"/>
  <c r="K87" i="41"/>
  <c r="P87" i="41" s="1"/>
  <c r="K121" i="41"/>
  <c r="P121" i="41" s="1"/>
  <c r="K129" i="41"/>
  <c r="P129" i="41" s="1"/>
  <c r="K24" i="41"/>
  <c r="P24" i="41" s="1"/>
  <c r="K56" i="41"/>
  <c r="P56" i="41" s="1"/>
  <c r="K88" i="41"/>
  <c r="P88" i="41" s="1"/>
  <c r="K115" i="41"/>
  <c r="P115" i="41" s="1"/>
  <c r="K123" i="41"/>
  <c r="P123" i="41" s="1"/>
  <c r="K59" i="41"/>
  <c r="P59" i="41" s="1"/>
  <c r="K118" i="41"/>
  <c r="P118" i="41" s="1"/>
  <c r="K27" i="41"/>
  <c r="P27" i="41" s="1"/>
  <c r="K91" i="41"/>
  <c r="P91" i="41" s="1"/>
  <c r="K126" i="41"/>
  <c r="P126" i="41" s="1"/>
  <c r="T22" i="7"/>
  <c r="L5" i="32"/>
  <c r="L4" i="32" s="1"/>
  <c r="T23" i="7" s="1"/>
  <c r="C89" i="12" l="1"/>
  <c r="H64" i="12" l="1"/>
  <c r="H63" i="12" l="1"/>
  <c r="H62" i="12"/>
  <c r="B76" i="12"/>
  <c r="H61" i="12"/>
  <c r="B65" i="12"/>
  <c r="E65" i="12" s="1"/>
  <c r="B59" i="12"/>
  <c r="E59" i="12" l="1"/>
  <c r="D56" i="12"/>
  <c r="D57" i="12"/>
  <c r="D58" i="12"/>
  <c r="D62" i="12"/>
  <c r="D63" i="12"/>
  <c r="D64" i="12"/>
  <c r="D61" i="12"/>
  <c r="C65" i="12"/>
  <c r="E76" i="12"/>
  <c r="D69" i="12"/>
  <c r="D70" i="12"/>
  <c r="D71" i="12"/>
  <c r="D72" i="12"/>
  <c r="D73" i="12"/>
  <c r="D74" i="12"/>
  <c r="D75" i="12"/>
  <c r="D68" i="12"/>
  <c r="D67" i="12"/>
  <c r="C76" i="12" s="1"/>
  <c r="C59" i="12" l="1"/>
  <c r="C77" i="12" l="1"/>
  <c r="T93" i="7"/>
  <c r="AA33" i="7" s="1"/>
  <c r="B20" i="32" l="1"/>
  <c r="B19" i="32" s="1"/>
  <c r="C19" i="32" l="1"/>
  <c r="B18" i="32"/>
  <c r="B17" i="32" s="1"/>
  <c r="B7" i="32" s="1"/>
  <c r="C7" i="32" l="1"/>
  <c r="C4" i="32" s="1"/>
  <c r="T17" i="7" s="1"/>
  <c r="B6" i="32"/>
  <c r="B5" i="32" s="1"/>
  <c r="T16" i="7" s="1"/>
  <c r="L14" i="40" l="1"/>
  <c r="L6" i="40"/>
  <c r="L7" i="40"/>
  <c r="L11" i="40"/>
  <c r="L15" i="40"/>
  <c r="J8" i="33"/>
  <c r="S8" i="33" s="1"/>
  <c r="L19" i="40"/>
  <c r="J12" i="34"/>
  <c r="J8" i="34"/>
  <c r="J9" i="34"/>
  <c r="L20" i="40"/>
  <c r="J10" i="34"/>
  <c r="L18" i="40"/>
  <c r="J13" i="33"/>
  <c r="S13" i="33" s="1"/>
  <c r="L10" i="40"/>
  <c r="J9" i="33"/>
  <c r="S9" i="33" s="1"/>
  <c r="J12" i="33"/>
  <c r="S12" i="33" s="1"/>
  <c r="J11" i="34"/>
  <c r="L8" i="40"/>
  <c r="J10" i="33"/>
  <c r="S10" i="33" s="1"/>
  <c r="J11" i="33"/>
  <c r="S11" i="33" s="1"/>
  <c r="J7" i="34"/>
  <c r="N7" i="34" s="1"/>
  <c r="L16" i="40"/>
  <c r="L12" i="40"/>
  <c r="J7" i="33"/>
  <c r="S7" i="33" s="1"/>
  <c r="M11" i="40" l="1"/>
  <c r="N11" i="40"/>
  <c r="M15" i="40"/>
  <c r="N15" i="40"/>
  <c r="N16" i="40"/>
  <c r="M16" i="40"/>
  <c r="M14" i="40"/>
  <c r="N14" i="40"/>
  <c r="M12" i="40"/>
  <c r="N12" i="40"/>
  <c r="M7" i="40"/>
  <c r="N7" i="40"/>
  <c r="N20" i="40"/>
  <c r="M20" i="40"/>
  <c r="N10" i="40"/>
  <c r="M10" i="40"/>
  <c r="M18" i="40"/>
  <c r="N18" i="40"/>
  <c r="F2" i="2"/>
  <c r="F1" i="2"/>
  <c r="M8" i="40"/>
  <c r="N8" i="40"/>
  <c r="N19" i="40"/>
  <c r="M19" i="40"/>
  <c r="N6" i="40"/>
  <c r="M6" i="40"/>
  <c r="N1" i="40" l="1"/>
  <c r="BL4" i="7" s="1"/>
  <c r="M1" i="40"/>
  <c r="BL2" i="7" s="1"/>
  <c r="K8" i="34"/>
  <c r="N8" i="34" s="1"/>
  <c r="K9" i="34"/>
  <c r="N9" i="34" s="1"/>
  <c r="K10" i="34"/>
  <c r="N10" i="34" s="1"/>
  <c r="K11" i="34"/>
  <c r="N11" i="34" s="1"/>
  <c r="K12" i="34"/>
  <c r="N12" i="34" s="1"/>
  <c r="G1" i="3" l="1"/>
  <c r="B3" i="12" s="1"/>
  <c r="G2" i="3"/>
  <c r="BJ32" i="11" l="1"/>
  <c r="BJ27" i="11"/>
  <c r="BJ13" i="11"/>
  <c r="BJ8" i="11"/>
  <c r="C30" i="11"/>
  <c r="C52" i="11"/>
  <c r="C51" i="11"/>
  <c r="R49" i="11"/>
  <c r="C49" i="11"/>
  <c r="AD49" i="11" s="1"/>
  <c r="C48" i="11"/>
  <c r="C53" i="11" s="1"/>
  <c r="C29" i="11"/>
  <c r="T35" i="11"/>
  <c r="AP40" i="11"/>
  <c r="AP39" i="11"/>
  <c r="AP38" i="11"/>
  <c r="AP37" i="11"/>
  <c r="AP36" i="11"/>
  <c r="AP35" i="11"/>
  <c r="AP34" i="11"/>
  <c r="AE38" i="11"/>
  <c r="T38" i="11"/>
  <c r="AE35" i="11"/>
  <c r="AE34" i="11"/>
  <c r="T34" i="11"/>
  <c r="P10" i="11"/>
  <c r="P8" i="11"/>
  <c r="C8" i="11"/>
  <c r="T39" i="11"/>
  <c r="AE37" i="11"/>
  <c r="AE36" i="11"/>
  <c r="T40" i="11"/>
  <c r="AE40" i="11"/>
  <c r="T36" i="11"/>
  <c r="T37" i="11"/>
  <c r="AE39" i="11"/>
  <c r="O49"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<sst xmlns="http://schemas.openxmlformats.org/spreadsheetml/2006/main" count="6906" uniqueCount="5113">
  <si>
    <t>0年</t>
  </si>
  <si>
    <t>30年以上</t>
  </si>
  <si>
    <t>1,000人以上</t>
  </si>
  <si>
    <t>雇用形態</t>
    <rPh sb="0" eb="4">
      <t xml:space="preserve">コヨウケイタイ </t>
    </rPh>
    <phoneticPr fontId="3"/>
  </si>
  <si>
    <t>勤続年数</t>
    <rPh sb="0" eb="4">
      <t xml:space="preserve">キンゾクネンスウ </t>
    </rPh>
    <phoneticPr fontId="3"/>
  </si>
  <si>
    <t>役職</t>
    <rPh sb="0" eb="2">
      <t xml:space="preserve">ヤクショク </t>
    </rPh>
    <phoneticPr fontId="3"/>
  </si>
  <si>
    <t>部長級</t>
  </si>
  <si>
    <t>課長級</t>
  </si>
  <si>
    <t>雇用形態</t>
  </si>
  <si>
    <t>入社年月日</t>
    <phoneticPr fontId="4"/>
  </si>
  <si>
    <t>性別</t>
  </si>
  <si>
    <t>役職</t>
  </si>
  <si>
    <t>アルバイト・パート</t>
  </si>
  <si>
    <t>係長級</t>
    <rPh sb="0" eb="3">
      <t xml:space="preserve">カカリチョウキュウ </t>
    </rPh>
    <phoneticPr fontId="3"/>
  </si>
  <si>
    <t>正規雇用</t>
    <rPh sb="0" eb="4">
      <t xml:space="preserve">セイキコヨウ </t>
    </rPh>
    <phoneticPr fontId="3"/>
  </si>
  <si>
    <t>非正規雇用</t>
    <rPh sb="0" eb="1">
      <t xml:space="preserve">ヒ </t>
    </rPh>
    <rPh sb="1" eb="5">
      <t xml:space="preserve">セイキコヨウ </t>
    </rPh>
    <phoneticPr fontId="3"/>
  </si>
  <si>
    <t>嘱託</t>
    <rPh sb="0" eb="2">
      <t xml:space="preserve">ショクタク </t>
    </rPh>
    <phoneticPr fontId="3"/>
  </si>
  <si>
    <t>役職種類</t>
    <rPh sb="0" eb="2">
      <t xml:space="preserve">ヤクショク </t>
    </rPh>
    <rPh sb="2" eb="4">
      <t xml:space="preserve">シュルイ </t>
    </rPh>
    <phoneticPr fontId="3"/>
  </si>
  <si>
    <t>部長級</t>
    <rPh sb="0" eb="3">
      <t xml:space="preserve">ブチョウキュウ </t>
    </rPh>
    <phoneticPr fontId="3"/>
  </si>
  <si>
    <t>課長級</t>
    <rPh sb="0" eb="3">
      <t xml:space="preserve">カチョウキュウ </t>
    </rPh>
    <phoneticPr fontId="3"/>
  </si>
  <si>
    <t>非正規雇用</t>
    <rPh sb="0" eb="5">
      <t xml:space="preserve">ヒセイキコヨウ </t>
    </rPh>
    <phoneticPr fontId="3"/>
  </si>
  <si>
    <t>産業大分類</t>
    <rPh sb="0" eb="5">
      <t xml:space="preserve">サンギョウブンルイ </t>
    </rPh>
    <phoneticPr fontId="3"/>
  </si>
  <si>
    <t>産業大分類</t>
    <rPh sb="0" eb="2">
      <t xml:space="preserve">サンギョウ </t>
    </rPh>
    <rPh sb="2" eb="3">
      <t xml:space="preserve">ダイ </t>
    </rPh>
    <rPh sb="3" eb="5">
      <t xml:space="preserve">ブンルイ </t>
    </rPh>
    <phoneticPr fontId="1"/>
  </si>
  <si>
    <t>企業規模</t>
    <rPh sb="0" eb="4">
      <t xml:space="preserve">キギョウキボ </t>
    </rPh>
    <phoneticPr fontId="3"/>
  </si>
  <si>
    <t>男</t>
    <rPh sb="0" eb="1">
      <t xml:space="preserve">オトコ </t>
    </rPh>
    <phoneticPr fontId="3"/>
  </si>
  <si>
    <t>女</t>
    <rPh sb="0" eb="1">
      <t xml:space="preserve">オンナ </t>
    </rPh>
    <phoneticPr fontId="3"/>
  </si>
  <si>
    <t>0年</t>
    <phoneticPr fontId="3"/>
  </si>
  <si>
    <t>参考値</t>
    <rPh sb="0" eb="3">
      <t xml:space="preserve">サンコウチ </t>
    </rPh>
    <phoneticPr fontId="3"/>
  </si>
  <si>
    <t>正社員</t>
    <rPh sb="0" eb="2">
      <t xml:space="preserve">セイシャイン </t>
    </rPh>
    <rPh sb="2" eb="3">
      <t xml:space="preserve">イン </t>
    </rPh>
    <phoneticPr fontId="3"/>
  </si>
  <si>
    <t>部長</t>
    <rPh sb="0" eb="2">
      <t xml:space="preserve">ブチョウ </t>
    </rPh>
    <phoneticPr fontId="3"/>
  </si>
  <si>
    <t>記載例</t>
    <rPh sb="0" eb="2">
      <t xml:space="preserve">キサイ </t>
    </rPh>
    <rPh sb="2" eb="3">
      <t xml:space="preserve">レイ </t>
    </rPh>
    <phoneticPr fontId="3"/>
  </si>
  <si>
    <t>課長</t>
    <rPh sb="0" eb="1">
      <t xml:space="preserve">カチョウ </t>
    </rPh>
    <phoneticPr fontId="3"/>
  </si>
  <si>
    <t>次長</t>
    <rPh sb="0" eb="1">
      <t xml:space="preserve">ジチョウ </t>
    </rPh>
    <phoneticPr fontId="3"/>
  </si>
  <si>
    <t>全労働者</t>
    <rPh sb="0" eb="4">
      <t xml:space="preserve">ゼンロウドウシャ </t>
    </rPh>
    <phoneticPr fontId="3"/>
  </si>
  <si>
    <t>産業大分類</t>
    <phoneticPr fontId="3"/>
  </si>
  <si>
    <t>従業員数</t>
    <phoneticPr fontId="3"/>
  </si>
  <si>
    <t>入力方法</t>
    <rPh sb="0" eb="4">
      <t xml:space="preserve">ニュウリョクホウホウ </t>
    </rPh>
    <phoneticPr fontId="3"/>
  </si>
  <si>
    <t>非役職</t>
    <rPh sb="0" eb="1">
      <t xml:space="preserve">ヒ </t>
    </rPh>
    <rPh sb="1" eb="3">
      <t xml:space="preserve">ヤクショク </t>
    </rPh>
    <phoneticPr fontId="3"/>
  </si>
  <si>
    <t>係長級</t>
  </si>
  <si>
    <t>非役職</t>
  </si>
  <si>
    <t>雇用形態別</t>
    <phoneticPr fontId="3"/>
  </si>
  <si>
    <t>性別表記</t>
    <rPh sb="0" eb="4">
      <t xml:space="preserve">セイベツヒョウキ </t>
    </rPh>
    <phoneticPr fontId="3"/>
  </si>
  <si>
    <t>変換後</t>
    <rPh sb="0" eb="3">
      <t xml:space="preserve">ヘンカンゴ </t>
    </rPh>
    <phoneticPr fontId="3"/>
  </si>
  <si>
    <t>産業中分類</t>
    <rPh sb="0" eb="5">
      <t xml:space="preserve">サンギョウチュウブンルイ </t>
    </rPh>
    <phoneticPr fontId="3"/>
  </si>
  <si>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</si>
  <si>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</si>
  <si>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</si>
  <si>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</si>
  <si>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</si>
  <si>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</si>
  <si>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</si>
  <si>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</si>
  <si>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</si>
  <si>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</si>
  <si>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</si>
  <si>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</si>
  <si>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</si>
  <si>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</si>
  <si>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</si>
  <si>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</si>
  <si>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正規雇用</t>
    <rPh sb="0" eb="2">
      <t xml:space="preserve">セイキ </t>
    </rPh>
    <rPh sb="2" eb="4">
      <t xml:space="preserve">コヨウ </t>
    </rPh>
    <phoneticPr fontId="3"/>
  </si>
  <si>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</si>
  <si>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</si>
  <si>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</si>
  <si>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</si>
  <si>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</si>
  <si>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</si>
  <si>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</si>
  <si>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</si>
  <si>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</si>
  <si>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</si>
  <si>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</si>
  <si>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</si>
  <si>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</si>
  <si>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</si>
  <si>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</si>
  <si>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</si>
  <si>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</si>
  <si>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</si>
  <si>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</si>
  <si>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</si>
  <si>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</si>
  <si>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</si>
  <si>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</si>
  <si>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</si>
  <si>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産業大分類計</t>
    <rPh sb="0" eb="5">
      <t xml:space="preserve">サンギョウダイブンルイ </t>
    </rPh>
    <rPh sb="5" eb="6">
      <t xml:space="preserve">ケイ </t>
    </rPh>
    <phoneticPr fontId="3"/>
  </si>
  <si>
    <t>賃金差異分析用</t>
    <rPh sb="0" eb="6">
      <t xml:space="preserve">チンギンサイブンセキ </t>
    </rPh>
    <rPh sb="6" eb="7">
      <t xml:space="preserve">ヨウ </t>
    </rPh>
    <phoneticPr fontId="3"/>
  </si>
  <si>
    <t>雇用形態別</t>
    <rPh sb="0" eb="5">
      <t xml:space="preserve">コヨウケイタイベツ </t>
    </rPh>
    <phoneticPr fontId="3"/>
  </si>
  <si>
    <t>役職別</t>
    <rPh sb="0" eb="3">
      <t xml:space="preserve">ヤクショクベツ </t>
    </rPh>
    <phoneticPr fontId="3"/>
  </si>
  <si>
    <t>１.男女間賃金差異</t>
    <rPh sb="2" eb="4">
      <t xml:space="preserve">ダンジョノ </t>
    </rPh>
    <rPh sb="4" eb="5">
      <t xml:space="preserve">アイダ </t>
    </rPh>
    <rPh sb="5" eb="7">
      <t xml:space="preserve">チンギン </t>
    </rPh>
    <rPh sb="7" eb="9">
      <t xml:space="preserve">サイ </t>
    </rPh>
    <phoneticPr fontId="3"/>
  </si>
  <si>
    <t>(1)</t>
    <phoneticPr fontId="3"/>
  </si>
  <si>
    <t>(2)</t>
    <phoneticPr fontId="3"/>
  </si>
  <si>
    <t>(3)</t>
    <phoneticPr fontId="3"/>
  </si>
  <si>
    <t>残業時間</t>
    <rPh sb="0" eb="2">
      <t xml:space="preserve">ザンギョウ </t>
    </rPh>
    <rPh sb="2" eb="4">
      <t xml:space="preserve">チョウカジカン </t>
    </rPh>
    <phoneticPr fontId="3"/>
  </si>
  <si>
    <t>残業手当</t>
    <rPh sb="0" eb="2">
      <t xml:space="preserve">ザンギョウ </t>
    </rPh>
    <rPh sb="2" eb="4">
      <t xml:space="preserve">テアテ </t>
    </rPh>
    <phoneticPr fontId="3"/>
  </si>
  <si>
    <t>毎月の
固定給与額</t>
    <rPh sb="0" eb="2">
      <t xml:space="preserve">マイツキノ </t>
    </rPh>
    <rPh sb="3" eb="5">
      <t xml:space="preserve">コテイ </t>
    </rPh>
    <rPh sb="5" eb="8">
      <t xml:space="preserve">キュウヨガク </t>
    </rPh>
    <phoneticPr fontId="3"/>
  </si>
  <si>
    <t>賞与等</t>
    <rPh sb="0" eb="3">
      <t xml:space="preserve">ショウヨトウ </t>
    </rPh>
    <phoneticPr fontId="3"/>
  </si>
  <si>
    <t>嘱託</t>
    <phoneticPr fontId="3"/>
  </si>
  <si>
    <t>勤続年数階級</t>
    <rPh sb="0" eb="6">
      <t xml:space="preserve">キンゾクネンスウカイキュウ </t>
    </rPh>
    <phoneticPr fontId="3"/>
  </si>
  <si>
    <t xml:space="preserve"> ○入力済み！</t>
    <phoneticPr fontId="3"/>
  </si>
  <si>
    <t>全労働者</t>
    <rPh sb="0" eb="1">
      <t xml:space="preserve">ゼン </t>
    </rPh>
    <rPh sb="1" eb="4">
      <t xml:space="preserve">ゼンロウドウシャ </t>
    </rPh>
    <phoneticPr fontId="3"/>
  </si>
  <si>
    <t>企業規模</t>
    <rPh sb="0" eb="4">
      <t xml:space="preserve">キギョウキボ </t>
    </rPh>
    <phoneticPr fontId="1"/>
  </si>
  <si>
    <t>産業分類と企業規模の選択</t>
    <rPh sb="0" eb="4">
      <t xml:space="preserve">サンギョウブンルイト </t>
    </rPh>
    <rPh sb="5" eb="9">
      <t xml:space="preserve">キギョウキボ </t>
    </rPh>
    <rPh sb="10" eb="12">
      <t xml:space="preserve">センタク </t>
    </rPh>
    <phoneticPr fontId="3"/>
  </si>
  <si>
    <t>(4)</t>
    <phoneticPr fontId="3"/>
  </si>
  <si>
    <t>使用用途の選択</t>
    <rPh sb="0" eb="4">
      <t xml:space="preserve">シヨウヨウト </t>
    </rPh>
    <phoneticPr fontId="3"/>
  </si>
  <si>
    <t>使用用途</t>
    <rPh sb="0" eb="4">
      <t xml:space="preserve">シヨウヨウト </t>
    </rPh>
    <phoneticPr fontId="3"/>
  </si>
  <si>
    <t>産業分類・企業規模の参考値確認のみ</t>
    <rPh sb="0" eb="4">
      <t xml:space="preserve">サンギョウブンルイ </t>
    </rPh>
    <rPh sb="5" eb="9">
      <t xml:space="preserve">キギョウキボ </t>
    </rPh>
    <rPh sb="10" eb="13">
      <t xml:space="preserve">サンコウチ </t>
    </rPh>
    <rPh sb="13" eb="15">
      <t xml:space="preserve">カクニン </t>
    </rPh>
    <phoneticPr fontId="3"/>
  </si>
  <si>
    <t>自社の男女間賃金差異と参考値を比較する</t>
    <rPh sb="0" eb="2">
      <t xml:space="preserve">ジシャノ </t>
    </rPh>
    <rPh sb="3" eb="8">
      <t xml:space="preserve">ダンジョカンチンギンカクサ </t>
    </rPh>
    <rPh sb="8" eb="10">
      <t xml:space="preserve">サイ </t>
    </rPh>
    <rPh sb="11" eb="14">
      <t xml:space="preserve">サンコウチヲ </t>
    </rPh>
    <rPh sb="15" eb="17">
      <t xml:space="preserve">ヒカク </t>
    </rPh>
    <phoneticPr fontId="3"/>
  </si>
  <si>
    <t>ツールを利用して計算する</t>
    <rPh sb="4" eb="6">
      <t xml:space="preserve">リヨウシテ </t>
    </rPh>
    <rPh sb="8" eb="10">
      <t xml:space="preserve">ケイサン </t>
    </rPh>
    <phoneticPr fontId="3"/>
  </si>
  <si>
    <t>勤続年数階級別</t>
    <rPh sb="0" eb="4">
      <t xml:space="preserve">キンゾクネンスウ </t>
    </rPh>
    <rPh sb="4" eb="7">
      <t xml:space="preserve">カイキュウベツ </t>
    </rPh>
    <phoneticPr fontId="3"/>
  </si>
  <si>
    <t>入社年月日</t>
  </si>
  <si>
    <t>性別</t>
    <phoneticPr fontId="3"/>
  </si>
  <si>
    <t>入社年月日
基準日</t>
    <rPh sb="6" eb="8">
      <t xml:space="preserve">キジュン </t>
    </rPh>
    <rPh sb="8" eb="9">
      <t xml:space="preserve">ビ </t>
    </rPh>
    <phoneticPr fontId="3"/>
  </si>
  <si>
    <t>要因ベンチ</t>
    <rPh sb="0" eb="2">
      <t xml:space="preserve">ヨウイン </t>
    </rPh>
    <phoneticPr fontId="3"/>
  </si>
  <si>
    <t>労働者数</t>
    <rPh sb="0" eb="4">
      <t xml:space="preserve">ロウドウシャスウ </t>
    </rPh>
    <phoneticPr fontId="3"/>
  </si>
  <si>
    <t>非正規雇用</t>
    <rPh sb="0" eb="3">
      <t xml:space="preserve">ヒセイキ </t>
    </rPh>
    <rPh sb="3" eb="5">
      <t xml:space="preserve">コヨウ </t>
    </rPh>
    <phoneticPr fontId="3"/>
  </si>
  <si>
    <t>管理職数</t>
  </si>
  <si>
    <t>男女間賃金差異の状況</t>
    <rPh sb="0" eb="3">
      <t xml:space="preserve">ダンジョカン </t>
    </rPh>
    <rPh sb="3" eb="7">
      <t xml:space="preserve">チンギンサイ </t>
    </rPh>
    <phoneticPr fontId="3"/>
  </si>
  <si>
    <t>自社で計算したデータを手入力する</t>
    <rPh sb="0" eb="2">
      <t xml:space="preserve">ダンジョ </t>
    </rPh>
    <rPh sb="2" eb="3">
      <t xml:space="preserve">ワリアイ </t>
    </rPh>
    <rPh sb="3" eb="5">
      <t xml:space="preserve">ケイサン </t>
    </rPh>
    <rPh sb="5" eb="6">
      <t xml:space="preserve">チョクセツ </t>
    </rPh>
    <rPh sb="11" eb="13">
      <t xml:space="preserve">ニュウリョク </t>
    </rPh>
    <phoneticPr fontId="3"/>
  </si>
  <si>
    <t>2.男女間賃金差異が生じる要因</t>
    <rPh sb="2" eb="5">
      <t xml:space="preserve">ダンジョカン </t>
    </rPh>
    <rPh sb="5" eb="9">
      <t xml:space="preserve">チンギンサイ </t>
    </rPh>
    <rPh sb="10" eb="11">
      <t xml:space="preserve">ショウジル </t>
    </rPh>
    <rPh sb="13" eb="15">
      <t xml:space="preserve">ヨウイン </t>
    </rPh>
    <phoneticPr fontId="3"/>
  </si>
  <si>
    <t>女性活躍のためのアドバイス</t>
    <rPh sb="0" eb="4">
      <t xml:space="preserve">ジョセイカツヤク </t>
    </rPh>
    <phoneticPr fontId="3"/>
  </si>
  <si>
    <t>採用者数VS労働者数</t>
    <rPh sb="0" eb="4">
      <t xml:space="preserve">サイヨウシャスウ </t>
    </rPh>
    <rPh sb="6" eb="10">
      <t xml:space="preserve">ロウドウシャスウ </t>
    </rPh>
    <phoneticPr fontId="3"/>
  </si>
  <si>
    <t>男女間賃金差異分析ツール　分析結果</t>
    <rPh sb="0" eb="3">
      <t xml:space="preserve">ダンジョカンノ </t>
    </rPh>
    <rPh sb="3" eb="5">
      <t xml:space="preserve">チンギンサイ </t>
    </rPh>
    <rPh sb="5" eb="7">
      <t xml:space="preserve">サイ </t>
    </rPh>
    <rPh sb="7" eb="9">
      <t xml:space="preserve">ブンセキ </t>
    </rPh>
    <rPh sb="13" eb="17">
      <t xml:space="preserve">ブンセキケッカ </t>
    </rPh>
    <phoneticPr fontId="3"/>
  </si>
  <si>
    <t>男女間賃金差異分析ツール　入力シート</t>
    <rPh sb="0" eb="2">
      <t xml:space="preserve">ダンジョカンノ </t>
    </rPh>
    <rPh sb="2" eb="3">
      <t xml:space="preserve">カン </t>
    </rPh>
    <rPh sb="3" eb="5">
      <t xml:space="preserve">チンギンサイ </t>
    </rPh>
    <rPh sb="5" eb="7">
      <t xml:space="preserve">サイ </t>
    </rPh>
    <rPh sb="7" eb="9">
      <t xml:space="preserve">ブンセキ </t>
    </rPh>
    <rPh sb="13" eb="15">
      <t xml:space="preserve">ニュウリョクシート </t>
    </rPh>
    <phoneticPr fontId="3"/>
  </si>
  <si>
    <t xml:space="preserve"> ←入力方法を選択してください。</t>
    <rPh sb="7" eb="9">
      <t xml:space="preserve">センタク </t>
    </rPh>
    <phoneticPr fontId="3"/>
  </si>
  <si>
    <t>正規雇用労働者</t>
    <rPh sb="0" eb="4">
      <t xml:space="preserve">セイキコヨウ </t>
    </rPh>
    <rPh sb="4" eb="7">
      <t>ロウドウ</t>
    </rPh>
    <phoneticPr fontId="3"/>
  </si>
  <si>
    <t>正規雇用
労働者</t>
    <rPh sb="0" eb="4">
      <t xml:space="preserve">セイキコヨウ </t>
    </rPh>
    <rPh sb="4" eb="7">
      <t>ロウドウ</t>
    </rPh>
    <phoneticPr fontId="3"/>
  </si>
  <si>
    <t>非正規雇用
労働者</t>
    <rPh sb="0" eb="1">
      <t xml:space="preserve">ヒ </t>
    </rPh>
    <rPh sb="1" eb="5">
      <t xml:space="preserve">セイキコヨウ </t>
    </rPh>
    <phoneticPr fontId="3"/>
  </si>
  <si>
    <t>正規雇用
労働者</t>
    <rPh sb="0" eb="4">
      <t xml:space="preserve">セイキコヨウ </t>
    </rPh>
    <phoneticPr fontId="3"/>
  </si>
  <si>
    <t>非正規雇用労働者</t>
    <rPh sb="0" eb="5">
      <t xml:space="preserve">ヒセイキコヨウ </t>
    </rPh>
    <phoneticPr fontId="3"/>
  </si>
  <si>
    <t>貴社の『男女間賃金差異』の入力など</t>
    <rPh sb="0" eb="2">
      <t xml:space="preserve">キシャノ </t>
    </rPh>
    <rPh sb="4" eb="6">
      <t xml:space="preserve">ダンジョ </t>
    </rPh>
    <rPh sb="6" eb="7">
      <t xml:space="preserve">カン </t>
    </rPh>
    <rPh sb="7" eb="9">
      <t xml:space="preserve">チンギンサイ </t>
    </rPh>
    <rPh sb="9" eb="11">
      <t xml:space="preserve">サイ </t>
    </rPh>
    <rPh sb="15" eb="17">
      <t xml:space="preserve">ニュウリョク </t>
    </rPh>
    <phoneticPr fontId="3"/>
  </si>
  <si>
    <t>貴社</t>
    <rPh sb="0" eb="2">
      <t xml:space="preserve">キシャ </t>
    </rPh>
    <phoneticPr fontId="3"/>
  </si>
  <si>
    <t>雇用形態別</t>
    <rPh sb="0" eb="5">
      <t xml:space="preserve">コヨウケイタイベツ キサイ レイ </t>
    </rPh>
    <phoneticPr fontId="3"/>
  </si>
  <si>
    <t>男女間賃金差異が
生じる要因</t>
    <rPh sb="0" eb="3">
      <t xml:space="preserve">ダンジョカン </t>
    </rPh>
    <phoneticPr fontId="3"/>
  </si>
  <si>
    <t>雇用形態名の調整</t>
    <rPh sb="0" eb="4">
      <t xml:space="preserve">コヨウケイアイベツ </t>
    </rPh>
    <rPh sb="4" eb="5">
      <t xml:space="preserve">メイ </t>
    </rPh>
    <rPh sb="6" eb="8">
      <t xml:space="preserve">チョウセイ </t>
    </rPh>
    <phoneticPr fontId="3"/>
  </si>
  <si>
    <t>役職名の調整</t>
    <rPh sb="0" eb="2">
      <t xml:space="preserve">ヤクショク </t>
    </rPh>
    <rPh sb="2" eb="3">
      <t xml:space="preserve">メイ </t>
    </rPh>
    <rPh sb="4" eb="6">
      <t xml:space="preserve">チョウセイ </t>
    </rPh>
    <phoneticPr fontId="3"/>
  </si>
  <si>
    <t>性別表記の調整</t>
    <rPh sb="0" eb="2">
      <t xml:space="preserve">セイベツ </t>
    </rPh>
    <rPh sb="2" eb="4">
      <t xml:space="preserve">ヒョウキ </t>
    </rPh>
    <rPh sb="5" eb="7">
      <t xml:space="preserve">チョウセイ </t>
    </rPh>
    <phoneticPr fontId="3"/>
  </si>
  <si>
    <t>男女間賃金差異(%)</t>
    <rPh sb="0" eb="6">
      <t xml:space="preserve">ダンジョカンチンギンサイ </t>
    </rPh>
    <phoneticPr fontId="3"/>
  </si>
  <si>
    <t>基準日</t>
    <rPh sb="0" eb="2">
      <t xml:space="preserve">キジュン </t>
    </rPh>
    <rPh sb="2" eb="3">
      <t xml:space="preserve">ヒ </t>
    </rPh>
    <phoneticPr fontId="3"/>
  </si>
  <si>
    <t>空白</t>
    <rPh sb="0" eb="2">
      <t xml:space="preserve">クウハク </t>
    </rPh>
    <phoneticPr fontId="3"/>
  </si>
  <si>
    <t>確認</t>
    <rPh sb="0" eb="2">
      <t xml:space="preserve">カクニン </t>
    </rPh>
    <phoneticPr fontId="3"/>
  </si>
  <si>
    <t>全空</t>
    <rPh sb="0" eb="2">
      <t xml:space="preserve">ゼンクウ </t>
    </rPh>
    <phoneticPr fontId="3"/>
  </si>
  <si>
    <t>済み</t>
    <rPh sb="0" eb="1">
      <t xml:space="preserve">スミ </t>
    </rPh>
    <phoneticPr fontId="3"/>
  </si>
  <si>
    <t>比較</t>
    <rPh sb="0" eb="2">
      <t xml:space="preserve">ヒカク </t>
    </rPh>
    <phoneticPr fontId="3"/>
  </si>
  <si>
    <t>エラー有</t>
    <phoneticPr fontId="3"/>
  </si>
  <si>
    <t>エラー無</t>
    <phoneticPr fontId="3"/>
  </si>
  <si>
    <t>(3)-1</t>
    <phoneticPr fontId="3"/>
  </si>
  <si>
    <t>(3)-2</t>
    <phoneticPr fontId="3"/>
  </si>
  <si>
    <t>(1)空白or確認のみ</t>
    <rPh sb="3" eb="4">
      <t xml:space="preserve">クウハク </t>
    </rPh>
    <rPh sb="7" eb="9">
      <t xml:space="preserve">カクニン </t>
    </rPh>
    <phoneticPr fontId="3"/>
  </si>
  <si>
    <t>男女間賃金差異が生じる要因</t>
    <rPh sb="0" eb="2">
      <t xml:space="preserve">サイ </t>
    </rPh>
    <rPh sb="2" eb="4">
      <t xml:space="preserve">ヨウイン </t>
    </rPh>
    <rPh sb="8" eb="9">
      <t xml:space="preserve">ショウジル </t>
    </rPh>
    <phoneticPr fontId="3"/>
  </si>
  <si>
    <t>(3)自社,(4)済</t>
    <rPh sb="0" eb="2">
      <t xml:space="preserve">ジシャ </t>
    </rPh>
    <rPh sb="3" eb="4">
      <t xml:space="preserve">スミ </t>
    </rPh>
    <phoneticPr fontId="3"/>
  </si>
  <si>
    <t>文言１</t>
    <rPh sb="0" eb="2">
      <t xml:space="preserve">モンゴン </t>
    </rPh>
    <phoneticPr fontId="3"/>
  </si>
  <si>
    <t>文言2</t>
    <rPh sb="0" eb="2">
      <t xml:space="preserve">モンゴン </t>
    </rPh>
    <phoneticPr fontId="3"/>
  </si>
  <si>
    <t>数値以外判定1</t>
    <rPh sb="0" eb="4">
      <t xml:space="preserve">スウチイガイ </t>
    </rPh>
    <rPh sb="4" eb="6">
      <t xml:space="preserve">ハンテイ </t>
    </rPh>
    <phoneticPr fontId="3"/>
  </si>
  <si>
    <t>数値以外判定2</t>
    <rPh sb="0" eb="4">
      <t xml:space="preserve">スウチイガイ </t>
    </rPh>
    <rPh sb="4" eb="6">
      <t xml:space="preserve">ハンテイ </t>
    </rPh>
    <phoneticPr fontId="3"/>
  </si>
  <si>
    <t>数値以外判定3</t>
    <rPh sb="0" eb="4">
      <t xml:space="preserve">スウチイガイ </t>
    </rPh>
    <rPh sb="4" eb="6">
      <t xml:space="preserve">ハンテイ </t>
    </rPh>
    <phoneticPr fontId="3"/>
  </si>
  <si>
    <t>数値以外判定4</t>
    <rPh sb="0" eb="4">
      <t xml:space="preserve">スウチイガイ </t>
    </rPh>
    <rPh sb="4" eb="6">
      <t xml:space="preserve">ハンテイ </t>
    </rPh>
    <phoneticPr fontId="3"/>
  </si>
  <si>
    <t>数値以外判定5</t>
    <rPh sb="0" eb="4">
      <t xml:space="preserve">スウチイガイ </t>
    </rPh>
    <rPh sb="4" eb="6">
      <t xml:space="preserve">ハンテイ </t>
    </rPh>
    <phoneticPr fontId="3"/>
  </si>
  <si>
    <t>数値以外判定6</t>
    <rPh sb="0" eb="4">
      <t xml:space="preserve">スウチイガイ </t>
    </rPh>
    <rPh sb="4" eb="6">
      <t xml:space="preserve">ハンテイ </t>
    </rPh>
    <phoneticPr fontId="3"/>
  </si>
  <si>
    <t>数値以外判定7</t>
    <rPh sb="0" eb="4">
      <t xml:space="preserve">スウチイガイ </t>
    </rPh>
    <rPh sb="4" eb="6">
      <t xml:space="preserve">ハンテイ </t>
    </rPh>
    <phoneticPr fontId="3"/>
  </si>
  <si>
    <t>数値以外判定8</t>
    <rPh sb="0" eb="4">
      <t xml:space="preserve">スウチイガイ </t>
    </rPh>
    <rPh sb="4" eb="6">
      <t xml:space="preserve">ハンテイ </t>
    </rPh>
    <phoneticPr fontId="3"/>
  </si>
  <si>
    <t>数値以外判定9</t>
    <rPh sb="0" eb="4">
      <t xml:space="preserve">スウチイガイ </t>
    </rPh>
    <rPh sb="4" eb="6">
      <t xml:space="preserve">ハンテイ </t>
    </rPh>
    <phoneticPr fontId="3"/>
  </si>
  <si>
    <t>入力シート</t>
    <rPh sb="0" eb="2">
      <t xml:space="preserve">ニュウリョクシート </t>
    </rPh>
    <phoneticPr fontId="3"/>
  </si>
  <si>
    <t>エラー有</t>
    <rPh sb="3" eb="4">
      <t xml:space="preserve">アリ </t>
    </rPh>
    <phoneticPr fontId="3"/>
  </si>
  <si>
    <t>自社のみ</t>
    <rPh sb="0" eb="2">
      <t xml:space="preserve">ジシャ </t>
    </rPh>
    <phoneticPr fontId="3"/>
  </si>
  <si>
    <t>ツール有</t>
    <rPh sb="3" eb="4">
      <t xml:space="preserve">アリ </t>
    </rPh>
    <phoneticPr fontId="3"/>
  </si>
  <si>
    <t>データ未</t>
    <rPh sb="3" eb="4">
      <t xml:space="preserve">ミ </t>
    </rPh>
    <phoneticPr fontId="3"/>
  </si>
  <si>
    <t>データ有</t>
    <phoneticPr fontId="3"/>
  </si>
  <si>
    <t>日付無</t>
    <rPh sb="0" eb="2">
      <t xml:space="preserve">ヒヅケ </t>
    </rPh>
    <rPh sb="2" eb="3">
      <t xml:space="preserve">ナシ </t>
    </rPh>
    <phoneticPr fontId="3"/>
  </si>
  <si>
    <t>日付有</t>
    <rPh sb="0" eb="1">
      <t xml:space="preserve">ヒヅケ </t>
    </rPh>
    <rPh sb="2" eb="3">
      <t xml:space="preserve">アリ </t>
    </rPh>
    <phoneticPr fontId="3"/>
  </si>
  <si>
    <t>給与情報</t>
    <rPh sb="0" eb="4">
      <t xml:space="preserve">キュウヨジョウホウ </t>
    </rPh>
    <phoneticPr fontId="3"/>
  </si>
  <si>
    <t>入力内容にエラーはありません。</t>
    <rPh sb="0" eb="1">
      <t xml:space="preserve">ニュウリョクナイヨウ ニュウリョク ズミ ブンセキ ケッカ イドウ </t>
    </rPh>
    <phoneticPr fontId="3"/>
  </si>
  <si>
    <t>※各行に表示されているエラーを確認してください。</t>
    <phoneticPr fontId="3"/>
  </si>
  <si>
    <t>入力内容にエラーはありません。</t>
    <rPh sb="0" eb="1">
      <t xml:space="preserve">ニュウリョクナイヨウ ニュウリョク ズミ シャインノ キュウヨ ジョウホウ イドウ </t>
    </rPh>
    <phoneticPr fontId="3"/>
  </si>
  <si>
    <t>貴社比</t>
    <rPh sb="0" eb="2">
      <t xml:space="preserve">キシャ </t>
    </rPh>
    <rPh sb="2" eb="3">
      <t>🧨</t>
    </rPh>
    <phoneticPr fontId="3"/>
  </si>
  <si>
    <t>参考値比</t>
    <rPh sb="0" eb="3">
      <t xml:space="preserve">サンコウチ </t>
    </rPh>
    <rPh sb="3" eb="4">
      <t>🧨</t>
    </rPh>
    <phoneticPr fontId="3"/>
  </si>
  <si>
    <t>男女間賃金差異の要因</t>
    <rPh sb="0" eb="3">
      <t xml:space="preserve">ダンジョカン </t>
    </rPh>
    <rPh sb="3" eb="5">
      <t xml:space="preserve">チンギンサイ </t>
    </rPh>
    <rPh sb="5" eb="7">
      <t xml:space="preserve">サイ </t>
    </rPh>
    <phoneticPr fontId="3"/>
  </si>
  <si>
    <t>直近1年間の採用者数</t>
  </si>
  <si>
    <t>（参考値）</t>
    <rPh sb="1" eb="4">
      <t>サンコウチ センタクジョウケン _x0000__x0001__x0003__x0006__x0006__x0004__x0010_</t>
    </rPh>
    <phoneticPr fontId="3"/>
  </si>
  <si>
    <t>「W502」セル</t>
    <phoneticPr fontId="3"/>
  </si>
  <si>
    <t>男性</t>
    <rPh sb="0" eb="1">
      <t xml:space="preserve">ダンセイ </t>
    </rPh>
    <phoneticPr fontId="3"/>
  </si>
  <si>
    <t>時間単位</t>
    <rPh sb="0" eb="4">
      <t xml:space="preserve">ジカンタンイ </t>
    </rPh>
    <phoneticPr fontId="3"/>
  </si>
  <si>
    <t>残業小数点以下</t>
    <rPh sb="0" eb="2">
      <t xml:space="preserve">ザンギョウ </t>
    </rPh>
    <rPh sb="2" eb="7">
      <t xml:space="preserve">ショウスウテンイカ </t>
    </rPh>
    <phoneticPr fontId="3"/>
  </si>
  <si>
    <t>結果</t>
    <rPh sb="0" eb="2">
      <t xml:space="preserve">ケッカ </t>
    </rPh>
    <phoneticPr fontId="3"/>
  </si>
  <si>
    <t>着手</t>
    <rPh sb="0" eb="2">
      <t xml:space="preserve">チャクシュ </t>
    </rPh>
    <phoneticPr fontId="3"/>
  </si>
  <si>
    <t>雇形</t>
    <rPh sb="0" eb="1">
      <t xml:space="preserve">コヨウク </t>
    </rPh>
    <rPh sb="1" eb="2">
      <t>📲</t>
    </rPh>
    <phoneticPr fontId="3"/>
  </si>
  <si>
    <t>勤続</t>
    <rPh sb="0" eb="2">
      <t xml:space="preserve">キンゾク </t>
    </rPh>
    <phoneticPr fontId="3"/>
  </si>
  <si>
    <t>日付不要</t>
    <rPh sb="0" eb="2">
      <t xml:space="preserve">ヒヅケ </t>
    </rPh>
    <rPh sb="2" eb="4">
      <t xml:space="preserve">フヨウ </t>
    </rPh>
    <phoneticPr fontId="3"/>
  </si>
  <si>
    <t>日付要否</t>
    <rPh sb="0" eb="2">
      <t xml:space="preserve">ヒヅケ </t>
    </rPh>
    <rPh sb="2" eb="4">
      <t xml:space="preserve">ヨウヒ </t>
    </rPh>
    <phoneticPr fontId="3"/>
  </si>
  <si>
    <t>日付有無</t>
    <rPh sb="0" eb="2">
      <t xml:space="preserve">ヒヅケ </t>
    </rPh>
    <rPh sb="2" eb="4">
      <t xml:space="preserve">ウム </t>
    </rPh>
    <phoneticPr fontId="3"/>
  </si>
  <si>
    <t>エラー有無</t>
    <rPh sb="3" eb="5">
      <t xml:space="preserve">ウム </t>
    </rPh>
    <phoneticPr fontId="3"/>
  </si>
  <si>
    <t>着手有無</t>
    <rPh sb="0" eb="2">
      <t xml:space="preserve">チャクシュ </t>
    </rPh>
    <rPh sb="2" eb="4">
      <t xml:space="preserve">ウム </t>
    </rPh>
    <phoneticPr fontId="3"/>
  </si>
  <si>
    <t>データ要</t>
    <rPh sb="3" eb="4">
      <t xml:space="preserve">ヒツヨウ </t>
    </rPh>
    <phoneticPr fontId="3"/>
  </si>
  <si>
    <t>未着手</t>
    <rPh sb="0" eb="3">
      <t xml:space="preserve">ミチャクシュ </t>
    </rPh>
    <phoneticPr fontId="3"/>
  </si>
  <si>
    <t>分で入力</t>
    <rPh sb="0" eb="1">
      <t xml:space="preserve">フン </t>
    </rPh>
    <rPh sb="2" eb="4">
      <t xml:space="preserve">ニュウリョク </t>
    </rPh>
    <phoneticPr fontId="3"/>
  </si>
  <si>
    <t xml:space="preserve">・事業所で通常「部長」または「局長」と呼ばれている者。
・2 課以上の組織またはその構成員が20人以上 (部長含む)の長。
 補足：職務内容や責任が「部長級」に相当する者も含む。
　　　 ただし、 通常「部長代理」「課長」「係長」等などは含まない。
　　　 </t>
    <rPh sb="56" eb="58">
      <t xml:space="preserve">ブチョウ </t>
    </rPh>
    <rPh sb="58" eb="59">
      <t xml:space="preserve">フクム </t>
    </rPh>
    <rPh sb="62" eb="63">
      <t xml:space="preserve">チョウ </t>
    </rPh>
    <rPh sb="64" eb="65">
      <t xml:space="preserve">ホソク </t>
    </rPh>
    <rPh sb="123" eb="124">
      <t xml:space="preserve">フクマナイ </t>
    </rPh>
    <phoneticPr fontId="3"/>
  </si>
  <si>
    <t>・事業所で通常「課長」と呼ばれる者で2係以上の組織
　または構成員10人以上(課長含む)の長。
 補足：職務内容や責任が「課長級」に相当する者も含む。
　　　 ただし、「課長代理」「係長」などは含まない。</t>
    <rPh sb="26" eb="28">
      <t xml:space="preserve">ソシキ </t>
    </rPh>
    <rPh sb="51" eb="53">
      <t xml:space="preserve">ホソク </t>
    </rPh>
    <phoneticPr fontId="3"/>
  </si>
  <si>
    <t>・事業所で通常「係長」と呼ばれる者。
補足：職務内容や責任が「係長級」に相当する者も含む。</t>
    <rPh sb="1" eb="4">
      <t xml:space="preserve">ジギョウショデ </t>
    </rPh>
    <rPh sb="20" eb="21">
      <t xml:space="preserve">ホソク </t>
    </rPh>
    <phoneticPr fontId="3"/>
  </si>
  <si>
    <t>(任意)労働者割合を使用する</t>
    <rPh sb="1" eb="3">
      <t xml:space="preserve">ニンイ </t>
    </rPh>
    <rPh sb="4" eb="7">
      <t xml:space="preserve">ロウドウシャスウ </t>
    </rPh>
    <rPh sb="7" eb="9">
      <t xml:space="preserve">ワリアイ </t>
    </rPh>
    <rPh sb="10" eb="12">
      <t xml:space="preserve">シヨウスル </t>
    </rPh>
    <phoneticPr fontId="3"/>
  </si>
  <si>
    <t>産業中分類(製造業のみ)</t>
    <rPh sb="0" eb="1">
      <t xml:space="preserve">サンギョウチュウブンルイ </t>
    </rPh>
    <rPh sb="6" eb="9">
      <t xml:space="preserve">セイゾウギョウノミ </t>
    </rPh>
    <phoneticPr fontId="3"/>
  </si>
  <si>
    <t>C</t>
  </si>
  <si>
    <t>D</t>
  </si>
  <si>
    <t>E</t>
  </si>
  <si>
    <t>F</t>
  </si>
  <si>
    <t>G</t>
  </si>
  <si>
    <t>H</t>
  </si>
  <si>
    <t>I</t>
  </si>
  <si>
    <t>J</t>
  </si>
  <si>
    <t>K</t>
  </si>
  <si>
    <t>L</t>
  </si>
  <si>
    <t>M</t>
  </si>
  <si>
    <t>N</t>
  </si>
  <si>
    <t>O</t>
  </si>
  <si>
    <t>P</t>
  </si>
  <si>
    <t>Q</t>
  </si>
  <si>
    <t>R</t>
  </si>
  <si>
    <t>C---</t>
  </si>
  <si>
    <t>D---</t>
  </si>
  <si>
    <t>E---</t>
  </si>
  <si>
    <t>E-9--</t>
  </si>
  <si>
    <t>E-9-1,000人以上-</t>
  </si>
  <si>
    <t>E-9-1,000人以上-正規雇用</t>
  </si>
  <si>
    <t>E-9-1,000人以上-非正規雇用</t>
  </si>
  <si>
    <t>E-10--</t>
  </si>
  <si>
    <t>E-10-1,000人以上-</t>
  </si>
  <si>
    <t>E-10-1,000人以上-正規雇用</t>
  </si>
  <si>
    <t>E-10-1,000人以上-非正規雇用</t>
  </si>
  <si>
    <t>E-11--</t>
  </si>
  <si>
    <t>E-11-1,000人以上-</t>
  </si>
  <si>
    <t>E-11-1,000人以上-正規雇用</t>
  </si>
  <si>
    <t>E-11-1,000人以上-非正規雇用</t>
  </si>
  <si>
    <t>E-12--</t>
  </si>
  <si>
    <t>E-12-1,000人以上-</t>
  </si>
  <si>
    <t>E-12-1,000人以上-正規雇用</t>
  </si>
  <si>
    <t>E-12-1,000人以上-非正規雇用</t>
  </si>
  <si>
    <t>E-13--</t>
  </si>
  <si>
    <t>E-13-1,000人以上-</t>
  </si>
  <si>
    <t>E-13-1,000人以上-正規雇用</t>
  </si>
  <si>
    <t>E-13-1,000人以上-非正規雇用</t>
  </si>
  <si>
    <t>E-14--</t>
  </si>
  <si>
    <t>E-14-1,000人以上-</t>
  </si>
  <si>
    <t>E-14-1,000人以上-正規雇用</t>
  </si>
  <si>
    <t>E-14-1,000人以上-非正規雇用</t>
  </si>
  <si>
    <t>E-15--</t>
  </si>
  <si>
    <t>E-15-1,000人以上-</t>
  </si>
  <si>
    <t>E-15-1,000人以上-正規雇用</t>
  </si>
  <si>
    <t>E-15-1,000人以上-非正規雇用</t>
  </si>
  <si>
    <t>E-16--</t>
  </si>
  <si>
    <t>E-16-1,000人以上-</t>
  </si>
  <si>
    <t>E-16-1,000人以上-正規雇用</t>
  </si>
  <si>
    <t>E-16-1,000人以上-非正規雇用</t>
  </si>
  <si>
    <t>E-17--</t>
  </si>
  <si>
    <t>E-17-1,000人以上-</t>
  </si>
  <si>
    <t>E-17-1,000人以上-正規雇用</t>
  </si>
  <si>
    <t>E-17-1,000人以上-非正規雇用</t>
  </si>
  <si>
    <t>E-18--</t>
  </si>
  <si>
    <t>E-18-1,000人以上-</t>
  </si>
  <si>
    <t>E-18-1,000人以上-正規雇用</t>
  </si>
  <si>
    <t>E-18-1,000人以上-非正規雇用</t>
  </si>
  <si>
    <t>E-19--</t>
  </si>
  <si>
    <t>E-19-1,000人以上-</t>
  </si>
  <si>
    <t>E-19-1,000人以上-正規雇用</t>
  </si>
  <si>
    <t>E-19-1,000人以上-非正規雇用</t>
  </si>
  <si>
    <t>E-20--</t>
  </si>
  <si>
    <t>E-21--</t>
  </si>
  <si>
    <t>E-21-1,000人以上-</t>
  </si>
  <si>
    <t>E-21-1,000人以上-正規雇用</t>
  </si>
  <si>
    <t>E-21-1,000人以上-非正規雇用</t>
  </si>
  <si>
    <t>E-22--</t>
  </si>
  <si>
    <t>E-22-1,000人以上-</t>
  </si>
  <si>
    <t>E-22-1,000人以上-正規雇用</t>
  </si>
  <si>
    <t>E-22-1,000人以上-非正規雇用</t>
  </si>
  <si>
    <t>E-23--</t>
  </si>
  <si>
    <t>E-23-1,000人以上-</t>
  </si>
  <si>
    <t>E-23-1,000人以上-正規雇用</t>
  </si>
  <si>
    <t>E-23-1,000人以上-非正規雇用</t>
  </si>
  <si>
    <t>E-24--</t>
  </si>
  <si>
    <t>E-24-1,000人以上-</t>
  </si>
  <si>
    <t>E-24-1,000人以上-正規雇用</t>
  </si>
  <si>
    <t>E-24-1,000人以上-非正規雇用</t>
  </si>
  <si>
    <t>E-25--</t>
  </si>
  <si>
    <t>E-25-1,000人以上-</t>
  </si>
  <si>
    <t>E-25-1,000人以上-正規雇用</t>
  </si>
  <si>
    <t>E-25-1,000人以上-非正規雇用</t>
  </si>
  <si>
    <t>E-26--</t>
  </si>
  <si>
    <t>E-26-1,000人以上-</t>
  </si>
  <si>
    <t>E-26-1,000人以上-正規雇用</t>
  </si>
  <si>
    <t>E-26-1,000人以上-非正規雇用</t>
  </si>
  <si>
    <t>E-27--</t>
  </si>
  <si>
    <t>E-27-1,000人以上-</t>
  </si>
  <si>
    <t>E-27-1,000人以上-正規雇用</t>
  </si>
  <si>
    <t>E-27-1,000人以上-非正規雇用</t>
  </si>
  <si>
    <t>E-28--</t>
  </si>
  <si>
    <t>E-28-1,000人以上-</t>
  </si>
  <si>
    <t>E-28-1,000人以上-正規雇用</t>
  </si>
  <si>
    <t>E-28-1,000人以上-非正規雇用</t>
  </si>
  <si>
    <t>E-29--</t>
  </si>
  <si>
    <t>E-29-1,000人以上-</t>
  </si>
  <si>
    <t>E-29-1,000人以上-正規雇用</t>
  </si>
  <si>
    <t>E-29-1,000人以上-非正規雇用</t>
  </si>
  <si>
    <t>E-30--</t>
  </si>
  <si>
    <t>E-30-1,000人以上-</t>
  </si>
  <si>
    <t>E-30-1,000人以上-正規雇用</t>
  </si>
  <si>
    <t>E-30-1,000人以上-非正規雇用</t>
  </si>
  <si>
    <t>E-31--</t>
  </si>
  <si>
    <t>E-31-1,000人以上-</t>
  </si>
  <si>
    <t>E-31-1,000人以上-正規雇用</t>
  </si>
  <si>
    <t>E-31-1,000人以上-非正規雇用</t>
  </si>
  <si>
    <t>E-32--</t>
  </si>
  <si>
    <t>E-32-1,000人以上-</t>
  </si>
  <si>
    <t>E-32-1,000人以上-正規雇用</t>
  </si>
  <si>
    <t>E-32-1,000人以上-非正規雇用</t>
  </si>
  <si>
    <t>F---</t>
  </si>
  <si>
    <t>G---</t>
  </si>
  <si>
    <t>H---</t>
  </si>
  <si>
    <t>I---</t>
  </si>
  <si>
    <t>J---</t>
  </si>
  <si>
    <t>K---</t>
  </si>
  <si>
    <t>L---</t>
  </si>
  <si>
    <t>M---</t>
  </si>
  <si>
    <t>N---</t>
  </si>
  <si>
    <t>O---</t>
  </si>
  <si>
    <t>P---</t>
  </si>
  <si>
    <t>Q---</t>
  </si>
  <si>
    <t>R---</t>
  </si>
  <si>
    <t>C--1,000人以上-</t>
  </si>
  <si>
    <t>C--1,000人以上-非正規雇用</t>
  </si>
  <si>
    <t>D--1,000人以上-</t>
  </si>
  <si>
    <t>D--1,000人以上-正規雇用</t>
  </si>
  <si>
    <t>D--1,000人以上-非正規雇用</t>
  </si>
  <si>
    <t>E--1,000人以上-</t>
  </si>
  <si>
    <t>E--1,000人以上-正規雇用</t>
  </si>
  <si>
    <t>E--1,000人以上-非正規雇用</t>
  </si>
  <si>
    <t>F--1,000人以上-</t>
  </si>
  <si>
    <t>F--1,000人以上-正規雇用</t>
  </si>
  <si>
    <t>F--1,000人以上-非正規雇用</t>
  </si>
  <si>
    <t>G--1,000人以上-</t>
  </si>
  <si>
    <t>G--1,000人以上-正規雇用</t>
  </si>
  <si>
    <t>G--1,000人以上-非正規雇用</t>
  </si>
  <si>
    <t>H--1,000人以上-</t>
  </si>
  <si>
    <t>H--1,000人以上-正規雇用</t>
  </si>
  <si>
    <t>H--1,000人以上-非正規雇用</t>
  </si>
  <si>
    <t>I--1,000人以上-</t>
  </si>
  <si>
    <t>I--1,000人以上-正規雇用</t>
  </si>
  <si>
    <t>I--1,000人以上-非正規雇用</t>
  </si>
  <si>
    <t>J--1,000人以上-</t>
  </si>
  <si>
    <t>J--1,000人以上-正規雇用</t>
  </si>
  <si>
    <t>J--1,000人以上-非正規雇用</t>
  </si>
  <si>
    <t>K--1,000人以上-</t>
  </si>
  <si>
    <t>K--1,000人以上-正規雇用</t>
  </si>
  <si>
    <t>K--1,000人以上-非正規雇用</t>
  </si>
  <si>
    <t>L--1,000人以上-</t>
  </si>
  <si>
    <t>L--1,000人以上-正規雇用</t>
  </si>
  <si>
    <t>L--1,000人以上-非正規雇用</t>
  </si>
  <si>
    <t>M--1,000人以上-</t>
  </si>
  <si>
    <t>M--1,000人以上-正規雇用</t>
  </si>
  <si>
    <t>M--1,000人以上-非正規雇用</t>
  </si>
  <si>
    <t>N--1,000人以上-</t>
  </si>
  <si>
    <t>N--1,000人以上-正規雇用</t>
  </si>
  <si>
    <t>N--1,000人以上-非正規雇用</t>
  </si>
  <si>
    <t>O--1,000人以上-</t>
  </si>
  <si>
    <t>O--1,000人以上-正規雇用</t>
  </si>
  <si>
    <t>O--1,000人以上-非正規雇用</t>
  </si>
  <si>
    <t>P--1,000人以上-</t>
  </si>
  <si>
    <t>P--1,000人以上-正規雇用</t>
  </si>
  <si>
    <t>P--1,000人以上-非正規雇用</t>
  </si>
  <si>
    <t>Q--1,000人以上-</t>
  </si>
  <si>
    <t>Q--1,000人以上-正規雇用</t>
  </si>
  <si>
    <t>Q--1,000人以上-非正規雇用</t>
  </si>
  <si>
    <t>R--1,000人以上-</t>
  </si>
  <si>
    <t>R--1,000人以上-正規雇用</t>
  </si>
  <si>
    <t>R--1,000人以上-非正規雇用</t>
  </si>
  <si>
    <t>E-9--正規雇用</t>
  </si>
  <si>
    <t>E-9--非正規雇用</t>
  </si>
  <si>
    <t>E-10--正規雇用</t>
  </si>
  <si>
    <t>E-10--非正規雇用</t>
  </si>
  <si>
    <t>E-11--正規雇用</t>
  </si>
  <si>
    <t>E-11--非正規雇用</t>
  </si>
  <si>
    <t>E-12--正規雇用</t>
  </si>
  <si>
    <t>E-12--非正規雇用</t>
  </si>
  <si>
    <t>E-13--正規雇用</t>
  </si>
  <si>
    <t>E-13--非正規雇用</t>
  </si>
  <si>
    <t>E-14--正規雇用</t>
  </si>
  <si>
    <t>E-14--非正規雇用</t>
  </si>
  <si>
    <t>E-15--正規雇用</t>
  </si>
  <si>
    <t>E-15--非正規雇用</t>
  </si>
  <si>
    <t>E-16--正規雇用</t>
  </si>
  <si>
    <t>E-16--非正規雇用</t>
  </si>
  <si>
    <t>E-17--正規雇用</t>
  </si>
  <si>
    <t>E-17--非正規雇用</t>
  </si>
  <si>
    <t>E-18--正規雇用</t>
  </si>
  <si>
    <t>E-18--非正規雇用</t>
  </si>
  <si>
    <t>E-19--正規雇用</t>
  </si>
  <si>
    <t>E-19--非正規雇用</t>
  </si>
  <si>
    <t>E-20--正規雇用</t>
  </si>
  <si>
    <t>E-20--非正規雇用</t>
  </si>
  <si>
    <t>E-21--正規雇用</t>
  </si>
  <si>
    <t>E-21--非正規雇用</t>
  </si>
  <si>
    <t>E-22--正規雇用</t>
  </si>
  <si>
    <t>E-22--非正規雇用</t>
  </si>
  <si>
    <t>E-23--正規雇用</t>
  </si>
  <si>
    <t>E-23--非正規雇用</t>
  </si>
  <si>
    <t>E-24--正規雇用</t>
  </si>
  <si>
    <t>E-24--非正規雇用</t>
  </si>
  <si>
    <t>E-25--正規雇用</t>
  </si>
  <si>
    <t>E-25--非正規雇用</t>
  </si>
  <si>
    <t>E-26--正規雇用</t>
  </si>
  <si>
    <t>E-26--非正規雇用</t>
  </si>
  <si>
    <t>E-27--正規雇用</t>
  </si>
  <si>
    <t>E-27--非正規雇用</t>
  </si>
  <si>
    <t>E-28--正規雇用</t>
  </si>
  <si>
    <t>E-28--非正規雇用</t>
  </si>
  <si>
    <t>E-29--正規雇用</t>
  </si>
  <si>
    <t>E-29--非正規雇用</t>
  </si>
  <si>
    <t>E-30--正規雇用</t>
  </si>
  <si>
    <t>E-30--非正規雇用</t>
  </si>
  <si>
    <t>E-31--正規雇用</t>
  </si>
  <si>
    <t>E-31--非正規雇用</t>
  </si>
  <si>
    <t>E-32--正規雇用</t>
  </si>
  <si>
    <t>E-32--非正規雇用</t>
  </si>
  <si>
    <t>C---正規雇用</t>
  </si>
  <si>
    <t>C---非正規雇用</t>
  </si>
  <si>
    <t>D---正規雇用</t>
  </si>
  <si>
    <t>D---非正規雇用</t>
  </si>
  <si>
    <t>E---正規雇用</t>
  </si>
  <si>
    <t>E---非正規雇用</t>
  </si>
  <si>
    <t>F---正規雇用</t>
  </si>
  <si>
    <t>F---非正規雇用</t>
  </si>
  <si>
    <t>G---正規雇用</t>
  </si>
  <si>
    <t>G---非正規雇用</t>
  </si>
  <si>
    <t>H---正規雇用</t>
  </si>
  <si>
    <t>H---非正規雇用</t>
  </si>
  <si>
    <t>I---正規雇用</t>
  </si>
  <si>
    <t>I---非正規雇用</t>
  </si>
  <si>
    <t>J---正規雇用</t>
  </si>
  <si>
    <t>J---非正規雇用</t>
  </si>
  <si>
    <t>K---正規雇用</t>
  </si>
  <si>
    <t>K---非正規雇用</t>
  </si>
  <si>
    <t>L---正規雇用</t>
  </si>
  <si>
    <t>L---非正規雇用</t>
  </si>
  <si>
    <t>M---正規雇用</t>
  </si>
  <si>
    <t>M---非正規雇用</t>
  </si>
  <si>
    <t>N---正規雇用</t>
  </si>
  <si>
    <t>N---非正規雇用</t>
  </si>
  <si>
    <t>O---正規雇用</t>
  </si>
  <si>
    <t>O---非正規雇用</t>
  </si>
  <si>
    <t>P---正規雇用</t>
  </si>
  <si>
    <t>P---非正規雇用</t>
  </si>
  <si>
    <t>Q---正規雇用</t>
  </si>
  <si>
    <t>Q---非正規雇用</t>
  </si>
  <si>
    <t>R---正規雇用</t>
  </si>
  <si>
    <t>R---非正規雇用</t>
  </si>
  <si>
    <t>--1,000人以上-</t>
  </si>
  <si>
    <t>--1,000人以上-正規雇用</t>
  </si>
  <si>
    <t>--1,000人以上-非正規雇用</t>
  </si>
  <si>
    <t>---正規雇用</t>
  </si>
  <si>
    <t>---非正規雇用</t>
  </si>
  <si>
    <t>E-20-1,000人以上-</t>
  </si>
  <si>
    <t>E-20-1,000人以上-正規雇用</t>
  </si>
  <si>
    <t>E-20-1,000人以上-非正規雇用</t>
  </si>
  <si>
    <t>C--1,000人以上-正規雇用</t>
  </si>
  <si>
    <t>(空白)</t>
    <rPh sb="1" eb="3">
      <t xml:space="preserve">クウハク </t>
    </rPh>
    <phoneticPr fontId="3"/>
  </si>
  <si>
    <t>　利用手順</t>
    <rPh sb="1" eb="3">
      <t>リヨウ</t>
    </rPh>
    <phoneticPr fontId="3"/>
  </si>
  <si>
    <t>※下記(１)〜(４)の項目を入力することで詳細な比較データの表示ができます。</t>
    <rPh sb="1" eb="3">
      <t xml:space="preserve">カキ </t>
    </rPh>
    <phoneticPr fontId="3"/>
  </si>
  <si>
    <t>貴社の『男女間賃金差異』の入力方法の選択</t>
    <rPh sb="0" eb="2">
      <t xml:space="preserve">キシャノ </t>
    </rPh>
    <rPh sb="4" eb="7">
      <t xml:space="preserve">ダンジョカン </t>
    </rPh>
    <rPh sb="7" eb="11">
      <t xml:space="preserve">チンギンサイ </t>
    </rPh>
    <rPh sb="13" eb="17">
      <t xml:space="preserve">ニュウリョクホウホウ </t>
    </rPh>
    <rPh sb="18" eb="20">
      <t xml:space="preserve">センタク </t>
    </rPh>
    <phoneticPr fontId="3"/>
  </si>
  <si>
    <t>※シート［分析結果］を確認してください。</t>
    <phoneticPr fontId="3"/>
  </si>
  <si>
    <t>このシートには情報を入力する必要はありません。</t>
    <rPh sb="13" eb="15">
      <t xml:space="preserve">ヒツヨウ </t>
    </rPh>
    <phoneticPr fontId="3"/>
  </si>
  <si>
    <t>このシートには情報を入力する必要はありません。</t>
    <phoneticPr fontId="3"/>
  </si>
  <si>
    <t>※全ての対象者の情報入力が完了している場合は、シート［分析結果］へ移動してください。</t>
    <rPh sb="1" eb="2">
      <t>スベテ</t>
    </rPh>
    <rPh sb="8" eb="10">
      <t>キュウヨ</t>
    </rPh>
    <phoneticPr fontId="3"/>
  </si>
  <si>
    <t>使用する</t>
    <rPh sb="0" eb="2">
      <t>シヨウ</t>
    </rPh>
    <phoneticPr fontId="3"/>
  </si>
  <si>
    <t>男女間賃金差異
が生じる要因</t>
    <rPh sb="0" eb="3">
      <t xml:space="preserve">ダンジョカン </t>
    </rPh>
    <rPh sb="3" eb="5">
      <t xml:space="preserve">チンギン </t>
    </rPh>
    <rPh sb="5" eb="7">
      <t xml:space="preserve">サイ </t>
    </rPh>
    <rPh sb="8" eb="9">
      <t xml:space="preserve">ショウジル </t>
    </rPh>
    <rPh sb="11" eb="12">
      <t xml:space="preserve">ヨウイン </t>
    </rPh>
    <phoneticPr fontId="3"/>
  </si>
  <si>
    <r>
      <t xml:space="preserve">支給年月
</t>
    </r>
    <r>
      <rPr>
        <b/>
        <sz val="7"/>
        <color theme="3"/>
        <rFont val="游ゴシック"/>
        <family val="3"/>
        <charset val="128"/>
        <scheme val="minor"/>
      </rPr>
      <t>※集計には
　影響しません。</t>
    </r>
    <rPh sb="0" eb="2">
      <t xml:space="preserve">シキュウ </t>
    </rPh>
    <rPh sb="6" eb="8">
      <t>シュウケイ</t>
    </rPh>
    <rPh sb="10" eb="13">
      <t>エイキョウ</t>
    </rPh>
    <phoneticPr fontId="3"/>
  </si>
  <si>
    <t>雇用形態</t>
    <phoneticPr fontId="3"/>
  </si>
  <si>
    <t>※桁区切りの「,」や「、」は使用できませんので、ご注意ください。</t>
    <rPh sb="14" eb="16">
      <t>シヨウ</t>
    </rPh>
    <phoneticPr fontId="3"/>
  </si>
  <si>
    <t>一般＋短時間</t>
    <rPh sb="0" eb="2">
      <t xml:space="preserve">イッパン </t>
    </rPh>
    <rPh sb="3" eb="6">
      <t xml:space="preserve">タンジカン </t>
    </rPh>
    <phoneticPr fontId="3"/>
  </si>
  <si>
    <t>検索キー</t>
    <rPh sb="0" eb="2">
      <t xml:space="preserve">ケンサクキー </t>
    </rPh>
    <phoneticPr fontId="3"/>
  </si>
  <si>
    <t>復元倍率</t>
  </si>
  <si>
    <r>
      <t xml:space="preserve">賃金
</t>
    </r>
    <r>
      <rPr>
        <sz val="8"/>
        <color theme="1"/>
        <rFont val="游ゴシック"/>
        <family val="3"/>
        <charset val="128"/>
      </rPr>
      <t>※給与+超過+賞与/12</t>
    </r>
    <rPh sb="0" eb="2">
      <t xml:space="preserve">チンギン </t>
    </rPh>
    <rPh sb="4" eb="6">
      <t xml:space="preserve">キュウヨ </t>
    </rPh>
    <rPh sb="7" eb="9">
      <t xml:space="preserve">チョウカ </t>
    </rPh>
    <rPh sb="10" eb="12">
      <t xml:space="preserve">ショウヨ </t>
    </rPh>
    <phoneticPr fontId="3"/>
  </si>
  <si>
    <t>超過実労働時間</t>
  </si>
  <si>
    <t>勤続
年数</t>
  </si>
  <si>
    <t>正規雇用-C---</t>
  </si>
  <si>
    <t>正規雇用-D---</t>
  </si>
  <si>
    <t>正規雇用-E---</t>
  </si>
  <si>
    <t>正規雇用-E-9--</t>
  </si>
  <si>
    <t>正規雇用-E-9-1,000人以上-</t>
  </si>
  <si>
    <t>正規雇用-E-9-1,000人以上-0年</t>
  </si>
  <si>
    <t>正規雇用-E-9-1,000人以上-30年以上</t>
  </si>
  <si>
    <t>正規雇用-E-10--</t>
  </si>
  <si>
    <t>正規雇用-E-10-1,000人以上-</t>
  </si>
  <si>
    <t>正規雇用-E-10-1,000人以上-0年</t>
  </si>
  <si>
    <t>正規雇用-E-10-1,000人以上-30年以上</t>
  </si>
  <si>
    <t>正規雇用-E-11--</t>
  </si>
  <si>
    <t>正規雇用-E-11-1,000人以上-</t>
  </si>
  <si>
    <t>正規雇用-E-11-1,000人以上-0年</t>
  </si>
  <si>
    <t>正規雇用-E-11-1,000人以上-30年以上</t>
  </si>
  <si>
    <t>正規雇用-E-12--</t>
  </si>
  <si>
    <t>正規雇用-E-12-1,000人以上-</t>
  </si>
  <si>
    <t>正規雇用-E-12-1,000人以上-0年</t>
  </si>
  <si>
    <t>正規雇用-E-12-1,000人以上-30年以上</t>
  </si>
  <si>
    <t>正規雇用-E-13--</t>
  </si>
  <si>
    <t>正規雇用-E-13-1,000人以上-</t>
  </si>
  <si>
    <t>正規雇用-E-13-1,000人以上-0年</t>
  </si>
  <si>
    <t>正規雇用-E-13-1,000人以上-30年以上</t>
  </si>
  <si>
    <t>正規雇用-E-14--</t>
  </si>
  <si>
    <t>正規雇用-E-14-1,000人以上-</t>
  </si>
  <si>
    <t>正規雇用-E-14-1,000人以上-0年</t>
  </si>
  <si>
    <t>正規雇用-E-14-1,000人以上-30年以上</t>
  </si>
  <si>
    <t>正規雇用-E-15--</t>
  </si>
  <si>
    <t>正規雇用-E-15-1,000人以上-</t>
  </si>
  <si>
    <t>正規雇用-E-15-1,000人以上-0年</t>
  </si>
  <si>
    <t>正規雇用-E-15-1,000人以上-30年以上</t>
  </si>
  <si>
    <t>正規雇用-E-16--</t>
  </si>
  <si>
    <t>正規雇用-E-16-1,000人以上-</t>
  </si>
  <si>
    <t>正規雇用-E-16-1,000人以上-0年</t>
  </si>
  <si>
    <t>正規雇用-E-16-1,000人以上-30年以上</t>
  </si>
  <si>
    <t>正規雇用-E-17--</t>
  </si>
  <si>
    <t>正規雇用-E-17-1,000人以上-</t>
  </si>
  <si>
    <t>正規雇用-E-17-1,000人以上-0年</t>
  </si>
  <si>
    <t>正規雇用-E-17-1,000人以上-30年以上</t>
  </si>
  <si>
    <t>正規雇用-E-18--</t>
  </si>
  <si>
    <t>正規雇用-E-18-1,000人以上-</t>
  </si>
  <si>
    <t>正規雇用-E-18-1,000人以上-0年</t>
  </si>
  <si>
    <t>正規雇用-E-18-1,000人以上-30年以上</t>
  </si>
  <si>
    <t>正規雇用-E-19--</t>
  </si>
  <si>
    <t>正規雇用-E-19-1,000人以上-</t>
  </si>
  <si>
    <t>正規雇用-E-19-1,000人以上-0年</t>
  </si>
  <si>
    <t>正規雇用-E-19-1,000人以上-30年以上</t>
  </si>
  <si>
    <t>正規雇用-E-20--</t>
  </si>
  <si>
    <t>正規雇用-E-20-1,000人以上-</t>
  </si>
  <si>
    <t>正規雇用-E-20-1,000人以上-30年以上</t>
  </si>
  <si>
    <t>正規雇用-E-21--</t>
  </si>
  <si>
    <t>正規雇用-E-21-1,000人以上-</t>
  </si>
  <si>
    <t>正規雇用-E-21-1,000人以上-0年</t>
  </si>
  <si>
    <t>正規雇用-E-21-1,000人以上-30年以上</t>
  </si>
  <si>
    <t>正規雇用-E-22--</t>
  </si>
  <si>
    <t>正規雇用-E-22-1,000人以上-</t>
  </si>
  <si>
    <t>正規雇用-E-22-1,000人以上-0年</t>
  </si>
  <si>
    <t>正規雇用-E-22-1,000人以上-30年以上</t>
  </si>
  <si>
    <t>正規雇用-E-23--</t>
  </si>
  <si>
    <t>正規雇用-E-23-1,000人以上-</t>
  </si>
  <si>
    <t>正規雇用-E-23-1,000人以上-0年</t>
  </si>
  <si>
    <t>正規雇用-E-23-1,000人以上-30年以上</t>
  </si>
  <si>
    <t>正規雇用-E-24--</t>
  </si>
  <si>
    <t>正規雇用-E-24-1,000人以上-</t>
  </si>
  <si>
    <t>正規雇用-E-24-1,000人以上-0年</t>
  </si>
  <si>
    <t>正規雇用-E-24-1,000人以上-30年以上</t>
  </si>
  <si>
    <t>正規雇用-E-25--</t>
  </si>
  <si>
    <t>正規雇用-E-25-1,000人以上-</t>
  </si>
  <si>
    <t>正規雇用-E-25-1,000人以上-0年</t>
  </si>
  <si>
    <t>正規雇用-E-25-1,000人以上-30年以上</t>
  </si>
  <si>
    <t>正規雇用-E-26--</t>
  </si>
  <si>
    <t>正規雇用-E-26-1,000人以上-</t>
  </si>
  <si>
    <t>正規雇用-E-26-1,000人以上-0年</t>
  </si>
  <si>
    <t>正規雇用-E-26-1,000人以上-30年以上</t>
  </si>
  <si>
    <t>正規雇用-E-27--</t>
  </si>
  <si>
    <t>正規雇用-E-27-1,000人以上-</t>
  </si>
  <si>
    <t>正規雇用-E-27-1,000人以上-0年</t>
  </si>
  <si>
    <t>正規雇用-E-27-1,000人以上-30年以上</t>
  </si>
  <si>
    <t>正規雇用-E-28--</t>
  </si>
  <si>
    <t>正規雇用-E-28-1,000人以上-</t>
  </si>
  <si>
    <t>正規雇用-E-28-1,000人以上-0年</t>
  </si>
  <si>
    <t>正規雇用-E-28-1,000人以上-30年以上</t>
  </si>
  <si>
    <t>正規雇用-E-29--</t>
  </si>
  <si>
    <t>正規雇用-E-29-1,000人以上-</t>
  </si>
  <si>
    <t>正規雇用-E-29-1,000人以上-0年</t>
  </si>
  <si>
    <t>正規雇用-E-29-1,000人以上-30年以上</t>
  </si>
  <si>
    <t>正規雇用-E-30--</t>
  </si>
  <si>
    <t>正規雇用-E-30-1,000人以上-</t>
  </si>
  <si>
    <t>正規雇用-E-30-1,000人以上-0年</t>
  </si>
  <si>
    <t>正規雇用-E-30-1,000人以上-30年以上</t>
  </si>
  <si>
    <t>正規雇用-E-31--</t>
  </si>
  <si>
    <t>正規雇用-E-31-1,000人以上-</t>
  </si>
  <si>
    <t>正規雇用-E-31-1,000人以上-0年</t>
  </si>
  <si>
    <t>正規雇用-E-31-1,000人以上-30年以上</t>
  </si>
  <si>
    <t>正規雇用-E-32--</t>
  </si>
  <si>
    <t>正規雇用-E-32-1,000人以上-</t>
  </si>
  <si>
    <t>正規雇用-E-32-1,000人以上-0年</t>
  </si>
  <si>
    <t>正規雇用-E-32-1,000人以上-30年以上</t>
  </si>
  <si>
    <t>正規雇用-F---</t>
  </si>
  <si>
    <t>正規雇用-G---</t>
  </si>
  <si>
    <t>正規雇用-H---</t>
  </si>
  <si>
    <t>正規雇用-I---</t>
  </si>
  <si>
    <t>正規雇用-J---</t>
  </si>
  <si>
    <t>正規雇用-K---</t>
  </si>
  <si>
    <t>正規雇用-L---</t>
  </si>
  <si>
    <t>正規雇用-M---</t>
  </si>
  <si>
    <t>正規雇用-N---</t>
  </si>
  <si>
    <t>正規雇用-O---</t>
  </si>
  <si>
    <t>正規雇用-P---</t>
  </si>
  <si>
    <t>正規雇用-Q---</t>
  </si>
  <si>
    <t>正規雇用-R---</t>
  </si>
  <si>
    <t>正規雇用-C--1,000人以上-</t>
  </si>
  <si>
    <t>正規雇用-C--1,000人以上-0年</t>
  </si>
  <si>
    <t>正規雇用-C--1,000人以上-30年以上</t>
  </si>
  <si>
    <t>正規雇用-D--1,000人以上-</t>
  </si>
  <si>
    <t>正規雇用-D--1,000人以上-0年</t>
  </si>
  <si>
    <t>正規雇用-D--1,000人以上-30年以上</t>
  </si>
  <si>
    <t>正規雇用-E--1,000人以上-</t>
  </si>
  <si>
    <t>正規雇用-E--1,000人以上-0年</t>
  </si>
  <si>
    <t>正規雇用-E--1,000人以上-30年以上</t>
  </si>
  <si>
    <t>正規雇用-F--1,000人以上-</t>
  </si>
  <si>
    <t>正規雇用-F--1,000人以上-0年</t>
  </si>
  <si>
    <t>正規雇用-F--1,000人以上-30年以上</t>
  </si>
  <si>
    <t>正規雇用-G--1,000人以上-</t>
  </si>
  <si>
    <t>正規雇用-G--1,000人以上-0年</t>
  </si>
  <si>
    <t>正規雇用-G--1,000人以上-30年以上</t>
  </si>
  <si>
    <t>正規雇用-H--1,000人以上-</t>
  </si>
  <si>
    <t>正規雇用-H--1,000人以上-0年</t>
  </si>
  <si>
    <t>正規雇用-H--1,000人以上-30年以上</t>
  </si>
  <si>
    <t>正規雇用-I--1,000人以上-</t>
  </si>
  <si>
    <t>正規雇用-I--1,000人以上-0年</t>
  </si>
  <si>
    <t>正規雇用-I--1,000人以上-30年以上</t>
  </si>
  <si>
    <t>正規雇用-J--1,000人以上-</t>
  </si>
  <si>
    <t>正規雇用-J--1,000人以上-0年</t>
  </si>
  <si>
    <t>正規雇用-J--1,000人以上-30年以上</t>
  </si>
  <si>
    <t>正規雇用-K--1,000人以上-</t>
  </si>
  <si>
    <t>正規雇用-K--1,000人以上-0年</t>
  </si>
  <si>
    <t>正規雇用-K--1,000人以上-30年以上</t>
  </si>
  <si>
    <t>正規雇用-L--1,000人以上-</t>
  </si>
  <si>
    <t>正規雇用-L--1,000人以上-0年</t>
  </si>
  <si>
    <t>正規雇用-L--1,000人以上-30年以上</t>
  </si>
  <si>
    <t>正規雇用-M--1,000人以上-</t>
  </si>
  <si>
    <t>正規雇用-M--1,000人以上-0年</t>
  </si>
  <si>
    <t>正規雇用-M--1,000人以上-30年以上</t>
  </si>
  <si>
    <t>正規雇用-N--1,000人以上-</t>
  </si>
  <si>
    <t>正規雇用-N--1,000人以上-0年</t>
  </si>
  <si>
    <t>正規雇用-N--1,000人以上-30年以上</t>
  </si>
  <si>
    <t>正規雇用-O--1,000人以上-</t>
  </si>
  <si>
    <t>正規雇用-O--1,000人以上-0年</t>
  </si>
  <si>
    <t>正規雇用-O--1,000人以上-30年以上</t>
  </si>
  <si>
    <t>正規雇用-P--1,000人以上-</t>
  </si>
  <si>
    <t>正規雇用-P--1,000人以上-0年</t>
  </si>
  <si>
    <t>正規雇用-P--1,000人以上-30年以上</t>
  </si>
  <si>
    <t>正規雇用-Q--1,000人以上-</t>
  </si>
  <si>
    <t>正規雇用-Q--1,000人以上-0年</t>
  </si>
  <si>
    <t>正規雇用-Q--1,000人以上-30年以上</t>
  </si>
  <si>
    <t>正規雇用-R--1,000人以上-</t>
  </si>
  <si>
    <t>正規雇用-R--1,000人以上-0年</t>
  </si>
  <si>
    <t>正規雇用-R--1,000人以上-30年以上</t>
  </si>
  <si>
    <t>正規雇用-E-9--0年</t>
  </si>
  <si>
    <t>正規雇用-E-9--30年以上</t>
  </si>
  <si>
    <t>正規雇用-E-10--0年</t>
  </si>
  <si>
    <t>正規雇用-E-10--30年以上</t>
  </si>
  <si>
    <t>正規雇用-E-11--0年</t>
  </si>
  <si>
    <t>正規雇用-E-11--30年以上</t>
  </si>
  <si>
    <t>正規雇用-E-12--0年</t>
  </si>
  <si>
    <t>正規雇用-E-12--30年以上</t>
  </si>
  <si>
    <t>正規雇用-E-13--0年</t>
  </si>
  <si>
    <t>正規雇用-E-13--30年以上</t>
  </si>
  <si>
    <t>正規雇用-E-14--0年</t>
  </si>
  <si>
    <t>正規雇用-E-14--30年以上</t>
  </si>
  <si>
    <t>正規雇用-E-15--0年</t>
  </si>
  <si>
    <t>正規雇用-E-15--30年以上</t>
  </si>
  <si>
    <t>正規雇用-E-16--0年</t>
  </si>
  <si>
    <t>正規雇用-E-16--30年以上</t>
  </si>
  <si>
    <t>正規雇用-E-17--0年</t>
  </si>
  <si>
    <t>正規雇用-E-17--30年以上</t>
  </si>
  <si>
    <t>正規雇用-E-18--0年</t>
  </si>
  <si>
    <t>正規雇用-E-18--30年以上</t>
  </si>
  <si>
    <t>正規雇用-E-19--0年</t>
  </si>
  <si>
    <t>正規雇用-E-19--30年以上</t>
  </si>
  <si>
    <t>正規雇用-E-20--0年</t>
  </si>
  <si>
    <t>正規雇用-E-20--30年以上</t>
  </si>
  <si>
    <t>正規雇用-E-21--0年</t>
  </si>
  <si>
    <t>正規雇用-E-21--30年以上</t>
  </si>
  <si>
    <t>正規雇用-E-22--0年</t>
  </si>
  <si>
    <t>正規雇用-E-22--30年以上</t>
  </si>
  <si>
    <t>正規雇用-E-23--0年</t>
  </si>
  <si>
    <t>正規雇用-E-23--30年以上</t>
  </si>
  <si>
    <t>正規雇用-E-24--0年</t>
  </si>
  <si>
    <t>正規雇用-E-24--30年以上</t>
  </si>
  <si>
    <t>正規雇用-E-25--0年</t>
  </si>
  <si>
    <t>正規雇用-E-25--30年以上</t>
  </si>
  <si>
    <t>正規雇用-E-26--0年</t>
  </si>
  <si>
    <t>正規雇用-E-26--30年以上</t>
  </si>
  <si>
    <t>正規雇用-E-27--0年</t>
  </si>
  <si>
    <t>正規雇用-E-27--30年以上</t>
  </si>
  <si>
    <t>正規雇用-E-28--0年</t>
  </si>
  <si>
    <t>正規雇用-E-28--30年以上</t>
  </si>
  <si>
    <t>正規雇用-E-29--0年</t>
  </si>
  <si>
    <t>正規雇用-E-29--30年以上</t>
  </si>
  <si>
    <t>正規雇用-E-30--0年</t>
  </si>
  <si>
    <t>正規雇用-E-30--30年以上</t>
  </si>
  <si>
    <t>正規雇用-E-31--0年</t>
  </si>
  <si>
    <t>正規雇用-E-31--30年以上</t>
  </si>
  <si>
    <t>正規雇用-E-32--0年</t>
  </si>
  <si>
    <t>正規雇用-E-32--30年以上</t>
  </si>
  <si>
    <t>正規雇用-C---0年</t>
  </si>
  <si>
    <t>正規雇用-C---30年以上</t>
  </si>
  <si>
    <t>正規雇用-D---0年</t>
  </si>
  <si>
    <t>正規雇用-D---30年以上</t>
  </si>
  <si>
    <t>正規雇用-E---0年</t>
  </si>
  <si>
    <t>正規雇用-E---30年以上</t>
  </si>
  <si>
    <t>正規雇用-F---0年</t>
  </si>
  <si>
    <t>正規雇用-F---30年以上</t>
  </si>
  <si>
    <t>正規雇用-G---0年</t>
  </si>
  <si>
    <t>正規雇用-G---30年以上</t>
  </si>
  <si>
    <t>正規雇用-H---0年</t>
  </si>
  <si>
    <t>正規雇用-H---30年以上</t>
  </si>
  <si>
    <t>正規雇用-I---0年</t>
  </si>
  <si>
    <t>正規雇用-I---30年以上</t>
  </si>
  <si>
    <t>正規雇用-J---0年</t>
  </si>
  <si>
    <t>正規雇用-J---30年以上</t>
  </si>
  <si>
    <t>正規雇用-K---0年</t>
  </si>
  <si>
    <t>正規雇用-K---30年以上</t>
  </si>
  <si>
    <t>正規雇用-L---0年</t>
  </si>
  <si>
    <t>正規雇用-L---30年以上</t>
  </si>
  <si>
    <t>正規雇用-M---0年</t>
  </si>
  <si>
    <t>正規雇用-M---30年以上</t>
  </si>
  <si>
    <t>正規雇用-N---0年</t>
  </si>
  <si>
    <t>正規雇用-N---30年以上</t>
  </si>
  <si>
    <t>正規雇用-O---0年</t>
  </si>
  <si>
    <t>正規雇用-O---30年以上</t>
  </si>
  <si>
    <t>正規雇用-P---0年</t>
  </si>
  <si>
    <t>正規雇用-P---30年以上</t>
  </si>
  <si>
    <t>正規雇用-Q---0年</t>
  </si>
  <si>
    <t>正規雇用-Q---30年以上</t>
  </si>
  <si>
    <t>正規雇用-R---0年</t>
  </si>
  <si>
    <t>正規雇用-R---30年以上</t>
  </si>
  <si>
    <t>正規雇用---1,000人以上-</t>
  </si>
  <si>
    <t>正規雇用---1,000人以上-0年</t>
  </si>
  <si>
    <t>正規雇用---1,000人以上-30年以上</t>
  </si>
  <si>
    <t>正規雇用----0年</t>
  </si>
  <si>
    <t>正規雇用----30年以上</t>
  </si>
  <si>
    <t>正規雇用-E-9-1,000人以上-101</t>
  </si>
  <si>
    <t>正規雇用-E-9-1,000人以上-102</t>
  </si>
  <si>
    <t>正規雇用-E-9-1,000人以上-103</t>
  </si>
  <si>
    <t>正規雇用-E-9-1,000人以上-104</t>
  </si>
  <si>
    <t>正規雇用-E-9-1,000人以上-105</t>
  </si>
  <si>
    <t>正規雇用-E-9-1,000人以上-(空白)</t>
  </si>
  <si>
    <t>正規雇用-E-10-1,000人以上-101</t>
  </si>
  <si>
    <t>正規雇用-E-10-1,000人以上-102</t>
  </si>
  <si>
    <t>正規雇用-E-10-1,000人以上-103</t>
  </si>
  <si>
    <t>正規雇用-E-10-1,000人以上-104</t>
  </si>
  <si>
    <t>正規雇用-E-10-1,000人以上-105</t>
  </si>
  <si>
    <t>正規雇用-E-10-1,000人以上-(空白)</t>
  </si>
  <si>
    <t>正規雇用-E-11-1,000人以上-101</t>
  </si>
  <si>
    <t>正規雇用-E-11-1,000人以上-102</t>
  </si>
  <si>
    <t>正規雇用-E-11-1,000人以上-103</t>
  </si>
  <si>
    <t>正規雇用-E-11-1,000人以上-104</t>
  </si>
  <si>
    <t>正規雇用-E-11-1,000人以上-105</t>
  </si>
  <si>
    <t>正規雇用-E-11-1,000人以上-(空白)</t>
  </si>
  <si>
    <t>正規雇用-E-12-1,000人以上-101</t>
  </si>
  <si>
    <t>正規雇用-E-12-1,000人以上-102</t>
  </si>
  <si>
    <t>正規雇用-E-12-1,000人以上-103</t>
  </si>
  <si>
    <t>正規雇用-E-12-1,000人以上-104</t>
  </si>
  <si>
    <t>正規雇用-E-12-1,000人以上-105</t>
  </si>
  <si>
    <t>正規雇用-E-12-1,000人以上-(空白)</t>
  </si>
  <si>
    <t>正規雇用-E-13-1,000人以上-101</t>
  </si>
  <si>
    <t>正規雇用-E-13-1,000人以上-102</t>
  </si>
  <si>
    <t>正規雇用-E-13-1,000人以上-103</t>
  </si>
  <si>
    <t>正規雇用-E-13-1,000人以上-104</t>
  </si>
  <si>
    <t>正規雇用-E-13-1,000人以上-105</t>
  </si>
  <si>
    <t>正規雇用-E-13-1,000人以上-(空白)</t>
  </si>
  <si>
    <t>正規雇用-E-14-1,000人以上-101</t>
  </si>
  <si>
    <t>正規雇用-E-14-1,000人以上-102</t>
  </si>
  <si>
    <t>正規雇用-E-14-1,000人以上-103</t>
  </si>
  <si>
    <t>正規雇用-E-14-1,000人以上-104</t>
  </si>
  <si>
    <t>正規雇用-E-14-1,000人以上-105</t>
  </si>
  <si>
    <t>正規雇用-E-14-1,000人以上-(空白)</t>
  </si>
  <si>
    <t>正規雇用-E-15-1,000人以上-101</t>
  </si>
  <si>
    <t>正規雇用-E-15-1,000人以上-102</t>
  </si>
  <si>
    <t>正規雇用-E-15-1,000人以上-103</t>
  </si>
  <si>
    <t>正規雇用-E-15-1,000人以上-104</t>
  </si>
  <si>
    <t>正規雇用-E-15-1,000人以上-105</t>
  </si>
  <si>
    <t>正規雇用-E-15-1,000人以上-(空白)</t>
  </si>
  <si>
    <t>正規雇用-E-16-1,000人以上-101</t>
  </si>
  <si>
    <t>正規雇用-E-16-1,000人以上-102</t>
  </si>
  <si>
    <t>正規雇用-E-16-1,000人以上-103</t>
  </si>
  <si>
    <t>正規雇用-E-16-1,000人以上-104</t>
  </si>
  <si>
    <t>正規雇用-E-16-1,000人以上-105</t>
  </si>
  <si>
    <t>正規雇用-E-16-1,000人以上-(空白)</t>
  </si>
  <si>
    <t>正規雇用-E-17-1,000人以上-101</t>
  </si>
  <si>
    <t>正規雇用-E-17-1,000人以上-102</t>
  </si>
  <si>
    <t>正規雇用-E-17-1,000人以上-103</t>
  </si>
  <si>
    <t>正規雇用-E-17-1,000人以上-104</t>
  </si>
  <si>
    <t>正規雇用-E-17-1,000人以上-105</t>
  </si>
  <si>
    <t>正規雇用-E-17-1,000人以上-(空白)</t>
  </si>
  <si>
    <t>正規雇用-E-18-1,000人以上-101</t>
  </si>
  <si>
    <t>正規雇用-E-18-1,000人以上-102</t>
  </si>
  <si>
    <t>正規雇用-E-18-1,000人以上-103</t>
  </si>
  <si>
    <t>正規雇用-E-18-1,000人以上-104</t>
  </si>
  <si>
    <t>正規雇用-E-18-1,000人以上-105</t>
  </si>
  <si>
    <t>正規雇用-E-18-1,000人以上-(空白)</t>
  </si>
  <si>
    <t>正規雇用-E-19-1,000人以上-101</t>
  </si>
  <si>
    <t>正規雇用-E-19-1,000人以上-102</t>
  </si>
  <si>
    <t>正規雇用-E-19-1,000人以上-103</t>
  </si>
  <si>
    <t>正規雇用-E-19-1,000人以上-104</t>
  </si>
  <si>
    <t>正規雇用-E-19-1,000人以上-105</t>
  </si>
  <si>
    <t>正規雇用-E-19-1,000人以上-(空白)</t>
  </si>
  <si>
    <t>正規雇用-E-20-1,000人以上-102</t>
  </si>
  <si>
    <t>正規雇用-E-20-1,000人以上-103</t>
  </si>
  <si>
    <t>正規雇用-E-20-1,000人以上-(空白)</t>
  </si>
  <si>
    <t>正規雇用-E-21-1,000人以上-101</t>
  </si>
  <si>
    <t>正規雇用-E-21-1,000人以上-102</t>
  </si>
  <si>
    <t>正規雇用-E-21-1,000人以上-103</t>
  </si>
  <si>
    <t>正規雇用-E-21-1,000人以上-104</t>
  </si>
  <si>
    <t>正規雇用-E-21-1,000人以上-105</t>
  </si>
  <si>
    <t>正規雇用-E-21-1,000人以上-(空白)</t>
  </si>
  <si>
    <t>正規雇用-E-22-1,000人以上-101</t>
  </si>
  <si>
    <t>正規雇用-E-22-1,000人以上-102</t>
  </si>
  <si>
    <t>正規雇用-E-22-1,000人以上-103</t>
  </si>
  <si>
    <t>正規雇用-E-22-1,000人以上-104</t>
  </si>
  <si>
    <t>正規雇用-E-22-1,000人以上-105</t>
  </si>
  <si>
    <t>正規雇用-E-22-1,000人以上-(空白)</t>
  </si>
  <si>
    <t>正規雇用-E-23-1,000人以上-101</t>
  </si>
  <si>
    <t>正規雇用-E-23-1,000人以上-102</t>
  </si>
  <si>
    <t>正規雇用-E-23-1,000人以上-103</t>
  </si>
  <si>
    <t>正規雇用-E-23-1,000人以上-104</t>
  </si>
  <si>
    <t>正規雇用-E-23-1,000人以上-105</t>
  </si>
  <si>
    <t>正規雇用-E-23-1,000人以上-(空白)</t>
  </si>
  <si>
    <t>正規雇用-E-24-1,000人以上-101</t>
  </si>
  <si>
    <t>正規雇用-E-24-1,000人以上-102</t>
  </si>
  <si>
    <t>正規雇用-E-24-1,000人以上-103</t>
  </si>
  <si>
    <t>正規雇用-E-24-1,000人以上-104</t>
  </si>
  <si>
    <t>正規雇用-E-24-1,000人以上-105</t>
  </si>
  <si>
    <t>正規雇用-E-24-1,000人以上-(空白)</t>
  </si>
  <si>
    <t>正規雇用-E-25-1,000人以上-101</t>
  </si>
  <si>
    <t>正規雇用-E-25-1,000人以上-102</t>
  </si>
  <si>
    <t>正規雇用-E-25-1,000人以上-103</t>
  </si>
  <si>
    <t>正規雇用-E-25-1,000人以上-104</t>
  </si>
  <si>
    <t>正規雇用-E-25-1,000人以上-105</t>
  </si>
  <si>
    <t>正規雇用-E-25-1,000人以上-(空白)</t>
  </si>
  <si>
    <t>正規雇用-E-26-1,000人以上-101</t>
  </si>
  <si>
    <t>正規雇用-E-26-1,000人以上-102</t>
  </si>
  <si>
    <t>正規雇用-E-26-1,000人以上-103</t>
  </si>
  <si>
    <t>正規雇用-E-26-1,000人以上-104</t>
  </si>
  <si>
    <t>正規雇用-E-26-1,000人以上-105</t>
  </si>
  <si>
    <t>正規雇用-E-26-1,000人以上-(空白)</t>
  </si>
  <si>
    <t>正規雇用-E-27-1,000人以上-101</t>
  </si>
  <si>
    <t>正規雇用-E-27-1,000人以上-102</t>
  </si>
  <si>
    <t>正規雇用-E-27-1,000人以上-103</t>
  </si>
  <si>
    <t>正規雇用-E-27-1,000人以上-104</t>
  </si>
  <si>
    <t>正規雇用-E-27-1,000人以上-105</t>
  </si>
  <si>
    <t>正規雇用-E-27-1,000人以上-(空白)</t>
  </si>
  <si>
    <t>正規雇用-E-28-1,000人以上-101</t>
  </si>
  <si>
    <t>正規雇用-E-28-1,000人以上-102</t>
  </si>
  <si>
    <t>正規雇用-E-28-1,000人以上-103</t>
  </si>
  <si>
    <t>正規雇用-E-28-1,000人以上-104</t>
  </si>
  <si>
    <t>正規雇用-E-28-1,000人以上-105</t>
  </si>
  <si>
    <t>正規雇用-E-28-1,000人以上-(空白)</t>
  </si>
  <si>
    <t>正規雇用-E-29-1,000人以上-101</t>
  </si>
  <si>
    <t>正規雇用-E-29-1,000人以上-102</t>
  </si>
  <si>
    <t>正規雇用-E-29-1,000人以上-103</t>
  </si>
  <si>
    <t>正規雇用-E-29-1,000人以上-104</t>
  </si>
  <si>
    <t>正規雇用-E-29-1,000人以上-105</t>
  </si>
  <si>
    <t>正規雇用-E-29-1,000人以上-(空白)</t>
  </si>
  <si>
    <t>正規雇用-E-30-1,000人以上-101</t>
  </si>
  <si>
    <t>正規雇用-E-30-1,000人以上-102</t>
  </si>
  <si>
    <t>正規雇用-E-30-1,000人以上-103</t>
  </si>
  <si>
    <t>正規雇用-E-30-1,000人以上-104</t>
  </si>
  <si>
    <t>正規雇用-E-30-1,000人以上-105</t>
  </si>
  <si>
    <t>正規雇用-E-30-1,000人以上-(空白)</t>
  </si>
  <si>
    <t>正規雇用-E-31-1,000人以上-101</t>
  </si>
  <si>
    <t>正規雇用-E-31-1,000人以上-102</t>
  </si>
  <si>
    <t>正規雇用-E-31-1,000人以上-103</t>
  </si>
  <si>
    <t>正規雇用-E-31-1,000人以上-104</t>
  </si>
  <si>
    <t>正規雇用-E-31-1,000人以上-105</t>
  </si>
  <si>
    <t>正規雇用-E-31-1,000人以上-(空白)</t>
  </si>
  <si>
    <t>正規雇用-E-32-1,000人以上-101</t>
  </si>
  <si>
    <t>正規雇用-E-32-1,000人以上-102</t>
  </si>
  <si>
    <t>正規雇用-E-32-1,000人以上-103</t>
  </si>
  <si>
    <t>正規雇用-E-32-1,000人以上-104</t>
  </si>
  <si>
    <t>正規雇用-E-32-1,000人以上-105</t>
  </si>
  <si>
    <t>正規雇用-E-32-1,000人以上-(空白)</t>
  </si>
  <si>
    <t>正規雇用-C--1,000人以上-101</t>
  </si>
  <si>
    <t>正規雇用-C--1,000人以上-102</t>
  </si>
  <si>
    <t>正規雇用-C--1,000人以上-103</t>
  </si>
  <si>
    <t>正規雇用-C--1,000人以上-104</t>
  </si>
  <si>
    <t>正規雇用-C--1,000人以上-105</t>
  </si>
  <si>
    <t>正規雇用-C--1,000人以上-(空白)</t>
  </si>
  <si>
    <t>正規雇用-D--1,000人以上-101</t>
  </si>
  <si>
    <t>正規雇用-D--1,000人以上-102</t>
  </si>
  <si>
    <t>正規雇用-D--1,000人以上-103</t>
  </si>
  <si>
    <t>正規雇用-D--1,000人以上-104</t>
  </si>
  <si>
    <t>正規雇用-D--1,000人以上-105</t>
  </si>
  <si>
    <t>正規雇用-D--1,000人以上-(空白)</t>
  </si>
  <si>
    <t>正規雇用-E--1,000人以上-101</t>
  </si>
  <si>
    <t>正規雇用-E--1,000人以上-102</t>
  </si>
  <si>
    <t>正規雇用-E--1,000人以上-103</t>
  </si>
  <si>
    <t>正規雇用-E--1,000人以上-104</t>
  </si>
  <si>
    <t>正規雇用-E--1,000人以上-105</t>
  </si>
  <si>
    <t>正規雇用-E--1,000人以上-(空白)</t>
  </si>
  <si>
    <t>正規雇用-F--1,000人以上-101</t>
  </si>
  <si>
    <t>正規雇用-F--1,000人以上-102</t>
  </si>
  <si>
    <t>正規雇用-F--1,000人以上-103</t>
  </si>
  <si>
    <t>正規雇用-F--1,000人以上-105</t>
  </si>
  <si>
    <t>正規雇用-F--1,000人以上-(空白)</t>
  </si>
  <si>
    <t>正規雇用-G--1,000人以上-101</t>
  </si>
  <si>
    <t>正規雇用-G--1,000人以上-102</t>
  </si>
  <si>
    <t>正規雇用-G--1,000人以上-103</t>
  </si>
  <si>
    <t>正規雇用-G--1,000人以上-105</t>
  </si>
  <si>
    <t>正規雇用-G--1,000人以上-(空白)</t>
  </si>
  <si>
    <t>正規雇用-H--1,000人以上-101</t>
  </si>
  <si>
    <t>正規雇用-H--1,000人以上-102</t>
  </si>
  <si>
    <t>正規雇用-H--1,000人以上-103</t>
  </si>
  <si>
    <t>正規雇用-H--1,000人以上-105</t>
  </si>
  <si>
    <t>正規雇用-H--1,000人以上-(空白)</t>
  </si>
  <si>
    <t>正規雇用-I--1,000人以上-101</t>
  </si>
  <si>
    <t>正規雇用-I--1,000人以上-102</t>
  </si>
  <si>
    <t>正規雇用-I--1,000人以上-103</t>
  </si>
  <si>
    <t>正規雇用-I--1,000人以上-105</t>
  </si>
  <si>
    <t>正規雇用-I--1,000人以上-(空白)</t>
  </si>
  <si>
    <t>正規雇用-J--1,000人以上-101</t>
  </si>
  <si>
    <t>正規雇用-J--1,000人以上-102</t>
  </si>
  <si>
    <t>正規雇用-J--1,000人以上-103</t>
  </si>
  <si>
    <t>正規雇用-J--1,000人以上-105</t>
  </si>
  <si>
    <t>正規雇用-J--1,000人以上-(空白)</t>
  </si>
  <si>
    <t>正規雇用-K--1,000人以上-101</t>
  </si>
  <si>
    <t>正規雇用-K--1,000人以上-102</t>
  </si>
  <si>
    <t>正規雇用-K--1,000人以上-103</t>
  </si>
  <si>
    <t>正規雇用-K--1,000人以上-105</t>
  </si>
  <si>
    <t>正規雇用-K--1,000人以上-(空白)</t>
  </si>
  <si>
    <t>正規雇用-L--1,000人以上-101</t>
  </si>
  <si>
    <t>正規雇用-L--1,000人以上-102</t>
  </si>
  <si>
    <t>正規雇用-L--1,000人以上-103</t>
  </si>
  <si>
    <t>正規雇用-L--1,000人以上-105</t>
  </si>
  <si>
    <t>正規雇用-L--1,000人以上-(空白)</t>
  </si>
  <si>
    <t>正規雇用-M--1,000人以上-101</t>
  </si>
  <si>
    <t>正規雇用-M--1,000人以上-102</t>
  </si>
  <si>
    <t>正規雇用-M--1,000人以上-103</t>
  </si>
  <si>
    <t>正規雇用-M--1,000人以上-105</t>
  </si>
  <si>
    <t>正規雇用-M--1,000人以上-(空白)</t>
  </si>
  <si>
    <t>正規雇用-N--1,000人以上-101</t>
  </si>
  <si>
    <t>正規雇用-N--1,000人以上-102</t>
  </si>
  <si>
    <t>正規雇用-N--1,000人以上-103</t>
  </si>
  <si>
    <t>正規雇用-N--1,000人以上-105</t>
  </si>
  <si>
    <t>正規雇用-N--1,000人以上-(空白)</t>
  </si>
  <si>
    <t>正規雇用-O--1,000人以上-101</t>
  </si>
  <si>
    <t>正規雇用-O--1,000人以上-102</t>
  </si>
  <si>
    <t>正規雇用-O--1,000人以上-103</t>
  </si>
  <si>
    <t>正規雇用-O--1,000人以上-105</t>
  </si>
  <si>
    <t>正規雇用-O--1,000人以上-(空白)</t>
  </si>
  <si>
    <t>正規雇用-P--1,000人以上-101</t>
  </si>
  <si>
    <t>正規雇用-P--1,000人以上-102</t>
  </si>
  <si>
    <t>正規雇用-P--1,000人以上-103</t>
  </si>
  <si>
    <t>正規雇用-P--1,000人以上-105</t>
  </si>
  <si>
    <t>正規雇用-P--1,000人以上-(空白)</t>
  </si>
  <si>
    <t>正規雇用-Q--1,000人以上-101</t>
  </si>
  <si>
    <t>正規雇用-Q--1,000人以上-102</t>
  </si>
  <si>
    <t>正規雇用-Q--1,000人以上-103</t>
  </si>
  <si>
    <t>正規雇用-Q--1,000人以上-105</t>
  </si>
  <si>
    <t>正規雇用-Q--1,000人以上-(空白)</t>
  </si>
  <si>
    <t>正規雇用-R--1,000人以上-101</t>
  </si>
  <si>
    <t>正規雇用-R--1,000人以上-102</t>
  </si>
  <si>
    <t>正規雇用-R--1,000人以上-103</t>
  </si>
  <si>
    <t>正規雇用-R--1,000人以上-105</t>
  </si>
  <si>
    <t>正規雇用-R--1,000人以上-(空白)</t>
  </si>
  <si>
    <t>正規雇用-E-9--101</t>
  </si>
  <si>
    <t>正規雇用-E-9--102</t>
  </si>
  <si>
    <t>正規雇用-E-9--103</t>
  </si>
  <si>
    <t>正規雇用-E-9--104</t>
  </si>
  <si>
    <t>正規雇用-E-9--105</t>
  </si>
  <si>
    <t>正規雇用-E-9--(空白)</t>
  </si>
  <si>
    <t>正規雇用-E-10--101</t>
  </si>
  <si>
    <t>正規雇用-E-10--102</t>
  </si>
  <si>
    <t>正規雇用-E-10--103</t>
  </si>
  <si>
    <t>正規雇用-E-10--104</t>
  </si>
  <si>
    <t>正規雇用-E-10--105</t>
  </si>
  <si>
    <t>正規雇用-E-10--(空白)</t>
  </si>
  <si>
    <t>正規雇用-E-11--101</t>
  </si>
  <si>
    <t>正規雇用-E-11--102</t>
  </si>
  <si>
    <t>正規雇用-E-11--103</t>
  </si>
  <si>
    <t>正規雇用-E-11--104</t>
  </si>
  <si>
    <t>正規雇用-E-11--105</t>
  </si>
  <si>
    <t>正規雇用-E-11--(空白)</t>
  </si>
  <si>
    <t>正規雇用-E-12--101</t>
  </si>
  <si>
    <t>正規雇用-E-12--102</t>
  </si>
  <si>
    <t>正規雇用-E-12--103</t>
  </si>
  <si>
    <t>正規雇用-E-12--104</t>
  </si>
  <si>
    <t>正規雇用-E-12--105</t>
  </si>
  <si>
    <t>正規雇用-E-12--(空白)</t>
  </si>
  <si>
    <t>正規雇用-E-13--101</t>
  </si>
  <si>
    <t>正規雇用-E-13--102</t>
  </si>
  <si>
    <t>正規雇用-E-13--103</t>
  </si>
  <si>
    <t>正規雇用-E-13--104</t>
  </si>
  <si>
    <t>正規雇用-E-13--105</t>
  </si>
  <si>
    <t>正規雇用-E-13--(空白)</t>
  </si>
  <si>
    <t>正規雇用-E-14--101</t>
  </si>
  <si>
    <t>正規雇用-E-14--102</t>
  </si>
  <si>
    <t>正規雇用-E-14--103</t>
  </si>
  <si>
    <t>正規雇用-E-14--104</t>
  </si>
  <si>
    <t>正規雇用-E-14--105</t>
  </si>
  <si>
    <t>正規雇用-E-14--(空白)</t>
  </si>
  <si>
    <t>正規雇用-E-15--101</t>
  </si>
  <si>
    <t>正規雇用-E-15--102</t>
  </si>
  <si>
    <t>正規雇用-E-15--103</t>
  </si>
  <si>
    <t>正規雇用-E-15--104</t>
  </si>
  <si>
    <t>正規雇用-E-15--105</t>
  </si>
  <si>
    <t>正規雇用-E-15--(空白)</t>
  </si>
  <si>
    <t>正規雇用-E-16--101</t>
  </si>
  <si>
    <t>正規雇用-E-16--102</t>
  </si>
  <si>
    <t>正規雇用-E-16--103</t>
  </si>
  <si>
    <t>正規雇用-E-16--104</t>
  </si>
  <si>
    <t>正規雇用-E-16--105</t>
  </si>
  <si>
    <t>正規雇用-E-16--(空白)</t>
  </si>
  <si>
    <t>正規雇用-E-17--101</t>
  </si>
  <si>
    <t>正規雇用-E-17--102</t>
  </si>
  <si>
    <t>正規雇用-E-17--103</t>
  </si>
  <si>
    <t>正規雇用-E-17--104</t>
  </si>
  <si>
    <t>正規雇用-E-17--105</t>
  </si>
  <si>
    <t>正規雇用-E-17--(空白)</t>
  </si>
  <si>
    <t>正規雇用-E-18--101</t>
  </si>
  <si>
    <t>正規雇用-E-18--102</t>
  </si>
  <si>
    <t>正規雇用-E-18--103</t>
  </si>
  <si>
    <t>正規雇用-E-18--104</t>
  </si>
  <si>
    <t>正規雇用-E-18--105</t>
  </si>
  <si>
    <t>正規雇用-E-18--(空白)</t>
  </si>
  <si>
    <t>正規雇用-E-19--101</t>
  </si>
  <si>
    <t>正規雇用-E-19--102</t>
  </si>
  <si>
    <t>正規雇用-E-19--103</t>
  </si>
  <si>
    <t>正規雇用-E-19--104</t>
  </si>
  <si>
    <t>正規雇用-E-19--105</t>
  </si>
  <si>
    <t>正規雇用-E-19--(空白)</t>
  </si>
  <si>
    <t>正規雇用-E-20--101</t>
  </si>
  <si>
    <t>正規雇用-E-20--102</t>
  </si>
  <si>
    <t>正規雇用-E-20--103</t>
  </si>
  <si>
    <t>正規雇用-E-20--104</t>
  </si>
  <si>
    <t>正規雇用-E-20--105</t>
  </si>
  <si>
    <t>正規雇用-E-20--(空白)</t>
  </si>
  <si>
    <t>正規雇用-E-21--101</t>
  </si>
  <si>
    <t>正規雇用-E-21--102</t>
  </si>
  <si>
    <t>正規雇用-E-21--103</t>
  </si>
  <si>
    <t>正規雇用-E-21--104</t>
  </si>
  <si>
    <t>正規雇用-E-21--105</t>
  </si>
  <si>
    <t>正規雇用-E-21--(空白)</t>
  </si>
  <si>
    <t>正規雇用-E-22--101</t>
  </si>
  <si>
    <t>正規雇用-E-22--102</t>
  </si>
  <si>
    <t>正規雇用-E-22--103</t>
  </si>
  <si>
    <t>正規雇用-E-22--104</t>
  </si>
  <si>
    <t>正規雇用-E-22--105</t>
  </si>
  <si>
    <t>正規雇用-E-22--(空白)</t>
  </si>
  <si>
    <t>正規雇用-E-23--101</t>
  </si>
  <si>
    <t>正規雇用-E-23--102</t>
  </si>
  <si>
    <t>正規雇用-E-23--103</t>
  </si>
  <si>
    <t>正規雇用-E-23--104</t>
  </si>
  <si>
    <t>正規雇用-E-23--105</t>
  </si>
  <si>
    <t>正規雇用-E-23--(空白)</t>
  </si>
  <si>
    <t>正規雇用-E-24--101</t>
  </si>
  <si>
    <t>正規雇用-E-24--102</t>
  </si>
  <si>
    <t>正規雇用-E-24--103</t>
  </si>
  <si>
    <t>正規雇用-E-24--104</t>
  </si>
  <si>
    <t>正規雇用-E-24--105</t>
  </si>
  <si>
    <t>正規雇用-E-24--(空白)</t>
  </si>
  <si>
    <t>正規雇用-E-25--101</t>
  </si>
  <si>
    <t>正規雇用-E-25--102</t>
  </si>
  <si>
    <t>正規雇用-E-25--103</t>
  </si>
  <si>
    <t>正規雇用-E-25--104</t>
  </si>
  <si>
    <t>正規雇用-E-25--105</t>
  </si>
  <si>
    <t>正規雇用-E-25--(空白)</t>
  </si>
  <si>
    <t>正規雇用-E-26--101</t>
  </si>
  <si>
    <t>正規雇用-E-26--102</t>
  </si>
  <si>
    <t>正規雇用-E-26--103</t>
  </si>
  <si>
    <t>正規雇用-E-26--104</t>
  </si>
  <si>
    <t>正規雇用-E-26--105</t>
  </si>
  <si>
    <t>正規雇用-E-26--(空白)</t>
  </si>
  <si>
    <t>正規雇用-E-27--101</t>
  </si>
  <si>
    <t>正規雇用-E-27--102</t>
  </si>
  <si>
    <t>正規雇用-E-27--103</t>
  </si>
  <si>
    <t>正規雇用-E-27--104</t>
  </si>
  <si>
    <t>正規雇用-E-27--105</t>
  </si>
  <si>
    <t>正規雇用-E-27--(空白)</t>
  </si>
  <si>
    <t>正規雇用-E-28--101</t>
  </si>
  <si>
    <t>正規雇用-E-28--102</t>
  </si>
  <si>
    <t>正規雇用-E-28--103</t>
  </si>
  <si>
    <t>正規雇用-E-28--104</t>
  </si>
  <si>
    <t>正規雇用-E-28--105</t>
  </si>
  <si>
    <t>正規雇用-E-28--(空白)</t>
  </si>
  <si>
    <t>正規雇用-E-29--101</t>
  </si>
  <si>
    <t>正規雇用-E-29--102</t>
  </si>
  <si>
    <t>正規雇用-E-29--103</t>
  </si>
  <si>
    <t>正規雇用-E-29--104</t>
  </si>
  <si>
    <t>正規雇用-E-29--105</t>
  </si>
  <si>
    <t>正規雇用-E-29--(空白)</t>
  </si>
  <si>
    <t>正規雇用-E-30--101</t>
  </si>
  <si>
    <t>正規雇用-E-30--102</t>
  </si>
  <si>
    <t>正規雇用-E-30--103</t>
  </si>
  <si>
    <t>正規雇用-E-30--104</t>
  </si>
  <si>
    <t>正規雇用-E-30--105</t>
  </si>
  <si>
    <t>正規雇用-E-30--(空白)</t>
  </si>
  <si>
    <t>正規雇用-E-31--101</t>
  </si>
  <si>
    <t>正規雇用-E-31--102</t>
  </si>
  <si>
    <t>正規雇用-E-31--103</t>
  </si>
  <si>
    <t>正規雇用-E-31--104</t>
  </si>
  <si>
    <t>正規雇用-E-31--105</t>
  </si>
  <si>
    <t>正規雇用-E-31--(空白)</t>
  </si>
  <si>
    <t>正規雇用-E-32--101</t>
  </si>
  <si>
    <t>正規雇用-E-32--102</t>
  </si>
  <si>
    <t>正規雇用-E-32--103</t>
  </si>
  <si>
    <t>正規雇用-E-32--104</t>
  </si>
  <si>
    <t>正規雇用-E-32--105</t>
  </si>
  <si>
    <t>正規雇用-E-32--(空白)</t>
  </si>
  <si>
    <t>正規雇用-C---101</t>
  </si>
  <si>
    <t>正規雇用-C---102</t>
  </si>
  <si>
    <t>正規雇用-C---103</t>
  </si>
  <si>
    <t>正規雇用-C---104</t>
  </si>
  <si>
    <t>正規雇用-C---105</t>
  </si>
  <si>
    <t>正規雇用-C---(空白)</t>
  </si>
  <si>
    <t>正規雇用-D---101</t>
  </si>
  <si>
    <t>正規雇用-D---102</t>
  </si>
  <si>
    <t>正規雇用-D---103</t>
  </si>
  <si>
    <t>正規雇用-D---104</t>
  </si>
  <si>
    <t>正規雇用-D---105</t>
  </si>
  <si>
    <t>正規雇用-D---(空白)</t>
  </si>
  <si>
    <t>正規雇用-E---101</t>
  </si>
  <si>
    <t>正規雇用-E---102</t>
  </si>
  <si>
    <t>正規雇用-E---103</t>
  </si>
  <si>
    <t>正規雇用-E---104</t>
  </si>
  <si>
    <t>正規雇用-E---105</t>
  </si>
  <si>
    <t>正規雇用-E---(空白)</t>
  </si>
  <si>
    <t>正規雇用-F---101</t>
  </si>
  <si>
    <t>正規雇用-F---102</t>
  </si>
  <si>
    <t>正規雇用-F---103</t>
  </si>
  <si>
    <t>正規雇用-F---105</t>
  </si>
  <si>
    <t>正規雇用-F---(空白)</t>
  </si>
  <si>
    <t>正規雇用-G---101</t>
  </si>
  <si>
    <t>正規雇用-G---102</t>
  </si>
  <si>
    <t>正規雇用-G---103</t>
  </si>
  <si>
    <t>正規雇用-G---105</t>
  </si>
  <si>
    <t>正規雇用-G---(空白)</t>
  </si>
  <si>
    <t>正規雇用-H---101</t>
  </si>
  <si>
    <t>正規雇用-H---102</t>
  </si>
  <si>
    <t>正規雇用-H---103</t>
  </si>
  <si>
    <t>正規雇用-H---105</t>
  </si>
  <si>
    <t>正規雇用-H---(空白)</t>
  </si>
  <si>
    <t>正規雇用-I---101</t>
  </si>
  <si>
    <t>正規雇用-I---102</t>
  </si>
  <si>
    <t>正規雇用-I---103</t>
  </si>
  <si>
    <t>正規雇用-I---105</t>
  </si>
  <si>
    <t>正規雇用-I---(空白)</t>
  </si>
  <si>
    <t>正規雇用-J---101</t>
  </si>
  <si>
    <t>正規雇用-J---102</t>
  </si>
  <si>
    <t>正規雇用-J---103</t>
  </si>
  <si>
    <t>正規雇用-J---105</t>
  </si>
  <si>
    <t>正規雇用-J---(空白)</t>
  </si>
  <si>
    <t>正規雇用-K---101</t>
  </si>
  <si>
    <t>正規雇用-K---102</t>
  </si>
  <si>
    <t>正規雇用-K---103</t>
  </si>
  <si>
    <t>正規雇用-K---105</t>
  </si>
  <si>
    <t>正規雇用-K---(空白)</t>
  </si>
  <si>
    <t>正規雇用-L---101</t>
  </si>
  <si>
    <t>正規雇用-L---102</t>
  </si>
  <si>
    <t>正規雇用-L---103</t>
  </si>
  <si>
    <t>正規雇用-L---105</t>
  </si>
  <si>
    <t>正規雇用-L---(空白)</t>
  </si>
  <si>
    <t>正規雇用-M---101</t>
  </si>
  <si>
    <t>正規雇用-M---102</t>
  </si>
  <si>
    <t>正規雇用-M---103</t>
  </si>
  <si>
    <t>正規雇用-M---105</t>
  </si>
  <si>
    <t>正規雇用-M---(空白)</t>
  </si>
  <si>
    <t>正規雇用-N---101</t>
  </si>
  <si>
    <t>正規雇用-N---102</t>
  </si>
  <si>
    <t>正規雇用-N---103</t>
  </si>
  <si>
    <t>正規雇用-N---105</t>
  </si>
  <si>
    <t>正規雇用-N---(空白)</t>
  </si>
  <si>
    <t>正規雇用-O---101</t>
  </si>
  <si>
    <t>正規雇用-O---102</t>
  </si>
  <si>
    <t>正規雇用-O---103</t>
  </si>
  <si>
    <t>正規雇用-O---105</t>
  </si>
  <si>
    <t>正規雇用-O---(空白)</t>
  </si>
  <si>
    <t>正規雇用-P---101</t>
  </si>
  <si>
    <t>正規雇用-P---102</t>
  </si>
  <si>
    <t>正規雇用-P---103</t>
  </si>
  <si>
    <t>正規雇用-P---105</t>
  </si>
  <si>
    <t>正規雇用-P---(空白)</t>
  </si>
  <si>
    <t>正規雇用-Q---101</t>
  </si>
  <si>
    <t>正規雇用-Q---102</t>
  </si>
  <si>
    <t>正規雇用-Q---103</t>
  </si>
  <si>
    <t>正規雇用-Q---105</t>
  </si>
  <si>
    <t>正規雇用-Q---(空白)</t>
  </si>
  <si>
    <t>正規雇用-R---101</t>
  </si>
  <si>
    <t>正規雇用-R---102</t>
  </si>
  <si>
    <t>正規雇用-R---103</t>
  </si>
  <si>
    <t>正規雇用-R---105</t>
  </si>
  <si>
    <t>正規雇用-R---(空白)</t>
  </si>
  <si>
    <t>正規雇用---1,000人以上-101</t>
  </si>
  <si>
    <t>正規雇用---1,000人以上-102</t>
  </si>
  <si>
    <t>正規雇用---1,000人以上-103</t>
  </si>
  <si>
    <t>正規雇用---1,000人以上-104</t>
  </si>
  <si>
    <t>正規雇用---1,000人以上-105</t>
  </si>
  <si>
    <t>正規雇用---1,000人以上-(空白)</t>
  </si>
  <si>
    <t>正規雇用----101</t>
  </si>
  <si>
    <t>正規雇用----102</t>
  </si>
  <si>
    <t>正規雇用----103</t>
  </si>
  <si>
    <t>正規雇用----104</t>
  </si>
  <si>
    <t>正規雇用----105</t>
  </si>
  <si>
    <t>正規雇用----(空白)</t>
  </si>
  <si>
    <t>(1)で「使用用途」を選択してください。</t>
    <phoneticPr fontId="3"/>
  </si>
  <si>
    <t>※未入力（空白）の項目は、"０"として集計されます。</t>
    <rPh sb="1" eb="4">
      <t>ミニュウリョク</t>
    </rPh>
    <phoneticPr fontId="3"/>
  </si>
  <si>
    <t>平均勤続年数</t>
    <rPh sb="2" eb="4">
      <t xml:space="preserve">キンゾク </t>
    </rPh>
    <phoneticPr fontId="3"/>
  </si>
  <si>
    <t>記載例→ 56.0%</t>
    <rPh sb="0" eb="1">
      <t xml:space="preserve">ラン </t>
    </rPh>
    <phoneticPr fontId="3"/>
  </si>
  <si>
    <t>(記載例)202501</t>
    <rPh sb="1" eb="4">
      <t xml:space="preserve">キサイレイ </t>
    </rPh>
    <phoneticPr fontId="3"/>
  </si>
  <si>
    <t>残業時間</t>
    <rPh sb="0" eb="2">
      <t xml:space="preserve">ザンギョウ </t>
    </rPh>
    <rPh sb="2" eb="4">
      <t>チョウカジセンタ</t>
    </rPh>
    <phoneticPr fontId="3"/>
  </si>
  <si>
    <t>※値を入力すると、自動的に表示が整います。
（男性の労働者数が25人の場合：「25」と入力すると、自動で「人」が表示されます。）</t>
    <rPh sb="1" eb="2">
      <t>アタイ</t>
    </rPh>
    <rPh sb="3" eb="5">
      <t xml:space="preserve">サイヨウシャスウ </t>
    </rPh>
    <rPh sb="10" eb="12">
      <t xml:space="preserve">コンナン </t>
    </rPh>
    <rPh sb="16" eb="20">
      <t xml:space="preserve">ゲンザイザイセキスル </t>
    </rPh>
    <rPh sb="23" eb="25">
      <t>ダンセイ</t>
    </rPh>
    <rPh sb="26" eb="27">
      <t xml:space="preserve">スウ </t>
    </rPh>
    <rPh sb="28" eb="30">
      <t xml:space="preserve">ニュウリョクシテクダサイ </t>
    </rPh>
    <rPh sb="45" eb="49">
      <t xml:space="preserve">ロウドウシャスウ </t>
    </rPh>
    <rPh sb="51" eb="53">
      <t xml:space="preserve">センタクシテクダサイ </t>
    </rPh>
    <phoneticPr fontId="3"/>
  </si>
  <si>
    <t>空白のみ</t>
    <rPh sb="0" eb="2">
      <t xml:space="preserve">クウハクノミ </t>
    </rPh>
    <phoneticPr fontId="3"/>
  </si>
  <si>
    <t>エラーは空白のみ</t>
    <rPh sb="4" eb="6">
      <t xml:space="preserve">クウハクノミ </t>
    </rPh>
    <phoneticPr fontId="3"/>
  </si>
  <si>
    <t>ツール基準日エラー無</t>
    <rPh sb="3" eb="6">
      <t xml:space="preserve">キジュンビ </t>
    </rPh>
    <rPh sb="9" eb="10">
      <t xml:space="preserve">ム </t>
    </rPh>
    <phoneticPr fontId="3"/>
  </si>
  <si>
    <t>空白有</t>
    <rPh sb="0" eb="2">
      <t xml:space="preserve">クウハク </t>
    </rPh>
    <phoneticPr fontId="3"/>
  </si>
  <si>
    <t>(2)で確認する参考値（産業分類と企業規模）を選択してください。</t>
    <rPh sb="3" eb="5">
      <t xml:space="preserve">カクニン </t>
    </rPh>
    <rPh sb="8" eb="10">
      <t xml:space="preserve">サンコウチ </t>
    </rPh>
    <rPh sb="16" eb="22">
      <t xml:space="preserve">キギョウキボヲ </t>
    </rPh>
    <rPh sb="23" eb="25">
      <t xml:space="preserve">センタクシテクダシア </t>
    </rPh>
    <phoneticPr fontId="3"/>
  </si>
  <si>
    <t>(4)に未入力（空白）の項目があります。</t>
    <phoneticPr fontId="3"/>
  </si>
  <si>
    <t>シート［分析結果］を確認してください。</t>
    <phoneticPr fontId="3"/>
  </si>
  <si>
    <t>(3)で貴社の『男女間賃金差異』の入力方法を選択してください。</t>
    <phoneticPr fontId="3"/>
  </si>
  <si>
    <t>(3)「基準日」に特定の日付（YYYY/MM/DD）を入力してください。</t>
    <rPh sb="4" eb="7">
      <t>キゼィウ</t>
    </rPh>
    <rPh sb="10" eb="12">
      <t>ニュウリョクセィ</t>
    </rPh>
    <phoneticPr fontId="3"/>
  </si>
  <si>
    <t>シート［分析結果］を確認してください。
※(3)の入力方法は項目ごとに選択できます。</t>
    <phoneticPr fontId="3"/>
  </si>
  <si>
    <t>※(4)では、数値の桁区切り「,」や「、」は使用できません。
　また未入力（空白）の項目は、"0"として集計されます。
※(3)の入力方法は項目ごとに選択できます。</t>
    <phoneticPr fontId="3"/>
  </si>
  <si>
    <t>(2)で比較する参考値（産業分類と企業規模）を選択してください。
(3)「基準日」に特定の日付（YYYY/MM/DD）を入力してください。</t>
    <phoneticPr fontId="3"/>
  </si>
  <si>
    <t>(2)で比較する参考値（産業分類と企業規模）を選択してください。
(4)に未入力（空白）の項目があります。</t>
    <phoneticPr fontId="3"/>
  </si>
  <si>
    <t>(2)で比較する参考値（産業分類と企業規模）を選択してください。
(4)全て選択・入力済みです。</t>
    <phoneticPr fontId="3"/>
  </si>
  <si>
    <t>全て選択・入力済みです。</t>
    <rPh sb="6" eb="7">
      <t>センタク</t>
    </rPh>
    <phoneticPr fontId="3"/>
  </si>
  <si>
    <t xml:space="preserve">(2)で比較する参考値（産業分類と企業規模）を選択してください。
(3)で貴社の『男女間賃金差異』の入力方法を選択してください。
</t>
    <phoneticPr fontId="3"/>
  </si>
  <si>
    <t>ツール基準日エラー有</t>
    <rPh sb="3" eb="5">
      <t xml:space="preserve">キジュン </t>
    </rPh>
    <rPh sb="5" eb="6">
      <t xml:space="preserve">ビ </t>
    </rPh>
    <rPh sb="9" eb="10">
      <t xml:space="preserve">アリ </t>
    </rPh>
    <phoneticPr fontId="3"/>
  </si>
  <si>
    <t>(2)で比較する参考値（産業分類と企業規模）を選択してください。
その他は全て選択・入力済みです。</t>
    <phoneticPr fontId="3"/>
  </si>
  <si>
    <t>ツール基準日エラー無</t>
    <rPh sb="6" eb="7">
      <t xml:space="preserve">ム </t>
    </rPh>
    <phoneticPr fontId="3"/>
  </si>
  <si>
    <t>ツール基準日エラー無</t>
    <phoneticPr fontId="3"/>
  </si>
  <si>
    <t>男女間賃金差異が生じる要因</t>
    <rPh sb="0" eb="11">
      <t xml:space="preserve">ヨウ </t>
    </rPh>
    <phoneticPr fontId="3"/>
  </si>
  <si>
    <t>男女間賃金差異</t>
    <rPh sb="0" eb="7">
      <t xml:space="preserve">ヨウ </t>
    </rPh>
    <phoneticPr fontId="3"/>
  </si>
  <si>
    <t>正規雇用----</t>
  </si>
  <si>
    <t>---</t>
    <phoneticPr fontId="3"/>
  </si>
  <si>
    <t>（貴社の状況）</t>
    <rPh sb="1" eb="3">
      <t xml:space="preserve">キシャノ </t>
    </rPh>
    <rPh sb="4" eb="6">
      <t xml:space="preserve">ジョウキョウ </t>
    </rPh>
    <phoneticPr fontId="3"/>
  </si>
  <si>
    <t>←入力不要です。</t>
    <phoneticPr fontId="3"/>
  </si>
  <si>
    <t xml:space="preserve"> ←特定の日付(例:2025/3/31)を入力してください。</t>
    <phoneticPr fontId="3"/>
  </si>
  <si>
    <t>男女間賃金差異等の各数値の入力方法（本ツールを利用して計算する又は自社で計算したデータを手入力する）を選択ください。</t>
    <rPh sb="13" eb="17">
      <t>ニュウリョク</t>
    </rPh>
    <rPh sb="20" eb="22">
      <t>センタク</t>
    </rPh>
    <rPh sb="29" eb="34">
      <t>テニュウリョク</t>
    </rPh>
    <rPh sb="36" eb="37">
      <t>マタハ</t>
    </rPh>
    <rPh sb="38" eb="39">
      <t>ホn</t>
    </rPh>
    <phoneticPr fontId="3"/>
  </si>
  <si>
    <t>(3)自社,(4)空白有</t>
    <rPh sb="0" eb="2">
      <t xml:space="preserve">ジシャ </t>
    </rPh>
    <rPh sb="6" eb="8">
      <t xml:space="preserve">ゼンクウ </t>
    </rPh>
    <rPh sb="9" eb="11">
      <t xml:space="preserve">クウハクアリ </t>
    </rPh>
    <phoneticPr fontId="3"/>
  </si>
  <si>
    <t>(3)自社,(4)数値以外</t>
    <rPh sb="0" eb="2">
      <t xml:space="preserve">ジシャ </t>
    </rPh>
    <rPh sb="3" eb="4">
      <t xml:space="preserve">スミ </t>
    </rPh>
    <phoneticPr fontId="3"/>
  </si>
  <si>
    <t>貴社の
女性割合</t>
    <rPh sb="0" eb="2">
      <t>キセィア</t>
    </rPh>
    <rPh sb="3" eb="5">
      <t>ジョセイ</t>
    </rPh>
    <rPh sb="5" eb="7">
      <t>ワリアイ</t>
    </rPh>
    <phoneticPr fontId="3"/>
  </si>
  <si>
    <t>参考値の
女性割合</t>
    <rPh sb="0" eb="3">
      <t>サンコウ</t>
    </rPh>
    <rPh sb="3" eb="4">
      <t>ジョセイ</t>
    </rPh>
    <rPh sb="4" eb="6">
      <t>ワリアイ</t>
    </rPh>
    <phoneticPr fontId="3"/>
  </si>
  <si>
    <t>（％）</t>
    <rPh sb="0" eb="2">
      <t xml:space="preserve">ジョセイ </t>
    </rPh>
    <phoneticPr fontId="3"/>
  </si>
  <si>
    <t>従業員番号</t>
    <phoneticPr fontId="4"/>
  </si>
  <si>
    <t>従業員番号</t>
    <phoneticPr fontId="3"/>
  </si>
  <si>
    <t>残業手当額</t>
    <rPh sb="0" eb="2">
      <t xml:space="preserve">ザンギョウ </t>
    </rPh>
    <rPh sb="2" eb="4">
      <t xml:space="preserve">テアテ </t>
    </rPh>
    <rPh sb="4" eb="5">
      <t xml:space="preserve">ガク </t>
    </rPh>
    <phoneticPr fontId="3"/>
  </si>
  <si>
    <t>従業員情報（給与以外）</t>
    <rPh sb="0" eb="3">
      <t>ジュウギョウ</t>
    </rPh>
    <rPh sb="3" eb="5">
      <t xml:space="preserve">ジョウホウ </t>
    </rPh>
    <phoneticPr fontId="3"/>
  </si>
  <si>
    <t>従業員情報</t>
    <rPh sb="0" eb="2">
      <t xml:space="preserve">シャイン </t>
    </rPh>
    <rPh sb="2" eb="4">
      <t xml:space="preserve">ジョウホウ </t>
    </rPh>
    <phoneticPr fontId="3"/>
  </si>
  <si>
    <t>※再度、シート［従業員情報（給与以外）］へ移動して、入力を完了させてください。</t>
    <rPh sb="8" eb="11">
      <t>ジュウギョウ</t>
    </rPh>
    <rPh sb="21" eb="23">
      <t xml:space="preserve">イドウ </t>
    </rPh>
    <phoneticPr fontId="3"/>
  </si>
  <si>
    <t>シート［従業員情報（給与以外）］の入力が完了していません。</t>
    <phoneticPr fontId="3"/>
  </si>
  <si>
    <t>従業員情報（給与以外）</t>
    <rPh sb="0" eb="2">
      <t xml:space="preserve">シャイン </t>
    </rPh>
    <rPh sb="3" eb="5">
      <t xml:space="preserve">ジョウホウ </t>
    </rPh>
    <phoneticPr fontId="3"/>
  </si>
  <si>
    <t>※全ての対象者の情報入力が完了している場合は、シート［従業員の給与情報］へ移動してください。</t>
    <rPh sb="1" eb="2">
      <t>スベテ</t>
    </rPh>
    <rPh sb="8" eb="10">
      <t>ジョウホウ</t>
    </rPh>
    <phoneticPr fontId="3"/>
  </si>
  <si>
    <t>※全ての対象者の情報入力が完了している場合は、シート［従業員の給与情報］へ移動してください。</t>
    <rPh sb="1" eb="2">
      <t>スベテ</t>
    </rPh>
    <rPh sb="11" eb="13">
      <t>カンリョウ</t>
    </rPh>
    <rPh sb="17" eb="19">
      <t>バアイ</t>
    </rPh>
    <phoneticPr fontId="3"/>
  </si>
  <si>
    <t>シート［従業員情報(給与以外)］へ移動して、
貴社の従業員情報を入力又は貼付してください。
※(3)の入力方法は項目ごとに選択できます。</t>
    <phoneticPr fontId="3"/>
  </si>
  <si>
    <t>※以下のような場合、男女間賃金差異が大きくなる可能性があります。
　・育児や介護等の理由による短時間勤務者の給与を、勤務時間の短縮時間分だけ減額している場合
　・育児等の制度利用者が女性に偏っている場合</t>
    <phoneticPr fontId="3"/>
  </si>
  <si>
    <t>役職級の説明文</t>
    <rPh sb="0" eb="6">
      <t xml:space="preserve">ヤクショクキュウセツメイ </t>
    </rPh>
    <rPh sb="6" eb="7">
      <t>ブn</t>
    </rPh>
    <phoneticPr fontId="3"/>
  </si>
  <si>
    <t xml:space="preserve"> ※(4)に表示されたエラーを確認してください。</t>
    <phoneticPr fontId="3"/>
  </si>
  <si>
    <t>(3)ツール(4)エラー有</t>
    <rPh sb="0" eb="6">
      <t xml:space="preserve">アリ </t>
    </rPh>
    <rPh sb="12" eb="13">
      <t xml:space="preserve">アリ </t>
    </rPh>
    <phoneticPr fontId="3"/>
  </si>
  <si>
    <t>(3)ツール(4)済</t>
    <phoneticPr fontId="3"/>
  </si>
  <si>
    <t>欄に数値以外が入力されています。</t>
    <rPh sb="5" eb="9">
      <t xml:space="preserve">コヨウケイタイ </t>
    </rPh>
    <rPh sb="9" eb="10">
      <t xml:space="preserve">コウヨウケイタイベツ </t>
    </rPh>
    <rPh sb="13" eb="16">
      <t xml:space="preserve">スウチイガイ ニュウリョクサレテイマス </t>
    </rPh>
    <phoneticPr fontId="3"/>
  </si>
  <si>
    <t>欄に入力不備又は未入力（空白）があります。</t>
    <rPh sb="2" eb="6">
      <t xml:space="preserve">ニュウリョクフビ </t>
    </rPh>
    <rPh sb="8" eb="11">
      <t xml:space="preserve">ミニュウリョク </t>
    </rPh>
    <rPh sb="18" eb="19">
      <t xml:space="preserve">コウヨウケイタイベツ カクニンシテクダサイ クウハク ダンジョカン チンギン サイ </t>
    </rPh>
    <phoneticPr fontId="3"/>
  </si>
  <si>
    <t>100000</t>
    <phoneticPr fontId="3"/>
  </si>
  <si>
    <t>390,000</t>
    <phoneticPr fontId="3"/>
  </si>
  <si>
    <t>一月当たりの
平均残業時間</t>
    <phoneticPr fontId="3"/>
  </si>
  <si>
    <t>(3)空白</t>
    <rPh sb="3" eb="5">
      <t xml:space="preserve">クウハク </t>
    </rPh>
    <phoneticPr fontId="3"/>
  </si>
  <si>
    <t>ツール</t>
    <phoneticPr fontId="3"/>
  </si>
  <si>
    <t>3-(3)</t>
    <phoneticPr fontId="3"/>
  </si>
  <si>
    <t>※(3)の入力方法の選択（項目「雇用形態別」〜
　「男女間賃金差異が生じる要因」）は必須です。
　項目ごとで入力方法を選択できますので、状況に応じて選択ください。</t>
    <phoneticPr fontId="3"/>
  </si>
  <si>
    <t xml:space="preserve">※「基準日」は、以下項目のいずれか又は両方で『ツールを利用して計算する』を選択した場合に入力が必須となります。
　・「勤続年数階級別」
　・「男女間賃金差異が生じる要因」
※(3)の入力方法は項目ごとに選択できます。
</t>
    <rPh sb="10" eb="12">
      <t>コウモク</t>
    </rPh>
    <rPh sb="17" eb="18">
      <t>マタハ</t>
    </rPh>
    <rPh sb="19" eb="21">
      <t>リョウホウ</t>
    </rPh>
    <rPh sb="45" eb="46">
      <t>マタハ</t>
    </rPh>
    <rPh sb="47" eb="49">
      <t>リョウホウ</t>
    </rPh>
    <rPh sb="81" eb="83">
      <t>ニュウリョク</t>
    </rPh>
    <rPh sb="83" eb="85">
      <t>ヒッス</t>
    </rPh>
    <phoneticPr fontId="3"/>
  </si>
  <si>
    <t>※(3)で『自社で計算したデータを手入力する』を選択した項目の内、
　未入力（空白）の項目については、"0"として集計されます。
　また、桁区切りの「,」や「、」は使用できません。
※(3)の入力方法は項目ごとに選択できます。</t>
    <phoneticPr fontId="3"/>
  </si>
  <si>
    <t>問題がなければ、シート［従業員情報（給与以外）］へ移動して、
貴社の従業員情報を入力又は貼付してください。
※(3)入力方法で『自社で計算したデータを手入力する』を選択した項目の内、
　未入力（空白）の項目については、"0"として集計されます。
※(3)の入力方法は項目ごとに選択できます。</t>
    <rPh sb="0" eb="2">
      <t>モンダイ</t>
    </rPh>
    <rPh sb="58" eb="62">
      <t>ニュウリョク</t>
    </rPh>
    <rPh sb="82" eb="84">
      <t>センタク</t>
    </rPh>
    <rPh sb="86" eb="88">
      <t>コウモク</t>
    </rPh>
    <phoneticPr fontId="3"/>
  </si>
  <si>
    <t>男 性</t>
    <phoneticPr fontId="3"/>
  </si>
  <si>
    <t>計算不能時</t>
    <rPh sb="0" eb="5">
      <t xml:space="preserve">ケイサンフノウジ </t>
    </rPh>
    <phoneticPr fontId="3"/>
  </si>
  <si>
    <t>計算不能</t>
    <rPh sb="0" eb="4">
      <t xml:space="preserve">ケイサンフノウ </t>
    </rPh>
    <phoneticPr fontId="3"/>
  </si>
  <si>
    <t>従業員番号</t>
    <rPh sb="0" eb="5">
      <t xml:space="preserve">ジュウギョウインバンゴウ </t>
    </rPh>
    <phoneticPr fontId="3"/>
  </si>
  <si>
    <t>パターン</t>
    <phoneticPr fontId="3"/>
  </si>
  <si>
    <t>課題タイプ</t>
    <rPh sb="0" eb="2">
      <t xml:space="preserve">カダイタプ </t>
    </rPh>
    <phoneticPr fontId="3"/>
  </si>
  <si>
    <t>課題タイプ2</t>
    <rPh sb="0" eb="2">
      <t xml:space="preserve">カダイタプ </t>
    </rPh>
    <phoneticPr fontId="3"/>
  </si>
  <si>
    <t>採用者数</t>
    <rPh sb="0" eb="2">
      <t xml:space="preserve">サイヨウ </t>
    </rPh>
    <rPh sb="2" eb="4">
      <t xml:space="preserve">シャスウ </t>
    </rPh>
    <phoneticPr fontId="3"/>
  </si>
  <si>
    <t>管理職数</t>
    <rPh sb="0" eb="4">
      <t xml:space="preserve">カンリショクスウ </t>
    </rPh>
    <phoneticPr fontId="3"/>
  </si>
  <si>
    <t>残業時間</t>
    <rPh sb="0" eb="4">
      <t xml:space="preserve">ザンギョウジカン </t>
    </rPh>
    <phoneticPr fontId="3"/>
  </si>
  <si>
    <t>課題タイプ①</t>
    <rPh sb="0" eb="2">
      <t xml:space="preserve">カダイタイプ </t>
    </rPh>
    <phoneticPr fontId="3"/>
  </si>
  <si>
    <t>課題タイプ③</t>
    <rPh sb="0" eb="2">
      <t xml:space="preserve">カダイタイプ </t>
    </rPh>
    <phoneticPr fontId="3"/>
  </si>
  <si>
    <t>○</t>
    <phoneticPr fontId="3"/>
  </si>
  <si>
    <t>課題タイプ②</t>
    <phoneticPr fontId="3"/>
  </si>
  <si>
    <t>課題タイプ④</t>
    <phoneticPr fontId="3"/>
  </si>
  <si>
    <t>課題タイプ③</t>
    <phoneticPr fontId="3"/>
  </si>
  <si>
    <t>課題タイプ②(非正規雇用)</t>
    <rPh sb="0" eb="2">
      <t xml:space="preserve">カダイタイプ </t>
    </rPh>
    <rPh sb="10" eb="12">
      <t xml:space="preserve">コヨウ </t>
    </rPh>
    <phoneticPr fontId="3"/>
  </si>
  <si>
    <t>課題タイプ③(非正規雇用)</t>
    <phoneticPr fontId="3"/>
  </si>
  <si>
    <t>課題タイプ②(非正規雇用)</t>
    <rPh sb="0" eb="2">
      <t xml:space="preserve">カダイタイプ </t>
    </rPh>
    <phoneticPr fontId="3"/>
  </si>
  <si>
    <t>課題タイプ①(非正規雇用)</t>
    <rPh sb="0" eb="2">
      <t xml:space="preserve">カダイタイプ </t>
    </rPh>
    <phoneticPr fontId="3"/>
  </si>
  <si>
    <t>課題タイプ②(非正規雇用)</t>
    <phoneticPr fontId="3"/>
  </si>
  <si>
    <t>課題タイプ⑤</t>
    <phoneticPr fontId="3"/>
  </si>
  <si>
    <t>データ未入力時</t>
    <rPh sb="3" eb="6">
      <t xml:space="preserve">ミニュウリョク </t>
    </rPh>
    <rPh sb="6" eb="7">
      <t xml:space="preserve">ジ </t>
    </rPh>
    <phoneticPr fontId="3"/>
  </si>
  <si>
    <t>コード</t>
    <phoneticPr fontId="3"/>
  </si>
  <si>
    <r>
      <rPr>
        <b/>
        <sz val="9"/>
        <rFont val="游ゴシック"/>
        <family val="3"/>
        <charset val="128"/>
      </rPr>
      <t>表示内容</t>
    </r>
    <r>
      <rPr>
        <b/>
        <sz val="9"/>
        <rFont val="游ゴシック"/>
        <family val="3"/>
      </rPr>
      <t>①</t>
    </r>
    <rPh sb="0" eb="2">
      <t>ヒョウジ</t>
    </rPh>
    <rPh sb="2" eb="4">
      <t>ナイヨウ</t>
    </rPh>
    <phoneticPr fontId="3"/>
  </si>
  <si>
    <t>貴社は【課題タイプ①　採用した労働者に占める女性割合が低い（又は労働者に占める女性割合が低い）企業】及び【課題タイプ③　男女の平均残業時間数等の労働時間が長い企業】の可能性が高いです。</t>
  </si>
  <si>
    <t>貴社は【課題タイプ①　採用した労働者に占める女性割合が低い（又は労働者に占める女性割合が低い）企業】の可能性が高いです。</t>
  </si>
  <si>
    <t>貴社は【課題タイプ②　男女の平均継続勤務年数が短い・男女の平均継続勤務年数に差がある企業】及び【課題タイプ③　男女の平均残業時間数等の労働時間が長い企業】の可能性が高いです。</t>
  </si>
  <si>
    <t>貴社は【課題タイプ②　男女の平均継続勤務年数が短い・男女の平均継続勤務年数に差がある企業】の可能性が高いです。</t>
  </si>
  <si>
    <t>貴社は【課題タイプ④　管理職に占める女性割合が低い企業】及び【課題タイプ③　男女の平均残業時間数等の労働時間が長い企業】の可能性が高いです。</t>
  </si>
  <si>
    <t>貴社は【課題タイプ④　管理職に占める女性割合が低い企業】の可能性が高いです。</t>
  </si>
  <si>
    <t>貴社は【課題タイプ③　男女の平均残業時間数等の労働時間が長い企業】の可能性が高いです。</t>
  </si>
  <si>
    <t>貴社は【課題タイプ⑤　女性の活躍が比較的進んでいる企業】の可能性が高いです。</t>
  </si>
  <si>
    <t>※本ツールの使用用途は以下の２つです。
　・『自社の男女間賃金差異と参考値を比較する』
　・『産業分類と企業規模の参考値を確認する』
※参考値には「令和5年度 賃金構造基本統計調査」と
  「令和5年度 雇用動向調査」を再集計したデータを使用しています。</t>
    <rPh sb="1" eb="2">
      <t>ホn</t>
    </rPh>
    <rPh sb="11" eb="13">
      <t>イカ</t>
    </rPh>
    <rPh sb="88" eb="89">
      <t>チョウサ</t>
    </rPh>
    <phoneticPr fontId="3"/>
  </si>
  <si>
    <t xml:space="preserve">問題がなければ、シート［分析結果］を確認してください。
※「産業大分類」「企業規模」のいずれかの選択も可能です。
※未選択（空白）の場合、参考値は『産業大分類計』
　又は『企業規模計（10人以上）』で集計された値が表示されます。
※「産業大分類」で『製造業』を選択した場合、
　「産業中分類」の選択が可能になります。
</t>
    <rPh sb="1" eb="4">
      <t>ミセンタク</t>
    </rPh>
    <rPh sb="9" eb="11">
      <t>コウモク</t>
    </rPh>
    <rPh sb="49" eb="50">
      <t>マタハ</t>
    </rPh>
    <rPh sb="54" eb="59">
      <t>サンギョウ</t>
    </rPh>
    <rPh sb="71" eb="73">
      <t>サンギョウ</t>
    </rPh>
    <rPh sb="78" eb="80">
      <t>センタク</t>
    </rPh>
    <rPh sb="81" eb="83">
      <t>カノウ</t>
    </rPh>
    <phoneticPr fontId="3"/>
  </si>
  <si>
    <t>全て選択済みです。</t>
    <rPh sb="0" eb="1">
      <t>スベテ</t>
    </rPh>
    <phoneticPr fontId="3"/>
  </si>
  <si>
    <t>(4)に入力不備や未入力（空白）の項目があります。
(3)にエラーが表示されていますので、内容を確認してください。</t>
    <phoneticPr fontId="3"/>
  </si>
  <si>
    <t>(4)に入力不備や未入力（空白）の項目があります。
(3)又は(4)にエラーが表示されていますので、内容を確認してください。</t>
    <rPh sb="12" eb="13">
      <t>マタハ</t>
    </rPh>
    <rPh sb="14" eb="15">
      <t>ミセンタク</t>
    </rPh>
    <rPh sb="15" eb="17">
      <t>ミセンタク</t>
    </rPh>
    <phoneticPr fontId="3"/>
  </si>
  <si>
    <t>(2)で比較する参考値（産業分類と企業規模）を選択してください。
(4)に入力不備や未入力（空白）の項目があります。
(3)又は(4)にエラーが表示されていますので、内容を確認してください。</t>
    <phoneticPr fontId="3"/>
  </si>
  <si>
    <t>(2)で比較する参考値（産業分類と企業規模）を選択してください。
(4)に入力不備や未入力（空白）の項目などがあります。
(3)にエラーが表示されていますので、内容を確認してください。</t>
    <phoneticPr fontId="3"/>
  </si>
  <si>
    <t>※(3)で『自社で計算したデータを手入力する』を選択した項目の内、
　未入力（空白）の項目については、"0"として集計されます。
　また、桁区切りの「,」や「、」は使用できません。
※(2)が未選択（空白）の場合、参考値は『産業大分類計』
　又は『企業規模計（10人以上）』で集計された値が表示されます。
※(3)の入力方法は項目ごとに選択できます。</t>
    <phoneticPr fontId="3"/>
  </si>
  <si>
    <t>問題なければ、シート［従業員情報（給与以外）］へ移動して、
貴社の従業員情報を入力又は貼付してください。
※(2)が未選択（空白）の場合、参考値は『産業大分類計』
　又は『企業規模計（10人以上）』で集計された値が表示されます。
※(3)の入力方法は項目ごとに選択できます。</t>
    <rPh sb="0" eb="2">
      <t>モンダイ</t>
    </rPh>
    <rPh sb="31" eb="32">
      <t xml:space="preserve">マタハ </t>
    </rPh>
    <phoneticPr fontId="3"/>
  </si>
  <si>
    <t>※(3)で『自社で計算したデータを手入力する』を選択した項目の内、
　未入力（空白）の項目は、"0"として集計されます。
　問題がなければ、シート［分析結果］を確認してください。
※(2)が未選択（空白）の場合、参考値は『産業大分類計』
　又は『企業規模計（10人以上）』で集計された値が表示されます。
※(3)の入力方法は項目ごとに選択できます。</t>
    <rPh sb="21" eb="22">
      <t xml:space="preserve">マタハ </t>
    </rPh>
    <rPh sb="135" eb="137">
      <t xml:space="preserve">シュウケイ </t>
    </rPh>
    <phoneticPr fontId="3"/>
  </si>
  <si>
    <t>※(4)未入力（空白）の項目は、"0"として集計されます。
問題がなければ、シート［分析結果］を確認してください。
※(3)の入力方法は項目ごとに選択できます。</t>
    <phoneticPr fontId="3"/>
  </si>
  <si>
    <t>※「基準日」は、以下項目のいずれか又は両方で『ツールを利用して計算する』を選択した場合に入力が必須となります。
　・「勤続年数階級別」
　・「男女間賃金差異が生じる要因」
※(2)が未選択（空白）の場合、参考値は『産業大分類計』
　又は『企業規模計（10人以上）』で集計された値が表示されます。
※(3)の入力方法は項目ごとに選択できます。</t>
    <rPh sb="24" eb="25">
      <t xml:space="preserve">マタハ </t>
    </rPh>
    <phoneticPr fontId="3"/>
  </si>
  <si>
    <t xml:space="preserve">問題がなければ、シート［分析結果］を確認してください。
※(2)が未選択（空白）の場合、参考値は『産業大分類計』
　又は『企業規模計（10人以上）』で集計された値が表示されます。
※(3)の入力方法は項目ごとに選択できます。
</t>
    <rPh sb="0" eb="2">
      <t>モンダイ</t>
    </rPh>
    <rPh sb="35" eb="37">
      <t>コウモク</t>
    </rPh>
    <rPh sb="41" eb="43">
      <t>バアイ</t>
    </rPh>
    <phoneticPr fontId="3"/>
  </si>
  <si>
    <t xml:space="preserve">(4)未入力（空白）の項目は、"0"として集計されます。
問題がなければ、シート［分析結果］を確認してください。
※(2)が未選択（空白）の場合、参考値は『産業大分類計』
　又は『企業規模計（10人以上）』で集計された値が表示されます。
※(3)の入力方法は項目ごとに選択できます。
</t>
    <rPh sb="27" eb="28">
      <t xml:space="preserve">マタハ </t>
    </rPh>
    <rPh sb="63" eb="66">
      <t xml:space="preserve">ミセンタク </t>
    </rPh>
    <phoneticPr fontId="3"/>
  </si>
  <si>
    <t xml:space="preserve">※(4)では、数値の桁区切り「,」や「、」は使用できません。
　また未入力（空白）の項目は、"0"として集計されます。
※(2)が未選択（空白）の場合、参考値は『産業大分類計』
　又は『企業規模計（10人以上）』で集計された値が表示されます。
※(3)の入力方法は項目ごとに選択できます。
</t>
    <rPh sb="23" eb="24">
      <t xml:space="preserve">マタハ </t>
    </rPh>
    <rPh sb="64" eb="68">
      <t>ニュウリョク</t>
    </rPh>
    <rPh sb="86" eb="88">
      <t>スウティ</t>
    </rPh>
    <phoneticPr fontId="3"/>
  </si>
  <si>
    <t>※(3)の入力方法の選択（「雇用形態別」〜
　「男女間賃金差異が生じる要因」）は必須です。
　項目ごとで入力方法を選択できますので、状況に応じて選択ください。
※(2)が未選択（空白）の場合、参考値は『産業大分類計』
　又は『企業規模計（10人以上）』で集計された値が表示されます。</t>
    <rPh sb="23" eb="24">
      <t xml:space="preserve">マタハ </t>
    </rPh>
    <rPh sb="97" eb="100">
      <t xml:space="preserve">サンコウチハ </t>
    </rPh>
    <rPh sb="129" eb="130">
      <t xml:space="preserve">スウチ </t>
    </rPh>
    <phoneticPr fontId="3"/>
  </si>
  <si>
    <t>正規雇用労働者</t>
    <rPh sb="0" eb="4">
      <t xml:space="preserve">セイキコヨウ </t>
    </rPh>
    <rPh sb="4" eb="7">
      <t xml:space="preserve">ロウドウシャ </t>
    </rPh>
    <phoneticPr fontId="3"/>
  </si>
  <si>
    <t>非正規雇用労働者</t>
    <rPh sb="0" eb="5">
      <t xml:space="preserve">ヒセイキコヨウ </t>
    </rPh>
    <rPh sb="5" eb="8">
      <t xml:space="preserve">ロウドウシャ </t>
    </rPh>
    <phoneticPr fontId="3"/>
  </si>
  <si>
    <r>
      <t xml:space="preserve">勤続年数階級別 </t>
    </r>
    <r>
      <rPr>
        <b/>
        <sz val="12"/>
        <color theme="1"/>
        <rFont val="游ゴシック"/>
        <family val="3"/>
        <charset val="128"/>
        <scheme val="minor"/>
      </rPr>
      <t>※正規雇用労働者のみ</t>
    </r>
    <rPh sb="0" eb="2">
      <t xml:space="preserve">キンゾク </t>
    </rPh>
    <rPh sb="2" eb="4">
      <t xml:space="preserve">ネンスウ </t>
    </rPh>
    <rPh sb="4" eb="6">
      <t xml:space="preserve">カイキュウ </t>
    </rPh>
    <rPh sb="6" eb="7">
      <t xml:space="preserve">ベツ </t>
    </rPh>
    <phoneticPr fontId="3"/>
  </si>
  <si>
    <r>
      <t>役職別 　</t>
    </r>
    <r>
      <rPr>
        <b/>
        <sz val="12"/>
        <color theme="1"/>
        <rFont val="游ゴシック"/>
        <family val="3"/>
        <charset val="128"/>
        <scheme val="minor"/>
      </rPr>
      <t>※正規雇用労働者のみ</t>
    </r>
    <rPh sb="0" eb="2">
      <t xml:space="preserve">ヤクショク </t>
    </rPh>
    <rPh sb="2" eb="3">
      <t xml:space="preserve">ベツ </t>
    </rPh>
    <phoneticPr fontId="3"/>
  </si>
  <si>
    <r>
      <t>記載例</t>
    </r>
    <r>
      <rPr>
        <b/>
        <sz val="10"/>
        <color theme="1"/>
        <rFont val="游ゴシック"/>
        <family val="3"/>
        <charset val="128"/>
        <scheme val="minor"/>
      </rPr>
      <t>(採用の場合)</t>
    </r>
    <r>
      <rPr>
        <b/>
        <sz val="14"/>
        <color theme="1"/>
        <rFont val="游ゴシック"/>
        <family val="3"/>
        <charset val="128"/>
        <scheme val="minor"/>
      </rPr>
      <t>→</t>
    </r>
    <rPh sb="4" eb="6">
      <t xml:space="preserve">サイヨウノバアイ </t>
    </rPh>
    <phoneticPr fontId="3"/>
  </si>
  <si>
    <t>一月当たりの平均残業時間</t>
    <rPh sb="0" eb="1">
      <t>①</t>
    </rPh>
    <rPh sb="2" eb="3">
      <t xml:space="preserve">アタリ </t>
    </rPh>
    <phoneticPr fontId="3"/>
  </si>
  <si>
    <r>
      <t xml:space="preserve">正規雇用労働者
</t>
    </r>
    <r>
      <rPr>
        <b/>
        <sz val="11"/>
        <color theme="1"/>
        <rFont val="游ゴシック"/>
        <family val="3"/>
        <charset val="128"/>
        <scheme val="minor"/>
      </rPr>
      <t>(正社員・正職員)</t>
    </r>
    <rPh sb="0" eb="4">
      <t xml:space="preserve">セイキコヨウ </t>
    </rPh>
    <rPh sb="4" eb="7">
      <t>ロウドウ</t>
    </rPh>
    <rPh sb="8" eb="12">
      <t xml:space="preserve">セイキコヨウ </t>
    </rPh>
    <phoneticPr fontId="3"/>
  </si>
  <si>
    <r>
      <rPr>
        <b/>
        <sz val="14"/>
        <color theme="1"/>
        <rFont val="游ゴシック"/>
        <family val="3"/>
        <charset val="128"/>
        <scheme val="minor"/>
      </rPr>
      <t>非正規雇用労働者</t>
    </r>
    <r>
      <rPr>
        <b/>
        <sz val="13"/>
        <color theme="1"/>
        <rFont val="游ゴシック"/>
        <family val="3"/>
        <charset val="128"/>
        <scheme val="minor"/>
      </rPr>
      <t xml:space="preserve">
</t>
    </r>
    <r>
      <rPr>
        <b/>
        <sz val="11"/>
        <color theme="1"/>
        <rFont val="游ゴシック"/>
        <family val="3"/>
        <charset val="128"/>
        <scheme val="minor"/>
      </rPr>
      <t>(正社員・正職員以外)</t>
    </r>
    <rPh sb="0" eb="3">
      <t xml:space="preserve">ヒセイキ </t>
    </rPh>
    <rPh sb="3" eb="5">
      <t xml:space="preserve">コヨウ </t>
    </rPh>
    <rPh sb="5" eb="8">
      <t>ロウドウ</t>
    </rPh>
    <rPh sb="9" eb="14">
      <t xml:space="preserve">ヒセイキコヨウ </t>
    </rPh>
    <rPh sb="15" eb="17">
      <t xml:space="preserve">カイシャ </t>
    </rPh>
    <phoneticPr fontId="3"/>
  </si>
  <si>
    <r>
      <t xml:space="preserve">貴社と参考値の比較
</t>
    </r>
    <r>
      <rPr>
        <b/>
        <sz val="9"/>
        <color theme="1"/>
        <rFont val="游ゴシック"/>
        <family val="3"/>
        <charset val="128"/>
        <scheme val="minor"/>
      </rPr>
      <t>※採用者数（労働者数）・管理職数は参考値なし</t>
    </r>
    <rPh sb="0" eb="1">
      <t>🚂</t>
    </rPh>
    <phoneticPr fontId="3"/>
  </si>
  <si>
    <r>
      <t>貴社の女性</t>
    </r>
    <r>
      <rPr>
        <b/>
        <sz val="8"/>
        <color theme="1"/>
        <rFont val="游ゴシック"/>
        <family val="3"/>
        <charset val="128"/>
        <scheme val="minor"/>
      </rPr>
      <t>※( )内は参考値</t>
    </r>
    <rPh sb="0" eb="1">
      <t xml:space="preserve">オンナ </t>
    </rPh>
    <rPh sb="2" eb="5">
      <t xml:space="preserve">サンコウチ </t>
    </rPh>
    <rPh sb="9" eb="10">
      <t xml:space="preserve">ナイハ </t>
    </rPh>
    <rPh sb="11" eb="14">
      <t xml:space="preserve">サンコウチ </t>
    </rPh>
    <phoneticPr fontId="3"/>
  </si>
  <si>
    <r>
      <t>貴社の男性</t>
    </r>
    <r>
      <rPr>
        <b/>
        <sz val="8"/>
        <color theme="1"/>
        <rFont val="游ゴシック"/>
        <family val="3"/>
        <charset val="128"/>
        <scheme val="minor"/>
      </rPr>
      <t>※( )内は参考値</t>
    </r>
    <rPh sb="0" eb="1">
      <t xml:space="preserve">オンナ </t>
    </rPh>
    <rPh sb="2" eb="5">
      <t xml:space="preserve">サンコウチ </t>
    </rPh>
    <rPh sb="10" eb="11">
      <t>オトコ</t>
    </rPh>
    <phoneticPr fontId="3"/>
  </si>
  <si>
    <r>
      <rPr>
        <sz val="12"/>
        <color theme="1"/>
        <rFont val="游ゴシック"/>
        <family val="3"/>
        <charset val="128"/>
        <scheme val="minor"/>
      </rPr>
      <t>本シートに表示される</t>
    </r>
    <r>
      <rPr>
        <b/>
        <sz val="12"/>
        <color theme="1"/>
        <rFont val="游ゴシック"/>
        <family val="3"/>
        <charset val="128"/>
        <scheme val="minor"/>
      </rPr>
      <t>「参考値」</t>
    </r>
    <r>
      <rPr>
        <sz val="12"/>
        <color theme="1"/>
        <rFont val="游ゴシック"/>
        <family val="3"/>
        <charset val="128"/>
        <scheme val="minor"/>
      </rPr>
      <t>は、</t>
    </r>
    <r>
      <rPr>
        <b/>
        <sz val="12"/>
        <color theme="1"/>
        <rFont val="游ゴシック"/>
        <family val="3"/>
        <charset val="128"/>
        <scheme val="minor"/>
      </rPr>
      <t xml:space="preserve">
シート［入力シート］（２）の選択条件に基づき表示</t>
    </r>
    <r>
      <rPr>
        <sz val="12"/>
        <color theme="1"/>
        <rFont val="游ゴシック"/>
        <family val="3"/>
        <charset val="128"/>
        <scheme val="minor"/>
      </rPr>
      <t>されています。</t>
    </r>
    <r>
      <rPr>
        <b/>
        <sz val="12"/>
        <color theme="1"/>
        <rFont val="游ゴシック"/>
        <family val="3"/>
        <charset val="128"/>
        <scheme val="minor"/>
      </rPr>
      <t xml:space="preserve">
選択された条件は、上記項目の通りです。</t>
    </r>
    <rPh sb="0" eb="1">
      <t xml:space="preserve">ホンシート </t>
    </rPh>
    <rPh sb="5" eb="7">
      <t xml:space="preserve">ヒョウジ </t>
    </rPh>
    <rPh sb="11" eb="14">
      <t xml:space="preserve">サンコウチ </t>
    </rPh>
    <rPh sb="21" eb="23">
      <t xml:space="preserve">ニュウリョクシート </t>
    </rPh>
    <rPh sb="33" eb="34">
      <t xml:space="preserve">ジョウキセンタクジョウケンノ </t>
    </rPh>
    <rPh sb="36" eb="37">
      <t>モトヅキ</t>
    </rPh>
    <rPh sb="39" eb="41">
      <t>ヒョウ</t>
    </rPh>
    <rPh sb="47" eb="51">
      <t>センタク</t>
    </rPh>
    <rPh sb="55" eb="57">
      <t>ジョウキ</t>
    </rPh>
    <rPh sb="57" eb="60">
      <t>コウモク</t>
    </rPh>
    <rPh sb="61" eb="62">
      <t>トオリ</t>
    </rPh>
    <phoneticPr fontId="3"/>
  </si>
  <si>
    <r>
      <t xml:space="preserve">(記載例)：001
</t>
    </r>
    <r>
      <rPr>
        <b/>
        <sz val="7"/>
        <color rgb="FFC00000"/>
        <rFont val="游ゴシック"/>
        <family val="3"/>
        <charset val="128"/>
        <scheme val="minor"/>
      </rPr>
      <t>※同じ従業員は
同一番号で入力</t>
    </r>
    <rPh sb="1" eb="4">
      <t xml:space="preserve">キサイレイ </t>
    </rPh>
    <rPh sb="18" eb="20">
      <t>ドウイテゥ</t>
    </rPh>
    <phoneticPr fontId="3"/>
  </si>
  <si>
    <r>
      <t>※</t>
    </r>
    <r>
      <rPr>
        <b/>
        <u/>
        <sz val="11"/>
        <color theme="4"/>
        <rFont val="游ゴシック"/>
        <family val="3"/>
        <charset val="128"/>
        <scheme val="minor"/>
      </rPr>
      <t>従業員の情報が500件を超える場合</t>
    </r>
    <r>
      <rPr>
        <b/>
        <sz val="11"/>
        <color theme="4"/>
        <rFont val="游ゴシック"/>
        <family val="3"/>
        <charset val="128"/>
        <scheme val="minor"/>
      </rPr>
      <t>、
　以下の方法で各行のエラーを表示できます。
　①セル「F502」からセル「W502」までを選択してください。
　②①の状態で、カーソルをセル「W502」の右下角に合わせ、
　　下方向にドラッグしてください。</t>
    </r>
    <rPh sb="1" eb="4">
      <t>ジュウギョウ</t>
    </rPh>
    <rPh sb="19" eb="20">
      <t>イカ</t>
    </rPh>
    <rPh sb="25" eb="26">
      <t xml:space="preserve">ギョウ </t>
    </rPh>
    <rPh sb="27" eb="28">
      <t>カクギョウノ</t>
    </rPh>
    <rPh sb="33" eb="35">
      <t>ヒョウ</t>
    </rPh>
    <rPh sb="98" eb="99">
      <t xml:space="preserve">カク </t>
    </rPh>
    <rPh sb="105" eb="109">
      <t>ホウコウ</t>
    </rPh>
    <phoneticPr fontId="3"/>
  </si>
  <si>
    <t>要因</t>
    <rPh sb="0" eb="2">
      <t xml:space="preserve">ヨウイン </t>
    </rPh>
    <phoneticPr fontId="3"/>
  </si>
  <si>
    <t>「従業員番号」「雇用形態」「入社年月日」「性別」「役職」</t>
    <rPh sb="1" eb="4">
      <t xml:space="preserve">ジュウギョウイン </t>
    </rPh>
    <rPh sb="4" eb="6">
      <t xml:space="preserve">バンゴウ </t>
    </rPh>
    <rPh sb="7" eb="11">
      <t xml:space="preserve">コヨウケイタイ </t>
    </rPh>
    <rPh sb="12" eb="16">
      <t xml:space="preserve">ニュウシャネンガッピ </t>
    </rPh>
    <rPh sb="17" eb="19">
      <t xml:space="preserve">セイベツ </t>
    </rPh>
    <phoneticPr fontId="3"/>
  </si>
  <si>
    <t>「従業員番号」「雇用形態」「入社年月日」「性別」「役職」</t>
    <rPh sb="1" eb="4">
      <t xml:space="preserve">ジュウギョウイン </t>
    </rPh>
    <rPh sb="4" eb="6">
      <t xml:space="preserve">バンゴウ </t>
    </rPh>
    <rPh sb="7" eb="11">
      <t xml:space="preserve">コヨウケイタイ </t>
    </rPh>
    <rPh sb="17" eb="19">
      <t xml:space="preserve">セイベツ </t>
    </rPh>
    <phoneticPr fontId="3"/>
  </si>
  <si>
    <t>「従業員番号」「雇用形態」「入社年月日」「性別」</t>
    <rPh sb="1" eb="4">
      <t xml:space="preserve">ジュウギョウイン </t>
    </rPh>
    <rPh sb="4" eb="6">
      <t xml:space="preserve">バンゴウ </t>
    </rPh>
    <rPh sb="7" eb="11">
      <t xml:space="preserve">コヨウケイタイ </t>
    </rPh>
    <rPh sb="17" eb="19">
      <t xml:space="preserve">セイベツ </t>
    </rPh>
    <phoneticPr fontId="3"/>
  </si>
  <si>
    <t>「従業員番号」「雇用形態」「性別」</t>
    <rPh sb="1" eb="4">
      <t xml:space="preserve">ジュウギョウイン </t>
    </rPh>
    <rPh sb="4" eb="6">
      <t xml:space="preserve">バンゴウ </t>
    </rPh>
    <rPh sb="7" eb="11">
      <t xml:space="preserve">コヨウケイタイ </t>
    </rPh>
    <rPh sb="13" eb="14">
      <t xml:space="preserve">ヤクショク </t>
    </rPh>
    <phoneticPr fontId="3"/>
  </si>
  <si>
    <t>「従業員番号」「雇用形態」「性別」「役職」</t>
    <rPh sb="1" eb="4">
      <t xml:space="preserve">ジュウギョウイン </t>
    </rPh>
    <rPh sb="4" eb="6">
      <t xml:space="preserve">バンゴウ </t>
    </rPh>
    <rPh sb="7" eb="11">
      <t xml:space="preserve">コヨウケイタイ </t>
    </rPh>
    <rPh sb="13" eb="14">
      <t xml:space="preserve">ヤクショク </t>
    </rPh>
    <phoneticPr fontId="3"/>
  </si>
  <si>
    <t>正規</t>
    <rPh sb="0" eb="2">
      <t xml:space="preserve">セイキ </t>
    </rPh>
    <phoneticPr fontId="3"/>
  </si>
  <si>
    <t>非正規</t>
    <rPh sb="0" eb="3">
      <t xml:space="preserve">ヒセイキ </t>
    </rPh>
    <phoneticPr fontId="3"/>
  </si>
  <si>
    <t>①</t>
    <phoneticPr fontId="3"/>
  </si>
  <si>
    <t>基準</t>
    <rPh sb="0" eb="2">
      <t xml:space="preserve">キジュン </t>
    </rPh>
    <phoneticPr fontId="3"/>
  </si>
  <si>
    <t>値</t>
    <rPh sb="0" eb="1">
      <t xml:space="preserve">アタイ </t>
    </rPh>
    <phoneticPr fontId="3"/>
  </si>
  <si>
    <t>採用者数・労働者数</t>
    <phoneticPr fontId="3"/>
  </si>
  <si>
    <t>×</t>
    <phoneticPr fontId="3"/>
  </si>
  <si>
    <t>非正規採用者・労働者比率</t>
    <rPh sb="0" eb="3">
      <t xml:space="preserve">ヒセイキ </t>
    </rPh>
    <phoneticPr fontId="3"/>
  </si>
  <si>
    <t>非正規平均勤続年数比率</t>
    <rPh sb="0" eb="3">
      <t xml:space="preserve">ヒセイキ </t>
    </rPh>
    <rPh sb="3" eb="9">
      <t xml:space="preserve">ヘイキンキンゾクネンスウ </t>
    </rPh>
    <rPh sb="9" eb="11">
      <t xml:space="preserve">ヒリツ </t>
    </rPh>
    <phoneticPr fontId="3"/>
  </si>
  <si>
    <t>基準-2
0÷0</t>
    <rPh sb="0" eb="2">
      <t xml:space="preserve">キジュン </t>
    </rPh>
    <phoneticPr fontId="3"/>
  </si>
  <si>
    <t>正規採用者・労働者比率</t>
    <rPh sb="0" eb="2">
      <t xml:space="preserve">セイキ </t>
    </rPh>
    <rPh sb="2" eb="5">
      <t xml:space="preserve">ヒセイキ </t>
    </rPh>
    <phoneticPr fontId="3"/>
  </si>
  <si>
    <t>正規平均勤続年数比率</t>
    <rPh sb="0" eb="6">
      <t xml:space="preserve">ヘイキンキンゾクネンスウ </t>
    </rPh>
    <rPh sb="6" eb="8">
      <t xml:space="preserve">ヒリツ </t>
    </rPh>
    <phoneticPr fontId="3"/>
  </si>
  <si>
    <t>正規管理職比率</t>
    <rPh sb="0" eb="3">
      <t xml:space="preserve">カンリショク </t>
    </rPh>
    <rPh sb="3" eb="5">
      <t xml:space="preserve">ヒリツ </t>
    </rPh>
    <phoneticPr fontId="3"/>
  </si>
  <si>
    <t>正規残業時間比率</t>
    <rPh sb="0" eb="4">
      <t xml:space="preserve">ザンギョウジカン </t>
    </rPh>
    <rPh sb="4" eb="6">
      <t xml:space="preserve">ヒリツ </t>
    </rPh>
    <phoneticPr fontId="3"/>
  </si>
  <si>
    <t>O2502セル</t>
    <phoneticPr fontId="3"/>
  </si>
  <si>
    <t>③(1÷0)</t>
    <phoneticPr fontId="3"/>
  </si>
  <si>
    <t>②参考値="-"</t>
    <rPh sb="3" eb="4">
      <t xml:space="preserve">アタイ </t>
    </rPh>
    <phoneticPr fontId="3"/>
  </si>
  <si>
    <t>値②
労働者
1÷0</t>
    <rPh sb="0" eb="1">
      <t xml:space="preserve">アタイ </t>
    </rPh>
    <phoneticPr fontId="3"/>
  </si>
  <si>
    <r>
      <t xml:space="preserve">値
</t>
    </r>
    <r>
      <rPr>
        <b/>
        <sz val="6"/>
        <color theme="1"/>
        <rFont val="游ゴシック (本文)"/>
        <family val="3"/>
        <charset val="128"/>
      </rPr>
      <t>ツール-採用者</t>
    </r>
    <rPh sb="0" eb="1">
      <t xml:space="preserve">アタイ </t>
    </rPh>
    <phoneticPr fontId="3"/>
  </si>
  <si>
    <t>非正規残業時間比率</t>
    <rPh sb="0" eb="4">
      <t xml:space="preserve">ザンギョウジカン </t>
    </rPh>
    <rPh sb="4" eb="6">
      <t xml:space="preserve">ヒリツ </t>
    </rPh>
    <phoneticPr fontId="3"/>
  </si>
  <si>
    <t>該当</t>
    <rPh sb="0" eb="2">
      <t xml:space="preserve">ガイトウ </t>
    </rPh>
    <phoneticPr fontId="3"/>
  </si>
  <si>
    <t>不該当</t>
    <rPh sb="0" eb="1">
      <t xml:space="preserve">フ </t>
    </rPh>
    <rPh sb="1" eb="3">
      <t xml:space="preserve">フガイトウ </t>
    </rPh>
    <phoneticPr fontId="3"/>
  </si>
  <si>
    <t>項目</t>
    <rPh sb="0" eb="2">
      <t xml:space="preserve">コウモク </t>
    </rPh>
    <phoneticPr fontId="3"/>
  </si>
  <si>
    <t>課題該当
不該当</t>
    <rPh sb="0" eb="2">
      <t xml:space="preserve">カダイ </t>
    </rPh>
    <rPh sb="2" eb="3">
      <t xml:space="preserve">ガイトウ </t>
    </rPh>
    <rPh sb="5" eb="6">
      <t xml:space="preserve">フ </t>
    </rPh>
    <rPh sb="6" eb="8">
      <t xml:space="preserve">フガイトウ </t>
    </rPh>
    <phoneticPr fontId="3"/>
  </si>
  <si>
    <t>賞与額等</t>
    <rPh sb="0" eb="4">
      <t xml:space="preserve">ショウヨトウ </t>
    </rPh>
    <phoneticPr fontId="3"/>
  </si>
  <si>
    <t>記載例に従って、「従業員番号」「毎月の固定給与額」「賞与額等」「残業手当額」「残業時間」に入力又は貼付してください。</t>
    <rPh sb="9" eb="12">
      <t xml:space="preserve">ジュウギョウイン </t>
    </rPh>
    <rPh sb="12" eb="14">
      <t xml:space="preserve">バンゴウ </t>
    </rPh>
    <rPh sb="16" eb="18">
      <t xml:space="preserve">マイツキノ </t>
    </rPh>
    <rPh sb="19" eb="24">
      <t xml:space="preserve">コテイキュウヨガク </t>
    </rPh>
    <rPh sb="24" eb="25">
      <t xml:space="preserve">キュウヨ </t>
    </rPh>
    <rPh sb="26" eb="28">
      <t xml:space="preserve">ショウヨ </t>
    </rPh>
    <rPh sb="28" eb="29">
      <t xml:space="preserve">トウ </t>
    </rPh>
    <rPh sb="29" eb="30">
      <t xml:space="preserve">ガク </t>
    </rPh>
    <rPh sb="32" eb="36">
      <t xml:space="preserve">ザンギョウテアテ </t>
    </rPh>
    <rPh sb="36" eb="37">
      <t xml:space="preserve">ガク </t>
    </rPh>
    <rPh sb="39" eb="43">
      <t xml:space="preserve">ザンギョウジカン </t>
    </rPh>
    <phoneticPr fontId="3"/>
  </si>
  <si>
    <t>記載例に従って、「従業員番号」「毎月の固定給与額」「賞与額等」「残業手当額」に入力又は貼付してください。</t>
    <rPh sb="9" eb="12">
      <t xml:space="preserve">ジュウギョウイン </t>
    </rPh>
    <rPh sb="12" eb="14">
      <t xml:space="preserve">バンゴウ </t>
    </rPh>
    <rPh sb="16" eb="18">
      <t xml:space="preserve">マイツキノ </t>
    </rPh>
    <rPh sb="19" eb="24">
      <t xml:space="preserve">コテイキュウヨガク </t>
    </rPh>
    <rPh sb="24" eb="25">
      <t xml:space="preserve">キュウヨ </t>
    </rPh>
    <rPh sb="26" eb="28">
      <t xml:space="preserve">ショウヨ </t>
    </rPh>
    <rPh sb="28" eb="29">
      <t xml:space="preserve">トウ </t>
    </rPh>
    <rPh sb="29" eb="30">
      <t xml:space="preserve">ガク </t>
    </rPh>
    <rPh sb="32" eb="36">
      <t xml:space="preserve">ザンギョウテアテ </t>
    </rPh>
    <rPh sb="36" eb="37">
      <t xml:space="preserve">ガク </t>
    </rPh>
    <phoneticPr fontId="3"/>
  </si>
  <si>
    <r>
      <t>役職別</t>
    </r>
    <r>
      <rPr>
        <b/>
        <sz val="10.5"/>
        <color rgb="FF44812A"/>
        <rFont val="游ゴシック"/>
        <family val="3"/>
        <charset val="128"/>
        <scheme val="minor"/>
      </rPr>
      <t>※正規雇用労働者のみ</t>
    </r>
    <rPh sb="4" eb="8">
      <t xml:space="preserve">セイキコヨウ </t>
    </rPh>
    <rPh sb="8" eb="11">
      <t>ロウドウ</t>
    </rPh>
    <phoneticPr fontId="3"/>
  </si>
  <si>
    <r>
      <t>勤続年数階級別</t>
    </r>
    <r>
      <rPr>
        <b/>
        <sz val="10.5"/>
        <color theme="8"/>
        <rFont val="游ゴシック"/>
        <family val="3"/>
        <charset val="128"/>
        <scheme val="minor"/>
      </rPr>
      <t>※正規雇用労働者のみ</t>
    </r>
    <rPh sb="12" eb="15">
      <t>ロウドウ</t>
    </rPh>
    <phoneticPr fontId="3"/>
  </si>
  <si>
    <r>
      <t>勤続年数階級別</t>
    </r>
    <r>
      <rPr>
        <b/>
        <sz val="11"/>
        <color theme="8"/>
        <rFont val="游ゴシック"/>
        <family val="3"/>
        <charset val="128"/>
        <scheme val="minor"/>
      </rPr>
      <t>※正規雇用労働者のみ</t>
    </r>
    <rPh sb="12" eb="15">
      <t>ロウドウ</t>
    </rPh>
    <phoneticPr fontId="3"/>
  </si>
  <si>
    <r>
      <t>役職別</t>
    </r>
    <r>
      <rPr>
        <b/>
        <sz val="11"/>
        <color rgb="FF44812A"/>
        <rFont val="游ゴシック"/>
        <family val="3"/>
        <charset val="128"/>
        <scheme val="minor"/>
      </rPr>
      <t>※正規雇用労働者のみ</t>
    </r>
    <rPh sb="4" eb="8">
      <t xml:space="preserve">セイキコヨウ </t>
    </rPh>
    <rPh sb="8" eb="11">
      <t>ロウドウ</t>
    </rPh>
    <phoneticPr fontId="3"/>
  </si>
  <si>
    <r>
      <rPr>
        <sz val="12"/>
        <rFont val="游ゴシック"/>
        <family val="3"/>
        <charset val="128"/>
        <scheme val="minor"/>
      </rPr>
      <t>「男女間賃金差異分析ツール（以下「本ツール」）」は、自社の男女間賃金差異をはじめとする労務管理の基本データを、同業種・同従業員規模の企業平均データ(参考値※)と比較することで、自社の女性活躍に関する強みや課題を明らかにすることができます。</t>
    </r>
    <r>
      <rPr>
        <sz val="13"/>
        <rFont val="游ゴシック"/>
        <family val="3"/>
        <charset val="128"/>
        <scheme val="minor"/>
      </rPr>
      <t xml:space="preserve">
</t>
    </r>
    <r>
      <rPr>
        <sz val="10"/>
        <rFont val="游ゴシック"/>
        <family val="3"/>
        <charset val="128"/>
        <scheme val="minor"/>
      </rPr>
      <t>　※厚生労働省「令和５年度賃金構造基本統計調査」「令和５年度雇用動向調査」を基にした産業分類や企業規模、または産業分類×企業規模ごと
　　の平均値のこと。賃金平均値は「賃金構造基本統計調査」の「所定内給与額」「昨年１年間の賞与、期末手当等特別給与」「超過労働給与額」
　　を基に集計したもの。</t>
    </r>
    <phoneticPr fontId="3"/>
  </si>
  <si>
    <t>※「従業員番号」：同じ従業員は同一番号で入力してください。
　(本シートとシート［従業員の給与情報］ともに）
（例：従業員Aの番号が「0001」となる場合、上記２枚のシートで共に「0001」と入力します。）</t>
    <rPh sb="31" eb="32">
      <t>ホンシ-</t>
    </rPh>
    <rPh sb="62" eb="64">
      <t>バンゴウ</t>
    </rPh>
    <rPh sb="87" eb="88">
      <t>トモ</t>
    </rPh>
    <phoneticPr fontId="3"/>
  </si>
  <si>
    <r>
      <t>※</t>
    </r>
    <r>
      <rPr>
        <b/>
        <u/>
        <sz val="11"/>
        <color theme="4"/>
        <rFont val="游ゴシック"/>
        <family val="3"/>
        <charset val="128"/>
        <scheme val="minor"/>
      </rPr>
      <t>従業員の給与情報が2,500件を超える場合</t>
    </r>
    <r>
      <rPr>
        <b/>
        <sz val="11"/>
        <color theme="4"/>
        <rFont val="游ゴシック"/>
        <family val="3"/>
        <charset val="128"/>
        <scheme val="minor"/>
      </rPr>
      <t>、
　以下の方法で各行のエラーを表示できます。
　①セル「G2502」からセル「O2502」までを
　　選択してください。
　②①の状態で、カーソルをセル「N2502」の右下角に合わせ、
　　下方向にドラッグしてください。</t>
    </r>
    <rPh sb="1" eb="4">
      <t>ジュウギョウ</t>
    </rPh>
    <rPh sb="5" eb="7">
      <t xml:space="preserve">キュウヨ </t>
    </rPh>
    <rPh sb="46" eb="47">
      <t xml:space="preserve">シタニ </t>
    </rPh>
    <rPh sb="65" eb="67">
      <t xml:space="preserve">カクギョウ </t>
    </rPh>
    <rPh sb="81" eb="82">
      <t xml:space="preserve">カノウ </t>
    </rPh>
    <rPh sb="102" eb="103">
      <t xml:space="preserve">カク </t>
    </rPh>
    <rPh sb="110" eb="112">
      <t>ホウコウ</t>
    </rPh>
    <phoneticPr fontId="3"/>
  </si>
  <si>
    <r>
      <t xml:space="preserve">001
</t>
    </r>
    <r>
      <rPr>
        <b/>
        <sz val="9"/>
        <color rgb="FFC00000"/>
        <rFont val="游ゴシック"/>
        <family val="3"/>
        <charset val="128"/>
        <scheme val="minor"/>
      </rPr>
      <t>※同じ従業員は
同一番号で入力</t>
    </r>
    <rPh sb="2" eb="6">
      <t xml:space="preserve">ドウイツシャイン </t>
    </rPh>
    <rPh sb="6" eb="9">
      <t xml:space="preserve">ドウバンゴウ </t>
    </rPh>
    <phoneticPr fontId="3"/>
  </si>
  <si>
    <r>
      <t>※「従業員番号」：同じ従業員は同一番号で入力してください。
　（本シートとシート［従業員情報（給与以外）］ともに）
※</t>
    </r>
    <r>
      <rPr>
        <b/>
        <u/>
        <sz val="9"/>
        <color theme="4"/>
        <rFont val="游ゴシック"/>
        <family val="3"/>
        <charset val="128"/>
        <scheme val="minor"/>
      </rPr>
      <t>「残業時間」：原則、時間単位で入力してください。</t>
    </r>
    <r>
      <rPr>
        <b/>
        <sz val="9"/>
        <color theme="4"/>
        <rFont val="游ゴシック"/>
        <family val="3"/>
        <charset val="128"/>
        <scheme val="minor"/>
      </rPr>
      <t xml:space="preserve">
     </t>
    </r>
    <r>
      <rPr>
        <b/>
        <u/>
        <sz val="9"/>
        <color theme="4"/>
        <rFont val="游ゴシック"/>
        <family val="3"/>
        <charset val="128"/>
        <scheme val="minor"/>
      </rPr>
      <t>分単位で入力する場合は『分で入力』を選択し、入力してください。</t>
    </r>
    <r>
      <rPr>
        <b/>
        <sz val="9"/>
        <color theme="4"/>
        <rFont val="游ゴシック"/>
        <family val="3"/>
        <charset val="128"/>
        <scheme val="minor"/>
      </rPr>
      <t xml:space="preserve">
 （例:1時間15分の場合→時間「1.25」又は分「1.15」、 
　　  2時間50分の場合→時間「1.833」又は分「1.50」）
※「,」「、」「：」は使用できませんので、ご注意ください。</t>
    </r>
    <phoneticPr fontId="3"/>
  </si>
  <si>
    <t>貴社は非正規雇用労働者について【課題タイプ①　採用した労働者に占める女性割合が低い（又は労働者に占める女性割合が低い）企業】の可能性が高いです。</t>
    <phoneticPr fontId="3"/>
  </si>
  <si>
    <t>貴社は非正規雇用労働者について【課題タイプ②　男女の平均継続勤務年数が短い・男女の平均継続勤務年数に差がある企業】の可能性が高いです。</t>
    <phoneticPr fontId="3"/>
  </si>
  <si>
    <t>貴社は非正規雇用労働者について【課題タイプ②　男女の平均継続勤務年数が短い・男女の平均継続勤務年数に差がある企業】及び【課題タイプ③　男女の平均残業時間数等の労働時間が長い企業】の可能性が高いです。</t>
    <phoneticPr fontId="3"/>
  </si>
  <si>
    <t>貴社は非正規雇用労働者について【課題タイプ③　男女の平均残業時間数等の労働時間が長い企業】の可能性が高いです。</t>
    <phoneticPr fontId="3"/>
  </si>
  <si>
    <t>企業規模計(10人以上)</t>
    <phoneticPr fontId="3"/>
  </si>
  <si>
    <t>欄に空白があります。男女間賃金差異(%)を入力してください。</t>
    <rPh sb="0" eb="2">
      <t xml:space="preserve">クウハク </t>
    </rPh>
    <rPh sb="10" eb="14">
      <t xml:space="preserve">コヨウケイタイ </t>
    </rPh>
    <rPh sb="14" eb="15">
      <t xml:space="preserve">コウヨウケイタイベツ </t>
    </rPh>
    <rPh sb="18" eb="21">
      <t xml:space="preserve">ダンジョカン </t>
    </rPh>
    <rPh sb="21" eb="23">
      <t xml:space="preserve">チンギン </t>
    </rPh>
    <rPh sb="23" eb="25">
      <t xml:space="preserve">サイ </t>
    </rPh>
    <phoneticPr fontId="3"/>
  </si>
  <si>
    <t>男</t>
    <rPh sb="0" eb="1">
      <t xml:space="preserve">オトコ </t>
    </rPh>
    <phoneticPr fontId="36"/>
  </si>
  <si>
    <t>女</t>
    <rPh sb="0" eb="1">
      <t xml:space="preserve">オンナ </t>
    </rPh>
    <phoneticPr fontId="36"/>
  </si>
  <si>
    <t>-</t>
  </si>
  <si>
    <t>検索コード</t>
    <rPh sb="0" eb="2">
      <t xml:space="preserve">ケンサクコード </t>
    </rPh>
    <phoneticPr fontId="36"/>
  </si>
  <si>
    <t>正規雇用---</t>
  </si>
  <si>
    <t>正規雇用---1,000人以上</t>
  </si>
  <si>
    <t>非正規雇用---</t>
  </si>
  <si>
    <t>非正規雇用---1,000人以上</t>
  </si>
  <si>
    <t>正規雇用-E-23-</t>
  </si>
  <si>
    <t>正規雇用-C--</t>
  </si>
  <si>
    <t>正規雇用-D--</t>
  </si>
  <si>
    <t>正規雇用-E--</t>
  </si>
  <si>
    <t>正規雇用-E-9-</t>
  </si>
  <si>
    <t>正規雇用-E-11-</t>
  </si>
  <si>
    <t>正規雇用-E-12-</t>
  </si>
  <si>
    <t>正規雇用-E-13-</t>
  </si>
  <si>
    <t>正規雇用-E-14-</t>
  </si>
  <si>
    <t>正規雇用-E-15-</t>
  </si>
  <si>
    <t>正規雇用-E-16-</t>
  </si>
  <si>
    <t>正規雇用-E-18-</t>
  </si>
  <si>
    <t>正規雇用-E-19-</t>
  </si>
  <si>
    <t>正規雇用-E-21-</t>
  </si>
  <si>
    <t>正規雇用-E-22-</t>
  </si>
  <si>
    <t>正規雇用-E-24-</t>
  </si>
  <si>
    <t>正規雇用-E-25-</t>
  </si>
  <si>
    <t>正規雇用-E-26-</t>
  </si>
  <si>
    <t>正規雇用-E-27-</t>
  </si>
  <si>
    <t>正規雇用-E-28-</t>
  </si>
  <si>
    <t>正規雇用-E-29-</t>
  </si>
  <si>
    <t>正規雇用-E-30-</t>
  </si>
  <si>
    <t>正規雇用-E-31-</t>
  </si>
  <si>
    <t>正規雇用-E-20-</t>
  </si>
  <si>
    <t>正規雇用-F--</t>
  </si>
  <si>
    <t>正規雇用-G--</t>
  </si>
  <si>
    <t>正規雇用-H--</t>
  </si>
  <si>
    <t>正規雇用-I--</t>
  </si>
  <si>
    <t>正規雇用-J--</t>
  </si>
  <si>
    <t>正規雇用-K--</t>
  </si>
  <si>
    <t>正規雇用-L--</t>
  </si>
  <si>
    <t>正規雇用-M--</t>
  </si>
  <si>
    <t>正規雇用-N--</t>
  </si>
  <si>
    <t>正規雇用-O--</t>
  </si>
  <si>
    <t>正規雇用-P--</t>
  </si>
  <si>
    <t>正規雇用-Q--</t>
  </si>
  <si>
    <t>正規雇用-R--</t>
  </si>
  <si>
    <t>正規雇用-C--1,000人以上</t>
  </si>
  <si>
    <t>正規雇用-D--1,000人以上</t>
  </si>
  <si>
    <t>正規雇用-E--1,000人以上</t>
  </si>
  <si>
    <t>正規雇用-E-9-1,000人以上</t>
  </si>
  <si>
    <t>正規雇用-E-11-1,000人以上</t>
  </si>
  <si>
    <t>正規雇用-E-12-1,000人以上</t>
  </si>
  <si>
    <t>正規雇用-E-13-1,000人以上</t>
  </si>
  <si>
    <t>正規雇用-E-14-1,000人以上</t>
  </si>
  <si>
    <t>正規雇用-E-15-1,000人以上</t>
  </si>
  <si>
    <t>正規雇用-E-16-1,000人以上</t>
  </si>
  <si>
    <t>正規雇用-E-18-1,000人以上</t>
  </si>
  <si>
    <t>正規雇用-E-19-1,000人以上</t>
  </si>
  <si>
    <t>正規雇用-E-21-1,000人以上</t>
  </si>
  <si>
    <t>正規雇用-E-22-1,000人以上</t>
  </si>
  <si>
    <t>正規雇用-E-23-1,000人以上</t>
  </si>
  <si>
    <t>正規雇用-E-24-1,000人以上</t>
  </si>
  <si>
    <t>正規雇用-E-25-1,000人以上</t>
  </si>
  <si>
    <t>正規雇用-E-26-1,000人以上</t>
  </si>
  <si>
    <t>正規雇用-E-27-1,000人以上</t>
  </si>
  <si>
    <t>正規雇用-E-28-1,000人以上</t>
  </si>
  <si>
    <t>正規雇用-E-29-1,000人以上</t>
  </si>
  <si>
    <t>正規雇用-E-30-1,000人以上</t>
  </si>
  <si>
    <t>正規雇用-E-31-1,000人以上</t>
  </si>
  <si>
    <t>正規雇用-E-20-1,000人以上</t>
  </si>
  <si>
    <t>正規雇用-F--1,000人以上</t>
  </si>
  <si>
    <t>正規雇用-G--1,000人以上</t>
  </si>
  <si>
    <t>正規雇用-H--1,000人以上</t>
  </si>
  <si>
    <t>正規雇用-I--1,000人以上</t>
  </si>
  <si>
    <t>正規雇用-J--1,000人以上</t>
  </si>
  <si>
    <t>正規雇用-K--1,000人以上</t>
  </si>
  <si>
    <t>正規雇用-L--1,000人以上</t>
  </si>
  <si>
    <t>正規雇用-M--1,000人以上</t>
  </si>
  <si>
    <t>正規雇用-N--1,000人以上</t>
  </si>
  <si>
    <t>正規雇用-O--1,000人以上</t>
  </si>
  <si>
    <t>正規雇用-P--1,000人以上</t>
  </si>
  <si>
    <t>正規雇用-Q--1,000人以上</t>
  </si>
  <si>
    <t>正規雇用-R--1,000人以上</t>
  </si>
  <si>
    <t>非正規雇用-C--</t>
  </si>
  <si>
    <t>非正規雇用-D--</t>
  </si>
  <si>
    <t>非正規雇用-E--</t>
  </si>
  <si>
    <t>非正規雇用-E-9-</t>
  </si>
  <si>
    <t>非正規雇用-E-11-</t>
  </si>
  <si>
    <t>非正規雇用-E-12-</t>
  </si>
  <si>
    <t>非正規雇用-E-13-</t>
  </si>
  <si>
    <t>非正規雇用-E-14-</t>
  </si>
  <si>
    <t>非正規雇用-E-15-</t>
  </si>
  <si>
    <t>非正規雇用-E-16-</t>
  </si>
  <si>
    <t>非正規雇用-E-18-</t>
  </si>
  <si>
    <t>非正規雇用-E-19-</t>
  </si>
  <si>
    <t>非正規雇用-E-21-</t>
  </si>
  <si>
    <t>非正規雇用-E-22-</t>
  </si>
  <si>
    <t>非正規雇用-E-23-</t>
  </si>
  <si>
    <t>非正規雇用-E-24-</t>
  </si>
  <si>
    <t>非正規雇用-E-25-</t>
  </si>
  <si>
    <t>非正規雇用-E-26-</t>
  </si>
  <si>
    <t>非正規雇用-E-27-</t>
  </si>
  <si>
    <t>非正規雇用-E-28-</t>
  </si>
  <si>
    <t>非正規雇用-E-29-</t>
  </si>
  <si>
    <t>非正規雇用-E-30-</t>
  </si>
  <si>
    <t>非正規雇用-E-31-</t>
  </si>
  <si>
    <t>非正規雇用-E-20-</t>
  </si>
  <si>
    <t>非正規雇用-F--</t>
  </si>
  <si>
    <t>非正規雇用-G--</t>
  </si>
  <si>
    <t>非正規雇用-H--</t>
  </si>
  <si>
    <t>非正規雇用-I--</t>
  </si>
  <si>
    <t>非正規雇用-J--</t>
  </si>
  <si>
    <t>非正規雇用-K--</t>
  </si>
  <si>
    <t>非正規雇用-L--</t>
  </si>
  <si>
    <t>非正規雇用-M--</t>
  </si>
  <si>
    <t>非正規雇用-N--</t>
  </si>
  <si>
    <t>非正規雇用-O--</t>
  </si>
  <si>
    <t>非正規雇用-P--</t>
  </si>
  <si>
    <t>非正規雇用-Q--</t>
  </si>
  <si>
    <t>非正規雇用-R--</t>
  </si>
  <si>
    <t>非正規雇用-C--1,000人以上</t>
  </si>
  <si>
    <t>非正規雇用-D--1,000人以上</t>
  </si>
  <si>
    <t>非正規雇用-E--1,000人以上</t>
  </si>
  <si>
    <t>非正規雇用-E-9-1,000人以上</t>
  </si>
  <si>
    <t>非正規雇用-E-11-1,000人以上</t>
  </si>
  <si>
    <t>非正規雇用-E-12-1,000人以上</t>
  </si>
  <si>
    <t>非正規雇用-E-13-1,000人以上</t>
  </si>
  <si>
    <t>非正規雇用-E-14-1,000人以上</t>
  </si>
  <si>
    <t>非正規雇用-E-15-1,000人以上</t>
  </si>
  <si>
    <t>非正規雇用-E-16-1,000人以上</t>
  </si>
  <si>
    <t>非正規雇用-E-18-1,000人以上</t>
  </si>
  <si>
    <t>非正規雇用-E-19-1,000人以上</t>
  </si>
  <si>
    <t>非正規雇用-E-21-1,000人以上</t>
  </si>
  <si>
    <t>非正規雇用-E-22-1,000人以上</t>
  </si>
  <si>
    <t>非正規雇用-E-23-1,000人以上</t>
  </si>
  <si>
    <t>非正規雇用-E-24-1,000人以上</t>
  </si>
  <si>
    <t>非正規雇用-E-25-1,000人以上</t>
  </si>
  <si>
    <t>非正規雇用-E-26-1,000人以上</t>
  </si>
  <si>
    <t>非正規雇用-E-27-1,000人以上</t>
  </si>
  <si>
    <t>非正規雇用-E-28-1,000人以上</t>
  </si>
  <si>
    <t>非正規雇用-E-29-1,000人以上</t>
  </si>
  <si>
    <t>非正規雇用-E-30-1,000人以上</t>
  </si>
  <si>
    <t>非正規雇用-E-31-1,000人以上</t>
  </si>
  <si>
    <t>非正規雇用-E-20-1,000人以上</t>
  </si>
  <si>
    <t>非正規雇用-F--1,000人以上</t>
  </si>
  <si>
    <t>非正規雇用-G--1,000人以上</t>
  </si>
  <si>
    <t>非正規雇用-H--1,000人以上</t>
  </si>
  <si>
    <t>非正規雇用-I--1,000人以上</t>
  </si>
  <si>
    <t>非正規雇用-J--1,000人以上</t>
  </si>
  <si>
    <t>非正規雇用-K--1,000人以上</t>
  </si>
  <si>
    <t>非正規雇用-L--1,000人以上</t>
  </si>
  <si>
    <t>非正規雇用-M--1,000人以上</t>
  </si>
  <si>
    <t>非正規雇用-N--1,000人以上</t>
  </si>
  <si>
    <t>非正規雇用-O--1,000人以上</t>
  </si>
  <si>
    <t>非正規雇用-P--1,000人以上</t>
  </si>
  <si>
    <t>非正規雇用-Q--1,000人以上</t>
  </si>
  <si>
    <t>非正規雇用-R--1,000人以上</t>
  </si>
  <si>
    <t>正規雇用-E-10-</t>
  </si>
  <si>
    <t>正規雇用-E-17-</t>
  </si>
  <si>
    <t>正規雇用-E-32-</t>
  </si>
  <si>
    <t>正規雇用-E-10-1,000人以上</t>
  </si>
  <si>
    <t>正規雇用-E-17-1,000人以上</t>
  </si>
  <si>
    <t>正規雇用-E-32-1,000人以上</t>
  </si>
  <si>
    <t>非正規雇用-E-10-</t>
  </si>
  <si>
    <t>非正規雇用-E-17-</t>
  </si>
  <si>
    <t>非正規雇用-E-32-</t>
  </si>
  <si>
    <t>非正規雇用-E-10-1,000人以上</t>
  </si>
  <si>
    <t>非正規雇用-E-17-1,000人以上</t>
  </si>
  <si>
    <t>非正規雇用-E-32-1,000人以上</t>
  </si>
  <si>
    <t>正規雇用---300-999人</t>
  </si>
  <si>
    <t>正規雇用-C--300-999人</t>
  </si>
  <si>
    <t>正規雇用-D--300-999人</t>
  </si>
  <si>
    <t>正規雇用-E--300-999人</t>
  </si>
  <si>
    <t>正規雇用-E-9-300-999人</t>
  </si>
  <si>
    <t>正規雇用-E-11-300-999人</t>
  </si>
  <si>
    <t>正規雇用-E-12-300-999人</t>
  </si>
  <si>
    <t>正規雇用-E-13-300-999人</t>
  </si>
  <si>
    <t>正規雇用-E-14-300-999人</t>
  </si>
  <si>
    <t>正規雇用-E-15-300-999人</t>
  </si>
  <si>
    <t>正規雇用-E-16-300-999人</t>
  </si>
  <si>
    <t>正規雇用-E-18-300-999人</t>
  </si>
  <si>
    <t>正規雇用-E-19-300-999人</t>
  </si>
  <si>
    <t>正規雇用-E-21-300-999人</t>
  </si>
  <si>
    <t>正規雇用-E-22-300-999人</t>
  </si>
  <si>
    <t>正規雇用-E-23-300-999人</t>
  </si>
  <si>
    <t>正規雇用-E-24-300-999人</t>
  </si>
  <si>
    <t>正規雇用-E-25-300-999人</t>
  </si>
  <si>
    <t>正規雇用-E-26-300-999人</t>
  </si>
  <si>
    <t>正規雇用-E-27-300-999人</t>
  </si>
  <si>
    <t>正規雇用-E-28-300-999人</t>
  </si>
  <si>
    <t>正規雇用-E-29-300-999人</t>
  </si>
  <si>
    <t>正規雇用-E-30-300-999人</t>
  </si>
  <si>
    <t>正規雇用-E-31-300-999人</t>
  </si>
  <si>
    <t>正規雇用-E-20-300-999人</t>
  </si>
  <si>
    <t>正規雇用-F--300-999人</t>
  </si>
  <si>
    <t>正規雇用-G--300-999人</t>
  </si>
  <si>
    <t>正規雇用-H--300-999人</t>
  </si>
  <si>
    <t>正規雇用-I--300-999人</t>
  </si>
  <si>
    <t>正規雇用-J--300-999人</t>
  </si>
  <si>
    <t>正規雇用-K--300-999人</t>
  </si>
  <si>
    <t>正規雇用-L--300-999人</t>
  </si>
  <si>
    <t>正規雇用-M--300-999人</t>
  </si>
  <si>
    <t>正規雇用-N--300-999人</t>
  </si>
  <si>
    <t>正規雇用-O--300-999人</t>
  </si>
  <si>
    <t>正規雇用-P--300-999人</t>
  </si>
  <si>
    <t>正規雇用-Q--300-999人</t>
  </si>
  <si>
    <t>正規雇用-R--300-999人</t>
  </si>
  <si>
    <t>正規雇用---100-299人</t>
  </si>
  <si>
    <t>正規雇用-C--100-299人</t>
  </si>
  <si>
    <t>正規雇用-D--100-299人</t>
  </si>
  <si>
    <t>正規雇用-E--100-299人</t>
  </si>
  <si>
    <t>正規雇用-E-9-100-299人</t>
  </si>
  <si>
    <t>正規雇用-E-11-100-299人</t>
  </si>
  <si>
    <t>正規雇用-E-12-100-299人</t>
  </si>
  <si>
    <t>正規雇用-E-13-100-299人</t>
  </si>
  <si>
    <t>正規雇用-E-14-100-299人</t>
  </si>
  <si>
    <t>正規雇用-E-15-100-299人</t>
  </si>
  <si>
    <t>正規雇用-E-16-100-299人</t>
  </si>
  <si>
    <t>正規雇用-E-18-100-299人</t>
  </si>
  <si>
    <t>正規雇用-E-19-100-299人</t>
  </si>
  <si>
    <t>正規雇用-E-21-100-299人</t>
  </si>
  <si>
    <t>正規雇用-E-22-100-299人</t>
  </si>
  <si>
    <t>正規雇用-E-23-100-299人</t>
  </si>
  <si>
    <t>正規雇用-E-24-100-299人</t>
  </si>
  <si>
    <t>正規雇用-E-25-100-299人</t>
  </si>
  <si>
    <t>正規雇用-E-26-100-299人</t>
  </si>
  <si>
    <t>正規雇用-E-27-100-299人</t>
  </si>
  <si>
    <t>正規雇用-E-28-100-299人</t>
  </si>
  <si>
    <t>正規雇用-E-29-100-299人</t>
  </si>
  <si>
    <t>正規雇用-E-30-100-299人</t>
  </si>
  <si>
    <t>正規雇用-E-31-100-299人</t>
  </si>
  <si>
    <t>正規雇用-E-20-100-299人</t>
  </si>
  <si>
    <t>正規雇用-F--100-299人</t>
  </si>
  <si>
    <t>正規雇用-G--100-299人</t>
  </si>
  <si>
    <t>正規雇用-H--100-299人</t>
  </si>
  <si>
    <t>正規雇用-I--100-299人</t>
  </si>
  <si>
    <t>正規雇用-J--100-299人</t>
  </si>
  <si>
    <t>正規雇用-K--100-299人</t>
  </si>
  <si>
    <t>正規雇用-L--100-299人</t>
  </si>
  <si>
    <t>正規雇用-M--100-299人</t>
  </si>
  <si>
    <t>正規雇用-N--100-299人</t>
  </si>
  <si>
    <t>正規雇用-O--100-299人</t>
  </si>
  <si>
    <t>正規雇用-P--100-299人</t>
  </si>
  <si>
    <t>正規雇用-Q--100-299人</t>
  </si>
  <si>
    <t>正規雇用-R--100-299人</t>
  </si>
  <si>
    <t>非正規雇用---300-999人</t>
  </si>
  <si>
    <t>非正規雇用-C--300-999人</t>
  </si>
  <si>
    <t>非正規雇用-D--300-999人</t>
  </si>
  <si>
    <t>非正規雇用-E--300-999人</t>
  </si>
  <si>
    <t>非正規雇用-E-9-300-999人</t>
  </si>
  <si>
    <t>非正規雇用-E-11-300-999人</t>
  </si>
  <si>
    <t>非正規雇用-E-12-300-999人</t>
  </si>
  <si>
    <t>非正規雇用-E-13-300-999人</t>
  </si>
  <si>
    <t>非正規雇用-E-14-300-999人</t>
  </si>
  <si>
    <t>非正規雇用-E-15-300-999人</t>
  </si>
  <si>
    <t>非正規雇用-E-16-300-999人</t>
  </si>
  <si>
    <t>非正規雇用-E-18-300-999人</t>
  </si>
  <si>
    <t>非正規雇用-E-19-300-999人</t>
  </si>
  <si>
    <t>非正規雇用-E-21-300-999人</t>
  </si>
  <si>
    <t>非正規雇用-E-22-300-999人</t>
  </si>
  <si>
    <t>非正規雇用-E-23-300-999人</t>
  </si>
  <si>
    <t>非正規雇用-E-24-300-999人</t>
  </si>
  <si>
    <t>非正規雇用-E-25-300-999人</t>
  </si>
  <si>
    <t>非正規雇用-E-26-300-999人</t>
  </si>
  <si>
    <t>非正規雇用-E-27-300-999人</t>
  </si>
  <si>
    <t>非正規雇用-E-28-300-999人</t>
  </si>
  <si>
    <t>非正規雇用-E-29-300-999人</t>
  </si>
  <si>
    <t>非正規雇用-E-30-300-999人</t>
  </si>
  <si>
    <t>非正規雇用-E-31-300-999人</t>
  </si>
  <si>
    <t>非正規雇用-E-20-300-999人</t>
  </si>
  <si>
    <t>非正規雇用-F--300-999人</t>
  </si>
  <si>
    <t>非正規雇用-G--300-999人</t>
  </si>
  <si>
    <t>非正規雇用-H--300-999人</t>
  </si>
  <si>
    <t>非正規雇用-I--300-999人</t>
  </si>
  <si>
    <t>非正規雇用-J--300-999人</t>
  </si>
  <si>
    <t>非正規雇用-K--300-999人</t>
  </si>
  <si>
    <t>非正規雇用-L--300-999人</t>
  </si>
  <si>
    <t>非正規雇用-M--300-999人</t>
  </si>
  <si>
    <t>非正規雇用-N--300-999人</t>
  </si>
  <si>
    <t>非正規雇用-O--300-999人</t>
  </si>
  <si>
    <t>非正規雇用-P--300-999人</t>
  </si>
  <si>
    <t>非正規雇用-Q--300-999人</t>
  </si>
  <si>
    <t>非正規雇用-R--300-999人</t>
  </si>
  <si>
    <t>非正規雇用---100-299人</t>
  </si>
  <si>
    <t>非正規雇用-C--100-299人</t>
  </si>
  <si>
    <t>非正規雇用-D--100-299人</t>
  </si>
  <si>
    <t>非正規雇用-E--100-299人</t>
  </si>
  <si>
    <t>非正規雇用-E-9-100-299人</t>
  </si>
  <si>
    <t>非正規雇用-E-11-100-299人</t>
  </si>
  <si>
    <t>非正規雇用-E-12-100-299人</t>
  </si>
  <si>
    <t>非正規雇用-E-13-100-299人</t>
  </si>
  <si>
    <t>非正規雇用-E-14-100-299人</t>
  </si>
  <si>
    <t>非正規雇用-E-15-100-299人</t>
  </si>
  <si>
    <t>非正規雇用-E-16-100-299人</t>
  </si>
  <si>
    <t>非正規雇用-E-18-100-299人</t>
  </si>
  <si>
    <t>非正規雇用-E-19-100-299人</t>
  </si>
  <si>
    <t>非正規雇用-E-21-100-299人</t>
  </si>
  <si>
    <t>非正規雇用-E-22-100-299人</t>
  </si>
  <si>
    <t>非正規雇用-E-23-100-299人</t>
  </si>
  <si>
    <t>非正規雇用-E-24-100-299人</t>
  </si>
  <si>
    <t>非正規雇用-E-25-100-299人</t>
  </si>
  <si>
    <t>非正規雇用-E-26-100-299人</t>
  </si>
  <si>
    <t>非正規雇用-E-27-100-299人</t>
  </si>
  <si>
    <t>非正規雇用-E-28-100-299人</t>
  </si>
  <si>
    <t>非正規雇用-E-29-100-299人</t>
  </si>
  <si>
    <t>非正規雇用-E-30-100-299人</t>
  </si>
  <si>
    <t>非正規雇用-E-31-100-299人</t>
  </si>
  <si>
    <t>非正規雇用-E-20-100-299人</t>
  </si>
  <si>
    <t>非正規雇用-F--100-299人</t>
  </si>
  <si>
    <t>非正規雇用-G--100-299人</t>
  </si>
  <si>
    <t>非正規雇用-H--100-299人</t>
  </si>
  <si>
    <t>非正規雇用-I--100-299人</t>
  </si>
  <si>
    <t>非正規雇用-J--100-299人</t>
  </si>
  <si>
    <t>非正規雇用-K--100-299人</t>
  </si>
  <si>
    <t>非正規雇用-L--100-299人</t>
  </si>
  <si>
    <t>非正規雇用-M--100-299人</t>
  </si>
  <si>
    <t>非正規雇用-N--100-299人</t>
  </si>
  <si>
    <t>非正規雇用-O--100-299人</t>
  </si>
  <si>
    <t>非正規雇用-P--100-299人</t>
  </si>
  <si>
    <t>非正規雇用-Q--100-299人</t>
  </si>
  <si>
    <t>非正規雇用-R--100-299人</t>
  </si>
  <si>
    <t>正規雇用-E-10-300-999人</t>
  </si>
  <si>
    <t>正規雇用-E-17-300-999人</t>
  </si>
  <si>
    <t>正規雇用-E-32-300-999人</t>
  </si>
  <si>
    <t>正規雇用-E-10-100-299人</t>
  </si>
  <si>
    <t>正規雇用-E-17-100-299人</t>
  </si>
  <si>
    <t>正規雇用-E-32-100-299人</t>
  </si>
  <si>
    <t>非正規雇用-E-10-300-999人</t>
  </si>
  <si>
    <t>非正規雇用-E-17-300-999人</t>
  </si>
  <si>
    <t>非正規雇用-E-32-300-999人</t>
  </si>
  <si>
    <t>非正規雇用-E-10-100-299人</t>
  </si>
  <si>
    <t>非正規雇用-E-17-100-299人</t>
  </si>
  <si>
    <t>非正規雇用-E-32-100-299人</t>
  </si>
  <si>
    <t>正規雇用---10-99人</t>
  </si>
  <si>
    <t>正規雇用-C--10-99人</t>
  </si>
  <si>
    <t>正規雇用-D--10-99人</t>
  </si>
  <si>
    <t>正規雇用-E--10-99人</t>
  </si>
  <si>
    <t>正規雇用-E-9-10-99人</t>
  </si>
  <si>
    <t>正規雇用-E-11-10-99人</t>
  </si>
  <si>
    <t>正規雇用-E-12-10-99人</t>
  </si>
  <si>
    <t>正規雇用-E-13-10-99人</t>
  </si>
  <si>
    <t>正規雇用-E-14-10-99人</t>
  </si>
  <si>
    <t>正規雇用-E-15-10-99人</t>
  </si>
  <si>
    <t>正規雇用-E-16-10-99人</t>
  </si>
  <si>
    <t>正規雇用-E-18-10-99人</t>
  </si>
  <si>
    <t>正規雇用-E-19-10-99人</t>
  </si>
  <si>
    <t>正規雇用-E-21-10-99人</t>
  </si>
  <si>
    <t>正規雇用-E-22-10-99人</t>
  </si>
  <si>
    <t>正規雇用-E-23-10-99人</t>
  </si>
  <si>
    <t>正規雇用-E-24-10-99人</t>
  </si>
  <si>
    <t>正規雇用-E-25-10-99人</t>
  </si>
  <si>
    <t>正規雇用-E-26-10-99人</t>
  </si>
  <si>
    <t>正規雇用-E-27-10-99人</t>
  </si>
  <si>
    <t>正規雇用-E-28-10-99人</t>
  </si>
  <si>
    <t>正規雇用-E-29-10-99人</t>
  </si>
  <si>
    <t>正規雇用-E-30-10-99人</t>
  </si>
  <si>
    <t>正規雇用-E-31-10-99人</t>
  </si>
  <si>
    <t>正規雇用-E-20-10-99人</t>
  </si>
  <si>
    <t>正規雇用-F--10-99人</t>
  </si>
  <si>
    <t>正規雇用-G--10-99人</t>
  </si>
  <si>
    <t>正規雇用-H--10-99人</t>
  </si>
  <si>
    <t>正規雇用-I--10-99人</t>
  </si>
  <si>
    <t>正規雇用-J--10-99人</t>
  </si>
  <si>
    <t>正規雇用-K--10-99人</t>
  </si>
  <si>
    <t>正規雇用-L--10-99人</t>
  </si>
  <si>
    <t>正規雇用-M--10-99人</t>
  </si>
  <si>
    <t>正規雇用-N--10-99人</t>
  </si>
  <si>
    <t>正規雇用-O--10-99人</t>
  </si>
  <si>
    <t>正規雇用-P--10-99人</t>
  </si>
  <si>
    <t>正規雇用-Q--10-99人</t>
  </si>
  <si>
    <t>正規雇用-R--10-99人</t>
  </si>
  <si>
    <t>非正規雇用---10-99人</t>
  </si>
  <si>
    <t>非正規雇用-C--10-99人</t>
  </si>
  <si>
    <t>非正規雇用-D--10-99人</t>
  </si>
  <si>
    <t>非正規雇用-E--10-99人</t>
  </si>
  <si>
    <t>非正規雇用-E-9-10-99人</t>
  </si>
  <si>
    <t>非正規雇用-E-11-10-99人</t>
  </si>
  <si>
    <t>非正規雇用-E-12-10-99人</t>
  </si>
  <si>
    <t>非正規雇用-E-13-10-99人</t>
  </si>
  <si>
    <t>非正規雇用-E-14-10-99人</t>
  </si>
  <si>
    <t>非正規雇用-E-15-10-99人</t>
  </si>
  <si>
    <t>非正規雇用-E-16-10-99人</t>
  </si>
  <si>
    <t>非正規雇用-E-18-10-99人</t>
  </si>
  <si>
    <t>正規雇用-E-10-10-99人</t>
  </si>
  <si>
    <t>正規雇用-E-17-10-99人</t>
  </si>
  <si>
    <t>正規雇用-E-32-10-99人</t>
  </si>
  <si>
    <t>正規雇用-E-10-5-29人</t>
  </si>
  <si>
    <t>正規雇用-E-17-5-29人</t>
  </si>
  <si>
    <t>正規雇用-E-32-5-29人</t>
  </si>
  <si>
    <t>非正規雇用-E-10-10-99人</t>
  </si>
  <si>
    <t>非正規雇用-E-17-10-99人</t>
  </si>
  <si>
    <t>非正規雇用-E-32-10-99人</t>
  </si>
  <si>
    <t>非正規雇用-E-10-5-29人</t>
  </si>
  <si>
    <t>非正規雇用-E-17-5-29人</t>
  </si>
  <si>
    <t>非正規雇用-E-32-5-29人</t>
  </si>
  <si>
    <t>非正規雇用-E-19-10-99人</t>
  </si>
  <si>
    <t>非正規雇用-E-21-10-99人</t>
  </si>
  <si>
    <t>非正規雇用-E-22-10-99人</t>
  </si>
  <si>
    <t>非正規雇用-E-23-10-99人</t>
  </si>
  <si>
    <t>非正規雇用-E-24-10-99人</t>
  </si>
  <si>
    <t>非正規雇用-E-25-10-99人</t>
  </si>
  <si>
    <t>非正規雇用-E-26-10-99人</t>
  </si>
  <si>
    <t>非正規雇用-E-27-10-99人</t>
  </si>
  <si>
    <t>非正規雇用-E-28-10-99人</t>
  </si>
  <si>
    <t>非正規雇用-E-29-10-99人</t>
  </si>
  <si>
    <t>非正規雇用-E-30-10-99人</t>
  </si>
  <si>
    <t>非正規雇用-E-31-10-99人</t>
  </si>
  <si>
    <t>非正規雇用-E-20-10-99人</t>
  </si>
  <si>
    <t>非正規雇用-F--10-99人</t>
  </si>
  <si>
    <t>非正規雇用-G--10-99人</t>
  </si>
  <si>
    <t>非正規雇用-H--10-99人</t>
  </si>
  <si>
    <t>非正規雇用-I--10-99人</t>
  </si>
  <si>
    <t>非正規雇用-J--10-99人</t>
  </si>
  <si>
    <t>非正規雇用-K--10-99人</t>
  </si>
  <si>
    <t>非正規雇用-L--10-99人</t>
  </si>
  <si>
    <t>非正規雇用-M--10-99人</t>
  </si>
  <si>
    <t>非正規雇用-N--10-99人</t>
  </si>
  <si>
    <t>非正規雇用-O--10-99人</t>
  </si>
  <si>
    <t>非正規雇用-P--10-99人</t>
  </si>
  <si>
    <t>非正規雇用-Q--10-99人</t>
  </si>
  <si>
    <t>非正規雇用-R--10-99人</t>
  </si>
  <si>
    <t>E-9-10-99人-</t>
  </si>
  <si>
    <t>E-9-10-99人-正規雇用</t>
  </si>
  <si>
    <t>E-9-100-299人-</t>
  </si>
  <si>
    <t>E-9-100-299人-正規雇用</t>
  </si>
  <si>
    <t>E-9-300-999人-</t>
  </si>
  <si>
    <t>E-9-300-999人-正規雇用</t>
  </si>
  <si>
    <t>E-10-10-99人-</t>
  </si>
  <si>
    <t>E-10-10-99人-正規雇用</t>
  </si>
  <si>
    <t>E-10-100-299人-</t>
  </si>
  <si>
    <t>E-10-100-299人-正規雇用</t>
  </si>
  <si>
    <t>E-10-300-999人-</t>
  </si>
  <si>
    <t>E-10-300-999人-正規雇用</t>
  </si>
  <si>
    <t>E-11-10-99人-</t>
  </si>
  <si>
    <t>E-11-10-99人-正規雇用</t>
  </si>
  <si>
    <t>E-11-100-299人-</t>
  </si>
  <si>
    <t>E-11-100-299人-正規雇用</t>
  </si>
  <si>
    <t>E-11-300-999人-</t>
  </si>
  <si>
    <t>E-11-300-999人-正規雇用</t>
  </si>
  <si>
    <t>E-12-10-99人-</t>
  </si>
  <si>
    <t>E-12-10-99人-正規雇用</t>
  </si>
  <si>
    <t>E-12-100-299人-</t>
  </si>
  <si>
    <t>E-12-100-299人-正規雇用</t>
  </si>
  <si>
    <t>E-12-300-999人-</t>
  </si>
  <si>
    <t>E-12-300-999人-正規雇用</t>
  </si>
  <si>
    <t>E-13-10-99人-</t>
  </si>
  <si>
    <t>E-13-10-99人-正規雇用</t>
  </si>
  <si>
    <t>E-13-100-299人-</t>
  </si>
  <si>
    <t>E-13-100-299人-正規雇用</t>
  </si>
  <si>
    <t>E-13-300-999人-</t>
  </si>
  <si>
    <t>E-13-300-999人-正規雇用</t>
  </si>
  <si>
    <t>E-14-10-99人-</t>
  </si>
  <si>
    <t>E-14-10-99人-正規雇用</t>
  </si>
  <si>
    <t>E-14-100-299人-</t>
  </si>
  <si>
    <t>E-14-100-299人-正規雇用</t>
  </si>
  <si>
    <t>E-14-300-999人-</t>
  </si>
  <si>
    <t>E-14-300-999人-正規雇用</t>
  </si>
  <si>
    <t>E-15-10-99人-</t>
  </si>
  <si>
    <t>E-15-10-99人-正規雇用</t>
  </si>
  <si>
    <t>E-15-100-299人-</t>
  </si>
  <si>
    <t>E-15-100-299人-正規雇用</t>
  </si>
  <si>
    <t>E-15-300-999人-</t>
  </si>
  <si>
    <t>E-15-300-999人-正規雇用</t>
  </si>
  <si>
    <t>E-16-10-99人-</t>
  </si>
  <si>
    <t>E-16-10-99人-正規雇用</t>
  </si>
  <si>
    <t>E-16-100-299人-</t>
  </si>
  <si>
    <t>E-16-100-299人-正規雇用</t>
  </si>
  <si>
    <t>E-16-300-999人-</t>
  </si>
  <si>
    <t>E-16-300-999人-正規雇用</t>
  </si>
  <si>
    <t>E-17-10-99人-</t>
  </si>
  <si>
    <t>E-17-10-99人-正規雇用</t>
  </si>
  <si>
    <t>E-17-100-299人-</t>
  </si>
  <si>
    <t>E-17-100-299人-正規雇用</t>
  </si>
  <si>
    <t>E-17-300-999人-</t>
  </si>
  <si>
    <t>E-17-300-999人-正規雇用</t>
  </si>
  <si>
    <t>E-18-10-99人-</t>
  </si>
  <si>
    <t>E-18-10-99人-正規雇用</t>
  </si>
  <si>
    <t>E-18-100-299人-</t>
  </si>
  <si>
    <t>E-18-100-299人-正規雇用</t>
  </si>
  <si>
    <t>E-18-300-999人-</t>
  </si>
  <si>
    <t>E-18-300-999人-正規雇用</t>
  </si>
  <si>
    <t>E-19-10-99人-</t>
  </si>
  <si>
    <t>E-19-10-99人-正規雇用</t>
  </si>
  <si>
    <t>E-19-100-299人-</t>
  </si>
  <si>
    <t>E-19-100-299人-正規雇用</t>
  </si>
  <si>
    <t>E-19-300-999人-</t>
  </si>
  <si>
    <t>E-19-300-999人-正規雇用</t>
  </si>
  <si>
    <t>E-20-10-99人-</t>
  </si>
  <si>
    <t>E-20-10-99人-正規雇用</t>
  </si>
  <si>
    <t>E-20-100-299人-</t>
  </si>
  <si>
    <t>E-20-100-299人-正規雇用</t>
  </si>
  <si>
    <t>E-20-300-999人-</t>
  </si>
  <si>
    <t>E-20-300-999人-正規雇用</t>
  </si>
  <si>
    <t>E-21-10-99人-</t>
  </si>
  <si>
    <t>E-21-10-99人-正規雇用</t>
  </si>
  <si>
    <t>E-21-100-299人-</t>
  </si>
  <si>
    <t>E-21-100-299人-正規雇用</t>
  </si>
  <si>
    <t>E-21-300-999人-</t>
  </si>
  <si>
    <t>E-21-300-999人-正規雇用</t>
  </si>
  <si>
    <t>E-22-10-99人-</t>
  </si>
  <si>
    <t>E-22-10-99人-正規雇用</t>
  </si>
  <si>
    <t>E-22-100-299人-</t>
  </si>
  <si>
    <t>E-22-100-299人-正規雇用</t>
  </si>
  <si>
    <t>E-22-300-999人-</t>
  </si>
  <si>
    <t>E-22-300-999人-正規雇用</t>
  </si>
  <si>
    <t>E-23-10-99人-</t>
  </si>
  <si>
    <t>E-23-10-99人-正規雇用</t>
  </si>
  <si>
    <t>E-23-100-299人-</t>
  </si>
  <si>
    <t>E-23-100-299人-正規雇用</t>
  </si>
  <si>
    <t>E-23-300-999人-</t>
  </si>
  <si>
    <t>E-23-300-999人-正規雇用</t>
  </si>
  <si>
    <t>E-24-10-99人-</t>
  </si>
  <si>
    <t>E-24-10-99人-正規雇用</t>
  </si>
  <si>
    <t>E-24-100-299人-</t>
  </si>
  <si>
    <t>E-24-100-299人-正規雇用</t>
  </si>
  <si>
    <t>E-24-300-999人-</t>
  </si>
  <si>
    <t>E-24-300-999人-正規雇用</t>
  </si>
  <si>
    <t>E-25-10-99人-</t>
  </si>
  <si>
    <t>E-25-10-99人-正規雇用</t>
  </si>
  <si>
    <t>E-25-100-299人-</t>
  </si>
  <si>
    <t>E-25-100-299人-正規雇用</t>
  </si>
  <si>
    <t>E-25-300-999人-</t>
  </si>
  <si>
    <t>E-25-300-999人-正規雇用</t>
  </si>
  <si>
    <t>E-26-10-99人-</t>
  </si>
  <si>
    <t>E-26-10-99人-正規雇用</t>
  </si>
  <si>
    <t>E-26-100-299人-</t>
  </si>
  <si>
    <t>E-26-100-299人-正規雇用</t>
  </si>
  <si>
    <t>E-26-300-999人-</t>
  </si>
  <si>
    <t>E-26-300-999人-正規雇用</t>
  </si>
  <si>
    <t>E-27-10-99人-</t>
  </si>
  <si>
    <t>E-27-10-99人-正規雇用</t>
  </si>
  <si>
    <t>E-27-100-299人-</t>
  </si>
  <si>
    <t>E-27-100-299人-正規雇用</t>
  </si>
  <si>
    <t>E-27-300-999人-</t>
  </si>
  <si>
    <t>E-27-300-999人-正規雇用</t>
  </si>
  <si>
    <t>E-28-10-99人-</t>
  </si>
  <si>
    <t>E-28-10-99人-正規雇用</t>
  </si>
  <si>
    <t>E-28-100-299人-</t>
  </si>
  <si>
    <t>E-28-100-299人-正規雇用</t>
  </si>
  <si>
    <t>E-28-300-999人-</t>
  </si>
  <si>
    <t>E-28-300-999人-正規雇用</t>
  </si>
  <si>
    <t>E-29-10-99人-</t>
  </si>
  <si>
    <t>E-29-10-99人-正規雇用</t>
  </si>
  <si>
    <t>E-29-100-299人-</t>
  </si>
  <si>
    <t>E-29-100-299人-正規雇用</t>
  </si>
  <si>
    <t>E-29-300-999人-</t>
  </si>
  <si>
    <t>E-29-300-999人-正規雇用</t>
  </si>
  <si>
    <t>E-30-10-99人-</t>
  </si>
  <si>
    <t>E-30-10-99人-正規雇用</t>
  </si>
  <si>
    <t>E-30-100-299人-</t>
  </si>
  <si>
    <t>E-30-100-299人-正規雇用</t>
  </si>
  <si>
    <t>E-30-300-999人-</t>
  </si>
  <si>
    <t>E-30-300-999人-正規雇用</t>
  </si>
  <si>
    <t>E-31-10-99人-</t>
  </si>
  <si>
    <t>E-31-10-99人-正規雇用</t>
  </si>
  <si>
    <t>E-31-100-299人-</t>
  </si>
  <si>
    <t>E-31-100-299人-正規雇用</t>
  </si>
  <si>
    <t>E-31-300-999人-</t>
  </si>
  <si>
    <t>E-31-300-999人-正規雇用</t>
  </si>
  <si>
    <t>E-32-10-99人-</t>
  </si>
  <si>
    <t>E-32-10-99人-正規雇用</t>
  </si>
  <si>
    <t>E-32-100-299人-</t>
  </si>
  <si>
    <t>E-32-100-299人-正規雇用</t>
  </si>
  <si>
    <t>E-32-300-999人-</t>
  </si>
  <si>
    <t>E-32-300-999人-正規雇用</t>
  </si>
  <si>
    <t>C--10-99人-</t>
  </si>
  <si>
    <t>C--10-99人-正規雇用</t>
  </si>
  <si>
    <t>C--100-299人-</t>
  </si>
  <si>
    <t>C--100-299人-正規雇用</t>
  </si>
  <si>
    <t>C--300-999人-</t>
  </si>
  <si>
    <t>C--300-999人-正規雇用</t>
  </si>
  <si>
    <t>D--10-99人-</t>
  </si>
  <si>
    <t>D--10-99人-正規雇用</t>
  </si>
  <si>
    <t>D--100-299人-</t>
  </si>
  <si>
    <t>D--100-299人-正規雇用</t>
  </si>
  <si>
    <t>D--300-999人-</t>
  </si>
  <si>
    <t>D--300-999人-正規雇用</t>
  </si>
  <si>
    <t>E--10-99人-</t>
  </si>
  <si>
    <t>E--10-99人-正規雇用</t>
  </si>
  <si>
    <t>E--100-299人-</t>
  </si>
  <si>
    <t>E--100-299人-正規雇用</t>
  </si>
  <si>
    <t>E--300-999人-</t>
  </si>
  <si>
    <t>E--300-999人-正規雇用</t>
  </si>
  <si>
    <t>F--10-99人-</t>
  </si>
  <si>
    <t>F--10-99人-正規雇用</t>
  </si>
  <si>
    <t>F--100-299人-</t>
  </si>
  <si>
    <t>F--100-299人-正規雇用</t>
  </si>
  <si>
    <t>F--300-999人-</t>
  </si>
  <si>
    <t>F--300-999人-正規雇用</t>
  </si>
  <si>
    <t>G--10-99人-</t>
  </si>
  <si>
    <t>G--10-99人-正規雇用</t>
  </si>
  <si>
    <t>G--100-299人-</t>
  </si>
  <si>
    <t>G--100-299人-正規雇用</t>
  </si>
  <si>
    <t>G--300-999人-</t>
  </si>
  <si>
    <t>G--300-999人-正規雇用</t>
  </si>
  <si>
    <t>H--10-99人-</t>
  </si>
  <si>
    <t>H--10-99人-正規雇用</t>
  </si>
  <si>
    <t>H--100-299人-</t>
  </si>
  <si>
    <t>H--100-299人-正規雇用</t>
  </si>
  <si>
    <t>H--300-999人-</t>
  </si>
  <si>
    <t>H--300-999人-正規雇用</t>
  </si>
  <si>
    <t>I--10-99人-</t>
  </si>
  <si>
    <t>I--10-99人-正規雇用</t>
  </si>
  <si>
    <t>I--100-299人-</t>
  </si>
  <si>
    <t>I--100-299人-正規雇用</t>
  </si>
  <si>
    <t>I--300-999人-</t>
  </si>
  <si>
    <t>I--300-999人-正規雇用</t>
  </si>
  <si>
    <t>J--10-99人-</t>
  </si>
  <si>
    <t>J--10-99人-正規雇用</t>
  </si>
  <si>
    <t>J--100-299人-</t>
  </si>
  <si>
    <t>J--100-299人-正規雇用</t>
  </si>
  <si>
    <t>J--300-999人-</t>
  </si>
  <si>
    <t>J--300-999人-正規雇用</t>
  </si>
  <si>
    <t>K--10-99人-</t>
  </si>
  <si>
    <t>K--10-99人-正規雇用</t>
  </si>
  <si>
    <t>K--100-299人-</t>
  </si>
  <si>
    <t>K--100-299人-正規雇用</t>
  </si>
  <si>
    <t>K--300-999人-</t>
  </si>
  <si>
    <t>K--300-999人-正規雇用</t>
  </si>
  <si>
    <t>L--10-99人-</t>
  </si>
  <si>
    <t>L--10-99人-正規雇用</t>
  </si>
  <si>
    <t>L--100-299人-</t>
  </si>
  <si>
    <t>L--100-299人-正規雇用</t>
  </si>
  <si>
    <t>L--300-999人-</t>
  </si>
  <si>
    <t>L--300-999人-正規雇用</t>
  </si>
  <si>
    <t>M--10-99人-</t>
  </si>
  <si>
    <t>M--10-99人-正規雇用</t>
  </si>
  <si>
    <t>M--100-299人-</t>
  </si>
  <si>
    <t>M--100-299人-正規雇用</t>
  </si>
  <si>
    <t>M--300-999人-</t>
  </si>
  <si>
    <t>M--300-999人-正規雇用</t>
  </si>
  <si>
    <t>N--10-99人-</t>
  </si>
  <si>
    <t>N--10-99人-正規雇用</t>
  </si>
  <si>
    <t>N--100-299人-</t>
  </si>
  <si>
    <t>N--100-299人-正規雇用</t>
  </si>
  <si>
    <t>N--300-999人-</t>
  </si>
  <si>
    <t>N--300-999人-正規雇用</t>
  </si>
  <si>
    <t>O--10-99人-</t>
  </si>
  <si>
    <t>O--10-99人-正規雇用</t>
  </si>
  <si>
    <t>O--100-299人-</t>
  </si>
  <si>
    <t>O--100-299人-正規雇用</t>
  </si>
  <si>
    <t>O--300-999人-</t>
  </si>
  <si>
    <t>O--300-999人-正規雇用</t>
  </si>
  <si>
    <t>P--10-99人-</t>
  </si>
  <si>
    <t>P--10-99人-正規雇用</t>
  </si>
  <si>
    <t>P--100-299人-</t>
  </si>
  <si>
    <t>P--100-299人-正規雇用</t>
  </si>
  <si>
    <t>P--300-999人-</t>
  </si>
  <si>
    <t>P--300-999人-正規雇用</t>
  </si>
  <si>
    <t>Q--10-99人-</t>
  </si>
  <si>
    <t>Q--10-99人-正規雇用</t>
  </si>
  <si>
    <t>Q--100-299人-</t>
  </si>
  <si>
    <t>Q--100-299人-正規雇用</t>
  </si>
  <si>
    <t>Q--300-999人-</t>
  </si>
  <si>
    <t>Q--300-999人-正規雇用</t>
  </si>
  <si>
    <t>R--10-99人-</t>
  </si>
  <si>
    <t>R--10-99人-正規雇用</t>
  </si>
  <si>
    <t>R--100-299人-</t>
  </si>
  <si>
    <t>R--100-299人-正規雇用</t>
  </si>
  <si>
    <t>R--300-999人-</t>
  </si>
  <si>
    <t>R--300-999人-正規雇用</t>
  </si>
  <si>
    <t>--10-99人-</t>
  </si>
  <si>
    <t>--10-99人-正規雇用</t>
  </si>
  <si>
    <t>--100-299人-</t>
  </si>
  <si>
    <t>--100-299人-正規雇用</t>
  </si>
  <si>
    <t>--300-999人-</t>
  </si>
  <si>
    <t>--300-999人-正規雇用</t>
  </si>
  <si>
    <t>正規雇用-E-9-1,000人以上-1-2年</t>
  </si>
  <si>
    <t>正規雇用-E-9-1,000人以上-10-14年</t>
  </si>
  <si>
    <t>正規雇用-E-9-1,000人以上-15-19年</t>
  </si>
  <si>
    <t>正規雇用-E-9-1,000人以上-20-24年</t>
  </si>
  <si>
    <t>正規雇用-E-9-1,000人以上-25-29年</t>
  </si>
  <si>
    <t>正規雇用-E-9-1,000人以上-3-4年</t>
  </si>
  <si>
    <t>正規雇用-E-9-1,000人以上-5-9年</t>
  </si>
  <si>
    <t>正規雇用-E-9-10-99人-</t>
  </si>
  <si>
    <t>正規雇用-E-9-10-99人-0年</t>
  </si>
  <si>
    <t>正規雇用-E-9-10-99人-1-2年</t>
  </si>
  <si>
    <t>正規雇用-E-9-10-99人-10-14年</t>
  </si>
  <si>
    <t>正規雇用-E-9-10-99人-15-19年</t>
  </si>
  <si>
    <t>正規雇用-E-9-10-99人-20-24年</t>
  </si>
  <si>
    <t>正規雇用-E-9-10-99人-25-29年</t>
  </si>
  <si>
    <t>正規雇用-E-9-10-99人-3-4年</t>
  </si>
  <si>
    <t>正規雇用-E-9-10-99人-30年以上</t>
  </si>
  <si>
    <t>正規雇用-E-9-10-99人-5-9年</t>
  </si>
  <si>
    <t>正規雇用-E-9-100-299人-</t>
  </si>
  <si>
    <t>正規雇用-E-9-100-299人-0年</t>
  </si>
  <si>
    <t>正規雇用-E-9-100-299人-1-2年</t>
  </si>
  <si>
    <t>正規雇用-E-9-100-299人-10-14年</t>
  </si>
  <si>
    <t>正規雇用-E-9-100-299人-15-19年</t>
  </si>
  <si>
    <t>正規雇用-E-9-100-299人-20-24年</t>
  </si>
  <si>
    <t>正規雇用-E-9-100-299人-25-29年</t>
  </si>
  <si>
    <t>正規雇用-E-9-100-299人-3-4年</t>
  </si>
  <si>
    <t>正規雇用-E-9-100-299人-30年以上</t>
  </si>
  <si>
    <t>正規雇用-E-9-100-299人-5-9年</t>
  </si>
  <si>
    <t>正規雇用-E-9-300-999人-</t>
  </si>
  <si>
    <t>正規雇用-E-9-300-999人-0年</t>
  </si>
  <si>
    <t>正規雇用-E-9-300-999人-1-2年</t>
  </si>
  <si>
    <t>正規雇用-E-9-300-999人-10-14年</t>
  </si>
  <si>
    <t>正規雇用-E-9-300-999人-15-19年</t>
  </si>
  <si>
    <t>正規雇用-E-9-300-999人-20-24年</t>
  </si>
  <si>
    <t>正規雇用-E-9-300-999人-25-29年</t>
  </si>
  <si>
    <t>正規雇用-E-9-300-999人-3-4年</t>
  </si>
  <si>
    <t>正規雇用-E-9-300-999人-30年以上</t>
  </si>
  <si>
    <t>正規雇用-E-9-300-999人-5-9年</t>
  </si>
  <si>
    <t>正規雇用-E-10-1,000人以上-1-2年</t>
  </si>
  <si>
    <t>正規雇用-E-10-1,000人以上-10-14年</t>
  </si>
  <si>
    <t>正規雇用-E-10-1,000人以上-15-19年</t>
  </si>
  <si>
    <t>正規雇用-E-10-1,000人以上-20-24年</t>
  </si>
  <si>
    <t>正規雇用-E-10-1,000人以上-25-29年</t>
  </si>
  <si>
    <t>正規雇用-E-10-1,000人以上-3-4年</t>
  </si>
  <si>
    <t>正規雇用-E-10-1,000人以上-5-9年</t>
  </si>
  <si>
    <t>正規雇用-E-10-10-99人-</t>
  </si>
  <si>
    <t>正規雇用-E-10-10-99人-0年</t>
  </si>
  <si>
    <t>正規雇用-E-10-10-99人-1-2年</t>
  </si>
  <si>
    <t>正規雇用-E-10-10-99人-10-14年</t>
  </si>
  <si>
    <t>正規雇用-E-10-10-99人-15-19年</t>
  </si>
  <si>
    <t>正規雇用-E-10-10-99人-20-24年</t>
  </si>
  <si>
    <t>正規雇用-E-10-10-99人-25-29年</t>
  </si>
  <si>
    <t>正規雇用-E-10-10-99人-3-4年</t>
  </si>
  <si>
    <t>正規雇用-E-10-10-99人-30年以上</t>
  </si>
  <si>
    <t>正規雇用-E-10-10-99人-5-9年</t>
  </si>
  <si>
    <t>正規雇用-E-10-100-299人-</t>
  </si>
  <si>
    <t>正規雇用-E-10-100-299人-0年</t>
  </si>
  <si>
    <t>正規雇用-E-10-100-299人-1-2年</t>
  </si>
  <si>
    <t>正規雇用-E-10-100-299人-10-14年</t>
  </si>
  <si>
    <t>正規雇用-E-10-100-299人-15-19年</t>
  </si>
  <si>
    <t>正規雇用-E-10-100-299人-20-24年</t>
  </si>
  <si>
    <t>正規雇用-E-10-100-299人-25-29年</t>
  </si>
  <si>
    <t>正規雇用-E-10-100-299人-3-4年</t>
  </si>
  <si>
    <t>正規雇用-E-10-100-299人-30年以上</t>
  </si>
  <si>
    <t>正規雇用-E-10-100-299人-5-9年</t>
  </si>
  <si>
    <t>正規雇用-E-10-300-999人-</t>
  </si>
  <si>
    <t>正規雇用-E-10-300-999人-0年</t>
  </si>
  <si>
    <t>正規雇用-E-10-300-999人-1-2年</t>
  </si>
  <si>
    <t>正規雇用-E-10-300-999人-10-14年</t>
  </si>
  <si>
    <t>正規雇用-E-10-300-999人-15-19年</t>
  </si>
  <si>
    <t>正規雇用-E-10-300-999人-20-24年</t>
  </si>
  <si>
    <t>正規雇用-E-10-300-999人-25-29年</t>
  </si>
  <si>
    <t>正規雇用-E-10-300-999人-3-4年</t>
  </si>
  <si>
    <t>正規雇用-E-10-300-999人-30年以上</t>
  </si>
  <si>
    <t>正規雇用-E-10-300-999人-5-9年</t>
  </si>
  <si>
    <t>正規雇用-E-11-1,000人以上-1-2年</t>
  </si>
  <si>
    <t>正規雇用-E-11-1,000人以上-10-14年</t>
  </si>
  <si>
    <t>正規雇用-E-11-1,000人以上-15-19年</t>
  </si>
  <si>
    <t>正規雇用-E-11-1,000人以上-20-24年</t>
  </si>
  <si>
    <t>正規雇用-E-11-1,000人以上-25-29年</t>
  </si>
  <si>
    <t>正規雇用-E-11-1,000人以上-3-4年</t>
  </si>
  <si>
    <t>正規雇用-E-11-1,000人以上-5-9年</t>
  </si>
  <si>
    <t>正規雇用-E-11-10-99人-</t>
  </si>
  <si>
    <t>正規雇用-E-11-10-99人-0年</t>
  </si>
  <si>
    <t>正規雇用-E-11-10-99人-1-2年</t>
  </si>
  <si>
    <t>正規雇用-E-11-10-99人-10-14年</t>
  </si>
  <si>
    <t>正規雇用-E-11-10-99人-15-19年</t>
  </si>
  <si>
    <t>正規雇用-E-11-10-99人-20-24年</t>
  </si>
  <si>
    <t>正規雇用-E-11-10-99人-25-29年</t>
  </si>
  <si>
    <t>正規雇用-E-11-10-99人-3-4年</t>
  </si>
  <si>
    <t>正規雇用-E-11-10-99人-30年以上</t>
  </si>
  <si>
    <t>正規雇用-E-11-10-99人-5-9年</t>
  </si>
  <si>
    <t>正規雇用-E-11-100-299人-</t>
  </si>
  <si>
    <t>正規雇用-E-11-100-299人-0年</t>
  </si>
  <si>
    <t>正規雇用-E-11-100-299人-1-2年</t>
  </si>
  <si>
    <t>正規雇用-E-11-100-299人-10-14年</t>
  </si>
  <si>
    <t>正規雇用-E-11-100-299人-15-19年</t>
  </si>
  <si>
    <t>正規雇用-E-11-100-299人-20-24年</t>
  </si>
  <si>
    <t>正規雇用-E-11-100-299人-25-29年</t>
  </si>
  <si>
    <t>正規雇用-E-11-100-299人-3-4年</t>
  </si>
  <si>
    <t>正規雇用-E-11-100-299人-30年以上</t>
  </si>
  <si>
    <t>正規雇用-E-11-100-299人-5-9年</t>
  </si>
  <si>
    <t>正規雇用-E-11-300-999人-</t>
  </si>
  <si>
    <t>正規雇用-E-11-300-999人-0年</t>
  </si>
  <si>
    <t>正規雇用-E-11-300-999人-1-2年</t>
  </si>
  <si>
    <t>正規雇用-E-11-300-999人-10-14年</t>
  </si>
  <si>
    <t>正規雇用-E-11-300-999人-15-19年</t>
  </si>
  <si>
    <t>正規雇用-E-11-300-999人-20-24年</t>
  </si>
  <si>
    <t>正規雇用-E-11-300-999人-25-29年</t>
  </si>
  <si>
    <t>正規雇用-E-11-300-999人-3-4年</t>
  </si>
  <si>
    <t>正規雇用-E-11-300-999人-30年以上</t>
  </si>
  <si>
    <t>正規雇用-E-11-300-999人-5-9年</t>
  </si>
  <si>
    <t>正規雇用-E-12-1,000人以上-1-2年</t>
  </si>
  <si>
    <t>正規雇用-E-12-1,000人以上-10-14年</t>
  </si>
  <si>
    <t>正規雇用-E-12-1,000人以上-15-19年</t>
  </si>
  <si>
    <t>正規雇用-E-12-1,000人以上-20-24年</t>
  </si>
  <si>
    <t>正規雇用-E-12-1,000人以上-25-29年</t>
  </si>
  <si>
    <t>正規雇用-E-12-1,000人以上-3-4年</t>
  </si>
  <si>
    <t>正規雇用-E-12-1,000人以上-5-9年</t>
  </si>
  <si>
    <t>正規雇用-E-12-10-99人-</t>
  </si>
  <si>
    <t>正規雇用-E-12-10-99人-0年</t>
  </si>
  <si>
    <t>正規雇用-E-12-10-99人-1-2年</t>
  </si>
  <si>
    <t>正規雇用-E-12-10-99人-10-14年</t>
  </si>
  <si>
    <t>正規雇用-E-12-10-99人-15-19年</t>
  </si>
  <si>
    <t>正規雇用-E-12-10-99人-20-24年</t>
  </si>
  <si>
    <t>正規雇用-E-12-10-99人-25-29年</t>
  </si>
  <si>
    <t>正規雇用-E-12-10-99人-3-4年</t>
  </si>
  <si>
    <t>正規雇用-E-12-10-99人-30年以上</t>
  </si>
  <si>
    <t>正規雇用-E-12-10-99人-5-9年</t>
  </si>
  <si>
    <t>正規雇用-E-12-100-299人-</t>
  </si>
  <si>
    <t>正規雇用-E-12-100-299人-0年</t>
  </si>
  <si>
    <t>正規雇用-E-12-100-299人-1-2年</t>
  </si>
  <si>
    <t>正規雇用-E-12-100-299人-10-14年</t>
  </si>
  <si>
    <t>正規雇用-E-12-100-299人-15-19年</t>
  </si>
  <si>
    <t>正規雇用-E-12-100-299人-20-24年</t>
  </si>
  <si>
    <t>正規雇用-E-12-100-299人-25-29年</t>
  </si>
  <si>
    <t>正規雇用-E-12-100-299人-3-4年</t>
  </si>
  <si>
    <t>正規雇用-E-12-100-299人-30年以上</t>
  </si>
  <si>
    <t>正規雇用-E-12-100-299人-5-9年</t>
  </si>
  <si>
    <t>正規雇用-E-12-300-999人-</t>
  </si>
  <si>
    <t>正規雇用-E-12-300-999人-0年</t>
  </si>
  <si>
    <t>正規雇用-E-12-300-999人-1-2年</t>
  </si>
  <si>
    <t>正規雇用-E-12-300-999人-10-14年</t>
  </si>
  <si>
    <t>正規雇用-E-12-300-999人-15-19年</t>
  </si>
  <si>
    <t>正規雇用-E-12-300-999人-20-24年</t>
  </si>
  <si>
    <t>正規雇用-E-12-300-999人-25-29年</t>
  </si>
  <si>
    <t>正規雇用-E-12-300-999人-3-4年</t>
  </si>
  <si>
    <t>正規雇用-E-12-300-999人-30年以上</t>
  </si>
  <si>
    <t>正規雇用-E-12-300-999人-5-9年</t>
  </si>
  <si>
    <t>正規雇用-E-13-1,000人以上-1-2年</t>
  </si>
  <si>
    <t>正規雇用-E-13-1,000人以上-10-14年</t>
  </si>
  <si>
    <t>正規雇用-E-13-1,000人以上-15-19年</t>
  </si>
  <si>
    <t>正規雇用-E-13-1,000人以上-20-24年</t>
  </si>
  <si>
    <t>正規雇用-E-13-1,000人以上-25-29年</t>
  </si>
  <si>
    <t>正規雇用-E-13-1,000人以上-3-4年</t>
  </si>
  <si>
    <t>正規雇用-E-13-1,000人以上-5-9年</t>
  </si>
  <si>
    <t>正規雇用-E-13-10-99人-</t>
  </si>
  <si>
    <t>正規雇用-E-13-10-99人-0年</t>
  </si>
  <si>
    <t>正規雇用-E-13-10-99人-1-2年</t>
  </si>
  <si>
    <t>正規雇用-E-13-10-99人-10-14年</t>
  </si>
  <si>
    <t>正規雇用-E-13-10-99人-15-19年</t>
  </si>
  <si>
    <t>正規雇用-E-13-10-99人-20-24年</t>
  </si>
  <si>
    <t>正規雇用-E-13-10-99人-25-29年</t>
  </si>
  <si>
    <t>正規雇用-E-13-10-99人-3-4年</t>
  </si>
  <si>
    <t>正規雇用-E-13-10-99人-30年以上</t>
  </si>
  <si>
    <t>正規雇用-E-13-10-99人-5-9年</t>
  </si>
  <si>
    <t>正規雇用-E-13-100-299人-</t>
  </si>
  <si>
    <t>正規雇用-E-13-100-299人-0年</t>
  </si>
  <si>
    <t>正規雇用-E-13-100-299人-1-2年</t>
  </si>
  <si>
    <t>正規雇用-E-13-100-299人-10-14年</t>
  </si>
  <si>
    <t>正規雇用-E-13-100-299人-15-19年</t>
  </si>
  <si>
    <t>正規雇用-E-13-100-299人-20-24年</t>
  </si>
  <si>
    <t>正規雇用-E-13-100-299人-25-29年</t>
  </si>
  <si>
    <t>正規雇用-E-13-100-299人-3-4年</t>
  </si>
  <si>
    <t>正規雇用-E-13-100-299人-30年以上</t>
  </si>
  <si>
    <t>正規雇用-E-13-100-299人-5-9年</t>
  </si>
  <si>
    <t>正規雇用-E-13-300-999人-</t>
  </si>
  <si>
    <t>正規雇用-E-13-300-999人-0年</t>
  </si>
  <si>
    <t>正規雇用-E-13-300-999人-1-2年</t>
  </si>
  <si>
    <t>正規雇用-E-13-300-999人-10-14年</t>
  </si>
  <si>
    <t>正規雇用-E-13-300-999人-15-19年</t>
  </si>
  <si>
    <t>正規雇用-E-13-300-999人-20-24年</t>
  </si>
  <si>
    <t>正規雇用-E-13-300-999人-25-29年</t>
  </si>
  <si>
    <t>正規雇用-E-13-300-999人-3-4年</t>
  </si>
  <si>
    <t>正規雇用-E-13-300-999人-30年以上</t>
  </si>
  <si>
    <t>正規雇用-E-13-300-999人-5-9年</t>
  </si>
  <si>
    <t>正規雇用-E-14-1,000人以上-1-2年</t>
  </si>
  <si>
    <t>正規雇用-E-14-1,000人以上-10-14年</t>
  </si>
  <si>
    <t>正規雇用-E-14-1,000人以上-15-19年</t>
  </si>
  <si>
    <t>正規雇用-E-14-1,000人以上-20-24年</t>
  </si>
  <si>
    <t>正規雇用-E-14-1,000人以上-25-29年</t>
  </si>
  <si>
    <t>正規雇用-E-14-1,000人以上-3-4年</t>
  </si>
  <si>
    <t>正規雇用-E-14-1,000人以上-5-9年</t>
  </si>
  <si>
    <t>正規雇用-E-14-10-99人-</t>
  </si>
  <si>
    <t>正規雇用-E-14-10-99人-0年</t>
  </si>
  <si>
    <t>正規雇用-E-14-10-99人-1-2年</t>
  </si>
  <si>
    <t>正規雇用-E-14-10-99人-10-14年</t>
  </si>
  <si>
    <t>正規雇用-E-14-10-99人-15-19年</t>
  </si>
  <si>
    <t>正規雇用-E-14-10-99人-20-24年</t>
  </si>
  <si>
    <t>正規雇用-E-14-10-99人-25-29年</t>
  </si>
  <si>
    <t>正規雇用-E-14-10-99人-3-4年</t>
  </si>
  <si>
    <t>正規雇用-E-14-10-99人-30年以上</t>
  </si>
  <si>
    <t>正規雇用-E-14-10-99人-5-9年</t>
  </si>
  <si>
    <t>正規雇用-E-14-100-299人-</t>
  </si>
  <si>
    <t>正規雇用-E-14-100-299人-0年</t>
  </si>
  <si>
    <t>正規雇用-E-14-100-299人-1-2年</t>
  </si>
  <si>
    <t>正規雇用-E-14-100-299人-10-14年</t>
  </si>
  <si>
    <t>正規雇用-E-14-100-299人-15-19年</t>
  </si>
  <si>
    <t>正規雇用-E-14-100-299人-20-24年</t>
  </si>
  <si>
    <t>正規雇用-E-14-100-299人-25-29年</t>
  </si>
  <si>
    <t>正規雇用-E-14-100-299人-3-4年</t>
  </si>
  <si>
    <t>正規雇用-E-14-100-299人-30年以上</t>
  </si>
  <si>
    <t>正規雇用-E-14-100-299人-5-9年</t>
  </si>
  <si>
    <t>正規雇用-E-14-300-999人-</t>
  </si>
  <si>
    <t>正規雇用-E-14-300-999人-0年</t>
  </si>
  <si>
    <t>正規雇用-E-14-300-999人-1-2年</t>
  </si>
  <si>
    <t>正規雇用-E-14-300-999人-10-14年</t>
  </si>
  <si>
    <t>正規雇用-E-14-300-999人-15-19年</t>
  </si>
  <si>
    <t>正規雇用-E-14-300-999人-20-24年</t>
  </si>
  <si>
    <t>正規雇用-E-14-300-999人-25-29年</t>
  </si>
  <si>
    <t>正規雇用-E-14-300-999人-3-4年</t>
  </si>
  <si>
    <t>正規雇用-E-14-300-999人-30年以上</t>
  </si>
  <si>
    <t>正規雇用-E-14-300-999人-5-9年</t>
  </si>
  <si>
    <t>正規雇用-E-15-1,000人以上-1-2年</t>
  </si>
  <si>
    <t>正規雇用-E-15-1,000人以上-10-14年</t>
  </si>
  <si>
    <t>正規雇用-E-15-1,000人以上-15-19年</t>
  </si>
  <si>
    <t>正規雇用-E-15-1,000人以上-20-24年</t>
  </si>
  <si>
    <t>正規雇用-E-15-1,000人以上-25-29年</t>
  </si>
  <si>
    <t>正規雇用-E-15-1,000人以上-3-4年</t>
  </si>
  <si>
    <t>正規雇用-E-15-1,000人以上-5-9年</t>
  </si>
  <si>
    <t>正規雇用-E-15-10-99人-</t>
  </si>
  <si>
    <t>正規雇用-E-15-10-99人-0年</t>
  </si>
  <si>
    <t>正規雇用-E-15-10-99人-1-2年</t>
  </si>
  <si>
    <t>正規雇用-E-15-10-99人-10-14年</t>
  </si>
  <si>
    <t>正規雇用-E-15-10-99人-15-19年</t>
  </si>
  <si>
    <t>正規雇用-E-15-10-99人-20-24年</t>
  </si>
  <si>
    <t>正規雇用-E-15-10-99人-25-29年</t>
  </si>
  <si>
    <t>正規雇用-E-15-10-99人-3-4年</t>
  </si>
  <si>
    <t>正規雇用-E-15-10-99人-30年以上</t>
  </si>
  <si>
    <t>正規雇用-E-15-10-99人-5-9年</t>
  </si>
  <si>
    <t>正規雇用-E-15-100-299人-</t>
  </si>
  <si>
    <t>正規雇用-E-15-100-299人-0年</t>
  </si>
  <si>
    <t>正規雇用-E-15-100-299人-1-2年</t>
  </si>
  <si>
    <t>正規雇用-E-15-100-299人-10-14年</t>
  </si>
  <si>
    <t>正規雇用-E-15-100-299人-15-19年</t>
  </si>
  <si>
    <t>正規雇用-E-15-100-299人-20-24年</t>
  </si>
  <si>
    <t>正規雇用-E-15-100-299人-25-29年</t>
  </si>
  <si>
    <t>正規雇用-E-15-100-299人-3-4年</t>
  </si>
  <si>
    <t>正規雇用-E-15-100-299人-30年以上</t>
  </si>
  <si>
    <t>正規雇用-E-15-100-299人-5-9年</t>
  </si>
  <si>
    <t>正規雇用-E-15-300-999人-</t>
  </si>
  <si>
    <t>正規雇用-E-15-300-999人-0年</t>
  </si>
  <si>
    <t>正規雇用-E-15-300-999人-1-2年</t>
  </si>
  <si>
    <t>正規雇用-E-15-300-999人-10-14年</t>
  </si>
  <si>
    <t>正規雇用-E-15-300-999人-15-19年</t>
  </si>
  <si>
    <t>正規雇用-E-15-300-999人-20-24年</t>
  </si>
  <si>
    <t>正規雇用-E-15-300-999人-25-29年</t>
  </si>
  <si>
    <t>正規雇用-E-15-300-999人-3-4年</t>
  </si>
  <si>
    <t>正規雇用-E-15-300-999人-30年以上</t>
  </si>
  <si>
    <t>正規雇用-E-15-300-999人-5-9年</t>
  </si>
  <si>
    <t>正規雇用-E-16-1,000人以上-1-2年</t>
  </si>
  <si>
    <t>正規雇用-E-16-1,000人以上-10-14年</t>
  </si>
  <si>
    <t>正規雇用-E-16-1,000人以上-15-19年</t>
  </si>
  <si>
    <t>正規雇用-E-16-1,000人以上-20-24年</t>
  </si>
  <si>
    <t>正規雇用-E-16-1,000人以上-25-29年</t>
  </si>
  <si>
    <t>正規雇用-E-16-1,000人以上-3-4年</t>
  </si>
  <si>
    <t>正規雇用-E-16-1,000人以上-5-9年</t>
  </si>
  <si>
    <t>正規雇用-E-16-10-99人-</t>
  </si>
  <si>
    <t>正規雇用-E-16-10-99人-0年</t>
  </si>
  <si>
    <t>正規雇用-E-16-10-99人-1-2年</t>
  </si>
  <si>
    <t>正規雇用-E-16-10-99人-10-14年</t>
  </si>
  <si>
    <t>正規雇用-E-16-10-99人-15-19年</t>
  </si>
  <si>
    <t>正規雇用-E-16-10-99人-20-24年</t>
  </si>
  <si>
    <t>正規雇用-E-16-10-99人-25-29年</t>
  </si>
  <si>
    <t>正規雇用-E-16-10-99人-3-4年</t>
  </si>
  <si>
    <t>正規雇用-E-16-10-99人-30年以上</t>
  </si>
  <si>
    <t>正規雇用-E-16-10-99人-5-9年</t>
  </si>
  <si>
    <t>正規雇用-E-16-100-299人-</t>
  </si>
  <si>
    <t>正規雇用-E-16-100-299人-0年</t>
  </si>
  <si>
    <t>正規雇用-E-16-100-299人-1-2年</t>
  </si>
  <si>
    <t>正規雇用-E-16-100-299人-10-14年</t>
  </si>
  <si>
    <t>正規雇用-E-16-100-299人-15-19年</t>
  </si>
  <si>
    <t>正規雇用-E-16-100-299人-20-24年</t>
  </si>
  <si>
    <t>正規雇用-E-16-100-299人-25-29年</t>
  </si>
  <si>
    <t>正規雇用-E-16-100-299人-3-4年</t>
  </si>
  <si>
    <t>正規雇用-E-16-100-299人-30年以上</t>
  </si>
  <si>
    <t>正規雇用-E-16-100-299人-5-9年</t>
  </si>
  <si>
    <t>正規雇用-E-16-300-999人-</t>
  </si>
  <si>
    <t>正規雇用-E-16-300-999人-0年</t>
  </si>
  <si>
    <t>正規雇用-E-16-300-999人-1-2年</t>
  </si>
  <si>
    <t>正規雇用-E-16-300-999人-10-14年</t>
  </si>
  <si>
    <t>正規雇用-E-16-300-999人-15-19年</t>
  </si>
  <si>
    <t>正規雇用-E-16-300-999人-20-24年</t>
  </si>
  <si>
    <t>正規雇用-E-16-300-999人-25-29年</t>
  </si>
  <si>
    <t>正規雇用-E-16-300-999人-3-4年</t>
  </si>
  <si>
    <t>正規雇用-E-16-300-999人-30年以上</t>
  </si>
  <si>
    <t>正規雇用-E-16-300-999人-5-9年</t>
  </si>
  <si>
    <t>正規雇用-E-17-1,000人以上-1-2年</t>
  </si>
  <si>
    <t>正規雇用-E-17-1,000人以上-10-14年</t>
  </si>
  <si>
    <t>正規雇用-E-17-1,000人以上-15-19年</t>
  </si>
  <si>
    <t>正規雇用-E-17-1,000人以上-20-24年</t>
  </si>
  <si>
    <t>正規雇用-E-17-1,000人以上-25-29年</t>
  </si>
  <si>
    <t>正規雇用-E-17-1,000人以上-3-4年</t>
  </si>
  <si>
    <t>正規雇用-E-17-1,000人以上-5-9年</t>
  </si>
  <si>
    <t>正規雇用-E-17-10-99人-</t>
  </si>
  <si>
    <t>正規雇用-E-17-10-99人-0年</t>
  </si>
  <si>
    <t>正規雇用-E-17-10-99人-1-2年</t>
  </si>
  <si>
    <t>正規雇用-E-17-10-99人-10-14年</t>
  </si>
  <si>
    <t>正規雇用-E-17-10-99人-15-19年</t>
  </si>
  <si>
    <t>正規雇用-E-17-10-99人-20-24年</t>
  </si>
  <si>
    <t>正規雇用-E-17-10-99人-25-29年</t>
  </si>
  <si>
    <t>正規雇用-E-17-10-99人-3-4年</t>
  </si>
  <si>
    <t>正規雇用-E-17-10-99人-30年以上</t>
  </si>
  <si>
    <t>正規雇用-E-17-10-99人-5-9年</t>
  </si>
  <si>
    <t>正規雇用-E-17-100-299人-</t>
  </si>
  <si>
    <t>正規雇用-E-17-100-299人-0年</t>
  </si>
  <si>
    <t>正規雇用-E-17-100-299人-1-2年</t>
  </si>
  <si>
    <t>正規雇用-E-17-100-299人-10-14年</t>
  </si>
  <si>
    <t>正規雇用-E-17-100-299人-15-19年</t>
  </si>
  <si>
    <t>正規雇用-E-17-100-299人-25-29年</t>
  </si>
  <si>
    <t>正規雇用-E-17-100-299人-3-4年</t>
  </si>
  <si>
    <t>正規雇用-E-17-100-299人-30年以上</t>
  </si>
  <si>
    <t>正規雇用-E-17-100-299人-5-9年</t>
  </si>
  <si>
    <t>正規雇用-E-17-300-999人-</t>
  </si>
  <si>
    <t>正規雇用-E-17-300-999人-0年</t>
  </si>
  <si>
    <t>正規雇用-E-17-300-999人-1-2年</t>
  </si>
  <si>
    <t>正規雇用-E-17-300-999人-10-14年</t>
  </si>
  <si>
    <t>正規雇用-E-17-300-999人-15-19年</t>
  </si>
  <si>
    <t>正規雇用-E-17-300-999人-20-24年</t>
  </si>
  <si>
    <t>正規雇用-E-17-300-999人-25-29年</t>
  </si>
  <si>
    <t>正規雇用-E-17-300-999人-3-4年</t>
  </si>
  <si>
    <t>正規雇用-E-17-300-999人-30年以上</t>
  </si>
  <si>
    <t>正規雇用-E-17-300-999人-5-9年</t>
  </si>
  <si>
    <t>正規雇用-E-18-1,000人以上-1-2年</t>
  </si>
  <si>
    <t>正規雇用-E-18-1,000人以上-10-14年</t>
  </si>
  <si>
    <t>正規雇用-E-18-1,000人以上-15-19年</t>
  </si>
  <si>
    <t>正規雇用-E-18-1,000人以上-20-24年</t>
  </si>
  <si>
    <t>正規雇用-E-18-1,000人以上-25-29年</t>
  </si>
  <si>
    <t>正規雇用-E-18-1,000人以上-3-4年</t>
  </si>
  <si>
    <t>正規雇用-E-18-1,000人以上-5-9年</t>
  </si>
  <si>
    <t>正規雇用-E-18-10-99人-</t>
  </si>
  <si>
    <t>正規雇用-E-18-10-99人-0年</t>
  </si>
  <si>
    <t>正規雇用-E-18-10-99人-1-2年</t>
  </si>
  <si>
    <t>正規雇用-E-18-10-99人-10-14年</t>
  </si>
  <si>
    <t>正規雇用-E-18-10-99人-15-19年</t>
  </si>
  <si>
    <t>正規雇用-E-18-10-99人-20-24年</t>
  </si>
  <si>
    <t>正規雇用-E-18-10-99人-25-29年</t>
  </si>
  <si>
    <t>正規雇用-E-18-10-99人-3-4年</t>
  </si>
  <si>
    <t>正規雇用-E-18-10-99人-30年以上</t>
  </si>
  <si>
    <t>正規雇用-E-18-10-99人-5-9年</t>
  </si>
  <si>
    <t>正規雇用-E-18-100-299人-</t>
  </si>
  <si>
    <t>正規雇用-E-18-100-299人-0年</t>
  </si>
  <si>
    <t>正規雇用-E-18-100-299人-1-2年</t>
  </si>
  <si>
    <t>正規雇用-E-18-100-299人-10-14年</t>
  </si>
  <si>
    <t>正規雇用-E-18-100-299人-15-19年</t>
  </si>
  <si>
    <t>正規雇用-E-18-100-299人-20-24年</t>
  </si>
  <si>
    <t>正規雇用-E-18-100-299人-25-29年</t>
  </si>
  <si>
    <t>正規雇用-E-18-100-299人-3-4年</t>
  </si>
  <si>
    <t>正規雇用-E-18-100-299人-30年以上</t>
  </si>
  <si>
    <t>正規雇用-E-18-100-299人-5-9年</t>
  </si>
  <si>
    <t>正規雇用-E-18-300-999人-</t>
  </si>
  <si>
    <t>正規雇用-E-18-300-999人-0年</t>
  </si>
  <si>
    <t>正規雇用-E-18-300-999人-1-2年</t>
  </si>
  <si>
    <t>正規雇用-E-18-300-999人-10-14年</t>
  </si>
  <si>
    <t>正規雇用-E-18-300-999人-15-19年</t>
  </si>
  <si>
    <t>正規雇用-E-18-300-999人-20-24年</t>
  </si>
  <si>
    <t>正規雇用-E-18-300-999人-25-29年</t>
  </si>
  <si>
    <t>正規雇用-E-18-300-999人-3-4年</t>
  </si>
  <si>
    <t>正規雇用-E-18-300-999人-30年以上</t>
  </si>
  <si>
    <t>正規雇用-E-18-300-999人-5-9年</t>
  </si>
  <si>
    <t>正規雇用-E-19-1,000人以上-1-2年</t>
  </si>
  <si>
    <t>正規雇用-E-19-1,000人以上-10-14年</t>
  </si>
  <si>
    <t>正規雇用-E-19-1,000人以上-15-19年</t>
  </si>
  <si>
    <t>正規雇用-E-19-1,000人以上-20-24年</t>
  </si>
  <si>
    <t>正規雇用-E-19-1,000人以上-25-29年</t>
  </si>
  <si>
    <t>正規雇用-E-19-1,000人以上-3-4年</t>
  </si>
  <si>
    <t>正規雇用-E-19-1,000人以上-5-9年</t>
  </si>
  <si>
    <t>正規雇用-E-19-10-99人-</t>
  </si>
  <si>
    <t>正規雇用-E-19-10-99人-0年</t>
  </si>
  <si>
    <t>正規雇用-E-19-10-99人-1-2年</t>
  </si>
  <si>
    <t>正規雇用-E-19-10-99人-10-14年</t>
  </si>
  <si>
    <t>正規雇用-E-19-10-99人-15-19年</t>
  </si>
  <si>
    <t>正規雇用-E-19-10-99人-20-24年</t>
  </si>
  <si>
    <t>正規雇用-E-19-10-99人-25-29年</t>
  </si>
  <si>
    <t>正規雇用-E-19-10-99人-3-4年</t>
  </si>
  <si>
    <t>正規雇用-E-19-10-99人-30年以上</t>
  </si>
  <si>
    <t>正規雇用-E-19-10-99人-5-9年</t>
  </si>
  <si>
    <t>正規雇用-E-19-100-299人-</t>
  </si>
  <si>
    <t>正規雇用-E-19-100-299人-0年</t>
  </si>
  <si>
    <t>正規雇用-E-19-100-299人-1-2年</t>
  </si>
  <si>
    <t>正規雇用-E-19-100-299人-10-14年</t>
  </si>
  <si>
    <t>正規雇用-E-19-100-299人-15-19年</t>
  </si>
  <si>
    <t>正規雇用-E-19-100-299人-20-24年</t>
  </si>
  <si>
    <t>正規雇用-E-19-100-299人-25-29年</t>
  </si>
  <si>
    <t>正規雇用-E-19-100-299人-3-4年</t>
  </si>
  <si>
    <t>正規雇用-E-19-100-299人-30年以上</t>
  </si>
  <si>
    <t>正規雇用-E-19-100-299人-5-9年</t>
  </si>
  <si>
    <t>正規雇用-E-19-300-999人-</t>
  </si>
  <si>
    <t>正規雇用-E-19-300-999人-0年</t>
  </si>
  <si>
    <t>正規雇用-E-19-300-999人-1-2年</t>
  </si>
  <si>
    <t>正規雇用-E-19-300-999人-10-14年</t>
  </si>
  <si>
    <t>正規雇用-E-19-300-999人-15-19年</t>
  </si>
  <si>
    <t>正規雇用-E-19-300-999人-20-24年</t>
  </si>
  <si>
    <t>正規雇用-E-19-300-999人-25-29年</t>
  </si>
  <si>
    <t>正規雇用-E-19-300-999人-3-4年</t>
  </si>
  <si>
    <t>正規雇用-E-19-300-999人-30年以上</t>
  </si>
  <si>
    <t>正規雇用-E-19-300-999人-5-9年</t>
  </si>
  <si>
    <t>正規雇用-E-20-1,000人以上-10-14年</t>
  </si>
  <si>
    <t>正規雇用-E-20-1,000人以上-15-19年</t>
  </si>
  <si>
    <t>正規雇用-E-20-1,000人以上-20-24年</t>
  </si>
  <si>
    <t>正規雇用-E-20-1,000人以上-25-29年</t>
  </si>
  <si>
    <t>正規雇用-E-20-1,000人以上-3-4年</t>
  </si>
  <si>
    <t>正規雇用-E-20-1,000人以上-5-9年</t>
  </si>
  <si>
    <t>正規雇用-E-20-10-99人-</t>
  </si>
  <si>
    <t>正規雇用-E-20-10-99人-0年</t>
  </si>
  <si>
    <t>正規雇用-E-20-10-99人-1-2年</t>
  </si>
  <si>
    <t>正規雇用-E-20-10-99人-10-14年</t>
  </si>
  <si>
    <t>正規雇用-E-20-10-99人-15-19年</t>
  </si>
  <si>
    <t>正規雇用-E-20-10-99人-20-24年</t>
  </si>
  <si>
    <t>正規雇用-E-20-10-99人-25-29年</t>
  </si>
  <si>
    <t>正規雇用-E-20-10-99人-3-4年</t>
  </si>
  <si>
    <t>正規雇用-E-20-10-99人-30年以上</t>
  </si>
  <si>
    <t>正規雇用-E-20-10-99人-5-9年</t>
  </si>
  <si>
    <t>正規雇用-E-20-100-299人-</t>
  </si>
  <si>
    <t>正規雇用-E-20-100-299人-0年</t>
  </si>
  <si>
    <t>正規雇用-E-20-100-299人-1-2年</t>
  </si>
  <si>
    <t>正規雇用-E-20-100-299人-10-14年</t>
  </si>
  <si>
    <t>正規雇用-E-20-100-299人-15-19年</t>
  </si>
  <si>
    <t>正規雇用-E-20-100-299人-20-24年</t>
  </si>
  <si>
    <t>正規雇用-E-20-100-299人-25-29年</t>
  </si>
  <si>
    <t>正規雇用-E-20-100-299人-3-4年</t>
  </si>
  <si>
    <t>正規雇用-E-20-100-299人-30年以上</t>
  </si>
  <si>
    <t>正規雇用-E-20-100-299人-5-9年</t>
  </si>
  <si>
    <t>正規雇用-E-20-300-999人-</t>
  </si>
  <si>
    <t>正規雇用-E-20-300-999人-0年</t>
  </si>
  <si>
    <t>正規雇用-E-20-300-999人-1-2年</t>
  </si>
  <si>
    <t>正規雇用-E-20-300-999人-10-14年</t>
  </si>
  <si>
    <t>正規雇用-E-20-300-999人-15-19年</t>
  </si>
  <si>
    <t>正規雇用-E-20-300-999人-20-24年</t>
  </si>
  <si>
    <t>正規雇用-E-20-300-999人-25-29年</t>
  </si>
  <si>
    <t>正規雇用-E-20-300-999人-3-4年</t>
  </si>
  <si>
    <t>正規雇用-E-20-300-999人-30年以上</t>
  </si>
  <si>
    <t>正規雇用-E-20-300-999人-5-9年</t>
  </si>
  <si>
    <t>正規雇用-E-21-1,000人以上-1-2年</t>
  </si>
  <si>
    <t>正規雇用-E-21-1,000人以上-10-14年</t>
  </si>
  <si>
    <t>正規雇用-E-21-1,000人以上-15-19年</t>
  </si>
  <si>
    <t>正規雇用-E-21-1,000人以上-20-24年</t>
  </si>
  <si>
    <t>正規雇用-E-21-1,000人以上-25-29年</t>
  </si>
  <si>
    <t>正規雇用-E-21-1,000人以上-3-4年</t>
  </si>
  <si>
    <t>正規雇用-E-21-1,000人以上-5-9年</t>
  </si>
  <si>
    <t>正規雇用-E-21-10-99人-</t>
  </si>
  <si>
    <t>正規雇用-E-21-10-99人-0年</t>
  </si>
  <si>
    <t>正規雇用-E-21-10-99人-1-2年</t>
  </si>
  <si>
    <t>正規雇用-E-21-10-99人-10-14年</t>
  </si>
  <si>
    <t>正規雇用-E-21-10-99人-15-19年</t>
  </si>
  <si>
    <t>正規雇用-E-21-10-99人-20-24年</t>
  </si>
  <si>
    <t>正規雇用-E-21-10-99人-25-29年</t>
  </si>
  <si>
    <t>正規雇用-E-21-10-99人-3-4年</t>
  </si>
  <si>
    <t>正規雇用-E-21-10-99人-30年以上</t>
  </si>
  <si>
    <t>正規雇用-E-21-10-99人-5-9年</t>
  </si>
  <si>
    <t>正規雇用-E-21-100-299人-</t>
  </si>
  <si>
    <t>正規雇用-E-21-100-299人-0年</t>
  </si>
  <si>
    <t>正規雇用-E-21-100-299人-1-2年</t>
  </si>
  <si>
    <t>正規雇用-E-21-100-299人-10-14年</t>
  </si>
  <si>
    <t>正規雇用-E-21-100-299人-15-19年</t>
  </si>
  <si>
    <t>正規雇用-E-21-100-299人-20-24年</t>
  </si>
  <si>
    <t>正規雇用-E-21-100-299人-25-29年</t>
  </si>
  <si>
    <t>正規雇用-E-21-100-299人-3-4年</t>
  </si>
  <si>
    <t>正規雇用-E-21-100-299人-30年以上</t>
  </si>
  <si>
    <t>正規雇用-E-21-100-299人-5-9年</t>
  </si>
  <si>
    <t>正規雇用-E-21-300-999人-</t>
  </si>
  <si>
    <t>正規雇用-E-21-300-999人-0年</t>
  </si>
  <si>
    <t>正規雇用-E-21-300-999人-1-2年</t>
  </si>
  <si>
    <t>正規雇用-E-21-300-999人-10-14年</t>
  </si>
  <si>
    <t>正規雇用-E-21-300-999人-15-19年</t>
  </si>
  <si>
    <t>正規雇用-E-21-300-999人-20-24年</t>
  </si>
  <si>
    <t>正規雇用-E-21-300-999人-25-29年</t>
  </si>
  <si>
    <t>正規雇用-E-21-300-999人-3-4年</t>
  </si>
  <si>
    <t>正規雇用-E-21-300-999人-30年以上</t>
  </si>
  <si>
    <t>正規雇用-E-21-300-999人-5-9年</t>
  </si>
  <si>
    <t>正規雇用-E-22-1,000人以上-1-2年</t>
  </si>
  <si>
    <t>正規雇用-E-22-1,000人以上-10-14年</t>
  </si>
  <si>
    <t>正規雇用-E-22-1,000人以上-15-19年</t>
  </si>
  <si>
    <t>正規雇用-E-22-1,000人以上-20-24年</t>
  </si>
  <si>
    <t>正規雇用-E-22-1,000人以上-25-29年</t>
  </si>
  <si>
    <t>正規雇用-E-22-1,000人以上-3-4年</t>
  </si>
  <si>
    <t>正規雇用-E-22-1,000人以上-5-9年</t>
  </si>
  <si>
    <t>正規雇用-E-22-10-99人-</t>
  </si>
  <si>
    <t>正規雇用-E-22-10-99人-0年</t>
  </si>
  <si>
    <t>正規雇用-E-22-10-99人-1-2年</t>
  </si>
  <si>
    <t>正規雇用-E-22-10-99人-10-14年</t>
  </si>
  <si>
    <t>正規雇用-E-22-10-99人-15-19年</t>
  </si>
  <si>
    <t>正規雇用-E-22-10-99人-20-24年</t>
  </si>
  <si>
    <t>正規雇用-E-22-10-99人-25-29年</t>
  </si>
  <si>
    <t>正規雇用-E-22-10-99人-3-4年</t>
  </si>
  <si>
    <t>正規雇用-E-22-10-99人-30年以上</t>
  </si>
  <si>
    <t>正規雇用-E-22-10-99人-5-9年</t>
  </si>
  <si>
    <t>正規雇用-E-22-100-299人-</t>
  </si>
  <si>
    <t>正規雇用-E-22-100-299人-0年</t>
  </si>
  <si>
    <t>正規雇用-E-22-100-299人-1-2年</t>
  </si>
  <si>
    <t>正規雇用-E-22-100-299人-10-14年</t>
  </si>
  <si>
    <t>正規雇用-E-22-100-299人-15-19年</t>
  </si>
  <si>
    <t>正規雇用-E-22-100-299人-20-24年</t>
  </si>
  <si>
    <t>正規雇用-E-22-100-299人-25-29年</t>
  </si>
  <si>
    <t>正規雇用-E-22-100-299人-3-4年</t>
  </si>
  <si>
    <t>正規雇用-E-22-100-299人-30年以上</t>
  </si>
  <si>
    <t>正規雇用-E-22-100-299人-5-9年</t>
  </si>
  <si>
    <t>正規雇用-E-22-300-999人-</t>
  </si>
  <si>
    <t>正規雇用-E-22-300-999人-0年</t>
  </si>
  <si>
    <t>正規雇用-E-22-300-999人-1-2年</t>
  </si>
  <si>
    <t>正規雇用-E-22-300-999人-10-14年</t>
  </si>
  <si>
    <t>正規雇用-E-22-300-999人-15-19年</t>
  </si>
  <si>
    <t>正規雇用-E-22-300-999人-20-24年</t>
  </si>
  <si>
    <t>正規雇用-E-22-300-999人-25-29年</t>
  </si>
  <si>
    <t>正規雇用-E-22-300-999人-3-4年</t>
  </si>
  <si>
    <t>正規雇用-E-22-300-999人-30年以上</t>
  </si>
  <si>
    <t>正規雇用-E-22-300-999人-5-9年</t>
  </si>
  <si>
    <t>正規雇用-E-23-1,000人以上-1-2年</t>
  </si>
  <si>
    <t>正規雇用-E-23-1,000人以上-10-14年</t>
  </si>
  <si>
    <t>正規雇用-E-23-1,000人以上-15-19年</t>
  </si>
  <si>
    <t>正規雇用-E-23-1,000人以上-20-24年</t>
  </si>
  <si>
    <t>正規雇用-E-23-1,000人以上-25-29年</t>
  </si>
  <si>
    <t>正規雇用-E-23-1,000人以上-3-4年</t>
  </si>
  <si>
    <t>正規雇用-E-23-1,000人以上-5-9年</t>
  </si>
  <si>
    <t>正規雇用-E-23-10-99人-</t>
  </si>
  <si>
    <t>正規雇用-E-23-10-99人-0年</t>
  </si>
  <si>
    <t>正規雇用-E-23-10-99人-1-2年</t>
  </si>
  <si>
    <t>正規雇用-E-23-10-99人-10-14年</t>
  </si>
  <si>
    <t>正規雇用-E-23-10-99人-15-19年</t>
  </si>
  <si>
    <t>正規雇用-E-23-10-99人-20-24年</t>
  </si>
  <si>
    <t>正規雇用-E-23-10-99人-25-29年</t>
  </si>
  <si>
    <t>正規雇用-E-23-10-99人-3-4年</t>
  </si>
  <si>
    <t>正規雇用-E-23-10-99人-30年以上</t>
  </si>
  <si>
    <t>正規雇用-E-23-10-99人-5-9年</t>
  </si>
  <si>
    <t>正規雇用-E-23-100-299人-</t>
  </si>
  <si>
    <t>正規雇用-E-23-100-299人-0年</t>
  </si>
  <si>
    <t>正規雇用-E-23-100-299人-1-2年</t>
  </si>
  <si>
    <t>正規雇用-E-23-100-299人-10-14年</t>
  </si>
  <si>
    <t>正規雇用-E-23-100-299人-15-19年</t>
  </si>
  <si>
    <t>正規雇用-E-23-100-299人-20-24年</t>
  </si>
  <si>
    <t>正規雇用-E-23-100-299人-25-29年</t>
  </si>
  <si>
    <t>正規雇用-E-23-100-299人-3-4年</t>
  </si>
  <si>
    <t>正規雇用-E-23-100-299人-30年以上</t>
  </si>
  <si>
    <t>正規雇用-E-23-100-299人-5-9年</t>
  </si>
  <si>
    <t>正規雇用-E-23-300-999人-</t>
  </si>
  <si>
    <t>正規雇用-E-23-300-999人-0年</t>
  </si>
  <si>
    <t>正規雇用-E-23-300-999人-1-2年</t>
  </si>
  <si>
    <t>正規雇用-E-23-300-999人-10-14年</t>
  </si>
  <si>
    <t>正規雇用-E-23-300-999人-15-19年</t>
  </si>
  <si>
    <t>正規雇用-E-23-300-999人-20-24年</t>
  </si>
  <si>
    <t>正規雇用-E-23-300-999人-25-29年</t>
  </si>
  <si>
    <t>正規雇用-E-23-300-999人-3-4年</t>
  </si>
  <si>
    <t>正規雇用-E-23-300-999人-30年以上</t>
  </si>
  <si>
    <t>正規雇用-E-23-300-999人-5-9年</t>
  </si>
  <si>
    <t>正規雇用-E-24-1,000人以上-1-2年</t>
  </si>
  <si>
    <t>正規雇用-E-24-1,000人以上-10-14年</t>
  </si>
  <si>
    <t>正規雇用-E-24-1,000人以上-15-19年</t>
  </si>
  <si>
    <t>正規雇用-E-24-1,000人以上-20-24年</t>
  </si>
  <si>
    <t>正規雇用-E-24-1,000人以上-25-29年</t>
  </si>
  <si>
    <t>正規雇用-E-24-1,000人以上-3-4年</t>
  </si>
  <si>
    <t>正規雇用-E-24-1,000人以上-5-9年</t>
  </si>
  <si>
    <t>正規雇用-E-24-10-99人-</t>
  </si>
  <si>
    <t>正規雇用-E-24-10-99人-0年</t>
  </si>
  <si>
    <t>正規雇用-E-24-10-99人-1-2年</t>
  </si>
  <si>
    <t>正規雇用-E-24-10-99人-10-14年</t>
  </si>
  <si>
    <t>正規雇用-E-24-10-99人-15-19年</t>
  </si>
  <si>
    <t>正規雇用-E-24-10-99人-20-24年</t>
  </si>
  <si>
    <t>正規雇用-E-24-10-99人-25-29年</t>
  </si>
  <si>
    <t>正規雇用-E-24-10-99人-3-4年</t>
  </si>
  <si>
    <t>正規雇用-E-24-10-99人-30年以上</t>
  </si>
  <si>
    <t>正規雇用-E-24-10-99人-5-9年</t>
  </si>
  <si>
    <t>正規雇用-E-24-100-299人-</t>
  </si>
  <si>
    <t>正規雇用-E-24-100-299人-0年</t>
  </si>
  <si>
    <t>正規雇用-E-24-100-299人-1-2年</t>
  </si>
  <si>
    <t>正規雇用-E-24-100-299人-10-14年</t>
  </si>
  <si>
    <t>正規雇用-E-24-100-299人-15-19年</t>
  </si>
  <si>
    <t>正規雇用-E-24-100-299人-20-24年</t>
  </si>
  <si>
    <t>正規雇用-E-24-100-299人-25-29年</t>
  </si>
  <si>
    <t>正規雇用-E-24-100-299人-3-4年</t>
  </si>
  <si>
    <t>正規雇用-E-24-100-299人-30年以上</t>
  </si>
  <si>
    <t>正規雇用-E-24-100-299人-5-9年</t>
  </si>
  <si>
    <t>正規雇用-E-24-300-999人-</t>
  </si>
  <si>
    <t>正規雇用-E-24-300-999人-0年</t>
  </si>
  <si>
    <t>正規雇用-E-24-300-999人-1-2年</t>
  </si>
  <si>
    <t>正規雇用-E-24-300-999人-10-14年</t>
  </si>
  <si>
    <t>正規雇用-E-24-300-999人-15-19年</t>
  </si>
  <si>
    <t>正規雇用-E-24-300-999人-20-24年</t>
  </si>
  <si>
    <t>正規雇用-E-24-300-999人-25-29年</t>
  </si>
  <si>
    <t>正規雇用-E-24-300-999人-3-4年</t>
  </si>
  <si>
    <t>正規雇用-E-24-300-999人-30年以上</t>
  </si>
  <si>
    <t>正規雇用-E-24-300-999人-5-9年</t>
  </si>
  <si>
    <t>正規雇用-E-25-1,000人以上-1-2年</t>
  </si>
  <si>
    <t>正規雇用-E-25-1,000人以上-10-14年</t>
  </si>
  <si>
    <t>正規雇用-E-25-1,000人以上-15-19年</t>
  </si>
  <si>
    <t>正規雇用-E-25-1,000人以上-20-24年</t>
  </si>
  <si>
    <t>正規雇用-E-25-1,000人以上-25-29年</t>
  </si>
  <si>
    <t>正規雇用-E-25-1,000人以上-3-4年</t>
  </si>
  <si>
    <t>正規雇用-E-25-1,000人以上-5-9年</t>
  </si>
  <si>
    <t>正規雇用-E-25-10-99人-</t>
  </si>
  <si>
    <t>正規雇用-E-25-10-99人-0年</t>
  </si>
  <si>
    <t>正規雇用-E-25-10-99人-1-2年</t>
  </si>
  <si>
    <t>正規雇用-E-25-10-99人-10-14年</t>
  </si>
  <si>
    <t>正規雇用-E-25-10-99人-15-19年</t>
  </si>
  <si>
    <t>正規雇用-E-25-10-99人-20-24年</t>
  </si>
  <si>
    <t>正規雇用-E-25-10-99人-25-29年</t>
  </si>
  <si>
    <t>正規雇用-E-25-10-99人-3-4年</t>
  </si>
  <si>
    <t>正規雇用-E-25-10-99人-30年以上</t>
  </si>
  <si>
    <t>正規雇用-E-25-10-99人-5-9年</t>
  </si>
  <si>
    <t>正規雇用-E-25-100-299人-</t>
  </si>
  <si>
    <t>正規雇用-E-25-100-299人-0年</t>
  </si>
  <si>
    <t>正規雇用-E-25-100-299人-1-2年</t>
  </si>
  <si>
    <t>正規雇用-E-25-100-299人-10-14年</t>
  </si>
  <si>
    <t>正規雇用-E-25-100-299人-15-19年</t>
  </si>
  <si>
    <t>正規雇用-E-25-100-299人-20-24年</t>
  </si>
  <si>
    <t>正規雇用-E-25-100-299人-25-29年</t>
  </si>
  <si>
    <t>正規雇用-E-25-100-299人-3-4年</t>
  </si>
  <si>
    <t>正規雇用-E-25-100-299人-30年以上</t>
  </si>
  <si>
    <t>正規雇用-E-25-100-299人-5-9年</t>
  </si>
  <si>
    <t>正規雇用-E-25-300-999人-</t>
  </si>
  <si>
    <t>正規雇用-E-25-300-999人-0年</t>
  </si>
  <si>
    <t>正規雇用-E-25-300-999人-1-2年</t>
  </si>
  <si>
    <t>正規雇用-E-25-300-999人-10-14年</t>
  </si>
  <si>
    <t>正規雇用-E-25-300-999人-15-19年</t>
  </si>
  <si>
    <t>正規雇用-E-25-300-999人-20-24年</t>
  </si>
  <si>
    <t>正規雇用-E-25-300-999人-25-29年</t>
  </si>
  <si>
    <t>正規雇用-E-25-300-999人-3-4年</t>
  </si>
  <si>
    <t>正規雇用-E-25-300-999人-30年以上</t>
  </si>
  <si>
    <t>正規雇用-E-25-300-999人-5-9年</t>
  </si>
  <si>
    <t>正規雇用-E-26-1,000人以上-1-2年</t>
  </si>
  <si>
    <t>正規雇用-E-26-1,000人以上-10-14年</t>
  </si>
  <si>
    <t>正規雇用-E-26-1,000人以上-15-19年</t>
  </si>
  <si>
    <t>正規雇用-E-26-1,000人以上-20-24年</t>
  </si>
  <si>
    <t>正規雇用-E-26-1,000人以上-25-29年</t>
  </si>
  <si>
    <t>正規雇用-E-26-1,000人以上-3-4年</t>
  </si>
  <si>
    <t>正規雇用-E-26-1,000人以上-5-9年</t>
  </si>
  <si>
    <t>正規雇用-E-26-10-99人-</t>
  </si>
  <si>
    <t>正規雇用-E-26-10-99人-0年</t>
  </si>
  <si>
    <t>正規雇用-E-26-10-99人-1-2年</t>
  </si>
  <si>
    <t>正規雇用-E-26-10-99人-10-14年</t>
  </si>
  <si>
    <t>正規雇用-E-26-10-99人-15-19年</t>
  </si>
  <si>
    <t>正規雇用-E-26-10-99人-20-24年</t>
  </si>
  <si>
    <t>正規雇用-E-26-10-99人-25-29年</t>
  </si>
  <si>
    <t>正規雇用-E-26-10-99人-3-4年</t>
  </si>
  <si>
    <t>正規雇用-E-26-10-99人-30年以上</t>
  </si>
  <si>
    <t>正規雇用-E-26-10-99人-5-9年</t>
  </si>
  <si>
    <t>正規雇用-E-26-100-299人-</t>
  </si>
  <si>
    <t>正規雇用-E-26-100-299人-0年</t>
  </si>
  <si>
    <t>正規雇用-E-26-100-299人-1-2年</t>
  </si>
  <si>
    <t>正規雇用-E-26-100-299人-10-14年</t>
  </si>
  <si>
    <t>正規雇用-E-26-100-299人-15-19年</t>
  </si>
  <si>
    <t>正規雇用-E-26-100-299人-20-24年</t>
  </si>
  <si>
    <t>正規雇用-E-26-100-299人-25-29年</t>
  </si>
  <si>
    <t>正規雇用-E-26-100-299人-3-4年</t>
  </si>
  <si>
    <t>正規雇用-E-26-100-299人-30年以上</t>
  </si>
  <si>
    <t>正規雇用-E-26-100-299人-5-9年</t>
  </si>
  <si>
    <t>正規雇用-E-26-300-999人-</t>
  </si>
  <si>
    <t>正規雇用-E-26-300-999人-0年</t>
  </si>
  <si>
    <t>正規雇用-E-26-300-999人-1-2年</t>
  </si>
  <si>
    <t>正規雇用-E-26-300-999人-10-14年</t>
  </si>
  <si>
    <t>正規雇用-E-26-300-999人-15-19年</t>
  </si>
  <si>
    <t>正規雇用-E-26-300-999人-20-24年</t>
  </si>
  <si>
    <t>正規雇用-E-26-300-999人-25-29年</t>
  </si>
  <si>
    <t>正規雇用-E-26-300-999人-3-4年</t>
  </si>
  <si>
    <t>正規雇用-E-26-300-999人-30年以上</t>
  </si>
  <si>
    <t>正規雇用-E-26-300-999人-5-9年</t>
  </si>
  <si>
    <t>正規雇用-E-27-1,000人以上-1-2年</t>
  </si>
  <si>
    <t>正規雇用-E-27-1,000人以上-10-14年</t>
  </si>
  <si>
    <t>正規雇用-E-27-1,000人以上-15-19年</t>
  </si>
  <si>
    <t>正規雇用-E-27-1,000人以上-20-24年</t>
  </si>
  <si>
    <t>正規雇用-E-27-1,000人以上-25-29年</t>
  </si>
  <si>
    <t>正規雇用-E-27-1,000人以上-3-4年</t>
  </si>
  <si>
    <t>正規雇用-E-27-1,000人以上-5-9年</t>
  </si>
  <si>
    <t>正規雇用-E-27-10-99人-</t>
  </si>
  <si>
    <t>正規雇用-E-27-10-99人-0年</t>
  </si>
  <si>
    <t>正規雇用-E-27-10-99人-1-2年</t>
  </si>
  <si>
    <t>正規雇用-E-27-10-99人-10-14年</t>
  </si>
  <si>
    <t>正規雇用-E-27-10-99人-15-19年</t>
  </si>
  <si>
    <t>正規雇用-E-27-10-99人-20-24年</t>
  </si>
  <si>
    <t>正規雇用-E-27-10-99人-25-29年</t>
  </si>
  <si>
    <t>正規雇用-E-27-10-99人-3-4年</t>
  </si>
  <si>
    <t>正規雇用-E-27-10-99人-30年以上</t>
  </si>
  <si>
    <t>正規雇用-E-27-10-99人-5-9年</t>
  </si>
  <si>
    <t>正規雇用-E-27-100-299人-</t>
  </si>
  <si>
    <t>正規雇用-E-27-100-299人-0年</t>
  </si>
  <si>
    <t>正規雇用-E-27-100-299人-1-2年</t>
  </si>
  <si>
    <t>正規雇用-E-27-100-299人-10-14年</t>
  </si>
  <si>
    <t>正規雇用-E-27-100-299人-15-19年</t>
  </si>
  <si>
    <t>正規雇用-E-27-100-299人-20-24年</t>
  </si>
  <si>
    <t>正規雇用-E-27-100-299人-25-29年</t>
  </si>
  <si>
    <t>正規雇用-E-27-100-299人-3-4年</t>
  </si>
  <si>
    <t>正規雇用-E-27-100-299人-30年以上</t>
  </si>
  <si>
    <t>正規雇用-E-27-100-299人-5-9年</t>
  </si>
  <si>
    <t>正規雇用-E-27-300-999人-</t>
  </si>
  <si>
    <t>正規雇用-E-27-300-999人-0年</t>
  </si>
  <si>
    <t>正規雇用-E-27-300-999人-1-2年</t>
  </si>
  <si>
    <t>正規雇用-E-27-300-999人-10-14年</t>
  </si>
  <si>
    <t>正規雇用-E-27-300-999人-15-19年</t>
  </si>
  <si>
    <t>正規雇用-E-27-300-999人-20-24年</t>
  </si>
  <si>
    <t>正規雇用-E-27-300-999人-25-29年</t>
  </si>
  <si>
    <t>正規雇用-E-27-300-999人-3-4年</t>
  </si>
  <si>
    <t>正規雇用-E-27-300-999人-30年以上</t>
  </si>
  <si>
    <t>正規雇用-E-27-300-999人-5-9年</t>
  </si>
  <si>
    <t>正規雇用-E-28-1,000人以上-1-2年</t>
  </si>
  <si>
    <t>正規雇用-E-28-1,000人以上-10-14年</t>
  </si>
  <si>
    <t>正規雇用-E-28-1,000人以上-15-19年</t>
  </si>
  <si>
    <t>正規雇用-E-28-1,000人以上-20-24年</t>
  </si>
  <si>
    <t>正規雇用-E-28-1,000人以上-25-29年</t>
  </si>
  <si>
    <t>正規雇用-E-28-1,000人以上-3-4年</t>
  </si>
  <si>
    <t>正規雇用-E-28-1,000人以上-5-9年</t>
  </si>
  <si>
    <t>正規雇用-E-28-10-99人-</t>
  </si>
  <si>
    <t>正規雇用-E-28-10-99人-0年</t>
  </si>
  <si>
    <t>正規雇用-E-28-10-99人-1-2年</t>
  </si>
  <si>
    <t>正規雇用-E-28-10-99人-10-14年</t>
  </si>
  <si>
    <t>正規雇用-E-28-10-99人-15-19年</t>
  </si>
  <si>
    <t>正規雇用-E-28-10-99人-20-24年</t>
  </si>
  <si>
    <t>正規雇用-E-28-10-99人-25-29年</t>
  </si>
  <si>
    <t>正規雇用-E-28-10-99人-3-4年</t>
  </si>
  <si>
    <t>正規雇用-E-28-10-99人-30年以上</t>
  </si>
  <si>
    <t>正規雇用-E-28-10-99人-5-9年</t>
  </si>
  <si>
    <t>正規雇用-E-28-100-299人-</t>
  </si>
  <si>
    <t>正規雇用-E-28-100-299人-0年</t>
  </si>
  <si>
    <t>正規雇用-E-28-100-299人-1-2年</t>
  </si>
  <si>
    <t>正規雇用-E-28-100-299人-10-14年</t>
  </si>
  <si>
    <t>正規雇用-E-28-100-299人-15-19年</t>
  </si>
  <si>
    <t>正規雇用-E-28-100-299人-20-24年</t>
  </si>
  <si>
    <t>正規雇用-E-28-100-299人-25-29年</t>
  </si>
  <si>
    <t>正規雇用-E-28-100-299人-3-4年</t>
  </si>
  <si>
    <t>正規雇用-E-28-100-299人-30年以上</t>
  </si>
  <si>
    <t>正規雇用-E-28-100-299人-5-9年</t>
  </si>
  <si>
    <t>正規雇用-E-28-300-999人-</t>
  </si>
  <si>
    <t>正規雇用-E-28-300-999人-0年</t>
  </si>
  <si>
    <t>正規雇用-E-28-300-999人-1-2年</t>
  </si>
  <si>
    <t>正規雇用-E-28-300-999人-10-14年</t>
  </si>
  <si>
    <t>正規雇用-E-28-300-999人-15-19年</t>
  </si>
  <si>
    <t>正規雇用-E-28-300-999人-20-24年</t>
  </si>
  <si>
    <t>正規雇用-E-28-300-999人-25-29年</t>
  </si>
  <si>
    <t>正規雇用-E-28-300-999人-3-4年</t>
  </si>
  <si>
    <t>正規雇用-E-28-300-999人-30年以上</t>
  </si>
  <si>
    <t>正規雇用-E-28-300-999人-5-9年</t>
  </si>
  <si>
    <t>正規雇用-E-29-1,000人以上-1-2年</t>
  </si>
  <si>
    <t>正規雇用-E-29-1,000人以上-10-14年</t>
  </si>
  <si>
    <t>正規雇用-E-29-1,000人以上-15-19年</t>
  </si>
  <si>
    <t>正規雇用-E-29-1,000人以上-20-24年</t>
  </si>
  <si>
    <t>正規雇用-E-29-1,000人以上-25-29年</t>
  </si>
  <si>
    <t>正規雇用-E-29-1,000人以上-3-4年</t>
  </si>
  <si>
    <t>正規雇用-E-29-1,000人以上-5-9年</t>
  </si>
  <si>
    <t>正規雇用-E-29-10-99人-</t>
  </si>
  <si>
    <t>正規雇用-E-29-10-99人-0年</t>
  </si>
  <si>
    <t>正規雇用-E-29-10-99人-1-2年</t>
  </si>
  <si>
    <t>正規雇用-E-29-10-99人-10-14年</t>
  </si>
  <si>
    <t>正規雇用-E-29-10-99人-15-19年</t>
  </si>
  <si>
    <t>正規雇用-E-29-10-99人-20-24年</t>
  </si>
  <si>
    <t>正規雇用-E-29-10-99人-25-29年</t>
  </si>
  <si>
    <t>正規雇用-E-29-10-99人-3-4年</t>
  </si>
  <si>
    <t>正規雇用-E-29-10-99人-30年以上</t>
  </si>
  <si>
    <t>正規雇用-E-29-10-99人-5-9年</t>
  </si>
  <si>
    <t>正規雇用-E-29-100-299人-</t>
  </si>
  <si>
    <t>正規雇用-E-29-100-299人-0年</t>
  </si>
  <si>
    <t>正規雇用-E-29-100-299人-1-2年</t>
  </si>
  <si>
    <t>正規雇用-E-29-100-299人-10-14年</t>
  </si>
  <si>
    <t>正規雇用-E-29-100-299人-15-19年</t>
  </si>
  <si>
    <t>正規雇用-E-29-100-299人-20-24年</t>
  </si>
  <si>
    <t>正規雇用-E-29-100-299人-25-29年</t>
  </si>
  <si>
    <t>正規雇用-E-29-100-299人-3-4年</t>
  </si>
  <si>
    <t>正規雇用-E-29-100-299人-30年以上</t>
  </si>
  <si>
    <t>正規雇用-E-29-100-299人-5-9年</t>
  </si>
  <si>
    <t>正規雇用-E-29-300-999人-</t>
  </si>
  <si>
    <t>正規雇用-E-29-300-999人-0年</t>
  </si>
  <si>
    <t>正規雇用-E-29-300-999人-1-2年</t>
  </si>
  <si>
    <t>正規雇用-E-29-300-999人-10-14年</t>
  </si>
  <si>
    <t>正規雇用-E-29-300-999人-15-19年</t>
  </si>
  <si>
    <t>正規雇用-E-29-300-999人-20-24年</t>
  </si>
  <si>
    <t>正規雇用-E-29-300-999人-25-29年</t>
  </si>
  <si>
    <t>正規雇用-E-29-300-999人-3-4年</t>
  </si>
  <si>
    <t>正規雇用-E-29-300-999人-30年以上</t>
  </si>
  <si>
    <t>正規雇用-E-29-300-999人-5-9年</t>
  </si>
  <si>
    <t>正規雇用-E-30-1,000人以上-1-2年</t>
  </si>
  <si>
    <t>正規雇用-E-30-1,000人以上-10-14年</t>
  </si>
  <si>
    <t>正規雇用-E-30-1,000人以上-15-19年</t>
  </si>
  <si>
    <t>正規雇用-E-30-1,000人以上-20-24年</t>
  </si>
  <si>
    <t>正規雇用-E-30-1,000人以上-25-29年</t>
  </si>
  <si>
    <t>正規雇用-E-30-1,000人以上-3-4年</t>
  </si>
  <si>
    <t>正規雇用-E-30-1,000人以上-5-9年</t>
  </si>
  <si>
    <t>正規雇用-E-30-10-99人-</t>
  </si>
  <si>
    <t>正規雇用-E-30-10-99人-0年</t>
  </si>
  <si>
    <t>正規雇用-E-30-10-99人-1-2年</t>
  </si>
  <si>
    <t>正規雇用-E-30-10-99人-10-14年</t>
  </si>
  <si>
    <t>正規雇用-E-30-10-99人-15-19年</t>
  </si>
  <si>
    <t>正規雇用-E-30-10-99人-20-24年</t>
  </si>
  <si>
    <t>正規雇用-E-30-10-99人-25-29年</t>
  </si>
  <si>
    <t>正規雇用-E-30-10-99人-3-4年</t>
  </si>
  <si>
    <t>正規雇用-E-30-10-99人-30年以上</t>
  </si>
  <si>
    <t>正規雇用-E-30-10-99人-5-9年</t>
  </si>
  <si>
    <t>正規雇用-E-30-100-299人-</t>
  </si>
  <si>
    <t>正規雇用-E-30-100-299人-0年</t>
  </si>
  <si>
    <t>正規雇用-E-30-100-299人-1-2年</t>
  </si>
  <si>
    <t>正規雇用-E-30-100-299人-10-14年</t>
  </si>
  <si>
    <t>正規雇用-E-30-100-299人-15-19年</t>
  </si>
  <si>
    <t>正規雇用-E-30-100-299人-20-24年</t>
  </si>
  <si>
    <t>正規雇用-E-30-100-299人-25-29年</t>
  </si>
  <si>
    <t>正規雇用-E-30-100-299人-3-4年</t>
  </si>
  <si>
    <t>正規雇用-E-30-100-299人-30年以上</t>
  </si>
  <si>
    <t>正規雇用-E-30-100-299人-5-9年</t>
  </si>
  <si>
    <t>正規雇用-E-30-300-999人-</t>
  </si>
  <si>
    <t>正規雇用-E-30-300-999人-0年</t>
  </si>
  <si>
    <t>正規雇用-E-30-300-999人-1-2年</t>
  </si>
  <si>
    <t>正規雇用-E-30-300-999人-10-14年</t>
  </si>
  <si>
    <t>正規雇用-E-30-300-999人-15-19年</t>
  </si>
  <si>
    <t>正規雇用-E-30-300-999人-20-24年</t>
  </si>
  <si>
    <t>正規雇用-E-30-300-999人-25-29年</t>
  </si>
  <si>
    <t>正規雇用-E-30-300-999人-3-4年</t>
  </si>
  <si>
    <t>正規雇用-E-30-300-999人-30年以上</t>
  </si>
  <si>
    <t>正規雇用-E-30-300-999人-5-9年</t>
  </si>
  <si>
    <t>正規雇用-E-31-1,000人以上-1-2年</t>
  </si>
  <si>
    <t>正規雇用-E-31-1,000人以上-10-14年</t>
  </si>
  <si>
    <t>正規雇用-E-31-1,000人以上-15-19年</t>
  </si>
  <si>
    <t>正規雇用-E-31-1,000人以上-20-24年</t>
  </si>
  <si>
    <t>正規雇用-E-31-1,000人以上-25-29年</t>
  </si>
  <si>
    <t>正規雇用-E-31-1,000人以上-3-4年</t>
  </si>
  <si>
    <t>正規雇用-E-31-1,000人以上-5-9年</t>
  </si>
  <si>
    <t>正規雇用-E-31-10-99人-</t>
  </si>
  <si>
    <t>正規雇用-E-31-10-99人-0年</t>
  </si>
  <si>
    <t>正規雇用-E-31-10-99人-1-2年</t>
  </si>
  <si>
    <t>正規雇用-E-31-10-99人-10-14年</t>
  </si>
  <si>
    <t>正規雇用-E-31-10-99人-15-19年</t>
  </si>
  <si>
    <t>正規雇用-E-31-10-99人-20-24年</t>
  </si>
  <si>
    <t>正規雇用-E-31-10-99人-25-29年</t>
  </si>
  <si>
    <t>正規雇用-E-31-10-99人-3-4年</t>
  </si>
  <si>
    <t>正規雇用-E-31-10-99人-30年以上</t>
  </si>
  <si>
    <t>正規雇用-E-31-10-99人-5-9年</t>
  </si>
  <si>
    <t>正規雇用-E-31-100-299人-</t>
  </si>
  <si>
    <t>正規雇用-E-31-100-299人-0年</t>
  </si>
  <si>
    <t>正規雇用-E-31-100-299人-1-2年</t>
  </si>
  <si>
    <t>正規雇用-E-31-100-299人-10-14年</t>
  </si>
  <si>
    <t>正規雇用-E-31-100-299人-15-19年</t>
  </si>
  <si>
    <t>正規雇用-E-31-100-299人-20-24年</t>
  </si>
  <si>
    <t>正規雇用-E-31-100-299人-25-29年</t>
  </si>
  <si>
    <t>正規雇用-E-31-100-299人-3-4年</t>
  </si>
  <si>
    <t>正規雇用-E-31-100-299人-30年以上</t>
  </si>
  <si>
    <t>正規雇用-E-31-100-299人-5-9年</t>
  </si>
  <si>
    <t>正規雇用-E-31-300-999人-</t>
  </si>
  <si>
    <t>正規雇用-E-31-300-999人-0年</t>
  </si>
  <si>
    <t>正規雇用-E-31-300-999人-1-2年</t>
  </si>
  <si>
    <t>正規雇用-E-31-300-999人-10-14年</t>
  </si>
  <si>
    <t>正規雇用-E-31-300-999人-15-19年</t>
  </si>
  <si>
    <t>正規雇用-E-31-300-999人-20-24年</t>
  </si>
  <si>
    <t>正規雇用-E-31-300-999人-25-29年</t>
  </si>
  <si>
    <t>正規雇用-E-31-300-999人-3-4年</t>
  </si>
  <si>
    <t>正規雇用-E-31-300-999人-30年以上</t>
  </si>
  <si>
    <t>正規雇用-E-31-300-999人-5-9年</t>
  </si>
  <si>
    <t>正規雇用-E-32-1,000人以上-1-2年</t>
  </si>
  <si>
    <t>正規雇用-E-32-1,000人以上-10-14年</t>
  </si>
  <si>
    <t>正規雇用-E-32-1,000人以上-15-19年</t>
  </si>
  <si>
    <t>正規雇用-E-32-1,000人以上-20-24年</t>
  </si>
  <si>
    <t>正規雇用-E-32-1,000人以上-25-29年</t>
  </si>
  <si>
    <t>正規雇用-E-32-1,000人以上-3-4年</t>
  </si>
  <si>
    <t>正規雇用-E-32-1,000人以上-5-9年</t>
  </si>
  <si>
    <t>正規雇用-E-32-10-99人-</t>
  </si>
  <si>
    <t>正規雇用-E-32-10-99人-0年</t>
  </si>
  <si>
    <t>正規雇用-E-32-10-99人-1-2年</t>
  </si>
  <si>
    <t>正規雇用-E-32-10-99人-10-14年</t>
  </si>
  <si>
    <t>正規雇用-E-32-10-99人-15-19年</t>
  </si>
  <si>
    <t>正規雇用-E-32-10-99人-20-24年</t>
  </si>
  <si>
    <t>正規雇用-E-32-10-99人-25-29年</t>
  </si>
  <si>
    <t>正規雇用-E-32-10-99人-3-4年</t>
  </si>
  <si>
    <t>正規雇用-E-32-10-99人-30年以上</t>
  </si>
  <si>
    <t>正規雇用-E-32-10-99人-5-9年</t>
  </si>
  <si>
    <t>正規雇用-E-32-100-299人-</t>
  </si>
  <si>
    <t>正規雇用-E-32-100-299人-0年</t>
  </si>
  <si>
    <t>正規雇用-E-32-100-299人-1-2年</t>
  </si>
  <si>
    <t>正規雇用-E-32-100-299人-10-14年</t>
  </si>
  <si>
    <t>正規雇用-E-32-100-299人-15-19年</t>
  </si>
  <si>
    <t>正規雇用-E-32-100-299人-20-24年</t>
  </si>
  <si>
    <t>正規雇用-E-32-100-299人-25-29年</t>
  </si>
  <si>
    <t>正規雇用-E-32-100-299人-3-4年</t>
  </si>
  <si>
    <t>正規雇用-E-32-100-299人-30年以上</t>
  </si>
  <si>
    <t>正規雇用-E-32-100-299人-5-9年</t>
  </si>
  <si>
    <t>正規雇用-E-32-300-999人-</t>
  </si>
  <si>
    <t>正規雇用-E-32-300-999人-0年</t>
  </si>
  <si>
    <t>正規雇用-E-32-300-999人-1-2年</t>
  </si>
  <si>
    <t>正規雇用-E-32-300-999人-10-14年</t>
  </si>
  <si>
    <t>正規雇用-E-32-300-999人-15-19年</t>
  </si>
  <si>
    <t>正規雇用-E-32-300-999人-20-24年</t>
  </si>
  <si>
    <t>正規雇用-E-32-300-999人-25-29年</t>
  </si>
  <si>
    <t>正規雇用-E-32-300-999人-3-4年</t>
  </si>
  <si>
    <t>正規雇用-E-32-300-999人-30年以上</t>
  </si>
  <si>
    <t>正規雇用-E-32-300-999人-5-9年</t>
  </si>
  <si>
    <t>正規雇用-C--1,000人以上-1-2年</t>
  </si>
  <si>
    <t>正規雇用-C--1,000人以上-10-14年</t>
  </si>
  <si>
    <t>正規雇用-C--1,000人以上-15-19年</t>
  </si>
  <si>
    <t>正規雇用-C--1,000人以上-20-24年</t>
  </si>
  <si>
    <t>正規雇用-C--1,000人以上-25-29年</t>
  </si>
  <si>
    <t>正規雇用-C--1,000人以上-3-4年</t>
  </si>
  <si>
    <t>正規雇用-C--1,000人以上-5-9年</t>
  </si>
  <si>
    <t>正規雇用-C--10-99人-</t>
  </si>
  <si>
    <t>正規雇用-C--10-99人-0年</t>
  </si>
  <si>
    <t>正規雇用-C--10-99人-1-2年</t>
  </si>
  <si>
    <t>正規雇用-C--10-99人-10-14年</t>
  </si>
  <si>
    <t>正規雇用-C--10-99人-15-19年</t>
  </si>
  <si>
    <t>正規雇用-C--10-99人-20-24年</t>
  </si>
  <si>
    <t>正規雇用-C--10-99人-25-29年</t>
  </si>
  <si>
    <t>正規雇用-C--10-99人-3-4年</t>
  </si>
  <si>
    <t>正規雇用-C--10-99人-30年以上</t>
  </si>
  <si>
    <t>正規雇用-C--10-99人-5-9年</t>
  </si>
  <si>
    <t>正規雇用-C--100-299人-</t>
  </si>
  <si>
    <t>正規雇用-C--100-299人-0年</t>
  </si>
  <si>
    <t>正規雇用-C--100-299人-1-2年</t>
  </si>
  <si>
    <t>正規雇用-C--100-299人-10-14年</t>
  </si>
  <si>
    <t>正規雇用-C--100-299人-15-19年</t>
  </si>
  <si>
    <t>正規雇用-C--100-299人-20-24年</t>
  </si>
  <si>
    <t>正規雇用-C--100-299人-25-29年</t>
  </si>
  <si>
    <t>正規雇用-C--100-299人-3-4年</t>
  </si>
  <si>
    <t>正規雇用-C--100-299人-30年以上</t>
  </si>
  <si>
    <t>正規雇用-C--100-299人-5-9年</t>
  </si>
  <si>
    <t>正規雇用-C--300-999人-</t>
  </si>
  <si>
    <t>正規雇用-C--300-999人-0年</t>
  </si>
  <si>
    <t>正規雇用-C--300-999人-1-2年</t>
  </si>
  <si>
    <t>正規雇用-C--300-999人-10-14年</t>
  </si>
  <si>
    <t>正規雇用-C--300-999人-15-19年</t>
  </si>
  <si>
    <t>正規雇用-C--300-999人-20-24年</t>
  </si>
  <si>
    <t>正規雇用-C--300-999人-25-29年</t>
  </si>
  <si>
    <t>正規雇用-C--300-999人-3-4年</t>
  </si>
  <si>
    <t>正規雇用-C--300-999人-30年以上</t>
  </si>
  <si>
    <t>正規雇用-C--300-999人-5-9年</t>
  </si>
  <si>
    <t>正規雇用-D--1,000人以上-1-2年</t>
  </si>
  <si>
    <t>正規雇用-D--1,000人以上-10-14年</t>
  </si>
  <si>
    <t>正規雇用-D--1,000人以上-15-19年</t>
  </si>
  <si>
    <t>正規雇用-D--1,000人以上-20-24年</t>
  </si>
  <si>
    <t>正規雇用-D--1,000人以上-25-29年</t>
  </si>
  <si>
    <t>正規雇用-D--1,000人以上-3-4年</t>
  </si>
  <si>
    <t>正規雇用-D--1,000人以上-5-9年</t>
  </si>
  <si>
    <t>正規雇用-D--10-99人-</t>
  </si>
  <si>
    <t>正規雇用-D--10-99人-0年</t>
  </si>
  <si>
    <t>正規雇用-D--10-99人-1-2年</t>
  </si>
  <si>
    <t>正規雇用-D--10-99人-10-14年</t>
  </si>
  <si>
    <t>正規雇用-D--10-99人-15-19年</t>
  </si>
  <si>
    <t>正規雇用-D--10-99人-20-24年</t>
  </si>
  <si>
    <t>正規雇用-D--10-99人-25-29年</t>
  </si>
  <si>
    <t>正規雇用-D--10-99人-3-4年</t>
  </si>
  <si>
    <t>正規雇用-D--10-99人-30年以上</t>
  </si>
  <si>
    <t>正規雇用-D--10-99人-5-9年</t>
  </si>
  <si>
    <t>正規雇用-D--100-299人-</t>
  </si>
  <si>
    <t>正規雇用-D--100-299人-0年</t>
  </si>
  <si>
    <t>正規雇用-D--100-299人-1-2年</t>
  </si>
  <si>
    <t>正規雇用-D--100-299人-10-14年</t>
  </si>
  <si>
    <t>正規雇用-D--100-299人-15-19年</t>
  </si>
  <si>
    <t>正規雇用-D--100-299人-20-24年</t>
  </si>
  <si>
    <t>正規雇用-D--100-299人-25-29年</t>
  </si>
  <si>
    <t>正規雇用-D--100-299人-3-4年</t>
  </si>
  <si>
    <t>正規雇用-D--100-299人-30年以上</t>
  </si>
  <si>
    <t>正規雇用-D--100-299人-5-9年</t>
  </si>
  <si>
    <t>正規雇用-D--300-999人-</t>
  </si>
  <si>
    <t>正規雇用-D--300-999人-0年</t>
  </si>
  <si>
    <t>正規雇用-D--300-999人-1-2年</t>
  </si>
  <si>
    <t>正規雇用-D--300-999人-10-14年</t>
  </si>
  <si>
    <t>正規雇用-D--300-999人-15-19年</t>
  </si>
  <si>
    <t>正規雇用-D--300-999人-20-24年</t>
  </si>
  <si>
    <t>正規雇用-D--300-999人-25-29年</t>
  </si>
  <si>
    <t>正規雇用-D--300-999人-3-4年</t>
  </si>
  <si>
    <t>正規雇用-D--300-999人-30年以上</t>
  </si>
  <si>
    <t>正規雇用-D--300-999人-5-9年</t>
  </si>
  <si>
    <t>正規雇用-E--1,000人以上-1-2年</t>
  </si>
  <si>
    <t>正規雇用-E--1,000人以上-10-14年</t>
  </si>
  <si>
    <t>正規雇用-E--1,000人以上-15-19年</t>
  </si>
  <si>
    <t>正規雇用-E--1,000人以上-20-24年</t>
  </si>
  <si>
    <t>正規雇用-E--1,000人以上-25-29年</t>
  </si>
  <si>
    <t>正規雇用-E--1,000人以上-3-4年</t>
  </si>
  <si>
    <t>正規雇用-E--1,000人以上-5-9年</t>
  </si>
  <si>
    <t>正規雇用-E--10-99人-</t>
  </si>
  <si>
    <t>正規雇用-E--10-99人-0年</t>
  </si>
  <si>
    <t>正規雇用-E--10-99人-1-2年</t>
  </si>
  <si>
    <t>正規雇用-E--10-99人-10-14年</t>
  </si>
  <si>
    <t>正規雇用-E--10-99人-15-19年</t>
  </si>
  <si>
    <t>正規雇用-E--10-99人-20-24年</t>
  </si>
  <si>
    <t>正規雇用-E--10-99人-25-29年</t>
  </si>
  <si>
    <t>正規雇用-E--10-99人-3-4年</t>
  </si>
  <si>
    <t>正規雇用-E--10-99人-30年以上</t>
  </si>
  <si>
    <t>正規雇用-E--10-99人-5-9年</t>
  </si>
  <si>
    <t>正規雇用-E--100-299人-</t>
  </si>
  <si>
    <t>正規雇用-E--100-299人-0年</t>
  </si>
  <si>
    <t>正規雇用-E--100-299人-1-2年</t>
  </si>
  <si>
    <t>正規雇用-E--100-299人-10-14年</t>
  </si>
  <si>
    <t>正規雇用-E--100-299人-15-19年</t>
  </si>
  <si>
    <t>正規雇用-E--100-299人-20-24年</t>
  </si>
  <si>
    <t>正規雇用-E--100-299人-25-29年</t>
  </si>
  <si>
    <t>正規雇用-E--100-299人-3-4年</t>
  </si>
  <si>
    <t>正規雇用-E--100-299人-30年以上</t>
  </si>
  <si>
    <t>正規雇用-E--100-299人-5-9年</t>
  </si>
  <si>
    <t>正規雇用-E--300-999人-</t>
  </si>
  <si>
    <t>正規雇用-E--300-999人-0年</t>
  </si>
  <si>
    <t>正規雇用-E--300-999人-1-2年</t>
  </si>
  <si>
    <t>正規雇用-E--300-999人-10-14年</t>
  </si>
  <si>
    <t>正規雇用-E--300-999人-15-19年</t>
  </si>
  <si>
    <t>正規雇用-E--300-999人-20-24年</t>
  </si>
  <si>
    <t>正規雇用-E--300-999人-25-29年</t>
  </si>
  <si>
    <t>正規雇用-E--300-999人-3-4年</t>
  </si>
  <si>
    <t>正規雇用-E--300-999人-30年以上</t>
  </si>
  <si>
    <t>正規雇用-E--300-999人-5-9年</t>
  </si>
  <si>
    <t>正規雇用-F--1,000人以上-1-2年</t>
  </si>
  <si>
    <t>正規雇用-F--1,000人以上-10-14年</t>
  </si>
  <si>
    <t>正規雇用-F--1,000人以上-15-19年</t>
  </si>
  <si>
    <t>正規雇用-F--1,000人以上-20-24年</t>
  </si>
  <si>
    <t>正規雇用-F--1,000人以上-25-29年</t>
  </si>
  <si>
    <t>正規雇用-F--1,000人以上-3-4年</t>
  </si>
  <si>
    <t>正規雇用-F--1,000人以上-5-9年</t>
  </si>
  <si>
    <t>正規雇用-F--10-99人-</t>
  </si>
  <si>
    <t>正規雇用-F--10-99人-0年</t>
  </si>
  <si>
    <t>正規雇用-F--10-99人-1-2年</t>
  </si>
  <si>
    <t>正規雇用-F--10-99人-10-14年</t>
  </si>
  <si>
    <t>正規雇用-F--10-99人-15-19年</t>
  </si>
  <si>
    <t>正規雇用-F--10-99人-20-24年</t>
  </si>
  <si>
    <t>正規雇用-F--10-99人-25-29年</t>
  </si>
  <si>
    <t>正規雇用-F--10-99人-3-4年</t>
  </si>
  <si>
    <t>正規雇用-F--10-99人-30年以上</t>
  </si>
  <si>
    <t>正規雇用-F--10-99人-5-9年</t>
  </si>
  <si>
    <t>正規雇用-F--100-299人-</t>
  </si>
  <si>
    <t>正規雇用-F--100-299人-0年</t>
  </si>
  <si>
    <t>正規雇用-F--100-299人-1-2年</t>
  </si>
  <si>
    <t>正規雇用-F--100-299人-10-14年</t>
  </si>
  <si>
    <t>正規雇用-F--100-299人-15-19年</t>
  </si>
  <si>
    <t>正規雇用-F--100-299人-20-24年</t>
  </si>
  <si>
    <t>正規雇用-F--100-299人-25-29年</t>
  </si>
  <si>
    <t>正規雇用-F--100-299人-3-4年</t>
  </si>
  <si>
    <t>正規雇用-F--100-299人-30年以上</t>
  </si>
  <si>
    <t>正規雇用-F--100-299人-5-9年</t>
  </si>
  <si>
    <t>正規雇用-F--300-999人-</t>
  </si>
  <si>
    <t>正規雇用-F--300-999人-0年</t>
  </si>
  <si>
    <t>正規雇用-F--300-999人-1-2年</t>
  </si>
  <si>
    <t>正規雇用-F--300-999人-10-14年</t>
  </si>
  <si>
    <t>正規雇用-F--300-999人-15-19年</t>
  </si>
  <si>
    <t>正規雇用-F--300-999人-20-24年</t>
  </si>
  <si>
    <t>正規雇用-F--300-999人-25-29年</t>
  </si>
  <si>
    <t>正規雇用-F--300-999人-3-4年</t>
  </si>
  <si>
    <t>正規雇用-F--300-999人-30年以上</t>
  </si>
  <si>
    <t>正規雇用-F--300-999人-5-9年</t>
  </si>
  <si>
    <t>正規雇用-G--1,000人以上-1-2年</t>
  </si>
  <si>
    <t>正規雇用-G--1,000人以上-10-14年</t>
  </si>
  <si>
    <t>正規雇用-G--1,000人以上-15-19年</t>
  </si>
  <si>
    <t>正規雇用-G--1,000人以上-20-24年</t>
  </si>
  <si>
    <t>正規雇用-G--1,000人以上-25-29年</t>
  </si>
  <si>
    <t>正規雇用-G--1,000人以上-3-4年</t>
  </si>
  <si>
    <t>正規雇用-G--1,000人以上-5-9年</t>
  </si>
  <si>
    <t>正規雇用-G--10-99人-</t>
  </si>
  <si>
    <t>正規雇用-G--10-99人-0年</t>
  </si>
  <si>
    <t>正規雇用-G--10-99人-1-2年</t>
  </si>
  <si>
    <t>正規雇用-G--10-99人-10-14年</t>
  </si>
  <si>
    <t>正規雇用-G--10-99人-15-19年</t>
  </si>
  <si>
    <t>正規雇用-G--10-99人-20-24年</t>
  </si>
  <si>
    <t>正規雇用-G--10-99人-25-29年</t>
  </si>
  <si>
    <t>正規雇用-G--10-99人-3-4年</t>
  </si>
  <si>
    <t>正規雇用-G--10-99人-30年以上</t>
  </si>
  <si>
    <t>正規雇用-G--10-99人-5-9年</t>
  </si>
  <si>
    <t>正規雇用-G--100-299人-</t>
  </si>
  <si>
    <t>正規雇用-G--100-299人-0年</t>
  </si>
  <si>
    <t>正規雇用-G--100-299人-1-2年</t>
  </si>
  <si>
    <t>正規雇用-G--100-299人-10-14年</t>
  </si>
  <si>
    <t>正規雇用-G--100-299人-15-19年</t>
  </si>
  <si>
    <t>正規雇用-G--100-299人-20-24年</t>
  </si>
  <si>
    <t>正規雇用-G--100-299人-25-29年</t>
  </si>
  <si>
    <t>正規雇用-G--100-299人-3-4年</t>
  </si>
  <si>
    <t>正規雇用-G--100-299人-30年以上</t>
  </si>
  <si>
    <t>正規雇用-G--100-299人-5-9年</t>
  </si>
  <si>
    <t>正規雇用-G--300-999人-</t>
  </si>
  <si>
    <t>正規雇用-G--300-999人-0年</t>
  </si>
  <si>
    <t>正規雇用-G--300-999人-1-2年</t>
  </si>
  <si>
    <t>正規雇用-G--300-999人-10-14年</t>
  </si>
  <si>
    <t>正規雇用-G--300-999人-15-19年</t>
  </si>
  <si>
    <t>正規雇用-G--300-999人-20-24年</t>
  </si>
  <si>
    <t>正規雇用-G--300-999人-25-29年</t>
  </si>
  <si>
    <t>正規雇用-G--300-999人-3-4年</t>
  </si>
  <si>
    <t>正規雇用-G--300-999人-30年以上</t>
  </si>
  <si>
    <t>正規雇用-G--300-999人-5-9年</t>
  </si>
  <si>
    <t>正規雇用-H--1,000人以上-1-2年</t>
  </si>
  <si>
    <t>正規雇用-H--1,000人以上-10-14年</t>
  </si>
  <si>
    <t>正規雇用-H--1,000人以上-15-19年</t>
  </si>
  <si>
    <t>正規雇用-H--1,000人以上-20-24年</t>
  </si>
  <si>
    <t>正規雇用-H--1,000人以上-25-29年</t>
  </si>
  <si>
    <t>正規雇用-H--1,000人以上-3-4年</t>
  </si>
  <si>
    <t>正規雇用-H--1,000人以上-5-9年</t>
  </si>
  <si>
    <t>正規雇用-H--10-99人-</t>
  </si>
  <si>
    <t>正規雇用-H--10-99人-0年</t>
  </si>
  <si>
    <t>正規雇用-H--10-99人-1-2年</t>
  </si>
  <si>
    <t>正規雇用-H--10-99人-10-14年</t>
  </si>
  <si>
    <t>正規雇用-H--10-99人-15-19年</t>
  </si>
  <si>
    <t>正規雇用-H--10-99人-20-24年</t>
  </si>
  <si>
    <t>正規雇用-H--10-99人-25-29年</t>
  </si>
  <si>
    <t>正規雇用-H--10-99人-3-4年</t>
  </si>
  <si>
    <t>正規雇用-H--10-99人-30年以上</t>
  </si>
  <si>
    <t>正規雇用-H--10-99人-5-9年</t>
  </si>
  <si>
    <t>正規雇用-H--100-299人-</t>
  </si>
  <si>
    <t>正規雇用-H--100-299人-0年</t>
  </si>
  <si>
    <t>正規雇用-H--100-299人-1-2年</t>
  </si>
  <si>
    <t>正規雇用-H--100-299人-10-14年</t>
  </si>
  <si>
    <t>正規雇用-H--100-299人-15-19年</t>
  </si>
  <si>
    <t>正規雇用-H--100-299人-20-24年</t>
  </si>
  <si>
    <t>正規雇用-H--100-299人-25-29年</t>
  </si>
  <si>
    <t>正規雇用-H--100-299人-3-4年</t>
  </si>
  <si>
    <t>正規雇用-H--100-299人-30年以上</t>
  </si>
  <si>
    <t>正規雇用-H--100-299人-5-9年</t>
  </si>
  <si>
    <t>正規雇用-H--300-999人-</t>
  </si>
  <si>
    <t>正規雇用-H--300-999人-0年</t>
  </si>
  <si>
    <t>正規雇用-H--300-999人-1-2年</t>
  </si>
  <si>
    <t>正規雇用-H--300-999人-10-14年</t>
  </si>
  <si>
    <t>正規雇用-H--300-999人-15-19年</t>
  </si>
  <si>
    <t>正規雇用-H--300-999人-20-24年</t>
  </si>
  <si>
    <t>正規雇用-H--300-999人-25-29年</t>
  </si>
  <si>
    <t>正規雇用-H--300-999人-3-4年</t>
  </si>
  <si>
    <t>正規雇用-H--300-999人-30年以上</t>
  </si>
  <si>
    <t>正規雇用-H--300-999人-5-9年</t>
  </si>
  <si>
    <t>正規雇用-I--1,000人以上-1-2年</t>
  </si>
  <si>
    <t>正規雇用-I--1,000人以上-10-14年</t>
  </si>
  <si>
    <t>正規雇用-I--1,000人以上-15-19年</t>
  </si>
  <si>
    <t>正規雇用-I--1,000人以上-20-24年</t>
  </si>
  <si>
    <t>正規雇用-I--1,000人以上-25-29年</t>
  </si>
  <si>
    <t>正規雇用-I--1,000人以上-3-4年</t>
  </si>
  <si>
    <t>正規雇用-I--1,000人以上-5-9年</t>
  </si>
  <si>
    <t>正規雇用-I--10-99人-</t>
  </si>
  <si>
    <t>正規雇用-I--10-99人-0年</t>
  </si>
  <si>
    <t>正規雇用-I--10-99人-1-2年</t>
  </si>
  <si>
    <t>正規雇用-I--10-99人-10-14年</t>
  </si>
  <si>
    <t>正規雇用-I--10-99人-15-19年</t>
  </si>
  <si>
    <t>正規雇用-I--10-99人-20-24年</t>
  </si>
  <si>
    <t>正規雇用-I--10-99人-25-29年</t>
  </si>
  <si>
    <t>正規雇用-I--10-99人-3-4年</t>
  </si>
  <si>
    <t>正規雇用-I--10-99人-30年以上</t>
  </si>
  <si>
    <t>正規雇用-I--10-99人-5-9年</t>
  </si>
  <si>
    <t>正規雇用-I--100-299人-</t>
  </si>
  <si>
    <t>正規雇用-I--100-299人-0年</t>
  </si>
  <si>
    <t>正規雇用-I--100-299人-1-2年</t>
  </si>
  <si>
    <t>正規雇用-I--100-299人-10-14年</t>
  </si>
  <si>
    <t>正規雇用-I--100-299人-15-19年</t>
  </si>
  <si>
    <t>正規雇用-I--100-299人-20-24年</t>
  </si>
  <si>
    <t>正規雇用-I--100-299人-25-29年</t>
  </si>
  <si>
    <t>正規雇用-I--100-299人-3-4年</t>
  </si>
  <si>
    <t>正規雇用-I--100-299人-30年以上</t>
  </si>
  <si>
    <t>正規雇用-I--100-299人-5-9年</t>
  </si>
  <si>
    <t>正規雇用-I--300-999人-</t>
  </si>
  <si>
    <t>正規雇用-I--300-999人-0年</t>
  </si>
  <si>
    <t>正規雇用-I--300-999人-1-2年</t>
  </si>
  <si>
    <t>正規雇用-I--300-999人-10-14年</t>
  </si>
  <si>
    <t>正規雇用-I--300-999人-15-19年</t>
  </si>
  <si>
    <t>正規雇用-I--300-999人-20-24年</t>
  </si>
  <si>
    <t>正規雇用-I--300-999人-25-29年</t>
  </si>
  <si>
    <t>正規雇用-I--300-999人-3-4年</t>
  </si>
  <si>
    <t>正規雇用-I--300-999人-30年以上</t>
  </si>
  <si>
    <t>正規雇用-I--300-999人-5-9年</t>
  </si>
  <si>
    <t>正規雇用-J--1,000人以上-1-2年</t>
  </si>
  <si>
    <t>正規雇用-J--1,000人以上-10-14年</t>
  </si>
  <si>
    <t>正規雇用-J--1,000人以上-15-19年</t>
  </si>
  <si>
    <t>正規雇用-J--1,000人以上-20-24年</t>
  </si>
  <si>
    <t>正規雇用-J--1,000人以上-25-29年</t>
  </si>
  <si>
    <t>正規雇用-J--1,000人以上-3-4年</t>
  </si>
  <si>
    <t>正規雇用-J--1,000人以上-5-9年</t>
  </si>
  <si>
    <t>正規雇用-J--10-99人-</t>
  </si>
  <si>
    <t>正規雇用-J--10-99人-0年</t>
  </si>
  <si>
    <t>正規雇用-J--10-99人-1-2年</t>
  </si>
  <si>
    <t>正規雇用-J--10-99人-10-14年</t>
  </si>
  <si>
    <t>正規雇用-J--10-99人-15-19年</t>
  </si>
  <si>
    <t>正規雇用-J--10-99人-20-24年</t>
  </si>
  <si>
    <t>正規雇用-J--10-99人-25-29年</t>
  </si>
  <si>
    <t>正規雇用-J--10-99人-3-4年</t>
  </si>
  <si>
    <t>正規雇用-J--10-99人-30年以上</t>
  </si>
  <si>
    <t>正規雇用-J--10-99人-5-9年</t>
  </si>
  <si>
    <t>正規雇用-J--100-299人-</t>
  </si>
  <si>
    <t>正規雇用-J--100-299人-0年</t>
  </si>
  <si>
    <t>正規雇用-J--100-299人-1-2年</t>
  </si>
  <si>
    <t>正規雇用-J--100-299人-10-14年</t>
  </si>
  <si>
    <t>正規雇用-J--100-299人-15-19年</t>
  </si>
  <si>
    <t>正規雇用-J--100-299人-20-24年</t>
  </si>
  <si>
    <t>正規雇用-J--100-299人-25-29年</t>
  </si>
  <si>
    <t>正規雇用-J--100-299人-3-4年</t>
  </si>
  <si>
    <t>正規雇用-J--100-299人-30年以上</t>
  </si>
  <si>
    <t>正規雇用-J--100-299人-5-9年</t>
  </si>
  <si>
    <t>正規雇用-J--300-999人-</t>
  </si>
  <si>
    <t>正規雇用-J--300-999人-0年</t>
  </si>
  <si>
    <t>正規雇用-J--300-999人-1-2年</t>
  </si>
  <si>
    <t>正規雇用-J--300-999人-10-14年</t>
  </si>
  <si>
    <t>正規雇用-J--300-999人-15-19年</t>
  </si>
  <si>
    <t>正規雇用-J--300-999人-20-24年</t>
  </si>
  <si>
    <t>正規雇用-J--300-999人-25-29年</t>
  </si>
  <si>
    <t>正規雇用-J--300-999人-3-4年</t>
  </si>
  <si>
    <t>正規雇用-J--300-999人-30年以上</t>
  </si>
  <si>
    <t>正規雇用-J--300-999人-5-9年</t>
  </si>
  <si>
    <t>正規雇用-K--1,000人以上-1-2年</t>
  </si>
  <si>
    <t>正規雇用-K--1,000人以上-10-14年</t>
  </si>
  <si>
    <t>正規雇用-K--1,000人以上-15-19年</t>
  </si>
  <si>
    <t>正規雇用-K--1,000人以上-20-24年</t>
  </si>
  <si>
    <t>正規雇用-K--1,000人以上-25-29年</t>
  </si>
  <si>
    <t>正規雇用-K--1,000人以上-3-4年</t>
  </si>
  <si>
    <t>正規雇用-K--1,000人以上-5-9年</t>
  </si>
  <si>
    <t>正規雇用-K--10-99人-</t>
  </si>
  <si>
    <t>正規雇用-K--10-99人-0年</t>
  </si>
  <si>
    <t>正規雇用-K--10-99人-1-2年</t>
  </si>
  <si>
    <t>正規雇用-K--10-99人-10-14年</t>
  </si>
  <si>
    <t>正規雇用-K--10-99人-15-19年</t>
  </si>
  <si>
    <t>正規雇用-K--10-99人-20-24年</t>
  </si>
  <si>
    <t>正規雇用-K--10-99人-25-29年</t>
  </si>
  <si>
    <t>正規雇用-K--10-99人-3-4年</t>
  </si>
  <si>
    <t>正規雇用-K--10-99人-30年以上</t>
  </si>
  <si>
    <t>正規雇用-K--10-99人-5-9年</t>
  </si>
  <si>
    <t>正規雇用-K--100-299人-</t>
  </si>
  <si>
    <t>正規雇用-K--100-299人-0年</t>
  </si>
  <si>
    <t>正規雇用-K--100-299人-1-2年</t>
  </si>
  <si>
    <t>正規雇用-K--100-299人-10-14年</t>
  </si>
  <si>
    <t>正規雇用-K--100-299人-15-19年</t>
  </si>
  <si>
    <t>正規雇用-K--100-299人-20-24年</t>
  </si>
  <si>
    <t>正規雇用-K--100-299人-25-29年</t>
  </si>
  <si>
    <t>正規雇用-K--100-299人-3-4年</t>
  </si>
  <si>
    <t>正規雇用-K--100-299人-30年以上</t>
  </si>
  <si>
    <t>正規雇用-K--100-299人-5-9年</t>
  </si>
  <si>
    <t>正規雇用-K--300-999人-</t>
  </si>
  <si>
    <t>正規雇用-K--300-999人-0年</t>
  </si>
  <si>
    <t>正規雇用-K--300-999人-1-2年</t>
  </si>
  <si>
    <t>正規雇用-K--300-999人-10-14年</t>
  </si>
  <si>
    <t>正規雇用-K--300-999人-15-19年</t>
  </si>
  <si>
    <t>正規雇用-K--300-999人-20-24年</t>
  </si>
  <si>
    <t>正規雇用-K--300-999人-25-29年</t>
  </si>
  <si>
    <t>正規雇用-K--300-999人-3-4年</t>
  </si>
  <si>
    <t>正規雇用-K--300-999人-30年以上</t>
  </si>
  <si>
    <t>正規雇用-K--300-999人-5-9年</t>
  </si>
  <si>
    <t>正規雇用-L--1,000人以上-1-2年</t>
  </si>
  <si>
    <t>正規雇用-L--1,000人以上-10-14年</t>
  </si>
  <si>
    <t>正規雇用-L--1,000人以上-15-19年</t>
  </si>
  <si>
    <t>正規雇用-L--1,000人以上-20-24年</t>
  </si>
  <si>
    <t>正規雇用-L--1,000人以上-25-29年</t>
  </si>
  <si>
    <t>正規雇用-L--1,000人以上-3-4年</t>
  </si>
  <si>
    <t>正規雇用-L--1,000人以上-5-9年</t>
  </si>
  <si>
    <t>正規雇用-L--10-99人-</t>
  </si>
  <si>
    <t>正規雇用-L--10-99人-0年</t>
  </si>
  <si>
    <t>正規雇用-L--10-99人-1-2年</t>
  </si>
  <si>
    <t>正規雇用-L--10-99人-10-14年</t>
  </si>
  <si>
    <t>正規雇用-L--10-99人-15-19年</t>
  </si>
  <si>
    <t>正規雇用-L--10-99人-20-24年</t>
  </si>
  <si>
    <t>正規雇用-L--10-99人-25-29年</t>
  </si>
  <si>
    <t>正規雇用-L--10-99人-3-4年</t>
  </si>
  <si>
    <t>正規雇用-L--10-99人-30年以上</t>
  </si>
  <si>
    <t>正規雇用-L--10-99人-5-9年</t>
  </si>
  <si>
    <t>正規雇用-L--100-299人-</t>
  </si>
  <si>
    <t>正規雇用-L--100-299人-0年</t>
  </si>
  <si>
    <t>正規雇用-L--100-299人-1-2年</t>
  </si>
  <si>
    <t>正規雇用-L--100-299人-10-14年</t>
  </si>
  <si>
    <t>正規雇用-L--100-299人-15-19年</t>
  </si>
  <si>
    <t>正規雇用-L--100-299人-20-24年</t>
  </si>
  <si>
    <t>正規雇用-L--100-299人-25-29年</t>
  </si>
  <si>
    <t>正規雇用-L--100-299人-3-4年</t>
  </si>
  <si>
    <t>正規雇用-L--100-299人-30年以上</t>
  </si>
  <si>
    <t>正規雇用-L--100-299人-5-9年</t>
  </si>
  <si>
    <t>正規雇用-L--300-999人-</t>
  </si>
  <si>
    <t>正規雇用-L--300-999人-0年</t>
  </si>
  <si>
    <t>正規雇用-L--300-999人-1-2年</t>
  </si>
  <si>
    <t>正規雇用-L--300-999人-10-14年</t>
  </si>
  <si>
    <t>正規雇用-L--300-999人-15-19年</t>
  </si>
  <si>
    <t>正規雇用-L--300-999人-20-24年</t>
  </si>
  <si>
    <t>正規雇用-L--300-999人-25-29年</t>
  </si>
  <si>
    <t>正規雇用-L--300-999人-3-4年</t>
  </si>
  <si>
    <t>正規雇用-L--300-999人-30年以上</t>
  </si>
  <si>
    <t>正規雇用-L--300-999人-5-9年</t>
  </si>
  <si>
    <t>正規雇用-M--1,000人以上-1-2年</t>
  </si>
  <si>
    <t>正規雇用-M--1,000人以上-10-14年</t>
  </si>
  <si>
    <t>正規雇用-M--1,000人以上-15-19年</t>
  </si>
  <si>
    <t>正規雇用-M--1,000人以上-20-24年</t>
  </si>
  <si>
    <t>正規雇用-M--1,000人以上-25-29年</t>
  </si>
  <si>
    <t>正規雇用-M--1,000人以上-3-4年</t>
  </si>
  <si>
    <t>正規雇用-M--1,000人以上-5-9年</t>
  </si>
  <si>
    <t>正規雇用-M--10-99人-</t>
  </si>
  <si>
    <t>正規雇用-M--10-99人-0年</t>
  </si>
  <si>
    <t>正規雇用-M--10-99人-1-2年</t>
  </si>
  <si>
    <t>正規雇用-M--10-99人-10-14年</t>
  </si>
  <si>
    <t>正規雇用-M--10-99人-15-19年</t>
  </si>
  <si>
    <t>正規雇用-M--10-99人-20-24年</t>
  </si>
  <si>
    <t>正規雇用-M--10-99人-25-29年</t>
  </si>
  <si>
    <t>正規雇用-M--10-99人-3-4年</t>
  </si>
  <si>
    <t>正規雇用-M--10-99人-30年以上</t>
  </si>
  <si>
    <t>正規雇用-M--10-99人-5-9年</t>
  </si>
  <si>
    <t>正規雇用-M--100-299人-</t>
  </si>
  <si>
    <t>正規雇用-M--100-299人-0年</t>
  </si>
  <si>
    <t>正規雇用-M--100-299人-1-2年</t>
  </si>
  <si>
    <t>正規雇用-M--100-299人-10-14年</t>
  </si>
  <si>
    <t>正規雇用-M--100-299人-15-19年</t>
  </si>
  <si>
    <t>正規雇用-M--100-299人-20-24年</t>
  </si>
  <si>
    <t>正規雇用-M--100-299人-25-29年</t>
  </si>
  <si>
    <t>正規雇用-M--100-299人-3-4年</t>
  </si>
  <si>
    <t>正規雇用-M--100-299人-30年以上</t>
  </si>
  <si>
    <t>正規雇用-M--100-299人-5-9年</t>
  </si>
  <si>
    <t>正規雇用-M--300-999人-</t>
  </si>
  <si>
    <t>正規雇用-M--300-999人-0年</t>
  </si>
  <si>
    <t>正規雇用-M--300-999人-1-2年</t>
  </si>
  <si>
    <t>正規雇用-M--300-999人-10-14年</t>
  </si>
  <si>
    <t>正規雇用-M--300-999人-15-19年</t>
  </si>
  <si>
    <t>正規雇用-M--300-999人-20-24年</t>
  </si>
  <si>
    <t>正規雇用-M--300-999人-25-29年</t>
  </si>
  <si>
    <t>正規雇用-M--300-999人-3-4年</t>
  </si>
  <si>
    <t>正規雇用-M--300-999人-30年以上</t>
  </si>
  <si>
    <t>正規雇用-M--300-999人-5-9年</t>
  </si>
  <si>
    <t>正規雇用-N--1,000人以上-1-2年</t>
  </si>
  <si>
    <t>正規雇用-N--1,000人以上-10-14年</t>
  </si>
  <si>
    <t>正規雇用-N--1,000人以上-15-19年</t>
  </si>
  <si>
    <t>正規雇用-N--1,000人以上-20-24年</t>
  </si>
  <si>
    <t>正規雇用-N--1,000人以上-25-29年</t>
  </si>
  <si>
    <t>正規雇用-N--1,000人以上-3-4年</t>
  </si>
  <si>
    <t>正規雇用-N--1,000人以上-5-9年</t>
  </si>
  <si>
    <t>正規雇用-N--10-99人-</t>
  </si>
  <si>
    <t>正規雇用-N--10-99人-0年</t>
  </si>
  <si>
    <t>正規雇用-N--10-99人-1-2年</t>
  </si>
  <si>
    <t>正規雇用-N--10-99人-10-14年</t>
  </si>
  <si>
    <t>正規雇用-N--10-99人-15-19年</t>
  </si>
  <si>
    <t>正規雇用-N--10-99人-20-24年</t>
  </si>
  <si>
    <t>正規雇用-N--10-99人-25-29年</t>
  </si>
  <si>
    <t>正規雇用-N--10-99人-3-4年</t>
  </si>
  <si>
    <t>正規雇用-N--10-99人-30年以上</t>
  </si>
  <si>
    <t>正規雇用-N--10-99人-5-9年</t>
  </si>
  <si>
    <t>正規雇用-N--100-299人-</t>
  </si>
  <si>
    <t>正規雇用-N--100-299人-0年</t>
  </si>
  <si>
    <t>正規雇用-N--100-299人-1-2年</t>
  </si>
  <si>
    <t>正規雇用-N--100-299人-10-14年</t>
  </si>
  <si>
    <t>正規雇用-N--100-299人-15-19年</t>
  </si>
  <si>
    <t>正規雇用-N--100-299人-20-24年</t>
  </si>
  <si>
    <t>正規雇用-N--100-299人-25-29年</t>
  </si>
  <si>
    <t>正規雇用-N--100-299人-3-4年</t>
  </si>
  <si>
    <t>正規雇用-N--100-299人-30年以上</t>
  </si>
  <si>
    <t>正規雇用-N--100-299人-5-9年</t>
  </si>
  <si>
    <t>正規雇用-N--300-999人-</t>
  </si>
  <si>
    <t>正規雇用-N--300-999人-0年</t>
  </si>
  <si>
    <t>正規雇用-N--300-999人-1-2年</t>
  </si>
  <si>
    <t>正規雇用-N--300-999人-10-14年</t>
  </si>
  <si>
    <t>正規雇用-N--300-999人-15-19年</t>
  </si>
  <si>
    <t>正規雇用-N--300-999人-20-24年</t>
  </si>
  <si>
    <t>正規雇用-N--300-999人-25-29年</t>
  </si>
  <si>
    <t>正規雇用-N--300-999人-3-4年</t>
  </si>
  <si>
    <t>正規雇用-N--300-999人-30年以上</t>
  </si>
  <si>
    <t>正規雇用-N--300-999人-5-9年</t>
  </si>
  <si>
    <t>正規雇用-O--1,000人以上-1-2年</t>
  </si>
  <si>
    <t>正規雇用-O--1,000人以上-10-14年</t>
  </si>
  <si>
    <t>正規雇用-O--1,000人以上-15-19年</t>
  </si>
  <si>
    <t>正規雇用-O--1,000人以上-20-24年</t>
  </si>
  <si>
    <t>正規雇用-O--1,000人以上-25-29年</t>
  </si>
  <si>
    <t>正規雇用-O--1,000人以上-3-4年</t>
  </si>
  <si>
    <t>正規雇用-O--1,000人以上-5-9年</t>
  </si>
  <si>
    <t>正規雇用-O--10-99人-</t>
  </si>
  <si>
    <t>正規雇用-O--10-99人-0年</t>
  </si>
  <si>
    <t>正規雇用-O--10-99人-1-2年</t>
  </si>
  <si>
    <t>正規雇用-O--10-99人-10-14年</t>
  </si>
  <si>
    <t>正規雇用-O--10-99人-15-19年</t>
  </si>
  <si>
    <t>正規雇用-O--10-99人-20-24年</t>
  </si>
  <si>
    <t>正規雇用-O--10-99人-25-29年</t>
  </si>
  <si>
    <t>正規雇用-O--10-99人-3-4年</t>
  </si>
  <si>
    <t>正規雇用-O--10-99人-30年以上</t>
  </si>
  <si>
    <t>正規雇用-O--10-99人-5-9年</t>
  </si>
  <si>
    <t>正規雇用-O--100-299人-</t>
  </si>
  <si>
    <t>正規雇用-O--100-299人-0年</t>
  </si>
  <si>
    <t>正規雇用-O--100-299人-1-2年</t>
  </si>
  <si>
    <t>正規雇用-O--100-299人-10-14年</t>
  </si>
  <si>
    <t>正規雇用-O--100-299人-15-19年</t>
  </si>
  <si>
    <t>正規雇用-O--100-299人-20-24年</t>
  </si>
  <si>
    <t>正規雇用-O--100-299人-25-29年</t>
  </si>
  <si>
    <t>正規雇用-O--100-299人-3-4年</t>
  </si>
  <si>
    <t>正規雇用-O--100-299人-30年以上</t>
  </si>
  <si>
    <t>正規雇用-O--100-299人-5-9年</t>
  </si>
  <si>
    <t>正規雇用-O--300-999人-</t>
  </si>
  <si>
    <t>正規雇用-O--300-999人-0年</t>
  </si>
  <si>
    <t>正規雇用-O--300-999人-1-2年</t>
  </si>
  <si>
    <t>正規雇用-O--300-999人-10-14年</t>
  </si>
  <si>
    <t>正規雇用-O--300-999人-15-19年</t>
  </si>
  <si>
    <t>正規雇用-O--300-999人-20-24年</t>
  </si>
  <si>
    <t>正規雇用-O--300-999人-25-29年</t>
  </si>
  <si>
    <t>正規雇用-O--300-999人-3-4年</t>
  </si>
  <si>
    <t>正規雇用-O--300-999人-30年以上</t>
  </si>
  <si>
    <t>正規雇用-O--300-999人-5-9年</t>
  </si>
  <si>
    <t>正規雇用-P--1,000人以上-1-2年</t>
  </si>
  <si>
    <t>正規雇用-P--1,000人以上-10-14年</t>
  </si>
  <si>
    <t>正規雇用-P--1,000人以上-15-19年</t>
  </si>
  <si>
    <t>正規雇用-P--1,000人以上-20-24年</t>
  </si>
  <si>
    <t>正規雇用-P--1,000人以上-25-29年</t>
  </si>
  <si>
    <t>正規雇用-P--1,000人以上-3-4年</t>
  </si>
  <si>
    <t>正規雇用-P--1,000人以上-5-9年</t>
  </si>
  <si>
    <t>正規雇用-P--10-99人-</t>
  </si>
  <si>
    <t>正規雇用-P--10-99人-0年</t>
  </si>
  <si>
    <t>正規雇用-P--10-99人-1-2年</t>
  </si>
  <si>
    <t>正規雇用-P--10-99人-10-14年</t>
  </si>
  <si>
    <t>正規雇用-P--10-99人-15-19年</t>
  </si>
  <si>
    <t>正規雇用-P--10-99人-20-24年</t>
  </si>
  <si>
    <t>正規雇用-P--10-99人-25-29年</t>
  </si>
  <si>
    <t>正規雇用-P--10-99人-3-4年</t>
  </si>
  <si>
    <t>正規雇用-P--10-99人-30年以上</t>
  </si>
  <si>
    <t>正規雇用-P--10-99人-5-9年</t>
  </si>
  <si>
    <t>正規雇用-P--100-299人-</t>
  </si>
  <si>
    <t>正規雇用-P--100-299人-0年</t>
  </si>
  <si>
    <t>正規雇用-P--100-299人-1-2年</t>
  </si>
  <si>
    <t>正規雇用-P--100-299人-10-14年</t>
  </si>
  <si>
    <t>正規雇用-P--100-299人-15-19年</t>
  </si>
  <si>
    <t>正規雇用-P--100-299人-20-24年</t>
  </si>
  <si>
    <t>正規雇用-P--100-299人-25-29年</t>
  </si>
  <si>
    <t>正規雇用-P--100-299人-3-4年</t>
  </si>
  <si>
    <t>正規雇用-P--100-299人-30年以上</t>
  </si>
  <si>
    <t>正規雇用-P--100-299人-5-9年</t>
  </si>
  <si>
    <t>正規雇用-P--300-999人-</t>
  </si>
  <si>
    <t>正規雇用-P--300-999人-0年</t>
  </si>
  <si>
    <t>正規雇用-P--300-999人-1-2年</t>
  </si>
  <si>
    <t>正規雇用-P--300-999人-10-14年</t>
  </si>
  <si>
    <t>正規雇用-P--300-999人-15-19年</t>
  </si>
  <si>
    <t>正規雇用-P--300-999人-20-24年</t>
  </si>
  <si>
    <t>正規雇用-P--300-999人-25-29年</t>
  </si>
  <si>
    <t>正規雇用-P--300-999人-3-4年</t>
  </si>
  <si>
    <t>正規雇用-P--300-999人-30年以上</t>
  </si>
  <si>
    <t>正規雇用-P--300-999人-5-9年</t>
  </si>
  <si>
    <t>正規雇用-Q--1,000人以上-1-2年</t>
  </si>
  <si>
    <t>正規雇用-Q--1,000人以上-10-14年</t>
  </si>
  <si>
    <t>正規雇用-Q--1,000人以上-15-19年</t>
  </si>
  <si>
    <t>正規雇用-Q--1,000人以上-20-24年</t>
  </si>
  <si>
    <t>正規雇用-Q--1,000人以上-25-29年</t>
  </si>
  <si>
    <t>正規雇用-Q--1,000人以上-3-4年</t>
  </si>
  <si>
    <t>正規雇用-Q--1,000人以上-5-9年</t>
  </si>
  <si>
    <t>正規雇用-Q--10-99人-</t>
  </si>
  <si>
    <t>正規雇用-Q--10-99人-0年</t>
  </si>
  <si>
    <t>正規雇用-Q--10-99人-1-2年</t>
  </si>
  <si>
    <t>正規雇用-Q--10-99人-10-14年</t>
  </si>
  <si>
    <t>正規雇用-Q--10-99人-15-19年</t>
  </si>
  <si>
    <t>正規雇用-Q--10-99人-20-24年</t>
  </si>
  <si>
    <t>正規雇用-Q--10-99人-25-29年</t>
  </si>
  <si>
    <t>正規雇用-Q--10-99人-3-4年</t>
  </si>
  <si>
    <t>正規雇用-Q--10-99人-30年以上</t>
  </si>
  <si>
    <t>正規雇用-Q--10-99人-5-9年</t>
  </si>
  <si>
    <t>正規雇用-Q--100-299人-</t>
  </si>
  <si>
    <t>正規雇用-Q--100-299人-0年</t>
  </si>
  <si>
    <t>正規雇用-Q--100-299人-1-2年</t>
  </si>
  <si>
    <t>正規雇用-Q--100-299人-10-14年</t>
  </si>
  <si>
    <t>正規雇用-Q--100-299人-15-19年</t>
  </si>
  <si>
    <t>正規雇用-Q--100-299人-20-24年</t>
  </si>
  <si>
    <t>正規雇用-Q--100-299人-25-29年</t>
  </si>
  <si>
    <t>正規雇用-Q--100-299人-3-4年</t>
  </si>
  <si>
    <t>正規雇用-Q--100-299人-30年以上</t>
  </si>
  <si>
    <t>正規雇用-Q--100-299人-5-9年</t>
  </si>
  <si>
    <t>正規雇用-Q--300-999人-</t>
  </si>
  <si>
    <t>正規雇用-Q--300-999人-0年</t>
  </si>
  <si>
    <t>正規雇用-Q--300-999人-1-2年</t>
  </si>
  <si>
    <t>正規雇用-Q--300-999人-10-14年</t>
  </si>
  <si>
    <t>正規雇用-Q--300-999人-15-19年</t>
  </si>
  <si>
    <t>正規雇用-Q--300-999人-20-24年</t>
  </si>
  <si>
    <t>正規雇用-Q--300-999人-25-29年</t>
  </si>
  <si>
    <t>正規雇用-Q--300-999人-3-4年</t>
  </si>
  <si>
    <t>正規雇用-Q--300-999人-30年以上</t>
  </si>
  <si>
    <t>正規雇用-Q--300-999人-5-9年</t>
  </si>
  <si>
    <t>正規雇用-R--1,000人以上-1-2年</t>
  </si>
  <si>
    <t>正規雇用-R--1,000人以上-10-14年</t>
  </si>
  <si>
    <t>正規雇用-R--1,000人以上-15-19年</t>
  </si>
  <si>
    <t>正規雇用-R--1,000人以上-20-24年</t>
  </si>
  <si>
    <t>正規雇用-R--1,000人以上-25-29年</t>
  </si>
  <si>
    <t>正規雇用-R--1,000人以上-3-4年</t>
  </si>
  <si>
    <t>正規雇用-R--1,000人以上-5-9年</t>
  </si>
  <si>
    <t>正規雇用-R--10-99人-</t>
  </si>
  <si>
    <t>正規雇用-R--10-99人-0年</t>
  </si>
  <si>
    <t>正規雇用-R--10-99人-1-2年</t>
  </si>
  <si>
    <t>正規雇用-R--10-99人-10-14年</t>
  </si>
  <si>
    <t>正規雇用-R--10-99人-15-19年</t>
  </si>
  <si>
    <t>正規雇用-R--10-99人-20-24年</t>
  </si>
  <si>
    <t>正規雇用-R--10-99人-25-29年</t>
  </si>
  <si>
    <t>正規雇用-R--10-99人-3-4年</t>
  </si>
  <si>
    <t>正規雇用-R--10-99人-30年以上</t>
  </si>
  <si>
    <t>正規雇用-R--10-99人-5-9年</t>
  </si>
  <si>
    <t>正規雇用-R--100-299人-</t>
  </si>
  <si>
    <t>正規雇用-R--100-299人-0年</t>
  </si>
  <si>
    <t>正規雇用-R--100-299人-1-2年</t>
  </si>
  <si>
    <t>正規雇用-R--100-299人-10-14年</t>
  </si>
  <si>
    <t>正規雇用-R--100-299人-15-19年</t>
  </si>
  <si>
    <t>正規雇用-R--100-299人-20-24年</t>
  </si>
  <si>
    <t>正規雇用-R--100-299人-25-29年</t>
  </si>
  <si>
    <t>正規雇用-R--100-299人-3-4年</t>
  </si>
  <si>
    <t>正規雇用-R--100-299人-30年以上</t>
  </si>
  <si>
    <t>正規雇用-R--100-299人-5-9年</t>
  </si>
  <si>
    <t>正規雇用-R--300-999人-</t>
  </si>
  <si>
    <t>正規雇用-R--300-999人-0年</t>
  </si>
  <si>
    <t>正規雇用-R--300-999人-1-2年</t>
  </si>
  <si>
    <t>正規雇用-R--300-999人-10-14年</t>
  </si>
  <si>
    <t>正規雇用-R--300-999人-15-19年</t>
  </si>
  <si>
    <t>正規雇用-R--300-999人-20-24年</t>
  </si>
  <si>
    <t>正規雇用-R--300-999人-25-29年</t>
  </si>
  <si>
    <t>正規雇用-R--300-999人-3-4年</t>
  </si>
  <si>
    <t>正規雇用-R--300-999人-30年以上</t>
  </si>
  <si>
    <t>正規雇用-R--300-999人-5-9年</t>
  </si>
  <si>
    <t>正規雇用-E-9--1-2年</t>
  </si>
  <si>
    <t>正規雇用-E-9--10-14年</t>
  </si>
  <si>
    <t>正規雇用-E-9--15-19年</t>
  </si>
  <si>
    <t>正規雇用-E-9--20-24年</t>
  </si>
  <si>
    <t>正規雇用-E-9--25-29年</t>
  </si>
  <si>
    <t>正規雇用-E-9--3-4年</t>
  </si>
  <si>
    <t>正規雇用-E-9--5-9年</t>
  </si>
  <si>
    <t>正規雇用-E-10--1-2年</t>
  </si>
  <si>
    <t>正規雇用-E-10--10-14年</t>
  </si>
  <si>
    <t>正規雇用-E-10--15-19年</t>
  </si>
  <si>
    <t>正規雇用-E-10--20-24年</t>
  </si>
  <si>
    <t>正規雇用-E-10--25-29年</t>
  </si>
  <si>
    <t>正規雇用-E-10--3-4年</t>
  </si>
  <si>
    <t>正規雇用-E-10--5-9年</t>
  </si>
  <si>
    <t>正規雇用-E-11--1-2年</t>
  </si>
  <si>
    <t>正規雇用-E-11--10-14年</t>
  </si>
  <si>
    <t>正規雇用-E-11--15-19年</t>
  </si>
  <si>
    <t>正規雇用-E-11--20-24年</t>
  </si>
  <si>
    <t>正規雇用-E-11--25-29年</t>
  </si>
  <si>
    <t>正規雇用-E-11--3-4年</t>
  </si>
  <si>
    <t>正規雇用-E-11--5-9年</t>
  </si>
  <si>
    <t>正規雇用-E-12--1-2年</t>
  </si>
  <si>
    <t>正規雇用-E-12--10-14年</t>
  </si>
  <si>
    <t>正規雇用-E-12--15-19年</t>
  </si>
  <si>
    <t>正規雇用-E-12--20-24年</t>
  </si>
  <si>
    <t>正規雇用-E-12--25-29年</t>
  </si>
  <si>
    <t>正規雇用-E-12--3-4年</t>
  </si>
  <si>
    <t>正規雇用-E-12--5-9年</t>
  </si>
  <si>
    <t>正規雇用-E-13--1-2年</t>
  </si>
  <si>
    <t>正規雇用-E-13--10-14年</t>
  </si>
  <si>
    <t>正規雇用-E-13--15-19年</t>
  </si>
  <si>
    <t>正規雇用-E-13--20-24年</t>
  </si>
  <si>
    <t>正規雇用-E-13--25-29年</t>
  </si>
  <si>
    <t>正規雇用-E-13--3-4年</t>
  </si>
  <si>
    <t>正規雇用-E-13--5-9年</t>
  </si>
  <si>
    <t>正規雇用-E-14--1-2年</t>
  </si>
  <si>
    <t>正規雇用-E-14--10-14年</t>
  </si>
  <si>
    <t>正規雇用-E-14--15-19年</t>
  </si>
  <si>
    <t>正規雇用-E-14--20-24年</t>
  </si>
  <si>
    <t>正規雇用-E-14--25-29年</t>
  </si>
  <si>
    <t>正規雇用-E-14--3-4年</t>
  </si>
  <si>
    <t>正規雇用-E-14--5-9年</t>
  </si>
  <si>
    <t>正規雇用-E-15--1-2年</t>
  </si>
  <si>
    <t>正規雇用-E-15--10-14年</t>
  </si>
  <si>
    <t>正規雇用-E-15--15-19年</t>
  </si>
  <si>
    <t>正規雇用-E-15--20-24年</t>
  </si>
  <si>
    <t>正規雇用-E-15--25-29年</t>
  </si>
  <si>
    <t>正規雇用-E-15--3-4年</t>
  </si>
  <si>
    <t>正規雇用-E-15--5-9年</t>
  </si>
  <si>
    <t>正規雇用-E-16--1-2年</t>
  </si>
  <si>
    <t>正規雇用-E-16--10-14年</t>
  </si>
  <si>
    <t>正規雇用-E-16--15-19年</t>
  </si>
  <si>
    <t>正規雇用-E-16--20-24年</t>
  </si>
  <si>
    <t>正規雇用-E-16--25-29年</t>
  </si>
  <si>
    <t>正規雇用-E-16--3-4年</t>
  </si>
  <si>
    <t>正規雇用-E-16--5-9年</t>
  </si>
  <si>
    <t>正規雇用-E-17--1-2年</t>
  </si>
  <si>
    <t>正規雇用-E-17--10-14年</t>
  </si>
  <si>
    <t>正規雇用-E-17--15-19年</t>
  </si>
  <si>
    <t>正規雇用-E-17--20-24年</t>
  </si>
  <si>
    <t>正規雇用-E-17--25-29年</t>
  </si>
  <si>
    <t>正規雇用-E-17--3-4年</t>
  </si>
  <si>
    <t>正規雇用-E-17--5-9年</t>
  </si>
  <si>
    <t>正規雇用-E-18--1-2年</t>
  </si>
  <si>
    <t>正規雇用-E-18--10-14年</t>
  </si>
  <si>
    <t>正規雇用-E-18--15-19年</t>
  </si>
  <si>
    <t>正規雇用-E-18--20-24年</t>
  </si>
  <si>
    <t>正規雇用-E-18--25-29年</t>
  </si>
  <si>
    <t>正規雇用-E-18--3-4年</t>
  </si>
  <si>
    <t>正規雇用-E-18--5-9年</t>
  </si>
  <si>
    <t>正規雇用-E-19--1-2年</t>
  </si>
  <si>
    <t>正規雇用-E-19--10-14年</t>
  </si>
  <si>
    <t>正規雇用-E-19--15-19年</t>
  </si>
  <si>
    <t>正規雇用-E-19--20-24年</t>
  </si>
  <si>
    <t>正規雇用-E-19--25-29年</t>
  </si>
  <si>
    <t>正規雇用-E-19--3-4年</t>
  </si>
  <si>
    <t>正規雇用-E-19--5-9年</t>
  </si>
  <si>
    <t>正規雇用-E-20--1-2年</t>
  </si>
  <si>
    <t>正規雇用-E-20--10-14年</t>
  </si>
  <si>
    <t>正規雇用-E-20--15-19年</t>
  </si>
  <si>
    <t>正規雇用-E-20--20-24年</t>
  </si>
  <si>
    <t>正規雇用-E-20--25-29年</t>
  </si>
  <si>
    <t>正規雇用-E-20--3-4年</t>
  </si>
  <si>
    <t>正規雇用-E-20--5-9年</t>
  </si>
  <si>
    <t>正規雇用-E-21--1-2年</t>
  </si>
  <si>
    <t>正規雇用-E-21--10-14年</t>
  </si>
  <si>
    <t>正規雇用-E-21--15-19年</t>
  </si>
  <si>
    <t>正規雇用-E-21--20-24年</t>
  </si>
  <si>
    <t>正規雇用-E-21--25-29年</t>
  </si>
  <si>
    <t>正規雇用-E-21--3-4年</t>
  </si>
  <si>
    <t>正規雇用-E-21--5-9年</t>
  </si>
  <si>
    <t>正規雇用-E-22--1-2年</t>
  </si>
  <si>
    <t>正規雇用-E-22--10-14年</t>
  </si>
  <si>
    <t>正規雇用-E-22--15-19年</t>
  </si>
  <si>
    <t>正規雇用-E-22--20-24年</t>
  </si>
  <si>
    <t>正規雇用-E-22--25-29年</t>
  </si>
  <si>
    <t>正規雇用-E-22--3-4年</t>
  </si>
  <si>
    <t>正規雇用-E-22--5-9年</t>
  </si>
  <si>
    <t>正規雇用-E-23--1-2年</t>
  </si>
  <si>
    <t>正規雇用-E-23--10-14年</t>
  </si>
  <si>
    <t>正規雇用-E-23--15-19年</t>
  </si>
  <si>
    <t>正規雇用-E-23--20-24年</t>
  </si>
  <si>
    <t>正規雇用-E-23--25-29年</t>
  </si>
  <si>
    <t>正規雇用-E-23--3-4年</t>
  </si>
  <si>
    <t>正規雇用-E-23--5-9年</t>
  </si>
  <si>
    <t>正規雇用-E-24--1-2年</t>
  </si>
  <si>
    <t>正規雇用-E-24--10-14年</t>
  </si>
  <si>
    <t>正規雇用-E-24--15-19年</t>
  </si>
  <si>
    <t>正規雇用-E-24--20-24年</t>
  </si>
  <si>
    <t>正規雇用-E-24--25-29年</t>
  </si>
  <si>
    <t>正規雇用-E-24--3-4年</t>
  </si>
  <si>
    <t>正規雇用-E-24--5-9年</t>
  </si>
  <si>
    <t>正規雇用-E-25--1-2年</t>
  </si>
  <si>
    <t>正規雇用-E-25--10-14年</t>
  </si>
  <si>
    <t>正規雇用-E-25--15-19年</t>
  </si>
  <si>
    <t>正規雇用-E-25--20-24年</t>
  </si>
  <si>
    <t>正規雇用-E-25--25-29年</t>
  </si>
  <si>
    <t>正規雇用-E-25--3-4年</t>
  </si>
  <si>
    <t>正規雇用-E-25--5-9年</t>
  </si>
  <si>
    <t>正規雇用-E-26--1-2年</t>
  </si>
  <si>
    <t>正規雇用-E-26--10-14年</t>
  </si>
  <si>
    <t>正規雇用-E-26--15-19年</t>
  </si>
  <si>
    <t>正規雇用-E-26--20-24年</t>
  </si>
  <si>
    <t>正規雇用-E-26--25-29年</t>
  </si>
  <si>
    <t>正規雇用-E-26--3-4年</t>
  </si>
  <si>
    <t>正規雇用-E-26--5-9年</t>
  </si>
  <si>
    <t>正規雇用-E-27--1-2年</t>
  </si>
  <si>
    <t>正規雇用-E-27--10-14年</t>
  </si>
  <si>
    <t>正規雇用-E-27--15-19年</t>
  </si>
  <si>
    <t>正規雇用-E-27--20-24年</t>
  </si>
  <si>
    <t>正規雇用-E-27--25-29年</t>
  </si>
  <si>
    <t>正規雇用-E-27--3-4年</t>
  </si>
  <si>
    <t>正規雇用-E-27--5-9年</t>
  </si>
  <si>
    <t>正規雇用-E-28--1-2年</t>
  </si>
  <si>
    <t>正規雇用-E-28--10-14年</t>
  </si>
  <si>
    <t>正規雇用-E-28--15-19年</t>
  </si>
  <si>
    <t>正規雇用-E-28--20-24年</t>
  </si>
  <si>
    <t>正規雇用-E-28--25-29年</t>
  </si>
  <si>
    <t>正規雇用-E-28--3-4年</t>
  </si>
  <si>
    <t>正規雇用-E-28--5-9年</t>
  </si>
  <si>
    <t>正規雇用-E-29--1-2年</t>
  </si>
  <si>
    <t>正規雇用-E-29--10-14年</t>
  </si>
  <si>
    <t>正規雇用-E-29--15-19年</t>
  </si>
  <si>
    <t>正規雇用-E-29--20-24年</t>
  </si>
  <si>
    <t>正規雇用-E-29--25-29年</t>
  </si>
  <si>
    <t>正規雇用-E-29--3-4年</t>
  </si>
  <si>
    <t>正規雇用-E-29--5-9年</t>
  </si>
  <si>
    <t>正規雇用-E-30--1-2年</t>
  </si>
  <si>
    <t>正規雇用-E-30--10-14年</t>
  </si>
  <si>
    <t>正規雇用-E-30--15-19年</t>
  </si>
  <si>
    <t>正規雇用-E-30--20-24年</t>
  </si>
  <si>
    <t>正規雇用-E-30--25-29年</t>
  </si>
  <si>
    <t>正規雇用-E-30--3-4年</t>
  </si>
  <si>
    <t>正規雇用-E-30--5-9年</t>
  </si>
  <si>
    <t>正規雇用-E-31--1-2年</t>
  </si>
  <si>
    <t>正規雇用-E-31--10-14年</t>
  </si>
  <si>
    <t>正規雇用-E-31--15-19年</t>
  </si>
  <si>
    <t>正規雇用-E-31--20-24年</t>
  </si>
  <si>
    <t>正規雇用-E-31--25-29年</t>
  </si>
  <si>
    <t>正規雇用-E-31--3-4年</t>
  </si>
  <si>
    <t>正規雇用-E-31--5-9年</t>
  </si>
  <si>
    <t>正規雇用-E-32--1-2年</t>
  </si>
  <si>
    <t>正規雇用-E-32--10-14年</t>
  </si>
  <si>
    <t>正規雇用-E-32--15-19年</t>
  </si>
  <si>
    <t>正規雇用-E-32--20-24年</t>
  </si>
  <si>
    <t>正規雇用-E-32--25-29年</t>
  </si>
  <si>
    <t>正規雇用-E-32--3-4年</t>
  </si>
  <si>
    <t>正規雇用-E-32--5-9年</t>
  </si>
  <si>
    <t>正規雇用-C---1-2年</t>
  </si>
  <si>
    <t>正規雇用-C---10-14年</t>
  </si>
  <si>
    <t>正規雇用-C---15-19年</t>
  </si>
  <si>
    <t>正規雇用-C---20-24年</t>
  </si>
  <si>
    <t>正規雇用-C---25-29年</t>
  </si>
  <si>
    <t>正規雇用-C---3-4年</t>
  </si>
  <si>
    <t>正規雇用-C---5-9年</t>
  </si>
  <si>
    <t>正規雇用-D---1-2年</t>
  </si>
  <si>
    <t>正規雇用-D---10-14年</t>
  </si>
  <si>
    <t>正規雇用-D---15-19年</t>
  </si>
  <si>
    <t>正規雇用-D---20-24年</t>
  </si>
  <si>
    <t>正規雇用-D---25-29年</t>
  </si>
  <si>
    <t>正規雇用-D---3-4年</t>
  </si>
  <si>
    <t>正規雇用-D---5-9年</t>
  </si>
  <si>
    <t>正規雇用-E---1-2年</t>
  </si>
  <si>
    <t>正規雇用-E---10-14年</t>
  </si>
  <si>
    <t>正規雇用-E---15-19年</t>
  </si>
  <si>
    <t>正規雇用-E---20-24年</t>
  </si>
  <si>
    <t>正規雇用-E---25-29年</t>
  </si>
  <si>
    <t>正規雇用-E---3-4年</t>
  </si>
  <si>
    <t>正規雇用-E---5-9年</t>
  </si>
  <si>
    <t>正規雇用-F---1-2年</t>
  </si>
  <si>
    <t>正規雇用-F---10-14年</t>
  </si>
  <si>
    <t>正規雇用-F---15-19年</t>
  </si>
  <si>
    <t>正規雇用-F---20-24年</t>
  </si>
  <si>
    <t>正規雇用-F---25-29年</t>
  </si>
  <si>
    <t>正規雇用-F---3-4年</t>
  </si>
  <si>
    <t>正規雇用-F---5-9年</t>
  </si>
  <si>
    <t>正規雇用-G---1-2年</t>
  </si>
  <si>
    <t>正規雇用-G---10-14年</t>
  </si>
  <si>
    <t>正規雇用-G---15-19年</t>
  </si>
  <si>
    <t>正規雇用-G---20-24年</t>
  </si>
  <si>
    <t>正規雇用-G---25-29年</t>
  </si>
  <si>
    <t>正規雇用-G---3-4年</t>
  </si>
  <si>
    <t>正規雇用-G---5-9年</t>
  </si>
  <si>
    <t>正規雇用-H---1-2年</t>
  </si>
  <si>
    <t>正規雇用-H---10-14年</t>
  </si>
  <si>
    <t>正規雇用-H---15-19年</t>
  </si>
  <si>
    <t>正規雇用-H---20-24年</t>
  </si>
  <si>
    <t>正規雇用-H---25-29年</t>
  </si>
  <si>
    <t>正規雇用-H---3-4年</t>
  </si>
  <si>
    <t>正規雇用-H---5-9年</t>
  </si>
  <si>
    <t>正規雇用-I---1-2年</t>
  </si>
  <si>
    <t>正規雇用-I---10-14年</t>
  </si>
  <si>
    <t>正規雇用-I---15-19年</t>
  </si>
  <si>
    <t>正規雇用-I---20-24年</t>
  </si>
  <si>
    <t>正規雇用-I---25-29年</t>
  </si>
  <si>
    <t>正規雇用-I---3-4年</t>
  </si>
  <si>
    <t>正規雇用-I---5-9年</t>
  </si>
  <si>
    <t>正規雇用-J---1-2年</t>
  </si>
  <si>
    <t>正規雇用-J---10-14年</t>
  </si>
  <si>
    <t>正規雇用-J---15-19年</t>
  </si>
  <si>
    <t>正規雇用-J---20-24年</t>
  </si>
  <si>
    <t>正規雇用-J---25-29年</t>
  </si>
  <si>
    <t>正規雇用-J---3-4年</t>
  </si>
  <si>
    <t>正規雇用-J---5-9年</t>
  </si>
  <si>
    <t>正規雇用-K---1-2年</t>
  </si>
  <si>
    <t>正規雇用-K---10-14年</t>
  </si>
  <si>
    <t>正規雇用-K---15-19年</t>
  </si>
  <si>
    <t>正規雇用-K---20-24年</t>
  </si>
  <si>
    <t>正規雇用-K---25-29年</t>
  </si>
  <si>
    <t>正規雇用-K---3-4年</t>
  </si>
  <si>
    <t>正規雇用-K---5-9年</t>
  </si>
  <si>
    <t>正規雇用-L---1-2年</t>
  </si>
  <si>
    <t>正規雇用-L---10-14年</t>
  </si>
  <si>
    <t>正規雇用-L---15-19年</t>
  </si>
  <si>
    <t>正規雇用-L---20-24年</t>
  </si>
  <si>
    <t>正規雇用-L---25-29年</t>
  </si>
  <si>
    <t>正規雇用-L---3-4年</t>
  </si>
  <si>
    <t>正規雇用-L---5-9年</t>
  </si>
  <si>
    <t>正規雇用-M---1-2年</t>
  </si>
  <si>
    <t>正規雇用-M---10-14年</t>
  </si>
  <si>
    <t>正規雇用-M---15-19年</t>
  </si>
  <si>
    <t>正規雇用-M---20-24年</t>
  </si>
  <si>
    <t>正規雇用-M---25-29年</t>
  </si>
  <si>
    <t>正規雇用-M---3-4年</t>
  </si>
  <si>
    <t>正規雇用-M---5-9年</t>
  </si>
  <si>
    <t>正規雇用-N---1-2年</t>
  </si>
  <si>
    <t>正規雇用-N---10-14年</t>
  </si>
  <si>
    <t>正規雇用-N---15-19年</t>
  </si>
  <si>
    <t>正規雇用-N---20-24年</t>
  </si>
  <si>
    <t>正規雇用-N---25-29年</t>
  </si>
  <si>
    <t>正規雇用-N---3-4年</t>
  </si>
  <si>
    <t>正規雇用-N---5-9年</t>
  </si>
  <si>
    <t>正規雇用-O---1-2年</t>
  </si>
  <si>
    <t>正規雇用-O---10-14年</t>
  </si>
  <si>
    <t>正規雇用-O---15-19年</t>
  </si>
  <si>
    <t>正規雇用-O---20-24年</t>
  </si>
  <si>
    <t>正規雇用-O---25-29年</t>
  </si>
  <si>
    <t>正規雇用-O---3-4年</t>
  </si>
  <si>
    <t>正規雇用-O---5-9年</t>
  </si>
  <si>
    <t>正規雇用-P---1-2年</t>
  </si>
  <si>
    <t>正規雇用-P---10-14年</t>
  </si>
  <si>
    <t>正規雇用-P---15-19年</t>
  </si>
  <si>
    <t>正規雇用-P---20-24年</t>
  </si>
  <si>
    <t>正規雇用-P---25-29年</t>
  </si>
  <si>
    <t>正規雇用-P---3-4年</t>
  </si>
  <si>
    <t>正規雇用-P---5-9年</t>
  </si>
  <si>
    <t>正規雇用-Q---1-2年</t>
  </si>
  <si>
    <t>正規雇用-Q---10-14年</t>
  </si>
  <si>
    <t>正規雇用-Q---15-19年</t>
  </si>
  <si>
    <t>正規雇用-Q---20-24年</t>
  </si>
  <si>
    <t>正規雇用-Q---25-29年</t>
  </si>
  <si>
    <t>正規雇用-Q---3-4年</t>
  </si>
  <si>
    <t>正規雇用-Q---5-9年</t>
  </si>
  <si>
    <t>正規雇用-R---1-2年</t>
  </si>
  <si>
    <t>正規雇用-R---10-14年</t>
  </si>
  <si>
    <t>正規雇用-R---15-19年</t>
  </si>
  <si>
    <t>正規雇用-R---20-24年</t>
  </si>
  <si>
    <t>正規雇用-R---25-29年</t>
  </si>
  <si>
    <t>正規雇用-R---3-4年</t>
  </si>
  <si>
    <t>正規雇用-R---5-9年</t>
  </si>
  <si>
    <t>正規雇用---1,000人以上-1-2年</t>
  </si>
  <si>
    <t>正規雇用---1,000人以上-10-14年</t>
  </si>
  <si>
    <t>正規雇用---1,000人以上-15-19年</t>
  </si>
  <si>
    <t>正規雇用---1,000人以上-20-24年</t>
  </si>
  <si>
    <t>正規雇用---1,000人以上-25-29年</t>
  </si>
  <si>
    <t>正規雇用---1,000人以上-3-4年</t>
  </si>
  <si>
    <t>正規雇用---1,000人以上-5-9年</t>
  </si>
  <si>
    <t>正規雇用---10-99人-</t>
  </si>
  <si>
    <t>正規雇用---10-99人-0年</t>
  </si>
  <si>
    <t>正規雇用---10-99人-1-2年</t>
  </si>
  <si>
    <t>正規雇用---10-99人-10-14年</t>
  </si>
  <si>
    <t>正規雇用---10-99人-15-19年</t>
  </si>
  <si>
    <t>正規雇用---10-99人-20-24年</t>
  </si>
  <si>
    <t>正規雇用---10-99人-25-29年</t>
  </si>
  <si>
    <t>正規雇用---10-99人-3-4年</t>
  </si>
  <si>
    <t>正規雇用---10-99人-30年以上</t>
  </si>
  <si>
    <t>正規雇用---10-99人-5-9年</t>
  </si>
  <si>
    <t>正規雇用---100-299人-</t>
  </si>
  <si>
    <t>正規雇用---100-299人-0年</t>
  </si>
  <si>
    <t>正規雇用---100-299人-1-2年</t>
  </si>
  <si>
    <t>正規雇用---100-299人-10-14年</t>
  </si>
  <si>
    <t>正規雇用---100-299人-15-19年</t>
  </si>
  <si>
    <t>正規雇用---100-299人-20-24年</t>
  </si>
  <si>
    <t>正規雇用---100-299人-25-29年</t>
  </si>
  <si>
    <t>正規雇用---100-299人-3-4年</t>
  </si>
  <si>
    <t>正規雇用---100-299人-30年以上</t>
  </si>
  <si>
    <t>正規雇用---100-299人-5-9年</t>
  </si>
  <si>
    <t>正規雇用---300-999人-</t>
  </si>
  <si>
    <t>正規雇用---300-999人-0年</t>
  </si>
  <si>
    <t>正規雇用---300-999人-1-2年</t>
  </si>
  <si>
    <t>正規雇用---300-999人-10-14年</t>
  </si>
  <si>
    <t>正規雇用---300-999人-15-19年</t>
  </si>
  <si>
    <t>正規雇用---300-999人-20-24年</t>
  </si>
  <si>
    <t>正規雇用---300-999人-25-29年</t>
  </si>
  <si>
    <t>正規雇用---300-999人-3-4年</t>
  </si>
  <si>
    <t>正規雇用---300-999人-30年以上</t>
  </si>
  <si>
    <t>正規雇用---300-999人-5-9年</t>
  </si>
  <si>
    <t>正規雇用----1-2年</t>
  </si>
  <si>
    <t>正規雇用----10-14年</t>
  </si>
  <si>
    <t>正規雇用----15-19年</t>
  </si>
  <si>
    <t>正規雇用----20-24年</t>
  </si>
  <si>
    <t>正規雇用----25-29年</t>
  </si>
  <si>
    <t>正規雇用----3-4年</t>
  </si>
  <si>
    <t>正規雇用----5-9年</t>
  </si>
  <si>
    <t>正規雇用-E-9-10-99人-101</t>
  </si>
  <si>
    <t>正規雇用-E-9-10-99人-102</t>
  </si>
  <si>
    <t>正規雇用-E-9-10-99人-103</t>
  </si>
  <si>
    <t>正規雇用-E-9-10-99人-104</t>
  </si>
  <si>
    <t>正規雇用-E-9-10-99人-105</t>
  </si>
  <si>
    <t>正規雇用-E-9-10-99人-(空白)</t>
  </si>
  <si>
    <t>正規雇用-E-9-100-299人-101</t>
  </si>
  <si>
    <t>正規雇用-E-9-100-299人-102</t>
  </si>
  <si>
    <t>正規雇用-E-9-100-299人-103</t>
  </si>
  <si>
    <t>正規雇用-E-9-100-299人-104</t>
  </si>
  <si>
    <t>正規雇用-E-9-100-299人-105</t>
  </si>
  <si>
    <t>正規雇用-E-9-100-299人-(空白)</t>
  </si>
  <si>
    <t>正規雇用-E-9-300-999人-101</t>
  </si>
  <si>
    <t>正規雇用-E-9-300-999人-102</t>
  </si>
  <si>
    <t>正規雇用-E-9-300-999人-103</t>
  </si>
  <si>
    <t>正規雇用-E-9-300-999人-104</t>
  </si>
  <si>
    <t>正規雇用-E-9-300-999人-105</t>
  </si>
  <si>
    <t>正規雇用-E-9-300-999人-(空白)</t>
  </si>
  <si>
    <t>正規雇用-E-10-10-99人-101</t>
  </si>
  <si>
    <t>正規雇用-E-10-10-99人-102</t>
  </si>
  <si>
    <t>正規雇用-E-10-10-99人-103</t>
  </si>
  <si>
    <t>正規雇用-E-10-10-99人-104</t>
  </si>
  <si>
    <t>正規雇用-E-10-10-99人-105</t>
  </si>
  <si>
    <t>正規雇用-E-10-10-99人-(空白)</t>
  </si>
  <si>
    <t>正規雇用-E-10-100-299人-101</t>
  </si>
  <si>
    <t>正規雇用-E-10-100-299人-102</t>
  </si>
  <si>
    <t>正規雇用-E-10-100-299人-103</t>
  </si>
  <si>
    <t>正規雇用-E-10-100-299人-104</t>
  </si>
  <si>
    <t>正規雇用-E-10-100-299人-105</t>
  </si>
  <si>
    <t>正規雇用-E-10-100-299人-(空白)</t>
  </si>
  <si>
    <t>正規雇用-E-10-300-999人-101</t>
  </si>
  <si>
    <t>正規雇用-E-10-300-999人-102</t>
  </si>
  <si>
    <t>正規雇用-E-10-300-999人-103</t>
  </si>
  <si>
    <t>正規雇用-E-10-300-999人-104</t>
  </si>
  <si>
    <t>正規雇用-E-10-300-999人-105</t>
  </si>
  <si>
    <t>正規雇用-E-10-300-999人-(空白)</t>
  </si>
  <si>
    <t>正規雇用-E-11-10-99人-101</t>
  </si>
  <si>
    <t>正規雇用-E-11-10-99人-102</t>
  </si>
  <si>
    <t>正規雇用-E-11-10-99人-103</t>
  </si>
  <si>
    <t>正規雇用-E-11-10-99人-104</t>
  </si>
  <si>
    <t>正規雇用-E-11-10-99人-105</t>
  </si>
  <si>
    <t>正規雇用-E-11-10-99人-(空白)</t>
  </si>
  <si>
    <t>正規雇用-E-11-100-299人-101</t>
  </si>
  <si>
    <t>正規雇用-E-11-100-299人-102</t>
  </si>
  <si>
    <t>正規雇用-E-11-100-299人-103</t>
  </si>
  <si>
    <t>正規雇用-E-11-100-299人-104</t>
  </si>
  <si>
    <t>正規雇用-E-11-100-299人-105</t>
  </si>
  <si>
    <t>正規雇用-E-11-100-299人-(空白)</t>
  </si>
  <si>
    <t>正規雇用-E-11-300-999人-101</t>
  </si>
  <si>
    <t>正規雇用-E-11-300-999人-102</t>
  </si>
  <si>
    <t>正規雇用-E-11-300-999人-103</t>
  </si>
  <si>
    <t>正規雇用-E-11-300-999人-104</t>
  </si>
  <si>
    <t>正規雇用-E-11-300-999人-105</t>
  </si>
  <si>
    <t>正規雇用-E-11-300-999人-(空白)</t>
  </si>
  <si>
    <t>正規雇用-E-12-10-99人-101</t>
  </si>
  <si>
    <t>正規雇用-E-12-10-99人-102</t>
  </si>
  <si>
    <t>正規雇用-E-12-10-99人-103</t>
  </si>
  <si>
    <t>正規雇用-E-12-10-99人-104</t>
  </si>
  <si>
    <t>正規雇用-E-12-10-99人-105</t>
  </si>
  <si>
    <t>正規雇用-E-12-10-99人-(空白)</t>
  </si>
  <si>
    <t>正規雇用-E-12-100-299人-101</t>
  </si>
  <si>
    <t>正規雇用-E-12-100-299人-102</t>
  </si>
  <si>
    <t>正規雇用-E-12-100-299人-103</t>
  </si>
  <si>
    <t>正規雇用-E-12-100-299人-104</t>
  </si>
  <si>
    <t>正規雇用-E-12-100-299人-105</t>
  </si>
  <si>
    <t>正規雇用-E-12-100-299人-(空白)</t>
  </si>
  <si>
    <t>正規雇用-E-12-300-999人-101</t>
  </si>
  <si>
    <t>正規雇用-E-12-300-999人-102</t>
  </si>
  <si>
    <t>正規雇用-E-12-300-999人-103</t>
  </si>
  <si>
    <t>正規雇用-E-12-300-999人-104</t>
  </si>
  <si>
    <t>正規雇用-E-12-300-999人-105</t>
  </si>
  <si>
    <t>正規雇用-E-12-300-999人-(空白)</t>
  </si>
  <si>
    <t>正規雇用-E-13-10-99人-101</t>
  </si>
  <si>
    <t>正規雇用-E-13-10-99人-102</t>
  </si>
  <si>
    <t>正規雇用-E-13-10-99人-103</t>
  </si>
  <si>
    <t>正規雇用-E-13-10-99人-104</t>
  </si>
  <si>
    <t>正規雇用-E-13-10-99人-105</t>
  </si>
  <si>
    <t>正規雇用-E-13-10-99人-(空白)</t>
  </si>
  <si>
    <t>正規雇用-E-13-100-299人-101</t>
  </si>
  <si>
    <t>正規雇用-E-13-100-299人-102</t>
  </si>
  <si>
    <t>正規雇用-E-13-100-299人-103</t>
  </si>
  <si>
    <t>正規雇用-E-13-100-299人-104</t>
  </si>
  <si>
    <t>正規雇用-E-13-100-299人-105</t>
  </si>
  <si>
    <t>正規雇用-E-13-100-299人-(空白)</t>
  </si>
  <si>
    <t>正規雇用-E-13-300-999人-101</t>
  </si>
  <si>
    <t>正規雇用-E-13-300-999人-102</t>
  </si>
  <si>
    <t>正規雇用-E-13-300-999人-103</t>
  </si>
  <si>
    <t>正規雇用-E-13-300-999人-104</t>
  </si>
  <si>
    <t>正規雇用-E-13-300-999人-105</t>
  </si>
  <si>
    <t>正規雇用-E-13-300-999人-(空白)</t>
  </si>
  <si>
    <t>正規雇用-E-14-10-99人-101</t>
  </si>
  <si>
    <t>正規雇用-E-14-10-99人-102</t>
  </si>
  <si>
    <t>正規雇用-E-14-10-99人-103</t>
  </si>
  <si>
    <t>正規雇用-E-14-10-99人-104</t>
  </si>
  <si>
    <t>正規雇用-E-14-10-99人-105</t>
  </si>
  <si>
    <t>正規雇用-E-14-10-99人-(空白)</t>
  </si>
  <si>
    <t>正規雇用-E-14-100-299人-101</t>
  </si>
  <si>
    <t>正規雇用-E-14-100-299人-102</t>
  </si>
  <si>
    <t>正規雇用-E-14-100-299人-103</t>
  </si>
  <si>
    <t>正規雇用-E-14-100-299人-104</t>
  </si>
  <si>
    <t>正規雇用-E-14-100-299人-105</t>
  </si>
  <si>
    <t>正規雇用-E-14-100-299人-(空白)</t>
  </si>
  <si>
    <t>正規雇用-E-14-300-999人-101</t>
  </si>
  <si>
    <t>正規雇用-E-14-300-999人-102</t>
  </si>
  <si>
    <t>正規雇用-E-14-300-999人-103</t>
  </si>
  <si>
    <t>正規雇用-E-14-300-999人-104</t>
  </si>
  <si>
    <t>正規雇用-E-14-300-999人-105</t>
  </si>
  <si>
    <t>正規雇用-E-14-300-999人-(空白)</t>
  </si>
  <si>
    <t>正規雇用-E-15-10-99人-101</t>
  </si>
  <si>
    <t>正規雇用-E-15-10-99人-102</t>
  </si>
  <si>
    <t>正規雇用-E-15-10-99人-103</t>
  </si>
  <si>
    <t>正規雇用-E-15-10-99人-104</t>
  </si>
  <si>
    <t>正規雇用-E-15-10-99人-105</t>
  </si>
  <si>
    <t>正規雇用-E-15-10-99人-(空白)</t>
  </si>
  <si>
    <t>正規雇用-E-15-100-299人-101</t>
  </si>
  <si>
    <t>正規雇用-E-15-100-299人-102</t>
  </si>
  <si>
    <t>正規雇用-E-15-100-299人-103</t>
  </si>
  <si>
    <t>正規雇用-E-15-100-299人-104</t>
  </si>
  <si>
    <t>正規雇用-E-15-100-299人-105</t>
  </si>
  <si>
    <t>正規雇用-E-15-100-299人-(空白)</t>
  </si>
  <si>
    <t>正規雇用-E-15-300-999人-101</t>
  </si>
  <si>
    <t>正規雇用-E-15-300-999人-102</t>
  </si>
  <si>
    <t>正規雇用-E-15-300-999人-103</t>
  </si>
  <si>
    <t>正規雇用-E-15-300-999人-104</t>
  </si>
  <si>
    <t>正規雇用-E-15-300-999人-105</t>
  </si>
  <si>
    <t>正規雇用-E-15-300-999人-(空白)</t>
  </si>
  <si>
    <t>正規雇用-E-16-10-99人-101</t>
  </si>
  <si>
    <t>正規雇用-E-16-10-99人-102</t>
  </si>
  <si>
    <t>正規雇用-E-16-10-99人-103</t>
  </si>
  <si>
    <t>正規雇用-E-16-10-99人-104</t>
  </si>
  <si>
    <t>正規雇用-E-16-10-99人-105</t>
  </si>
  <si>
    <t>正規雇用-E-16-10-99人-(空白)</t>
  </si>
  <si>
    <t>正規雇用-E-16-100-299人-101</t>
  </si>
  <si>
    <t>正規雇用-E-16-100-299人-102</t>
  </si>
  <si>
    <t>正規雇用-E-16-100-299人-103</t>
  </si>
  <si>
    <t>正規雇用-E-16-100-299人-104</t>
  </si>
  <si>
    <t>正規雇用-E-16-100-299人-105</t>
  </si>
  <si>
    <t>正規雇用-E-16-100-299人-(空白)</t>
  </si>
  <si>
    <t>正規雇用-E-16-300-999人-101</t>
  </si>
  <si>
    <t>正規雇用-E-16-300-999人-102</t>
  </si>
  <si>
    <t>正規雇用-E-16-300-999人-103</t>
  </si>
  <si>
    <t>正規雇用-E-16-300-999人-104</t>
  </si>
  <si>
    <t>正規雇用-E-16-300-999人-105</t>
  </si>
  <si>
    <t>正規雇用-E-16-300-999人-(空白)</t>
  </si>
  <si>
    <t>正規雇用-E-17-10-99人-101</t>
  </si>
  <si>
    <t>正規雇用-E-17-10-99人-102</t>
  </si>
  <si>
    <t>正規雇用-E-17-10-99人-103</t>
  </si>
  <si>
    <t>正規雇用-E-17-10-99人-104</t>
  </si>
  <si>
    <t>正規雇用-E-17-10-99人-105</t>
  </si>
  <si>
    <t>正規雇用-E-17-10-99人-(空白)</t>
  </si>
  <si>
    <t>正規雇用-E-17-100-299人-102</t>
  </si>
  <si>
    <t>正規雇用-E-17-100-299人-103</t>
  </si>
  <si>
    <t>正規雇用-E-17-100-299人-105</t>
  </si>
  <si>
    <t>正規雇用-E-17-100-299人-(空白)</t>
  </si>
  <si>
    <t>正規雇用-E-17-300-999人-101</t>
  </si>
  <si>
    <t>正規雇用-E-17-300-999人-102</t>
  </si>
  <si>
    <t>正規雇用-E-17-300-999人-103</t>
  </si>
  <si>
    <t>正規雇用-E-17-300-999人-104</t>
  </si>
  <si>
    <t>正規雇用-E-17-300-999人-105</t>
  </si>
  <si>
    <t>正規雇用-E-17-300-999人-(空白)</t>
  </si>
  <si>
    <t>正規雇用-E-18-10-99人-101</t>
  </si>
  <si>
    <t>正規雇用-E-18-10-99人-102</t>
  </si>
  <si>
    <t>正規雇用-E-18-10-99人-103</t>
  </si>
  <si>
    <t>正規雇用-E-18-10-99人-104</t>
  </si>
  <si>
    <t>正規雇用-E-18-10-99人-105</t>
  </si>
  <si>
    <t>正規雇用-E-18-10-99人-(空白)</t>
  </si>
  <si>
    <t>正規雇用-E-18-100-299人-101</t>
  </si>
  <si>
    <t>正規雇用-E-18-100-299人-102</t>
  </si>
  <si>
    <t>正規雇用-E-18-100-299人-103</t>
  </si>
  <si>
    <t>正規雇用-E-18-100-299人-104</t>
  </si>
  <si>
    <t>正規雇用-E-18-100-299人-105</t>
  </si>
  <si>
    <t>正規雇用-E-18-100-299人-(空白)</t>
  </si>
  <si>
    <t>正規雇用-E-18-300-999人-101</t>
  </si>
  <si>
    <t>正規雇用-E-18-300-999人-102</t>
  </si>
  <si>
    <t>正規雇用-E-18-300-999人-103</t>
  </si>
  <si>
    <t>正規雇用-E-18-300-999人-104</t>
  </si>
  <si>
    <t>正規雇用-E-18-300-999人-105</t>
  </si>
  <si>
    <t>正規雇用-E-18-300-999人-(空白)</t>
  </si>
  <si>
    <t>正規雇用-E-19-10-99人-101</t>
  </si>
  <si>
    <t>正規雇用-E-19-10-99人-102</t>
  </si>
  <si>
    <t>正規雇用-E-19-10-99人-103</t>
  </si>
  <si>
    <t>正規雇用-E-19-10-99人-104</t>
  </si>
  <si>
    <t>正規雇用-E-19-10-99人-105</t>
  </si>
  <si>
    <t>正規雇用-E-19-10-99人-(空白)</t>
  </si>
  <si>
    <t>正規雇用-E-19-100-299人-101</t>
  </si>
  <si>
    <t>正規雇用-E-19-100-299人-102</t>
  </si>
  <si>
    <t>正規雇用-E-19-100-299人-103</t>
  </si>
  <si>
    <t>正規雇用-E-19-100-299人-104</t>
  </si>
  <si>
    <t>正規雇用-E-19-100-299人-105</t>
  </si>
  <si>
    <t>正規雇用-E-19-100-299人-(空白)</t>
  </si>
  <si>
    <t>正規雇用-E-19-300-999人-101</t>
  </si>
  <si>
    <t>正規雇用-E-19-300-999人-102</t>
  </si>
  <si>
    <t>正規雇用-E-19-300-999人-103</t>
  </si>
  <si>
    <t>正規雇用-E-19-300-999人-104</t>
  </si>
  <si>
    <t>正規雇用-E-19-300-999人-105</t>
  </si>
  <si>
    <t>正規雇用-E-19-300-999人-(空白)</t>
  </si>
  <si>
    <t>正規雇用-E-20-10-99人-101</t>
  </si>
  <si>
    <t>正規雇用-E-20-10-99人-102</t>
  </si>
  <si>
    <t>正規雇用-E-20-10-99人-103</t>
  </si>
  <si>
    <t>正規雇用-E-20-10-99人-104</t>
  </si>
  <si>
    <t>正規雇用-E-20-10-99人-105</t>
  </si>
  <si>
    <t>正規雇用-E-20-10-99人-(空白)</t>
  </si>
  <si>
    <t>正規雇用-E-20-100-299人-101</t>
  </si>
  <si>
    <t>正規雇用-E-20-100-299人-102</t>
  </si>
  <si>
    <t>正規雇用-E-20-100-299人-103</t>
  </si>
  <si>
    <t>正規雇用-E-20-100-299人-104</t>
  </si>
  <si>
    <t>正規雇用-E-20-100-299人-105</t>
  </si>
  <si>
    <t>正規雇用-E-20-100-299人-(空白)</t>
  </si>
  <si>
    <t>正規雇用-E-20-300-999人-101</t>
  </si>
  <si>
    <t>正規雇用-E-20-300-999人-102</t>
  </si>
  <si>
    <t>正規雇用-E-20-300-999人-103</t>
  </si>
  <si>
    <t>正規雇用-E-20-300-999人-104</t>
  </si>
  <si>
    <t>正規雇用-E-20-300-999人-(空白)</t>
  </si>
  <si>
    <t>正規雇用-E-21-10-99人-101</t>
  </si>
  <si>
    <t>正規雇用-E-21-10-99人-102</t>
  </si>
  <si>
    <t>正規雇用-E-21-10-99人-103</t>
  </si>
  <si>
    <t>正規雇用-E-21-10-99人-104</t>
  </si>
  <si>
    <t>正規雇用-E-21-10-99人-105</t>
  </si>
  <si>
    <t>正規雇用-E-21-10-99人-(空白)</t>
  </si>
  <si>
    <t>正規雇用-E-21-100-299人-101</t>
  </si>
  <si>
    <t>正規雇用-E-21-100-299人-102</t>
  </si>
  <si>
    <t>正規雇用-E-21-100-299人-103</t>
  </si>
  <si>
    <t>正規雇用-E-21-100-299人-104</t>
  </si>
  <si>
    <t>正規雇用-E-21-100-299人-105</t>
  </si>
  <si>
    <t>正規雇用-E-21-100-299人-(空白)</t>
  </si>
  <si>
    <t>正規雇用-E-21-300-999人-101</t>
  </si>
  <si>
    <t>正規雇用-E-21-300-999人-102</t>
  </si>
  <si>
    <t>正規雇用-E-21-300-999人-103</t>
  </si>
  <si>
    <t>正規雇用-E-21-300-999人-104</t>
  </si>
  <si>
    <t>正規雇用-E-21-300-999人-105</t>
  </si>
  <si>
    <t>正規雇用-E-21-300-999人-(空白)</t>
  </si>
  <si>
    <t>正規雇用-E-22-10-99人-101</t>
  </si>
  <si>
    <t>正規雇用-E-22-10-99人-102</t>
  </si>
  <si>
    <t>正規雇用-E-22-10-99人-103</t>
  </si>
  <si>
    <t>正規雇用-E-22-10-99人-104</t>
  </si>
  <si>
    <t>正規雇用-E-22-10-99人-105</t>
  </si>
  <si>
    <t>正規雇用-E-22-10-99人-(空白)</t>
  </si>
  <si>
    <t>正規雇用-E-22-100-299人-101</t>
  </si>
  <si>
    <t>正規雇用-E-22-100-299人-102</t>
  </si>
  <si>
    <t>正規雇用-E-22-100-299人-103</t>
  </si>
  <si>
    <t>正規雇用-E-22-100-299人-104</t>
  </si>
  <si>
    <t>正規雇用-E-22-100-299人-105</t>
  </si>
  <si>
    <t>正規雇用-E-22-100-299人-(空白)</t>
  </si>
  <si>
    <t>正規雇用-E-22-300-999人-101</t>
  </si>
  <si>
    <t>正規雇用-E-22-300-999人-102</t>
  </si>
  <si>
    <t>正規雇用-E-22-300-999人-103</t>
  </si>
  <si>
    <t>正規雇用-E-22-300-999人-104</t>
  </si>
  <si>
    <t>正規雇用-E-22-300-999人-105</t>
  </si>
  <si>
    <t>正規雇用-E-22-300-999人-(空白)</t>
  </si>
  <si>
    <t>正規雇用-E-23-10-99人-101</t>
  </si>
  <si>
    <t>正規雇用-E-23-10-99人-102</t>
  </si>
  <si>
    <t>正規雇用-E-23-10-99人-103</t>
  </si>
  <si>
    <t>正規雇用-E-23-10-99人-104</t>
  </si>
  <si>
    <t>正規雇用-E-23-10-99人-105</t>
  </si>
  <si>
    <t>正規雇用-E-23-10-99人-(空白)</t>
  </si>
  <si>
    <t>正規雇用-E-23-100-299人-101</t>
  </si>
  <si>
    <t>正規雇用-E-23-100-299人-102</t>
  </si>
  <si>
    <t>正規雇用-E-23-100-299人-103</t>
  </si>
  <si>
    <t>正規雇用-E-23-100-299人-104</t>
  </si>
  <si>
    <t>正規雇用-E-23-100-299人-105</t>
  </si>
  <si>
    <t>正規雇用-E-23-100-299人-(空白)</t>
  </si>
  <si>
    <t>正規雇用-E-23-300-999人-101</t>
  </si>
  <si>
    <t>正規雇用-E-23-300-999人-102</t>
  </si>
  <si>
    <t>正規雇用-E-23-300-999人-103</t>
  </si>
  <si>
    <t>正規雇用-E-23-300-999人-104</t>
  </si>
  <si>
    <t>正規雇用-E-23-300-999人-105</t>
  </si>
  <si>
    <t>正規雇用-E-23-300-999人-(空白)</t>
  </si>
  <si>
    <t>正規雇用-E-24-10-99人-101</t>
  </si>
  <si>
    <t>正規雇用-E-24-10-99人-102</t>
  </si>
  <si>
    <t>正規雇用-E-24-10-99人-103</t>
  </si>
  <si>
    <t>正規雇用-E-24-10-99人-104</t>
  </si>
  <si>
    <t>正規雇用-E-24-10-99人-105</t>
  </si>
  <si>
    <t>正規雇用-E-24-10-99人-(空白)</t>
  </si>
  <si>
    <t>正規雇用-E-24-100-299人-101</t>
  </si>
  <si>
    <t>正規雇用-E-24-100-299人-102</t>
  </si>
  <si>
    <t>正規雇用-E-24-100-299人-103</t>
  </si>
  <si>
    <t>正規雇用-E-24-100-299人-104</t>
  </si>
  <si>
    <t>正規雇用-E-24-100-299人-105</t>
  </si>
  <si>
    <t>正規雇用-E-24-100-299人-(空白)</t>
  </si>
  <si>
    <t>正規雇用-E-24-300-999人-101</t>
  </si>
  <si>
    <t>正規雇用-E-24-300-999人-102</t>
  </si>
  <si>
    <t>正規雇用-E-24-300-999人-103</t>
  </si>
  <si>
    <t>正規雇用-E-24-300-999人-104</t>
  </si>
  <si>
    <t>正規雇用-E-24-300-999人-105</t>
  </si>
  <si>
    <t>正規雇用-E-24-300-999人-(空白)</t>
  </si>
  <si>
    <t>正規雇用-E-25-10-99人-101</t>
  </si>
  <si>
    <t>正規雇用-E-25-10-99人-102</t>
  </si>
  <si>
    <t>正規雇用-E-25-10-99人-103</t>
  </si>
  <si>
    <t>正規雇用-E-25-10-99人-104</t>
  </si>
  <si>
    <t>正規雇用-E-25-10-99人-105</t>
  </si>
  <si>
    <t>正規雇用-E-25-10-99人-(空白)</t>
  </si>
  <si>
    <t>正規雇用-E-25-100-299人-101</t>
  </si>
  <si>
    <t>正規雇用-E-25-100-299人-102</t>
  </si>
  <si>
    <t>正規雇用-E-25-100-299人-103</t>
  </si>
  <si>
    <t>正規雇用-E-25-100-299人-104</t>
  </si>
  <si>
    <t>正規雇用-E-25-100-299人-105</t>
  </si>
  <si>
    <t>正規雇用-E-25-100-299人-(空白)</t>
  </si>
  <si>
    <t>正規雇用-E-25-300-999人-101</t>
  </si>
  <si>
    <t>正規雇用-E-25-300-999人-102</t>
  </si>
  <si>
    <t>正規雇用-E-25-300-999人-103</t>
  </si>
  <si>
    <t>正規雇用-E-25-300-999人-104</t>
  </si>
  <si>
    <t>正規雇用-E-25-300-999人-105</t>
  </si>
  <si>
    <t>正規雇用-E-25-300-999人-(空白)</t>
  </si>
  <si>
    <t>正規雇用-E-26-10-99人-101</t>
  </si>
  <si>
    <t>正規雇用-E-26-10-99人-102</t>
  </si>
  <si>
    <t>正規雇用-E-26-10-99人-103</t>
  </si>
  <si>
    <t>正規雇用-E-26-10-99人-104</t>
  </si>
  <si>
    <t>正規雇用-E-26-10-99人-105</t>
  </si>
  <si>
    <t>正規雇用-E-26-10-99人-(空白)</t>
  </si>
  <si>
    <t>正規雇用-E-26-100-299人-101</t>
  </si>
  <si>
    <t>正規雇用-E-26-100-299人-102</t>
  </si>
  <si>
    <t>正規雇用-E-26-100-299人-103</t>
  </si>
  <si>
    <t>正規雇用-E-26-100-299人-104</t>
  </si>
  <si>
    <t>正規雇用-E-26-100-299人-105</t>
  </si>
  <si>
    <t>正規雇用-E-26-100-299人-(空白)</t>
  </si>
  <si>
    <t>正規雇用-E-26-300-999人-101</t>
  </si>
  <si>
    <t>正規雇用-E-26-300-999人-102</t>
  </si>
  <si>
    <t>正規雇用-E-26-300-999人-103</t>
  </si>
  <si>
    <t>正規雇用-E-26-300-999人-104</t>
  </si>
  <si>
    <t>正規雇用-E-26-300-999人-105</t>
  </si>
  <si>
    <t>正規雇用-E-26-300-999人-(空白)</t>
  </si>
  <si>
    <t>正規雇用-E-27-10-99人-101</t>
  </si>
  <si>
    <t>正規雇用-E-27-10-99人-102</t>
  </si>
  <si>
    <t>正規雇用-E-27-10-99人-103</t>
  </si>
  <si>
    <t>正規雇用-E-27-10-99人-104</t>
  </si>
  <si>
    <t>正規雇用-E-27-10-99人-105</t>
  </si>
  <si>
    <t>正規雇用-E-27-10-99人-(空白)</t>
  </si>
  <si>
    <t>正規雇用-E-27-100-299人-101</t>
  </si>
  <si>
    <t>正規雇用-E-27-100-299人-102</t>
  </si>
  <si>
    <t>正規雇用-E-27-100-299人-103</t>
  </si>
  <si>
    <t>正規雇用-E-27-100-299人-104</t>
  </si>
  <si>
    <t>正規雇用-E-27-100-299人-105</t>
  </si>
  <si>
    <t>正規雇用-E-27-100-299人-(空白)</t>
  </si>
  <si>
    <t>正規雇用-E-27-300-999人-101</t>
  </si>
  <si>
    <t>正規雇用-E-27-300-999人-102</t>
  </si>
  <si>
    <t>正規雇用-E-27-300-999人-103</t>
  </si>
  <si>
    <t>正規雇用-E-27-300-999人-104</t>
  </si>
  <si>
    <t>正規雇用-E-27-300-999人-105</t>
  </si>
  <si>
    <t>正規雇用-E-27-300-999人-(空白)</t>
  </si>
  <si>
    <t>正規雇用-E-28-10-99人-101</t>
  </si>
  <si>
    <t>正規雇用-E-28-10-99人-102</t>
  </si>
  <si>
    <t>正規雇用-E-28-10-99人-103</t>
  </si>
  <si>
    <t>正規雇用-E-28-10-99人-104</t>
  </si>
  <si>
    <t>正規雇用-E-28-10-99人-105</t>
  </si>
  <si>
    <t>正規雇用-E-28-10-99人-(空白)</t>
  </si>
  <si>
    <t>正規雇用-E-28-100-299人-101</t>
  </si>
  <si>
    <t>正規雇用-E-28-100-299人-102</t>
  </si>
  <si>
    <t>正規雇用-E-28-100-299人-103</t>
  </si>
  <si>
    <t>正規雇用-E-28-100-299人-104</t>
  </si>
  <si>
    <t>正規雇用-E-28-100-299人-105</t>
  </si>
  <si>
    <t>正規雇用-E-28-100-299人-(空白)</t>
  </si>
  <si>
    <t>正規雇用-E-28-300-999人-101</t>
  </si>
  <si>
    <t>正規雇用-E-28-300-999人-102</t>
  </si>
  <si>
    <t>正規雇用-E-28-300-999人-103</t>
  </si>
  <si>
    <t>正規雇用-E-28-300-999人-104</t>
  </si>
  <si>
    <t>正規雇用-E-28-300-999人-105</t>
  </si>
  <si>
    <t>正規雇用-E-28-300-999人-(空白)</t>
  </si>
  <si>
    <t>正規雇用-E-29-10-99人-101</t>
  </si>
  <si>
    <t>正規雇用-E-29-10-99人-102</t>
  </si>
  <si>
    <t>正規雇用-E-29-10-99人-103</t>
  </si>
  <si>
    <t>正規雇用-E-29-10-99人-104</t>
  </si>
  <si>
    <t>正規雇用-E-29-10-99人-105</t>
  </si>
  <si>
    <t>正規雇用-E-29-10-99人-(空白)</t>
  </si>
  <si>
    <t>正規雇用-E-29-100-299人-101</t>
  </si>
  <si>
    <t>正規雇用-E-29-100-299人-102</t>
  </si>
  <si>
    <t>正規雇用-E-29-100-299人-103</t>
  </si>
  <si>
    <t>正規雇用-E-29-100-299人-104</t>
  </si>
  <si>
    <t>正規雇用-E-29-100-299人-105</t>
  </si>
  <si>
    <t>正規雇用-E-29-100-299人-(空白)</t>
  </si>
  <si>
    <t>正規雇用-E-29-300-999人-101</t>
  </si>
  <si>
    <t>正規雇用-E-29-300-999人-102</t>
  </si>
  <si>
    <t>正規雇用-E-29-300-999人-103</t>
  </si>
  <si>
    <t>正規雇用-E-29-300-999人-104</t>
  </si>
  <si>
    <t>正規雇用-E-29-300-999人-105</t>
  </si>
  <si>
    <t>正規雇用-E-29-300-999人-(空白)</t>
  </si>
  <si>
    <t>正規雇用-E-30-10-99人-101</t>
  </si>
  <si>
    <t>正規雇用-E-30-10-99人-102</t>
  </si>
  <si>
    <t>正規雇用-E-30-10-99人-103</t>
  </si>
  <si>
    <t>正規雇用-E-30-10-99人-104</t>
  </si>
  <si>
    <t>正規雇用-E-30-10-99人-105</t>
  </si>
  <si>
    <t>正規雇用-E-30-10-99人-(空白)</t>
  </si>
  <si>
    <t>正規雇用-E-30-100-299人-101</t>
  </si>
  <si>
    <t>正規雇用-E-30-100-299人-102</t>
  </si>
  <si>
    <t>正規雇用-E-30-100-299人-103</t>
  </si>
  <si>
    <t>正規雇用-E-30-100-299人-104</t>
  </si>
  <si>
    <t>正規雇用-E-30-100-299人-105</t>
  </si>
  <si>
    <t>正規雇用-E-30-100-299人-(空白)</t>
  </si>
  <si>
    <t>正規雇用-E-30-300-999人-101</t>
  </si>
  <si>
    <t>正規雇用-E-30-300-999人-102</t>
  </si>
  <si>
    <t>正規雇用-E-30-300-999人-103</t>
  </si>
  <si>
    <t>正規雇用-E-30-300-999人-104</t>
  </si>
  <si>
    <t>正規雇用-E-30-300-999人-105</t>
  </si>
  <si>
    <t>正規雇用-E-30-300-999人-(空白)</t>
  </si>
  <si>
    <t>正規雇用-E-31-10-99人-101</t>
  </si>
  <si>
    <t>正規雇用-E-31-10-99人-102</t>
  </si>
  <si>
    <t>正規雇用-E-31-10-99人-103</t>
  </si>
  <si>
    <t>正規雇用-E-31-10-99人-104</t>
  </si>
  <si>
    <t>正規雇用-E-31-10-99人-105</t>
  </si>
  <si>
    <t>正規雇用-E-31-10-99人-(空白)</t>
  </si>
  <si>
    <t>正規雇用-E-31-100-299人-101</t>
  </si>
  <si>
    <t>正規雇用-E-31-100-299人-102</t>
  </si>
  <si>
    <t>正規雇用-E-31-100-299人-103</t>
  </si>
  <si>
    <t>正規雇用-E-31-100-299人-104</t>
  </si>
  <si>
    <t>正規雇用-E-31-100-299人-105</t>
  </si>
  <si>
    <t>正規雇用-E-31-100-299人-(空白)</t>
  </si>
  <si>
    <t>正規雇用-E-31-300-999人-101</t>
  </si>
  <si>
    <t>正規雇用-E-31-300-999人-102</t>
  </si>
  <si>
    <t>正規雇用-E-31-300-999人-103</t>
  </si>
  <si>
    <t>正規雇用-E-31-300-999人-104</t>
  </si>
  <si>
    <t>正規雇用-E-31-300-999人-105</t>
  </si>
  <si>
    <t>正規雇用-E-31-300-999人-(空白)</t>
  </si>
  <si>
    <t>正規雇用-E-32-10-99人-101</t>
  </si>
  <si>
    <t>正規雇用-E-32-10-99人-102</t>
  </si>
  <si>
    <t>正規雇用-E-32-10-99人-103</t>
  </si>
  <si>
    <t>正規雇用-E-32-10-99人-104</t>
  </si>
  <si>
    <t>正規雇用-E-32-10-99人-105</t>
  </si>
  <si>
    <t>正規雇用-E-32-10-99人-(空白)</t>
  </si>
  <si>
    <t>正規雇用-E-32-100-299人-101</t>
  </si>
  <si>
    <t>正規雇用-E-32-100-299人-102</t>
  </si>
  <si>
    <t>正規雇用-E-32-100-299人-103</t>
  </si>
  <si>
    <t>正規雇用-E-32-100-299人-104</t>
  </si>
  <si>
    <t>正規雇用-E-32-100-299人-105</t>
  </si>
  <si>
    <t>正規雇用-E-32-100-299人-(空白)</t>
  </si>
  <si>
    <t>正規雇用-E-32-300-999人-101</t>
  </si>
  <si>
    <t>正規雇用-E-32-300-999人-102</t>
  </si>
  <si>
    <t>正規雇用-E-32-300-999人-103</t>
  </si>
  <si>
    <t>正規雇用-E-32-300-999人-104</t>
  </si>
  <si>
    <t>正規雇用-E-32-300-999人-105</t>
  </si>
  <si>
    <t>正規雇用-E-32-300-999人-(空白)</t>
  </si>
  <si>
    <t>正規雇用-C--10-99人-101</t>
  </si>
  <si>
    <t>正規雇用-C--10-99人-102</t>
  </si>
  <si>
    <t>正規雇用-C--10-99人-103</t>
  </si>
  <si>
    <t>正規雇用-C--10-99人-104</t>
  </si>
  <si>
    <t>正規雇用-C--10-99人-105</t>
  </si>
  <si>
    <t>正規雇用-C--10-99人-(空白)</t>
  </si>
  <si>
    <t>正規雇用-C--100-299人-101</t>
  </si>
  <si>
    <t>正規雇用-C--100-299人-102</t>
  </si>
  <si>
    <t>正規雇用-C--100-299人-103</t>
  </si>
  <si>
    <t>正規雇用-C--100-299人-104</t>
  </si>
  <si>
    <t>正規雇用-C--100-299人-105</t>
  </si>
  <si>
    <t>正規雇用-C--100-299人-(空白)</t>
  </si>
  <si>
    <t>正規雇用-C--300-999人-101</t>
  </si>
  <si>
    <t>正規雇用-C--300-999人-102</t>
  </si>
  <si>
    <t>正規雇用-C--300-999人-103</t>
  </si>
  <si>
    <t>正規雇用-C--300-999人-104</t>
  </si>
  <si>
    <t>正規雇用-C--300-999人-105</t>
  </si>
  <si>
    <t>正規雇用-C--300-999人-(空白)</t>
  </si>
  <si>
    <t>正規雇用-D--10-99人-101</t>
  </si>
  <si>
    <t>正規雇用-D--10-99人-102</t>
  </si>
  <si>
    <t>正規雇用-D--10-99人-103</t>
  </si>
  <si>
    <t>正規雇用-D--10-99人-104</t>
  </si>
  <si>
    <t>正規雇用-D--10-99人-105</t>
  </si>
  <si>
    <t>正規雇用-D--10-99人-(空白)</t>
  </si>
  <si>
    <t>正規雇用-D--100-299人-101</t>
  </si>
  <si>
    <t>正規雇用-D--100-299人-102</t>
  </si>
  <si>
    <t>正規雇用-D--100-299人-103</t>
  </si>
  <si>
    <t>正規雇用-D--100-299人-104</t>
  </si>
  <si>
    <t>正規雇用-D--100-299人-105</t>
  </si>
  <si>
    <t>正規雇用-D--100-299人-(空白)</t>
  </si>
  <si>
    <t>正規雇用-D--300-999人-101</t>
  </si>
  <si>
    <t>正規雇用-D--300-999人-102</t>
  </si>
  <si>
    <t>正規雇用-D--300-999人-103</t>
  </si>
  <si>
    <t>正規雇用-D--300-999人-104</t>
  </si>
  <si>
    <t>正規雇用-D--300-999人-105</t>
  </si>
  <si>
    <t>正規雇用-D--300-999人-(空白)</t>
  </si>
  <si>
    <t>正規雇用-E--10-99人-101</t>
  </si>
  <si>
    <t>正規雇用-E--10-99人-102</t>
  </si>
  <si>
    <t>正規雇用-E--10-99人-103</t>
  </si>
  <si>
    <t>正規雇用-E--10-99人-104</t>
  </si>
  <si>
    <t>正規雇用-E--10-99人-105</t>
  </si>
  <si>
    <t>正規雇用-E--10-99人-(空白)</t>
  </si>
  <si>
    <t>正規雇用-E--100-299人-101</t>
  </si>
  <si>
    <t>正規雇用-E--100-299人-102</t>
  </si>
  <si>
    <t>正規雇用-E--100-299人-103</t>
  </si>
  <si>
    <t>正規雇用-E--100-299人-104</t>
  </si>
  <si>
    <t>正規雇用-E--100-299人-105</t>
  </si>
  <si>
    <t>正規雇用-E--100-299人-(空白)</t>
  </si>
  <si>
    <t>正規雇用-E--300-999人-101</t>
  </si>
  <si>
    <t>正規雇用-E--300-999人-102</t>
  </si>
  <si>
    <t>正規雇用-E--300-999人-103</t>
  </si>
  <si>
    <t>正規雇用-E--300-999人-104</t>
  </si>
  <si>
    <t>正規雇用-E--300-999人-105</t>
  </si>
  <si>
    <t>正規雇用-E--300-999人-(空白)</t>
  </si>
  <si>
    <t>正規雇用-F--10-99人-101</t>
  </si>
  <si>
    <t>正規雇用-F--10-99人-102</t>
  </si>
  <si>
    <t>正規雇用-F--10-99人-103</t>
  </si>
  <si>
    <t>正規雇用-F--10-99人-105</t>
  </si>
  <si>
    <t>正規雇用-F--10-99人-(空白)</t>
  </si>
  <si>
    <t>正規雇用-F--100-299人-101</t>
  </si>
  <si>
    <t>正規雇用-F--100-299人-102</t>
  </si>
  <si>
    <t>正規雇用-F--100-299人-103</t>
  </si>
  <si>
    <t>正規雇用-F--100-299人-105</t>
  </si>
  <si>
    <t>正規雇用-F--100-299人-(空白)</t>
  </si>
  <si>
    <t>正規雇用-F--300-999人-101</t>
  </si>
  <si>
    <t>正規雇用-F--300-999人-102</t>
  </si>
  <si>
    <t>正規雇用-F--300-999人-103</t>
  </si>
  <si>
    <t>正規雇用-F--300-999人-105</t>
  </si>
  <si>
    <t>正規雇用-F--300-999人-(空白)</t>
  </si>
  <si>
    <t>正規雇用-G--10-99人-101</t>
  </si>
  <si>
    <t>正規雇用-G--10-99人-102</t>
  </si>
  <si>
    <t>正規雇用-G--10-99人-103</t>
  </si>
  <si>
    <t>正規雇用-G--10-99人-105</t>
  </si>
  <si>
    <t>正規雇用-G--10-99人-(空白)</t>
  </si>
  <si>
    <t>正規雇用-G--100-299人-101</t>
  </si>
  <si>
    <t>正規雇用-G--100-299人-102</t>
  </si>
  <si>
    <t>正規雇用-G--100-299人-103</t>
  </si>
  <si>
    <t>正規雇用-G--100-299人-105</t>
  </si>
  <si>
    <t>正規雇用-G--100-299人-(空白)</t>
  </si>
  <si>
    <t>正規雇用-G--300-999人-101</t>
  </si>
  <si>
    <t>正規雇用-G--300-999人-102</t>
  </si>
  <si>
    <t>正規雇用-G--300-999人-103</t>
  </si>
  <si>
    <t>正規雇用-G--300-999人-105</t>
  </si>
  <si>
    <t>正規雇用-G--300-999人-(空白)</t>
  </si>
  <si>
    <t>正規雇用-H--10-99人-101</t>
  </si>
  <si>
    <t>正規雇用-H--10-99人-102</t>
  </si>
  <si>
    <t>正規雇用-H--10-99人-103</t>
  </si>
  <si>
    <t>正規雇用-H--10-99人-105</t>
  </si>
  <si>
    <t>正規雇用-H--10-99人-(空白)</t>
  </si>
  <si>
    <t>正規雇用-H--100-299人-101</t>
  </si>
  <si>
    <t>正規雇用-H--100-299人-102</t>
  </si>
  <si>
    <t>正規雇用-H--100-299人-103</t>
  </si>
  <si>
    <t>正規雇用-H--100-299人-105</t>
  </si>
  <si>
    <t>正規雇用-H--100-299人-(空白)</t>
  </si>
  <si>
    <t>正規雇用-H--300-999人-101</t>
  </si>
  <si>
    <t>正規雇用-H--300-999人-102</t>
  </si>
  <si>
    <t>正規雇用-H--300-999人-103</t>
  </si>
  <si>
    <t>正規雇用-H--300-999人-105</t>
  </si>
  <si>
    <t>正規雇用-H--300-999人-(空白)</t>
  </si>
  <si>
    <t>正規雇用-I--10-99人-101</t>
  </si>
  <si>
    <t>正規雇用-I--10-99人-102</t>
  </si>
  <si>
    <t>正規雇用-I--10-99人-103</t>
  </si>
  <si>
    <t>正規雇用-I--10-99人-105</t>
  </si>
  <si>
    <t>正規雇用-I--10-99人-(空白)</t>
  </si>
  <si>
    <t>正規雇用-I--100-299人-101</t>
  </si>
  <si>
    <t>正規雇用-I--100-299人-102</t>
  </si>
  <si>
    <t>正規雇用-I--100-299人-103</t>
  </si>
  <si>
    <t>正規雇用-I--100-299人-105</t>
  </si>
  <si>
    <t>正規雇用-I--100-299人-(空白)</t>
  </si>
  <si>
    <t>正規雇用-I--300-999人-101</t>
  </si>
  <si>
    <t>正規雇用-I--300-999人-102</t>
  </si>
  <si>
    <t>正規雇用-I--300-999人-103</t>
  </si>
  <si>
    <t>正規雇用-I--300-999人-105</t>
  </si>
  <si>
    <t>正規雇用-I--300-999人-(空白)</t>
  </si>
  <si>
    <t>正規雇用-J--10-99人-101</t>
  </si>
  <si>
    <t>正規雇用-J--10-99人-102</t>
  </si>
  <si>
    <t>正規雇用-J--10-99人-103</t>
  </si>
  <si>
    <t>正規雇用-J--10-99人-105</t>
  </si>
  <si>
    <t>正規雇用-J--10-99人-(空白)</t>
  </si>
  <si>
    <t>正規雇用-J--100-299人-101</t>
  </si>
  <si>
    <t>正規雇用-J--100-299人-102</t>
  </si>
  <si>
    <t>正規雇用-J--100-299人-103</t>
  </si>
  <si>
    <t>正規雇用-J--100-299人-105</t>
  </si>
  <si>
    <t>正規雇用-J--100-299人-(空白)</t>
  </si>
  <si>
    <t>正規雇用-J--300-999人-101</t>
  </si>
  <si>
    <t>正規雇用-J--300-999人-102</t>
  </si>
  <si>
    <t>正規雇用-J--300-999人-103</t>
  </si>
  <si>
    <t>正規雇用-J--300-999人-105</t>
  </si>
  <si>
    <t>正規雇用-J--300-999人-(空白)</t>
  </si>
  <si>
    <t>正規雇用-K--10-99人-101</t>
  </si>
  <si>
    <t>正規雇用-K--10-99人-102</t>
  </si>
  <si>
    <t>正規雇用-K--10-99人-103</t>
  </si>
  <si>
    <t>正規雇用-K--10-99人-105</t>
  </si>
  <si>
    <t>正規雇用-K--10-99人-(空白)</t>
  </si>
  <si>
    <t>正規雇用-K--100-299人-101</t>
  </si>
  <si>
    <t>正規雇用-K--100-299人-102</t>
  </si>
  <si>
    <t>正規雇用-K--100-299人-103</t>
  </si>
  <si>
    <t>正規雇用-K--100-299人-105</t>
  </si>
  <si>
    <t>正規雇用-K--100-299人-(空白)</t>
  </si>
  <si>
    <t>正規雇用-K--300-999人-101</t>
  </si>
  <si>
    <t>正規雇用-K--300-999人-102</t>
  </si>
  <si>
    <t>正規雇用-K--300-999人-103</t>
  </si>
  <si>
    <t>正規雇用-K--300-999人-105</t>
  </si>
  <si>
    <t>正規雇用-K--300-999人-(空白)</t>
  </si>
  <si>
    <t>正規雇用-L--10-99人-101</t>
  </si>
  <si>
    <t>正規雇用-L--10-99人-102</t>
  </si>
  <si>
    <t>正規雇用-L--10-99人-103</t>
  </si>
  <si>
    <t>正規雇用-L--10-99人-105</t>
  </si>
  <si>
    <t>正規雇用-L--10-99人-(空白)</t>
  </si>
  <si>
    <t>正規雇用-L--100-299人-101</t>
  </si>
  <si>
    <t>正規雇用-L--100-299人-102</t>
  </si>
  <si>
    <t>正規雇用-L--100-299人-103</t>
  </si>
  <si>
    <t>正規雇用-L--100-299人-105</t>
  </si>
  <si>
    <t>正規雇用-L--100-299人-(空白)</t>
  </si>
  <si>
    <t>正規雇用-L--300-999人-101</t>
  </si>
  <si>
    <t>正規雇用-L--300-999人-102</t>
  </si>
  <si>
    <t>正規雇用-L--300-999人-103</t>
  </si>
  <si>
    <t>正規雇用-L--300-999人-105</t>
  </si>
  <si>
    <t>正規雇用-L--300-999人-(空白)</t>
  </si>
  <si>
    <t>正規雇用-M--10-99人-101</t>
  </si>
  <si>
    <t>正規雇用-M--10-99人-102</t>
  </si>
  <si>
    <t>正規雇用-M--10-99人-103</t>
  </si>
  <si>
    <t>正規雇用-M--10-99人-105</t>
  </si>
  <si>
    <t>正規雇用-M--10-99人-(空白)</t>
  </si>
  <si>
    <t>正規雇用-M--100-299人-101</t>
  </si>
  <si>
    <t>正規雇用-M--100-299人-102</t>
  </si>
  <si>
    <t>正規雇用-M--100-299人-103</t>
  </si>
  <si>
    <t>正規雇用-M--100-299人-105</t>
  </si>
  <si>
    <t>正規雇用-M--100-299人-(空白)</t>
  </si>
  <si>
    <t>正規雇用-M--300-999人-101</t>
  </si>
  <si>
    <t>正規雇用-M--300-999人-102</t>
  </si>
  <si>
    <t>正規雇用-M--300-999人-103</t>
  </si>
  <si>
    <t>正規雇用-M--300-999人-105</t>
  </si>
  <si>
    <t>正規雇用-M--300-999人-(空白)</t>
  </si>
  <si>
    <t>正規雇用-N--10-99人-101</t>
  </si>
  <si>
    <t>正規雇用-N--10-99人-102</t>
  </si>
  <si>
    <t>正規雇用-N--10-99人-103</t>
  </si>
  <si>
    <t>正規雇用-N--10-99人-105</t>
  </si>
  <si>
    <t>正規雇用-N--10-99人-(空白)</t>
  </si>
  <si>
    <t>正規雇用-N--100-299人-101</t>
  </si>
  <si>
    <t>正規雇用-N--100-299人-102</t>
  </si>
  <si>
    <t>正規雇用-N--100-299人-103</t>
  </si>
  <si>
    <t>正規雇用-N--100-299人-105</t>
  </si>
  <si>
    <t>正規雇用-N--100-299人-(空白)</t>
  </si>
  <si>
    <t>正規雇用-N--300-999人-101</t>
  </si>
  <si>
    <t>正規雇用-N--300-999人-102</t>
  </si>
  <si>
    <t>正規雇用-N--300-999人-103</t>
  </si>
  <si>
    <t>正規雇用-N--300-999人-105</t>
  </si>
  <si>
    <t>正規雇用-N--300-999人-(空白)</t>
  </si>
  <si>
    <t>正規雇用-O--10-99人-101</t>
  </si>
  <si>
    <t>正規雇用-O--10-99人-102</t>
  </si>
  <si>
    <t>正規雇用-O--10-99人-103</t>
  </si>
  <si>
    <t>正規雇用-O--10-99人-105</t>
  </si>
  <si>
    <t>正規雇用-O--10-99人-(空白)</t>
  </si>
  <si>
    <t>正規雇用-O--100-299人-101</t>
  </si>
  <si>
    <t>正規雇用-O--100-299人-102</t>
  </si>
  <si>
    <t>正規雇用-O--100-299人-103</t>
  </si>
  <si>
    <t>正規雇用-O--100-299人-105</t>
  </si>
  <si>
    <t>正規雇用-O--100-299人-(空白)</t>
  </si>
  <si>
    <t>正規雇用-O--300-999人-101</t>
  </si>
  <si>
    <t>正規雇用-O--300-999人-102</t>
  </si>
  <si>
    <t>正規雇用-O--300-999人-103</t>
  </si>
  <si>
    <t>正規雇用-O--300-999人-105</t>
  </si>
  <si>
    <t>正規雇用-O--300-999人-(空白)</t>
  </si>
  <si>
    <t>正規雇用-P--10-99人-101</t>
  </si>
  <si>
    <t>正規雇用-P--10-99人-102</t>
  </si>
  <si>
    <t>正規雇用-P--10-99人-103</t>
  </si>
  <si>
    <t>正規雇用-P--10-99人-105</t>
  </si>
  <si>
    <t>正規雇用-P--10-99人-(空白)</t>
  </si>
  <si>
    <t>正規雇用-P--100-299人-101</t>
  </si>
  <si>
    <t>正規雇用-P--100-299人-102</t>
  </si>
  <si>
    <t>正規雇用-P--100-299人-103</t>
  </si>
  <si>
    <t>正規雇用-P--100-299人-105</t>
  </si>
  <si>
    <t>正規雇用-P--100-299人-(空白)</t>
  </si>
  <si>
    <t>正規雇用-P--300-999人-101</t>
  </si>
  <si>
    <t>正規雇用-P--300-999人-102</t>
  </si>
  <si>
    <t>正規雇用-P--300-999人-103</t>
  </si>
  <si>
    <t>正規雇用-P--300-999人-105</t>
  </si>
  <si>
    <t>正規雇用-P--300-999人-(空白)</t>
  </si>
  <si>
    <t>正規雇用-Q--10-99人-101</t>
  </si>
  <si>
    <t>正規雇用-Q--10-99人-102</t>
  </si>
  <si>
    <t>正規雇用-Q--10-99人-103</t>
  </si>
  <si>
    <t>正規雇用-Q--10-99人-105</t>
  </si>
  <si>
    <t>正規雇用-Q--10-99人-(空白)</t>
  </si>
  <si>
    <t>正規雇用-Q--100-299人-101</t>
  </si>
  <si>
    <t>正規雇用-Q--100-299人-102</t>
  </si>
  <si>
    <t>正規雇用-Q--100-299人-103</t>
  </si>
  <si>
    <t>正規雇用-Q--100-299人-105</t>
  </si>
  <si>
    <t>正規雇用-Q--100-299人-(空白)</t>
  </si>
  <si>
    <t>正規雇用-Q--300-999人-101</t>
  </si>
  <si>
    <t>正規雇用-Q--300-999人-102</t>
  </si>
  <si>
    <t>正規雇用-Q--300-999人-103</t>
  </si>
  <si>
    <t>正規雇用-Q--300-999人-105</t>
  </si>
  <si>
    <t>正規雇用-Q--300-999人-(空白)</t>
  </si>
  <si>
    <t>正規雇用-R--10-99人-101</t>
  </si>
  <si>
    <t>正規雇用-R--10-99人-102</t>
  </si>
  <si>
    <t>正規雇用-R--10-99人-103</t>
  </si>
  <si>
    <t>正規雇用-R--10-99人-105</t>
  </si>
  <si>
    <t>正規雇用-R--10-99人-(空白)</t>
  </si>
  <si>
    <t>正規雇用-R--100-299人-101</t>
  </si>
  <si>
    <t>正規雇用-R--100-299人-102</t>
  </si>
  <si>
    <t>正規雇用-R--100-299人-103</t>
  </si>
  <si>
    <t>正規雇用-R--100-299人-105</t>
  </si>
  <si>
    <t>正規雇用-R--100-299人-(空白)</t>
  </si>
  <si>
    <t>正規雇用-R--300-999人-101</t>
  </si>
  <si>
    <t>正規雇用-R--300-999人-102</t>
  </si>
  <si>
    <t>正規雇用-R--300-999人-103</t>
  </si>
  <si>
    <t>正規雇用-R--300-999人-105</t>
  </si>
  <si>
    <t>正規雇用-R--300-999人-(空白)</t>
  </si>
  <si>
    <t>正規雇用---10-99人-101</t>
  </si>
  <si>
    <t>正規雇用---10-99人-102</t>
  </si>
  <si>
    <t>正規雇用---10-99人-103</t>
  </si>
  <si>
    <t>正規雇用---10-99人-104</t>
  </si>
  <si>
    <t>正規雇用---10-99人-105</t>
  </si>
  <si>
    <t>正規雇用---10-99人-(空白)</t>
  </si>
  <si>
    <t>正規雇用---100-299人-101</t>
  </si>
  <si>
    <t>正規雇用---100-299人-102</t>
  </si>
  <si>
    <t>正規雇用---100-299人-103</t>
  </si>
  <si>
    <t>正規雇用---100-299人-104</t>
  </si>
  <si>
    <t>正規雇用---100-299人-105</t>
  </si>
  <si>
    <t>正規雇用---100-299人-(空白)</t>
  </si>
  <si>
    <t>正規雇用---300-999人-101</t>
  </si>
  <si>
    <t>正規雇用---300-999人-102</t>
  </si>
  <si>
    <t>正規雇用---300-999人-103</t>
  </si>
  <si>
    <t>正規雇用---300-999人-104</t>
  </si>
  <si>
    <t>正規雇用---300-999人-105</t>
  </si>
  <si>
    <t>正規雇用---300-999人-(空白)</t>
  </si>
  <si>
    <t>--10-99人-非正規雇用</t>
  </si>
  <si>
    <t>--100-299人-非正規雇用</t>
  </si>
  <si>
    <t>--300-999人-非正規雇用</t>
  </si>
  <si>
    <t>C--10-99人-非正規雇用</t>
  </si>
  <si>
    <t>C--100-299人-非正規雇用</t>
  </si>
  <si>
    <t>C--300-999人-非正規雇用</t>
  </si>
  <si>
    <t>D--10-99人-非正規雇用</t>
  </si>
  <si>
    <t>D--100-299人-非正規雇用</t>
  </si>
  <si>
    <t>D--300-999人-非正規雇用</t>
  </si>
  <si>
    <t>E--10-99人-非正規雇用</t>
  </si>
  <si>
    <t>E--100-299人-非正規雇用</t>
  </si>
  <si>
    <t>E--300-999人-非正規雇用</t>
  </si>
  <si>
    <t>E-10-10-99人-非正規雇用</t>
  </si>
  <si>
    <t>E-10-100-299人-非正規雇用</t>
  </si>
  <si>
    <t>E-10-300-999人-非正規雇用</t>
  </si>
  <si>
    <t>E-11-10-99人-非正規雇用</t>
  </si>
  <si>
    <t>E-11-100-299人-非正規雇用</t>
  </si>
  <si>
    <t>E-11-300-999人-非正規雇用</t>
  </si>
  <si>
    <t>E-12-10-99人-非正規雇用</t>
  </si>
  <si>
    <t>E-12-100-299人-非正規雇用</t>
  </si>
  <si>
    <t>E-12-300-999人-非正規雇用</t>
  </si>
  <si>
    <t>E-13-10-99人-非正規雇用</t>
  </si>
  <si>
    <t>E-13-100-299人-非正規雇用</t>
  </si>
  <si>
    <t>E-13-300-999人-非正規雇用</t>
  </si>
  <si>
    <t>E-14-10-99人-非正規雇用</t>
  </si>
  <si>
    <t>E-14-100-299人-非正規雇用</t>
  </si>
  <si>
    <t>E-14-300-999人-非正規雇用</t>
  </si>
  <si>
    <t>E-15-10-99人-非正規雇用</t>
  </si>
  <si>
    <t>E-15-100-299人-非正規雇用</t>
  </si>
  <si>
    <t>E-15-300-999人-非正規雇用</t>
  </si>
  <si>
    <t>E-16-10-99人-非正規雇用</t>
  </si>
  <si>
    <t>E-16-100-299人-非正規雇用</t>
  </si>
  <si>
    <t>E-16-300-999人-非正規雇用</t>
  </si>
  <si>
    <t>E-17-10-99人-非正規雇用</t>
  </si>
  <si>
    <t>E-17-100-299人-非正規雇用</t>
  </si>
  <si>
    <t>E-17-300-999人-非正規雇用</t>
  </si>
  <si>
    <t>E-18-10-99人-非正規雇用</t>
  </si>
  <si>
    <t>E-18-100-299人-非正規雇用</t>
  </si>
  <si>
    <t>E-18-300-999人-非正規雇用</t>
  </si>
  <si>
    <t>E-19-10-99人-非正規雇用</t>
  </si>
  <si>
    <t>E-19-100-299人-非正規雇用</t>
  </si>
  <si>
    <t>E-19-300-999人-非正規雇用</t>
  </si>
  <si>
    <t>E-20-10-99人-非正規雇用</t>
  </si>
  <si>
    <t>E-20-100-299人-非正規雇用</t>
  </si>
  <si>
    <t>E-20-300-999人-非正規雇用</t>
  </si>
  <si>
    <t>E-21-10-99人-非正規雇用</t>
  </si>
  <si>
    <t>E-21-100-299人-非正規雇用</t>
  </si>
  <si>
    <t>E-21-300-999人-非正規雇用</t>
  </si>
  <si>
    <t>E-22-10-99人-非正規雇用</t>
  </si>
  <si>
    <t>E-22-100-299人-非正規雇用</t>
  </si>
  <si>
    <t>E-22-300-999人-非正規雇用</t>
  </si>
  <si>
    <t>E-23-10-99人-非正規雇用</t>
  </si>
  <si>
    <t>E-23-100-299人-非正規雇用</t>
  </si>
  <si>
    <t>E-23-300-999人-非正規雇用</t>
  </si>
  <si>
    <t>E-24-10-99人-非正規雇用</t>
  </si>
  <si>
    <t>E-24-100-299人-非正規雇用</t>
  </si>
  <si>
    <t>E-24-300-999人-非正規雇用</t>
  </si>
  <si>
    <t>E-25-10-99人-非正規雇用</t>
  </si>
  <si>
    <t>E-25-100-299人-非正規雇用</t>
  </si>
  <si>
    <t>E-25-300-999人-非正規雇用</t>
  </si>
  <si>
    <t>E-26-10-99人-非正規雇用</t>
  </si>
  <si>
    <t>E-26-100-299人-非正規雇用</t>
  </si>
  <si>
    <t>E-26-300-999人-非正規雇用</t>
  </si>
  <si>
    <t>E-27-10-99人-非正規雇用</t>
  </si>
  <si>
    <t>E-27-100-299人-非正規雇用</t>
  </si>
  <si>
    <t>E-27-300-999人-非正規雇用</t>
  </si>
  <si>
    <t>E-28-10-99人-非正規雇用</t>
  </si>
  <si>
    <t>E-28-100-299人-非正規雇用</t>
  </si>
  <si>
    <t>E-28-300-999人-非正規雇用</t>
  </si>
  <si>
    <t>E-29-10-99人-非正規雇用</t>
  </si>
  <si>
    <t>E-29-100-299人-非正規雇用</t>
  </si>
  <si>
    <t>E-29-300-999人-非正規雇用</t>
  </si>
  <si>
    <t>E-30-10-99人-非正規雇用</t>
  </si>
  <si>
    <t>E-30-100-299人-非正規雇用</t>
  </si>
  <si>
    <t>E-30-300-999人-非正規雇用</t>
  </si>
  <si>
    <t>E-31-10-99人-非正規雇用</t>
  </si>
  <si>
    <t>E-31-100-299人-非正規雇用</t>
  </si>
  <si>
    <t>E-31-300-999人-非正規雇用</t>
  </si>
  <si>
    <t>E-32-10-99人-非正規雇用</t>
  </si>
  <si>
    <t>E-32-100-299人-非正規雇用</t>
  </si>
  <si>
    <t>E-32-300-999人-非正規雇用</t>
  </si>
  <si>
    <t>E-9-10-99人-非正規雇用</t>
  </si>
  <si>
    <t>E-9-100-299人-非正規雇用</t>
  </si>
  <si>
    <t>E-9-300-999人-非正規雇用</t>
  </si>
  <si>
    <t>F--10-99人-非正規雇用</t>
  </si>
  <si>
    <t>F--100-299人-非正規雇用</t>
  </si>
  <si>
    <t>F--300-999人-非正規雇用</t>
  </si>
  <si>
    <t>G--10-99人-非正規雇用</t>
  </si>
  <si>
    <t>G--100-299人-非正規雇用</t>
  </si>
  <si>
    <t>G--300-999人-非正規雇用</t>
  </si>
  <si>
    <t>H--10-99人-非正規雇用</t>
  </si>
  <si>
    <t>H--100-299人-非正規雇用</t>
  </si>
  <si>
    <t>H--300-999人-非正規雇用</t>
  </si>
  <si>
    <t>I--10-99人-非正規雇用</t>
  </si>
  <si>
    <t>I--100-299人-非正規雇用</t>
  </si>
  <si>
    <t>I--300-999人-非正規雇用</t>
  </si>
  <si>
    <t>J--10-99人-非正規雇用</t>
  </si>
  <si>
    <t>J--100-299人-非正規雇用</t>
  </si>
  <si>
    <t>J--300-999人-非正規雇用</t>
  </si>
  <si>
    <t>K--10-99人-非正規雇用</t>
  </si>
  <si>
    <t>K--100-299人-非正規雇用</t>
  </si>
  <si>
    <t>K--300-999人-非正規雇用</t>
  </si>
  <si>
    <t>L--10-99人-非正規雇用</t>
  </si>
  <si>
    <t>L--100-299人-非正規雇用</t>
  </si>
  <si>
    <t>L--300-999人-非正規雇用</t>
  </si>
  <si>
    <t>M--10-99人-非正規雇用</t>
  </si>
  <si>
    <t>M--100-299人-非正規雇用</t>
  </si>
  <si>
    <t>M--300-999人-非正規雇用</t>
  </si>
  <si>
    <t>N--10-99人-非正規雇用</t>
  </si>
  <si>
    <t>N--100-299人-非正規雇用</t>
  </si>
  <si>
    <t>N--300-999人-非正規雇用</t>
  </si>
  <si>
    <t>O--10-99人-非正規雇用</t>
  </si>
  <si>
    <t>O--100-299人-非正規雇用</t>
  </si>
  <si>
    <t>O--300-999人-非正規雇用</t>
  </si>
  <si>
    <t>P--10-99人-非正規雇用</t>
  </si>
  <si>
    <t>P--100-299人-非正規雇用</t>
  </si>
  <si>
    <t>P--300-999人-非正規雇用</t>
  </si>
  <si>
    <t>Q--10-99人-非正規雇用</t>
  </si>
  <si>
    <t>Q--100-299人-非正規雇用</t>
  </si>
  <si>
    <t>Q--300-999人-非正規雇用</t>
  </si>
  <si>
    <t>R--10-99人-非正規雇用</t>
  </si>
  <si>
    <t>R--100-299人-非正規雇用</t>
  </si>
  <si>
    <t>R--300-999人-非正規雇用</t>
  </si>
  <si>
    <t>300-999人</t>
  </si>
  <si>
    <t>100-299人</t>
  </si>
  <si>
    <t>10-99人</t>
  </si>
  <si>
    <t>1-2年</t>
  </si>
  <si>
    <t>3-4年</t>
  </si>
  <si>
    <t>5-9年</t>
  </si>
  <si>
    <t>10-14年</t>
  </si>
  <si>
    <t>15-19年</t>
  </si>
  <si>
    <t>20-24年</t>
  </si>
  <si>
    <t>25-29年</t>
  </si>
  <si>
    <t>(4)案内文</t>
    <rPh sb="3" eb="6">
      <t xml:space="preserve">アンナイブン </t>
    </rPh>
    <phoneticPr fontId="3"/>
  </si>
  <si>
    <t>男女間賃金差異(%)の入力欄に、貴社で算出した数値を入力してください。</t>
    <phoneticPr fontId="3"/>
  </si>
  <si>
    <t>「貴社」・「調整」欄には、参考値との比較にあたり、以下の分類を行いながら、入力又は選択してください。
　・貴社の雇用形態 ：「正規雇用」「非正規雇用」に分類
　・貴社の役職          ：「部長級」「課長級」「係長級」「非役職」に分類　
      ※（３）「基準日（例: 2025年2月15日）」から遡って1年間のうちに該当者がいない役職名については、入力しないでください。
　・貴社の性別表記 ：「男」「女」
（例…貴社の雇用形態に「無期雇用社員」がある場合：「貴社」欄に「無期雇用社員」と入力。「変換後」欄から該当する雇用形態（「非正規雇用」）を選択。）</t>
    <phoneticPr fontId="3"/>
  </si>
  <si>
    <t>データ入力完了判定</t>
    <rPh sb="5" eb="7">
      <t xml:space="preserve">カンリョウ </t>
    </rPh>
    <rPh sb="7" eb="9">
      <t xml:space="preserve">ハンテイ </t>
    </rPh>
    <phoneticPr fontId="3"/>
  </si>
  <si>
    <t>未満</t>
    <rPh sb="0" eb="2">
      <t>ミマン</t>
    </rPh>
    <phoneticPr fontId="3"/>
  </si>
  <si>
    <t>以上</t>
    <rPh sb="0" eb="2">
      <t>イジョウ</t>
    </rPh>
    <phoneticPr fontId="3"/>
  </si>
  <si>
    <t>非正規雇用-C---0年</t>
  </si>
  <si>
    <t>非正規雇用-C-5--0年</t>
  </si>
  <si>
    <t>非正規雇用-D---0年</t>
  </si>
  <si>
    <t>非正規雇用-D-6--0年</t>
  </si>
  <si>
    <t>非正規雇用-D-7--0年</t>
  </si>
  <si>
    <t>非正規雇用-D-8--0年</t>
  </si>
  <si>
    <t>非正規雇用-E---0年</t>
  </si>
  <si>
    <t>非正規雇用-E-9--0年</t>
  </si>
  <si>
    <t>非正規雇用-E-9-1,000人以上-0年</t>
  </si>
  <si>
    <t>非正規雇用-E-10--0年</t>
  </si>
  <si>
    <t>非正規雇用-E-10-1,000人以上-0年</t>
  </si>
  <si>
    <t>非正規雇用-E-11--0年</t>
  </si>
  <si>
    <t>非正規雇用-E-11-1,000人以上-0年</t>
  </si>
  <si>
    <t>非正規雇用-E-12--0年</t>
  </si>
  <si>
    <t>非正規雇用-E-12-1,000人以上-0年</t>
  </si>
  <si>
    <t>非正規雇用-E-13--0年</t>
  </si>
  <si>
    <t>非正規雇用-E-13-1,000人以上-0年</t>
  </si>
  <si>
    <t>非正規雇用-E-14--0年</t>
  </si>
  <si>
    <t>非正規雇用-E-14-1,000人以上-0年</t>
  </si>
  <si>
    <t>非正規雇用-E-15--0年</t>
  </si>
  <si>
    <t>非正規雇用-E-15-1,000人以上-0年</t>
  </si>
  <si>
    <t>非正規雇用-E-16--0年</t>
  </si>
  <si>
    <t>非正規雇用-E-16-1,000人以上-0年</t>
  </si>
  <si>
    <t>非正規雇用-E-17--0年</t>
  </si>
  <si>
    <t>非正規雇用-E-17-1,000人以上-0年</t>
  </si>
  <si>
    <t>非正規雇用-E-18--0年</t>
  </si>
  <si>
    <t>非正規雇用-E-18-1,000人以上-0年</t>
  </si>
  <si>
    <t>非正規雇用-E-19--0年</t>
  </si>
  <si>
    <t>非正規雇用-E-19-1,000人以上-0年</t>
  </si>
  <si>
    <t>非正規雇用-E-20--0年</t>
  </si>
  <si>
    <t>非正規雇用-E-20-1,000人以上-0年</t>
  </si>
  <si>
    <t>非正規雇用-E-21--0年</t>
  </si>
  <si>
    <t>非正規雇用-E-21-1,000人以上-0年</t>
  </si>
  <si>
    <t>非正規雇用-E-22--0年</t>
  </si>
  <si>
    <t>非正規雇用-E-22-1,000人以上-0年</t>
  </si>
  <si>
    <t>非正規雇用-E-23--0年</t>
  </si>
  <si>
    <t>非正規雇用-E-23-1,000人以上-0年</t>
  </si>
  <si>
    <t>非正規雇用-E-24--0年</t>
  </si>
  <si>
    <t>非正規雇用-E-24-1,000人以上-0年</t>
  </si>
  <si>
    <t>非正規雇用-E-25--0年</t>
  </si>
  <si>
    <t>非正規雇用-E-25-1,000人以上-0年</t>
  </si>
  <si>
    <t>非正規雇用-E-26--0年</t>
  </si>
  <si>
    <t>非正規雇用-E-26-1,000人以上-0年</t>
  </si>
  <si>
    <t>非正規雇用-E-27--0年</t>
  </si>
  <si>
    <t>非正規雇用-E-27-1,000人以上-0年</t>
  </si>
  <si>
    <t>非正規雇用-E-28--0年</t>
  </si>
  <si>
    <t>非正規雇用-E-28-1,000人以上-0年</t>
  </si>
  <si>
    <t>非正規雇用-E-29--0年</t>
  </si>
  <si>
    <t>非正規雇用-E-29-1,000人以上-0年</t>
  </si>
  <si>
    <t>非正規雇用-E-30--0年</t>
  </si>
  <si>
    <t>非正規雇用-E-30-1,000人以上-0年</t>
  </si>
  <si>
    <t>非正規雇用-E-31--0年</t>
  </si>
  <si>
    <t>非正規雇用-E-31-1,000人以上-0年</t>
  </si>
  <si>
    <t>非正規雇用-E-32--0年</t>
  </si>
  <si>
    <t>非正規雇用-E-32-1,000人以上-0年</t>
  </si>
  <si>
    <t>非正規雇用-F---0年</t>
  </si>
  <si>
    <t>非正規雇用-F-33--0年</t>
  </si>
  <si>
    <t>非正規雇用-F-34--0年</t>
  </si>
  <si>
    <t>非正規雇用-F-35--0年</t>
  </si>
  <si>
    <t>非正規雇用-F-36--0年</t>
  </si>
  <si>
    <t>非正規雇用-G---0年</t>
  </si>
  <si>
    <t>非正規雇用-G-37--0年</t>
  </si>
  <si>
    <t>非正規雇用-G-38--0年</t>
  </si>
  <si>
    <t>非正規雇用-G-39--0年</t>
  </si>
  <si>
    <t>非正規雇用-G-40--0年</t>
  </si>
  <si>
    <t>非正規雇用-G-41--0年</t>
  </si>
  <si>
    <t>非正規雇用-H---0年</t>
  </si>
  <si>
    <t>非正規雇用-H-42--0年</t>
  </si>
  <si>
    <t>非正規雇用-H-43--0年</t>
  </si>
  <si>
    <t>非正規雇用-H-44--0年</t>
  </si>
  <si>
    <t>非正規雇用-H-45--0年</t>
  </si>
  <si>
    <t>非正規雇用-H-46--0年</t>
  </si>
  <si>
    <t>非正規雇用-H-47--0年</t>
  </si>
  <si>
    <t>非正規雇用-H-48--0年</t>
  </si>
  <si>
    <t>非正規雇用-H-49--0年</t>
  </si>
  <si>
    <t>非正規雇用-I---0年</t>
  </si>
  <si>
    <t>非正規雇用-I-50--0年</t>
  </si>
  <si>
    <t>非正規雇用-I-51--0年</t>
  </si>
  <si>
    <t>非正規雇用-I-52--0年</t>
  </si>
  <si>
    <t>非正規雇用-I-53--0年</t>
  </si>
  <si>
    <t>非正規雇用-I-54--0年</t>
  </si>
  <si>
    <t>非正規雇用-I-55--0年</t>
  </si>
  <si>
    <t>非正規雇用-I-56--0年</t>
  </si>
  <si>
    <t>非正規雇用-I-56-1,000人以上-0年</t>
  </si>
  <si>
    <t>非正規雇用-I-57--0年</t>
  </si>
  <si>
    <t>非正規雇用-I-57-1,000人以上-0年</t>
  </si>
  <si>
    <t>非正規雇用-I-58--0年</t>
  </si>
  <si>
    <t>非正規雇用-I-58-1,000人以上-0年</t>
  </si>
  <si>
    <t>非正規雇用-I-59--0年</t>
  </si>
  <si>
    <t>非正規雇用-I-59-1,000人以上-0年</t>
  </si>
  <si>
    <t>非正規雇用-I-60--0年</t>
  </si>
  <si>
    <t>非正規雇用-I-60-1,000人以上-0年</t>
  </si>
  <si>
    <t>非正規雇用-I-61--0年</t>
  </si>
  <si>
    <t>非正規雇用-I-61-1,000人以上-0年</t>
  </si>
  <si>
    <t>非正規雇用-J---0年</t>
  </si>
  <si>
    <t>非正規雇用-J-62--0年</t>
  </si>
  <si>
    <t>非正規雇用-J-62-1,000人以上-0年</t>
  </si>
  <si>
    <t>非正規雇用-J-63--0年</t>
  </si>
  <si>
    <t>非正規雇用-J-63-1,000人以上-0年</t>
  </si>
  <si>
    <t>非正規雇用-J-64--0年</t>
  </si>
  <si>
    <t>非正規雇用-J-64-1,000人以上-0年</t>
  </si>
  <si>
    <t>非正規雇用-J-65--0年</t>
  </si>
  <si>
    <t>非正規雇用-J-65-1,000人以上-0年</t>
  </si>
  <si>
    <t>非正規雇用-J-66--0年</t>
  </si>
  <si>
    <t>非正規雇用-J-66-1,000人以上-0年</t>
  </si>
  <si>
    <t>非正規雇用-J-67--0年</t>
  </si>
  <si>
    <t>非正規雇用-J-67-1,000人以上-0年</t>
  </si>
  <si>
    <t>非正規雇用-K---0年</t>
  </si>
  <si>
    <t>非正規雇用-K-68--0年</t>
  </si>
  <si>
    <t>非正規雇用-K-68-1,000人以上-0年</t>
  </si>
  <si>
    <t>非正規雇用-K-69--0年</t>
  </si>
  <si>
    <t>非正規雇用-K-69-1,000人以上-0年</t>
  </si>
  <si>
    <t>非正規雇用-K-70--0年</t>
  </si>
  <si>
    <t>非正規雇用-K-70-1,000人以上-0年</t>
  </si>
  <si>
    <t>非正規雇用-L---0年</t>
  </si>
  <si>
    <t>非正規雇用-L-71--0年</t>
  </si>
  <si>
    <t>非正規雇用-L-71-1,000人以上-0年</t>
  </si>
  <si>
    <t>非正規雇用-L-72--0年</t>
  </si>
  <si>
    <t>非正規雇用-L-72-1,000人以上-0年</t>
  </si>
  <si>
    <t>非正規雇用-L-73--0年</t>
  </si>
  <si>
    <t>非正規雇用-L-73-1,000人以上-0年</t>
  </si>
  <si>
    <t>非正規雇用-L-74--0年</t>
  </si>
  <si>
    <t>非正規雇用-L-74-1,000人以上-0年</t>
  </si>
  <si>
    <t>非正規雇用-M---0年</t>
  </si>
  <si>
    <t>非正規雇用-M-75--0年</t>
  </si>
  <si>
    <t>非正規雇用-M-75-1,000人以上-0年</t>
  </si>
  <si>
    <t>非正規雇用-M-76--0年</t>
  </si>
  <si>
    <t>非正規雇用-M-76-1,000人以上-0年</t>
  </si>
  <si>
    <t>非正規雇用-M-77--0年</t>
  </si>
  <si>
    <t>非正規雇用-M-77-1,000人以上-0年</t>
  </si>
  <si>
    <t>非正規雇用-N---0年</t>
  </si>
  <si>
    <t>非正規雇用-N-78--0年</t>
  </si>
  <si>
    <t>非正規雇用-N-78-1,000人以上-0年</t>
  </si>
  <si>
    <t>非正規雇用-N-79--0年</t>
  </si>
  <si>
    <t>非正規雇用-N-79-1,000人以上-0年</t>
  </si>
  <si>
    <t>非正規雇用-N-80--0年</t>
  </si>
  <si>
    <t>非正規雇用-N-80-1,000人以上-0年</t>
  </si>
  <si>
    <t>非正規雇用-O---0年</t>
  </si>
  <si>
    <t>非正規雇用-O-81--0年</t>
  </si>
  <si>
    <t>非正規雇用-O-81-1,000人以上-0年</t>
  </si>
  <si>
    <t>非正規雇用-O-82--0年</t>
  </si>
  <si>
    <t>非正規雇用-O-82-1,000人以上-0年</t>
  </si>
  <si>
    <t>非正規雇用-P---0年</t>
  </si>
  <si>
    <t>非正規雇用-P-83--0年</t>
  </si>
  <si>
    <t>非正規雇用-P-83-1,000人以上-0年</t>
  </si>
  <si>
    <t>非正規雇用-P-84--0年</t>
  </si>
  <si>
    <t>非正規雇用-P-84-1,000人以上-0年</t>
  </si>
  <si>
    <t>非正規雇用-P-85--0年</t>
  </si>
  <si>
    <t>非正規雇用-P-85-1,000人以上-0年</t>
  </si>
  <si>
    <t>非正規雇用-Q---0年</t>
  </si>
  <si>
    <t>非正規雇用-Q-86--0年</t>
  </si>
  <si>
    <t>非正規雇用-Q-86-1,000人以上-0年</t>
  </si>
  <si>
    <t>非正規雇用-Q-87--0年</t>
  </si>
  <si>
    <t>非正規雇用-Q-87-1,000人以上-0年</t>
  </si>
  <si>
    <t>非正規雇用-R---0年</t>
  </si>
  <si>
    <t>非正規雇用-R-88--0年</t>
  </si>
  <si>
    <t>非正規雇用-R-88-1,000人以上-0年</t>
  </si>
  <si>
    <t>非正規雇用-R-89--0年</t>
  </si>
  <si>
    <t>非正規雇用-R-89-1,000人以上-0年</t>
  </si>
  <si>
    <t>非正規雇用-R-90--0年</t>
  </si>
  <si>
    <t>非正規雇用-R-90-1,000人以上-0年</t>
  </si>
  <si>
    <t>非正規雇用-R-91--0年</t>
  </si>
  <si>
    <t>非正規雇用-R-91-1,000人以上-0年</t>
  </si>
  <si>
    <t>非正規雇用-R-92--0年</t>
  </si>
  <si>
    <t>非正規雇用-R-92-1,000人以上-0年</t>
  </si>
  <si>
    <t>非正規雇用-R-93--0年</t>
  </si>
  <si>
    <t>非正規雇用-R-93-1,000人以上-0年</t>
  </si>
  <si>
    <t>非正規雇用-R-94--0年</t>
  </si>
  <si>
    <t>非正規雇用-R-94-1,000人以上-0年</t>
  </si>
  <si>
    <t>非正規雇用-R-95--0年</t>
  </si>
  <si>
    <t>非正規雇用-R-95-1,000人以上-0年</t>
  </si>
  <si>
    <t>非正規雇用-C--1,000人以上-0年</t>
  </si>
  <si>
    <t>非正規雇用-D--1,000人以上-0年</t>
  </si>
  <si>
    <t>非正規雇用-E--1,000人以上-0年</t>
  </si>
  <si>
    <t>非正規雇用-F--1,000人以上-0年</t>
  </si>
  <si>
    <t>非正規雇用-G--1,000人以上-0年</t>
  </si>
  <si>
    <t>非正規雇用-H--1,000人以上-0年</t>
  </si>
  <si>
    <t>非正規雇用-I--1,000人以上-0年</t>
  </si>
  <si>
    <t>非正規雇用-J--1,000人以上-0年</t>
  </si>
  <si>
    <t>非正規雇用-K--1,000人以上-0年</t>
  </si>
  <si>
    <t>非正規雇用-L--1,000人以上-0年</t>
  </si>
  <si>
    <t>非正規雇用-M--1,000人以上-0年</t>
  </si>
  <si>
    <t>非正規雇用-N--1,000人以上-0年</t>
  </si>
  <si>
    <t>非正規雇用-O--1,000人以上-0年</t>
  </si>
  <si>
    <t>非正規雇用-P--1,000人以上-0年</t>
  </si>
  <si>
    <t>非正規雇用-Q--1,000人以上-0年</t>
  </si>
  <si>
    <t>非正規雇用-R--1,000人以上-0年</t>
  </si>
  <si>
    <t>非正規雇用----0年</t>
  </si>
  <si>
    <t>非正規雇用-E-9-100-299人-0年</t>
  </si>
  <si>
    <t>非正規雇用-E-9-10-99人-0年</t>
  </si>
  <si>
    <t>非正規雇用-E-10-10-99人-0年</t>
  </si>
  <si>
    <t>非正規雇用-E-11-10-99人-0年</t>
  </si>
  <si>
    <t>非正規雇用-E-12-10-99人-0年</t>
  </si>
  <si>
    <t>非正規雇用-E-13-10-99人-0年</t>
  </si>
  <si>
    <t>非正規雇用-E-14-10-99人-0年</t>
  </si>
  <si>
    <t>非正規雇用-E-15-10-99人-0年</t>
  </si>
  <si>
    <t>非正規雇用-E-16-10-99人-0年</t>
  </si>
  <si>
    <t>非正規雇用-E-17-10-99人-0年</t>
  </si>
  <si>
    <t>非正規雇用-E-18-10-99人-0年</t>
  </si>
  <si>
    <t>非正規雇用-E-19-10-99人-0年</t>
  </si>
  <si>
    <t>非正規雇用-E-20-10-99人-0年</t>
  </si>
  <si>
    <t>非正規雇用-E-21-10-99人-0年</t>
  </si>
  <si>
    <t>非正規雇用-E-22-10-99人-0年</t>
  </si>
  <si>
    <t>非正規雇用-E-23-10-99人-0年</t>
  </si>
  <si>
    <t>非正規雇用-E-24-10-99人-0年</t>
  </si>
  <si>
    <t>非正規雇用-E-25-10-99人-0年</t>
  </si>
  <si>
    <t>非正規雇用-E-26-10-99人-0年</t>
  </si>
  <si>
    <t>非正規雇用-E-27-10-99人-0年</t>
  </si>
  <si>
    <t>非正規雇用-E-28-10-99人-0年</t>
  </si>
  <si>
    <t>非正規雇用-E-29-10-99人-0年</t>
  </si>
  <si>
    <t>非正規雇用-E-30-10-99人-0年</t>
  </si>
  <si>
    <t>非正規雇用-E-31-10-99人-0年</t>
  </si>
  <si>
    <t>非正規雇用-E-32-10-99人-0年</t>
  </si>
  <si>
    <t>非正規雇用-C--10-99人-0年</t>
  </si>
  <si>
    <t>非正規雇用-D--10-99人-0年</t>
  </si>
  <si>
    <t>非正規雇用-E--10-99人-0年</t>
  </si>
  <si>
    <t>非正規雇用-F--10-99人-0年</t>
  </si>
  <si>
    <t>非正規雇用-G--10-99人-0年</t>
  </si>
  <si>
    <t>非正規雇用-H--10-99人-0年</t>
  </si>
  <si>
    <t>非正規雇用-I--10-99人-0年</t>
  </si>
  <si>
    <t>非正規雇用-J--10-99人-0年</t>
  </si>
  <si>
    <t>非正規雇用-K--10-99人-0年</t>
  </si>
  <si>
    <t>非正規雇用-L--10-99人-0年</t>
  </si>
  <si>
    <t>非正規雇用-M--10-99人-0年</t>
  </si>
  <si>
    <t>非正規雇用-N--10-99人-0年</t>
  </si>
  <si>
    <t>非正規雇用-O--10-99人-0年</t>
  </si>
  <si>
    <t>非正規雇用-P--10-99人-0年</t>
  </si>
  <si>
    <t>非正規雇用-Q--10-99人-0年</t>
  </si>
  <si>
    <t>非正規雇用-R--10-99人-0年</t>
  </si>
  <si>
    <t>非正規雇用-I-56-10-99人-0年</t>
  </si>
  <si>
    <t>非正規雇用-I-57-10-99人-0年</t>
  </si>
  <si>
    <t>非正規雇用-I-58-10-99人-0年</t>
  </si>
  <si>
    <t>非正規雇用-I-59-10-99人-0年</t>
  </si>
  <si>
    <t>非正規雇用-I-60-10-99人-0年</t>
  </si>
  <si>
    <t>非正規雇用-I-61-10-99人-0年</t>
  </si>
  <si>
    <t>非正規雇用-J-62-10-99人-0年</t>
  </si>
  <si>
    <t>非正規雇用-J-63-10-99人-0年</t>
  </si>
  <si>
    <t>非正規雇用-J-64-10-99人-0年</t>
  </si>
  <si>
    <t>非正規雇用-J-65-10-99人-0年</t>
  </si>
  <si>
    <t>非正規雇用-J-66-10-99人-0年</t>
  </si>
  <si>
    <t>非正規雇用-J-67-10-99人-0年</t>
  </si>
  <si>
    <t>非正規雇用-K-68-10-99人-0年</t>
  </si>
  <si>
    <t>非正規雇用-K-69-10-99人-0年</t>
  </si>
  <si>
    <t>非正規雇用-K-70-10-99人-0年</t>
  </si>
  <si>
    <t>非正規雇用-L-71-10-99人-0年</t>
  </si>
  <si>
    <t>非正規雇用-L-72-10-99人-0年</t>
  </si>
  <si>
    <t>非正規雇用-L-73-10-99人-0年</t>
  </si>
  <si>
    <t>非正規雇用-L-74-10-99人-0年</t>
  </si>
  <si>
    <t>非正規雇用-M-75-10-99人-0年</t>
  </si>
  <si>
    <t>非正規雇用-M-76-10-99人-0年</t>
  </si>
  <si>
    <t>非正規雇用-M-77-10-99人-0年</t>
  </si>
  <si>
    <t>非正規雇用-N-78-10-99人-0年</t>
  </si>
  <si>
    <t>非正規雇用-N-79-10-99人-0年</t>
  </si>
  <si>
    <t>非正規雇用-N-80-10-99人-0年</t>
  </si>
  <si>
    <t>非正規雇用-O-81-10-99人-0年</t>
  </si>
  <si>
    <t>非正規雇用-O-82-10-99人-0年</t>
  </si>
  <si>
    <t>非正規雇用-P-83-10-99人-0年</t>
  </si>
  <si>
    <t>非正規雇用-P-84-10-99人-0年</t>
  </si>
  <si>
    <t>非正規雇用-P-85-10-99人-0年</t>
  </si>
  <si>
    <t>非正規雇用-Q-86-10-99人-0年</t>
  </si>
  <si>
    <t>非正規雇用-Q-87-10-99人-0年</t>
  </si>
  <si>
    <t>非正規雇用-R-88-10-99人-0年</t>
  </si>
  <si>
    <t>非正規雇用-R-89-10-99人-0年</t>
  </si>
  <si>
    <t>非正規雇用-R-90-10-99人-0年</t>
  </si>
  <si>
    <t>非正規雇用-R-91-10-99人-0年</t>
  </si>
  <si>
    <t>非正規雇用-R-92-10-99人-0年</t>
  </si>
  <si>
    <t>非正規雇用-R-93-10-99人-0年</t>
  </si>
  <si>
    <t>非正規雇用-R-94-10-99人-0年</t>
  </si>
  <si>
    <t>非正規雇用-R-95-10-99人-0年</t>
  </si>
  <si>
    <t>非正規雇用-E-9-300-999人-0年</t>
  </si>
  <si>
    <t>非正規雇用-E-10-300-999人-0年</t>
  </si>
  <si>
    <t>非正規雇用-E-11-300-999人-0年</t>
  </si>
  <si>
    <t>非正規雇用-E-12-300-999人-0年</t>
  </si>
  <si>
    <t>非正規雇用-E-13-300-999人-0年</t>
  </si>
  <si>
    <t>非正規雇用-E-14-300-999人-0年</t>
  </si>
  <si>
    <t>非正規雇用-E-15-300-999人-0年</t>
  </si>
  <si>
    <t>非正規雇用-E-16-300-999人-0年</t>
  </si>
  <si>
    <t>非正規雇用-E-17-300-999人-0年</t>
  </si>
  <si>
    <t>非正規雇用-E-18-300-999人-0年</t>
  </si>
  <si>
    <t>非正規雇用-E-19-300-999人-0年</t>
  </si>
  <si>
    <t>非正規雇用-E-21-300-999人-0年</t>
  </si>
  <si>
    <t>非正規雇用-E-22-300-999人-0年</t>
  </si>
  <si>
    <t>非正規雇用-E-23-300-999人-0年</t>
  </si>
  <si>
    <t>非正規雇用-E-24-300-999人-0年</t>
  </si>
  <si>
    <t>非正規雇用-E-25-300-999人-0年</t>
  </si>
  <si>
    <t>非正規雇用-E-26-300-999人-0年</t>
  </si>
  <si>
    <t>非正規雇用-E-27-300-999人-0年</t>
  </si>
  <si>
    <t>非正規雇用-E-28-300-999人-0年</t>
  </si>
  <si>
    <t>非正規雇用-E-29-300-999人-0年</t>
  </si>
  <si>
    <t>非正規雇用-E-30-300-999人-0年</t>
  </si>
  <si>
    <t>非正規雇用-E-31-300-999人-0年</t>
  </si>
  <si>
    <t>非正規雇用-E-32-300-999人-0年</t>
  </si>
  <si>
    <t>非正規雇用-C--300-999人-0年</t>
  </si>
  <si>
    <t>非正規雇用-D--300-999人-0年</t>
  </si>
  <si>
    <t>非正規雇用-E--300-999人-0年</t>
  </si>
  <si>
    <t>非正規雇用-F--300-999人-0年</t>
  </si>
  <si>
    <t>非正規雇用-G--300-999人-0年</t>
  </si>
  <si>
    <t>非正規雇用-H--300-999人-0年</t>
  </si>
  <si>
    <t>非正規雇用-I--300-999人-0年</t>
  </si>
  <si>
    <t>非正規雇用-J--300-999人-0年</t>
  </si>
  <si>
    <t>非正規雇用-K--300-999人-0年</t>
  </si>
  <si>
    <t>非正規雇用-L--300-999人-0年</t>
  </si>
  <si>
    <t>非正規雇用-M--300-999人-0年</t>
  </si>
  <si>
    <t>非正規雇用-N--300-999人-0年</t>
  </si>
  <si>
    <t>非正規雇用-O--300-999人-0年</t>
  </si>
  <si>
    <t>非正規雇用-P--300-999人-0年</t>
  </si>
  <si>
    <t>非正規雇用-Q--300-999人-0年</t>
  </si>
  <si>
    <t>非正規雇用-R--300-999人-0年</t>
  </si>
  <si>
    <t>非正規雇用-I-55-300-999人-0年</t>
  </si>
  <si>
    <t>非正規雇用-I-56-300-999人-0年</t>
  </si>
  <si>
    <t>非正規雇用-I-57-300-999人-0年</t>
  </si>
  <si>
    <t>非正規雇用-I-58-300-999人-0年</t>
  </si>
  <si>
    <t>非正規雇用-I-59-300-999人-0年</t>
  </si>
  <si>
    <t>非正規雇用-I-60-300-999人-0年</t>
  </si>
  <si>
    <t>非正規雇用-I-61-300-999人-0年</t>
  </si>
  <si>
    <t>非正規雇用-J-62-300-999人-0年</t>
  </si>
  <si>
    <t>非正規雇用-J-63-300-999人-0年</t>
  </si>
  <si>
    <t>非正規雇用-J-64-300-999人-0年</t>
  </si>
  <si>
    <t>非正規雇用-J-65-300-999人-0年</t>
  </si>
  <si>
    <t>非正規雇用-J-66-300-999人-0年</t>
  </si>
  <si>
    <t>非正規雇用-J-67-300-999人-0年</t>
  </si>
  <si>
    <t>非正規雇用-K-68-300-999人-0年</t>
  </si>
  <si>
    <t>非正規雇用-K-69-300-999人-0年</t>
  </si>
  <si>
    <t>非正規雇用-K-70-300-999人-0年</t>
  </si>
  <si>
    <t>非正規雇用-L-71-300-999人-0年</t>
  </si>
  <si>
    <t>非正規雇用-L-72-300-999人-0年</t>
  </si>
  <si>
    <t>非正規雇用-L-73-300-999人-0年</t>
  </si>
  <si>
    <t>非正規雇用-L-74-300-999人-0年</t>
  </si>
  <si>
    <t>非正規雇用-M-75-300-999人-0年</t>
  </si>
  <si>
    <t>非正規雇用-M-76-300-999人-0年</t>
  </si>
  <si>
    <t>非正規雇用-M-77-300-999人-0年</t>
  </si>
  <si>
    <t>非正規雇用-N-78-300-999人-0年</t>
  </si>
  <si>
    <t>非正規雇用-N-79-300-999人-0年</t>
  </si>
  <si>
    <t>非正規雇用-N-80-300-999人-0年</t>
  </si>
  <si>
    <t>非正規雇用-O-81-300-999人-0年</t>
  </si>
  <si>
    <t>非正規雇用-O-82-300-999人-0年</t>
  </si>
  <si>
    <t>非正規雇用-P-83-300-999人-0年</t>
  </si>
  <si>
    <t>非正規雇用-P-84-300-999人-0年</t>
  </si>
  <si>
    <t>非正規雇用-P-85-300-999人-0年</t>
  </si>
  <si>
    <t>非正規雇用-Q-86-300-999人-0年</t>
  </si>
  <si>
    <t>非正規雇用-Q-87-300-999人-0年</t>
  </si>
  <si>
    <t>非正規雇用-R-88-300-999人-0年</t>
  </si>
  <si>
    <t>非正規雇用-R-89-300-999人-0年</t>
  </si>
  <si>
    <t>非正規雇用-R-90-300-999人-0年</t>
  </si>
  <si>
    <t>非正規雇用-R-91-300-999人-0年</t>
  </si>
  <si>
    <t>非正規雇用-R-92-300-999人-0年</t>
  </si>
  <si>
    <t>非正規雇用-R-93-300-999人-0年</t>
  </si>
  <si>
    <t>非正規雇用-R-94-300-999人-0年</t>
  </si>
  <si>
    <t>非正規雇用-R-95-300-999人-0年</t>
  </si>
  <si>
    <t>非正規雇用-E-10-100-299人-0年</t>
  </si>
  <si>
    <t>非正規雇用-E-11-100-299人-0年</t>
  </si>
  <si>
    <t>非正規雇用-E-12-100-299人-0年</t>
  </si>
  <si>
    <t>非正規雇用-E-13-100-299人-0年</t>
  </si>
  <si>
    <t>非正規雇用-E-14-100-299人-0年</t>
  </si>
  <si>
    <t>非正規雇用-E-15-100-299人-0年</t>
  </si>
  <si>
    <t>非正規雇用-E-16-100-299人-0年</t>
  </si>
  <si>
    <t>非正規雇用-E-18-100-299人-0年</t>
  </si>
  <si>
    <t>非正規雇用-E-19-100-299人-0年</t>
  </si>
  <si>
    <t>非正規雇用-E-20-100-299人-0年</t>
  </si>
  <si>
    <t>非正規雇用-E-21-100-299人-0年</t>
  </si>
  <si>
    <t>非正規雇用-E-22-100-299人-0年</t>
  </si>
  <si>
    <t>非正規雇用-E-23-100-299人-0年</t>
  </si>
  <si>
    <t>非正規雇用-E-24-100-299人-0年</t>
  </si>
  <si>
    <t>非正規雇用-E-25-100-299人-0年</t>
  </si>
  <si>
    <t>非正規雇用-E-26-100-299人-0年</t>
  </si>
  <si>
    <t>非正規雇用-E-27-100-299人-0年</t>
  </si>
  <si>
    <t>非正規雇用-E-28-100-299人-0年</t>
  </si>
  <si>
    <t>非正規雇用-E-29-100-299人-0年</t>
  </si>
  <si>
    <t>非正規雇用-E-30-100-299人-0年</t>
  </si>
  <si>
    <t>非正規雇用-E-31-100-299人-0年</t>
  </si>
  <si>
    <t>非正規雇用-E-32-100-299人-0年</t>
  </si>
  <si>
    <t>非正規雇用-C--100-299人-0年</t>
  </si>
  <si>
    <t>非正規雇用-D--100-299人-0年</t>
  </si>
  <si>
    <t>非正規雇用-E--100-299人-0年</t>
  </si>
  <si>
    <t>非正規雇用-F--100-299人-0年</t>
  </si>
  <si>
    <t>非正規雇用-G--100-299人-0年</t>
  </si>
  <si>
    <t>非正規雇用-H--100-299人-0年</t>
  </si>
  <si>
    <t>非正規雇用-I--100-299人-0年</t>
  </si>
  <si>
    <t>非正規雇用-J--100-299人-0年</t>
  </si>
  <si>
    <t>非正規雇用-K--100-299人-0年</t>
  </si>
  <si>
    <t>非正規雇用-L--100-299人-0年</t>
  </si>
  <si>
    <t>非正規雇用-M--100-299人-0年</t>
  </si>
  <si>
    <t>非正規雇用-N--100-299人-0年</t>
  </si>
  <si>
    <t>非正規雇用-O--100-299人-0年</t>
  </si>
  <si>
    <t>非正規雇用-P--100-299人-0年</t>
  </si>
  <si>
    <t>非正規雇用-Q--100-299人-0年</t>
  </si>
  <si>
    <t>非正規雇用-R--100-299人-0年</t>
  </si>
  <si>
    <t>非正規雇用-I-56-100-299人-0年</t>
  </si>
  <si>
    <t>非正規雇用-I-57-100-299人-0年</t>
  </si>
  <si>
    <t>非正規雇用-I-58-100-299人-0年</t>
  </si>
  <si>
    <t>非正規雇用-I-59-100-299人-0年</t>
  </si>
  <si>
    <t>非正規雇用-I-60-100-299人-0年</t>
  </si>
  <si>
    <t>非正規雇用-I-61-100-299人-0年</t>
  </si>
  <si>
    <t>非正規雇用-J-62-100-299人-0年</t>
  </si>
  <si>
    <t>非正規雇用-J-63-100-299人-0年</t>
  </si>
  <si>
    <t>非正規雇用-J-64-100-299人-0年</t>
  </si>
  <si>
    <t>非正規雇用-J-65-100-299人-0年</t>
  </si>
  <si>
    <t>非正規雇用-J-66-100-299人-0年</t>
  </si>
  <si>
    <t>非正規雇用-J-67-100-299人-0年</t>
  </si>
  <si>
    <t>非正規雇用-K-68-100-299人-0年</t>
  </si>
  <si>
    <t>非正規雇用-K-69-100-299人-0年</t>
  </si>
  <si>
    <t>非正規雇用-K-70-100-299人-0年</t>
  </si>
  <si>
    <t>非正規雇用-L-71-100-299人-0年</t>
  </si>
  <si>
    <t>非正規雇用-L-72-100-299人-0年</t>
  </si>
  <si>
    <t>非正規雇用-L-73-100-299人-0年</t>
  </si>
  <si>
    <t>非正規雇用-L-74-100-299人-0年</t>
  </si>
  <si>
    <t>非正規雇用-M-75-100-299人-0年</t>
  </si>
  <si>
    <t>非正規雇用-M-76-100-299人-0年</t>
  </si>
  <si>
    <t>非正規雇用-M-77-100-299人-0年</t>
  </si>
  <si>
    <t>非正規雇用-N-78-100-299人-0年</t>
  </si>
  <si>
    <t>非正規雇用-N-79-100-299人-0年</t>
  </si>
  <si>
    <t>非正規雇用-N-80-100-299人-0年</t>
  </si>
  <si>
    <t>非正規雇用-O-81-100-299人-0年</t>
  </si>
  <si>
    <t>非正規雇用-O-82-100-299人-0年</t>
  </si>
  <si>
    <t>非正規雇用-P-83-100-299人-0年</t>
  </si>
  <si>
    <t>非正規雇用-P-84-100-299人-0年</t>
  </si>
  <si>
    <t>非正規雇用-P-85-100-299人-0年</t>
  </si>
  <si>
    <t>非正規雇用-Q-87-100-299人-0年</t>
  </si>
  <si>
    <t>非正規雇用-R-88-100-299人-0年</t>
  </si>
  <si>
    <t>非正規雇用-R-89-100-299人-0年</t>
  </si>
  <si>
    <t>非正規雇用-R-90-100-299人-0年</t>
  </si>
  <si>
    <t>非正規雇用-R-91-100-299人-0年</t>
  </si>
  <si>
    <t>非正規雇用-R-92-100-299人-0年</t>
  </si>
  <si>
    <t>非正規雇用-R-93-100-299人-0年</t>
  </si>
  <si>
    <t>非正規雇用-R-94-100-299人-0年</t>
  </si>
  <si>
    <t>非正規雇用-R-95-100-299人-0年</t>
  </si>
  <si>
    <t>※再度、［入力シート］へ移動して、入力を完了させてください。</t>
    <rPh sb="12" eb="14">
      <t xml:space="preserve">イドウ </t>
    </rPh>
    <phoneticPr fontId="3"/>
  </si>
  <si>
    <t>※再度、［入力シート］へ移動して、入力を完了させてください。</t>
    <rPh sb="6" eb="8">
      <t xml:space="preserve">イドウ </t>
    </rPh>
    <phoneticPr fontId="3"/>
  </si>
  <si>
    <t>［入力シート］へ移動して、使用用途を選択してください。</t>
    <rPh sb="1" eb="3">
      <t xml:space="preserve">ニュウリョクシート </t>
    </rPh>
    <rPh sb="8" eb="10">
      <t xml:space="preserve">イドウ </t>
    </rPh>
    <rPh sb="15" eb="17">
      <t xml:space="preserve">ヨウト </t>
    </rPh>
    <rPh sb="18" eb="20">
      <t xml:space="preserve">センタクシテクダサイ </t>
    </rPh>
    <phoneticPr fontId="3"/>
  </si>
  <si>
    <t>［入力シート］に不備があります。</t>
    <phoneticPr fontId="3"/>
  </si>
  <si>
    <t>［入力シート］の(3)「基準日」が空白になっています。</t>
    <phoneticPr fontId="3"/>
  </si>
  <si>
    <t>O2503セル</t>
  </si>
  <si>
    <t>項目</t>
    <rPh sb="0" eb="2">
      <t>コウモク</t>
    </rPh>
    <phoneticPr fontId="3"/>
  </si>
  <si>
    <t>女=0</t>
    <rPh sb="0" eb="1">
      <t xml:space="preserve">オンナ </t>
    </rPh>
    <phoneticPr fontId="3"/>
  </si>
  <si>
    <t>参考値</t>
    <phoneticPr fontId="3"/>
  </si>
  <si>
    <t>値=0</t>
    <phoneticPr fontId="3"/>
  </si>
  <si>
    <t>男=0</t>
    <rPh sb="0" eb="1">
      <t xml:space="preserve">オトコ </t>
    </rPh>
    <phoneticPr fontId="3"/>
  </si>
  <si>
    <t>値="-"</t>
    <rPh sb="0" eb="1">
      <t>アタイ</t>
    </rPh>
    <phoneticPr fontId="3"/>
  </si>
  <si>
    <t>女=0</t>
    <rPh sb="0" eb="1">
      <t>オンナ</t>
    </rPh>
    <rPh sb="1" eb="2">
      <t>アナタ</t>
    </rPh>
    <phoneticPr fontId="3"/>
  </si>
  <si>
    <t>男=0</t>
    <phoneticPr fontId="3"/>
  </si>
  <si>
    <t>貴社</t>
    <rPh sb="0" eb="2">
      <t>キシャ</t>
    </rPh>
    <phoneticPr fontId="3"/>
  </si>
  <si>
    <t>表示されない理由</t>
    <rPh sb="0" eb="2">
      <t>ヒョウジ</t>
    </rPh>
    <rPh sb="6" eb="8">
      <t>リユウ</t>
    </rPh>
    <phoneticPr fontId="3"/>
  </si>
  <si>
    <t>表示されない理由</t>
    <phoneticPr fontId="3"/>
  </si>
  <si>
    <t>表示が多いとき</t>
    <rPh sb="0" eb="2">
      <t>ヒョウジ</t>
    </rPh>
    <rPh sb="3" eb="4">
      <t>オオ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</si>
</sst>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_);[Red]\(#,##0\)"/>
    <numFmt numFmtId="177" formatCode="#,##0_ "/>
    <numFmt numFmtId="178" formatCode="#,##0.00_);[Red]\(#,##0.00\)"/>
    <numFmt numFmtId="179" formatCode="0.0%"/>
    <numFmt numFmtId="180" formatCode="#,##0.0_ "/>
    <numFmt numFmtId="181" formatCode="#,##0.00_ "/>
    <numFmt numFmtId="182" formatCode="0_ "/>
    <numFmt numFmtId="183" formatCode="0.00&quot;倍&quot;"/>
    <numFmt numFmtId="184" formatCode="0.000_ "/>
    <numFmt numFmtId="185" formatCode="0.00_ "/>
    <numFmt numFmtId="186" formatCode="0.000%"/>
    <numFmt numFmtId="187" formatCode="#,##0&quot;人&quot;"/>
    <numFmt numFmtId="188" formatCode="#,##0.0&quot;年&quot;"/>
    <numFmt numFmtId="189" formatCode="#,##0.0&quot;h&quot;"/>
    <numFmt numFmtId="190" formatCode="##,##0.00"/>
    <numFmt numFmtId="191" formatCode="#,##0.0"/>
    <numFmt numFmtId="192" formatCode="#,##0.0_);[Red]\(#,##0.0\)"/>
    <numFmt numFmtId="193" formatCode="###,##0.0;&quot;-&quot;##,##0.0"/>
    <numFmt numFmtId="194" formatCode="h:mm;@"/>
    <numFmt numFmtId="195" formatCode="0.0_ "/>
    <numFmt numFmtId="196" formatCode="##,##0&quot;人&quot;\ "/>
  </numFmts>
  <fonts count="116">
    <font>
      <sz val="12"/>
      <color theme="1"/>
      <name val="游ゴシック"/>
      <family val="2"/>
      <charset val="128"/>
      <scheme val="minor"/>
    </font>
    <font>
      <b/>
      <sz val="15"/>
      <color theme="3"/>
      <name val="游ゴシック"/>
      <family val="2"/>
      <charset val="128"/>
      <scheme val="minor"/>
    </font>
    <font>
      <sz val="11"/>
      <name val="ＭＳ Ｐゴシック"/>
      <family val="3"/>
      <charset val="128"/>
    </font>
    <font>
      <sz val="6"/>
      <name val="游ゴシック"/>
      <family val="2"/>
      <charset val="128"/>
      <scheme val="minor"/>
    </font>
    <font>
      <sz val="6"/>
      <name val="Tsukushi A Round Gothic Bold"/>
      <family val="3"/>
      <charset val="128"/>
    </font>
    <font>
      <b/>
      <sz val="8"/>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b/>
      <sz val="14"/>
      <color theme="1"/>
      <name val="游ゴシック"/>
      <family val="3"/>
      <charset val="128"/>
      <scheme val="minor"/>
    </font>
    <font>
      <b/>
      <sz val="24"/>
      <color theme="1"/>
      <name val="游ゴシック"/>
      <family val="3"/>
      <charset val="128"/>
      <scheme val="minor"/>
    </font>
    <font>
      <b/>
      <sz val="16"/>
      <color theme="1"/>
      <name val="游ゴシック"/>
      <family val="3"/>
      <charset val="128"/>
      <scheme val="minor"/>
    </font>
    <font>
      <sz val="10"/>
      <color theme="1"/>
      <name val="游ゴシック"/>
      <family val="3"/>
      <charset val="128"/>
      <scheme val="minor"/>
    </font>
    <font>
      <b/>
      <sz val="12"/>
      <color rgb="FFFF0000"/>
      <name val="游ゴシック"/>
      <family val="3"/>
      <charset val="128"/>
      <scheme val="minor"/>
    </font>
    <font>
      <sz val="12"/>
      <color rgb="FFFF0000"/>
      <name val="游ゴシック"/>
      <family val="2"/>
      <charset val="128"/>
      <scheme val="minor"/>
    </font>
    <font>
      <b/>
      <sz val="13"/>
      <color theme="1"/>
      <name val="游ゴシック"/>
      <family val="3"/>
      <charset val="128"/>
      <scheme val="minor"/>
    </font>
    <font>
      <b/>
      <sz val="12"/>
      <color rgb="FFFF5E8F"/>
      <name val="游ゴシック"/>
      <family val="3"/>
      <charset val="128"/>
      <scheme val="minor"/>
    </font>
    <font>
      <sz val="9"/>
      <color theme="1"/>
      <name val="游ゴシック"/>
      <family val="3"/>
      <charset val="128"/>
      <scheme val="minor"/>
    </font>
    <font>
      <sz val="12"/>
      <color theme="1"/>
      <name val="游ゴシック"/>
      <family val="3"/>
      <charset val="128"/>
      <scheme val="minor"/>
    </font>
    <font>
      <b/>
      <sz val="22"/>
      <color rgb="FFFF0000"/>
      <name val="游ゴシック"/>
      <family val="3"/>
      <charset val="128"/>
      <scheme val="minor"/>
    </font>
    <font>
      <sz val="12"/>
      <name val="游ゴシック"/>
      <family val="2"/>
      <charset val="128"/>
      <scheme val="minor"/>
    </font>
    <font>
      <sz val="6"/>
      <color theme="1"/>
      <name val="游ゴシック"/>
      <family val="3"/>
      <charset val="128"/>
      <scheme val="minor"/>
    </font>
    <font>
      <b/>
      <sz val="6"/>
      <color theme="1"/>
      <name val="游ゴシック"/>
      <family val="3"/>
      <charset val="128"/>
      <scheme val="minor"/>
    </font>
    <font>
      <b/>
      <sz val="6"/>
      <color rgb="FFFF0000"/>
      <name val="游ゴシック"/>
      <family val="3"/>
      <charset val="128"/>
      <scheme val="minor"/>
    </font>
    <font>
      <b/>
      <sz val="10"/>
      <color theme="1"/>
      <name val="游ゴシック"/>
      <family val="3"/>
      <charset val="128"/>
      <scheme val="minor"/>
    </font>
    <font>
      <b/>
      <sz val="12"/>
      <color rgb="FFC00000"/>
      <name val="游ゴシック"/>
      <family val="3"/>
      <charset val="128"/>
      <scheme val="minor"/>
    </font>
    <font>
      <b/>
      <sz val="20"/>
      <color theme="1"/>
      <name val="游ゴシック"/>
      <family val="3"/>
      <charset val="128"/>
      <scheme val="minor"/>
    </font>
    <font>
      <sz val="14"/>
      <color theme="1"/>
      <name val="游ゴシック"/>
      <family val="3"/>
      <charset val="128"/>
      <scheme val="minor"/>
    </font>
    <font>
      <b/>
      <sz val="9"/>
      <color rgb="FFFF0000"/>
      <name val="游ゴシック"/>
      <family val="3"/>
      <charset val="128"/>
      <scheme val="minor"/>
    </font>
    <font>
      <b/>
      <sz val="12"/>
      <color theme="3" tint="0.249977111117893"/>
      <name val="游ゴシック"/>
      <family val="3"/>
      <charset val="128"/>
      <scheme val="minor"/>
    </font>
    <font>
      <sz val="9"/>
      <color theme="1"/>
      <name val="游ゴシック"/>
      <family val="2"/>
      <charset val="128"/>
      <scheme val="minor"/>
    </font>
    <font>
      <sz val="8"/>
      <color theme="1"/>
      <name val="游ゴシック"/>
      <family val="3"/>
      <charset val="128"/>
    </font>
    <font>
      <b/>
      <sz val="9"/>
      <color theme="1"/>
      <name val="游ゴシック"/>
      <family val="3"/>
      <charset val="128"/>
      <scheme val="minor"/>
    </font>
    <font>
      <sz val="14"/>
      <color rgb="FFC00000"/>
      <name val="游ゴシック"/>
      <family val="3"/>
      <charset val="128"/>
      <scheme val="minor"/>
    </font>
    <font>
      <b/>
      <sz val="11"/>
      <color rgb="FF0070C0"/>
      <name val="游ゴシック"/>
      <family val="3"/>
      <charset val="128"/>
      <scheme val="minor"/>
    </font>
    <font>
      <sz val="6"/>
      <name val="ＭＳ 明朝"/>
      <family val="1"/>
      <charset val="128"/>
    </font>
    <font>
      <sz val="12"/>
      <color rgb="FFC00000"/>
      <name val="游ゴシック"/>
      <family val="3"/>
      <charset val="128"/>
      <scheme val="minor"/>
    </font>
    <font>
      <b/>
      <sz val="14"/>
      <color rgb="FFFF0000"/>
      <name val="游ゴシック"/>
      <family val="3"/>
      <charset val="128"/>
      <scheme val="minor"/>
    </font>
    <font>
      <b/>
      <sz val="24"/>
      <color theme="5"/>
      <name val="游ゴシック"/>
      <family val="3"/>
      <charset val="128"/>
      <scheme val="minor"/>
    </font>
    <font>
      <b/>
      <sz val="18"/>
      <color theme="5"/>
      <name val="游ゴシック"/>
      <family val="3"/>
      <charset val="128"/>
      <scheme val="minor"/>
    </font>
    <font>
      <b/>
      <sz val="16"/>
      <color theme="4"/>
      <name val="游ゴシック"/>
      <family val="3"/>
      <charset val="128"/>
      <scheme val="minor"/>
    </font>
    <font>
      <b/>
      <sz val="14"/>
      <color theme="1" tint="0.249977111117893"/>
      <name val="游ゴシック"/>
      <family val="3"/>
      <charset val="128"/>
      <scheme val="minor"/>
    </font>
    <font>
      <b/>
      <sz val="20"/>
      <color theme="3" tint="0.249977111117893"/>
      <name val="游ゴシック"/>
      <family val="3"/>
      <charset val="128"/>
      <scheme val="minor"/>
    </font>
    <font>
      <sz val="20"/>
      <color theme="1"/>
      <name val="游ゴシック"/>
      <family val="3"/>
      <charset val="128"/>
      <scheme val="minor"/>
    </font>
    <font>
      <b/>
      <sz val="16"/>
      <color rgb="FFC00000"/>
      <name val="游ゴシック"/>
      <family val="3"/>
      <charset val="128"/>
      <scheme val="minor"/>
    </font>
    <font>
      <b/>
      <sz val="16"/>
      <color rgb="FF44812A"/>
      <name val="游ゴシック"/>
      <family val="3"/>
      <charset val="128"/>
      <scheme val="minor"/>
    </font>
    <font>
      <b/>
      <sz val="16"/>
      <color theme="8"/>
      <name val="游ゴシック"/>
      <family val="3"/>
      <charset val="128"/>
      <scheme val="minor"/>
    </font>
    <font>
      <b/>
      <u/>
      <sz val="14"/>
      <color rgb="FFC00000"/>
      <name val="游ゴシック"/>
      <family val="3"/>
      <charset val="128"/>
      <scheme val="minor"/>
    </font>
    <font>
      <sz val="11"/>
      <color theme="1"/>
      <name val="游ゴシック"/>
      <family val="3"/>
      <charset val="128"/>
      <scheme val="minor"/>
    </font>
    <font>
      <sz val="13"/>
      <color theme="1"/>
      <name val="游ゴシック"/>
      <family val="3"/>
      <charset val="128"/>
      <scheme val="minor"/>
    </font>
    <font>
      <sz val="14"/>
      <name val="游ゴシック"/>
      <family val="3"/>
      <charset val="128"/>
      <scheme val="minor"/>
    </font>
    <font>
      <sz val="9"/>
      <color theme="1"/>
      <name val="游ゴシック"/>
      <family val="3"/>
      <charset val="128"/>
      <scheme val="minor"/>
    </font>
    <font>
      <sz val="9"/>
      <name val="游ゴシック"/>
      <family val="3"/>
      <charset val="128"/>
      <scheme val="minor"/>
    </font>
    <font>
      <b/>
      <sz val="20"/>
      <color theme="4"/>
      <name val="游ゴシック"/>
      <family val="3"/>
      <charset val="128"/>
      <scheme val="minor"/>
    </font>
    <font>
      <sz val="12"/>
      <name val="游ゴシック"/>
      <family val="3"/>
      <charset val="128"/>
      <scheme val="minor"/>
    </font>
    <font>
      <b/>
      <sz val="7"/>
      <color theme="3"/>
      <name val="游ゴシック"/>
      <family val="3"/>
      <charset val="128"/>
      <scheme val="minor"/>
    </font>
    <font>
      <b/>
      <sz val="9.5"/>
      <color theme="1"/>
      <name val="游ゴシック"/>
      <family val="3"/>
      <charset val="128"/>
      <scheme val="minor"/>
    </font>
    <font>
      <b/>
      <sz val="10"/>
      <name val="游ゴシック"/>
      <family val="3"/>
      <charset val="128"/>
      <scheme val="minor"/>
    </font>
    <font>
      <b/>
      <sz val="9"/>
      <color theme="3"/>
      <name val="游ゴシック"/>
      <family val="3"/>
      <charset val="128"/>
      <scheme val="minor"/>
    </font>
    <font>
      <u/>
      <sz val="12"/>
      <color theme="10"/>
      <name val="游ゴシック"/>
      <family val="2"/>
      <charset val="128"/>
      <scheme val="minor"/>
    </font>
    <font>
      <b/>
      <u/>
      <sz val="14"/>
      <color theme="1"/>
      <name val="游ゴシック"/>
      <family val="3"/>
      <charset val="128"/>
      <scheme val="minor"/>
    </font>
    <font>
      <b/>
      <u/>
      <sz val="12"/>
      <color theme="10"/>
      <name val="游ゴシック"/>
      <family val="3"/>
      <charset val="128"/>
      <scheme val="minor"/>
    </font>
    <font>
      <b/>
      <sz val="14"/>
      <color theme="4"/>
      <name val="游ゴシック"/>
      <family val="3"/>
      <charset val="128"/>
      <scheme val="minor"/>
    </font>
    <font>
      <b/>
      <sz val="11"/>
      <color theme="4"/>
      <name val="游ゴシック"/>
      <family val="3"/>
      <charset val="128"/>
      <scheme val="minor"/>
    </font>
    <font>
      <b/>
      <sz val="9"/>
      <color theme="4"/>
      <name val="游ゴシック"/>
      <family val="3"/>
      <charset val="128"/>
      <scheme val="minor"/>
    </font>
    <font>
      <b/>
      <sz val="9"/>
      <name val="游ゴシック"/>
      <family val="3"/>
      <charset val="128"/>
    </font>
    <font>
      <b/>
      <sz val="11"/>
      <name val="游ゴシック (本文)"/>
      <family val="3"/>
      <charset val="128"/>
    </font>
    <font>
      <sz val="11"/>
      <name val="游ゴシック (本文)"/>
      <family val="3"/>
      <charset val="128"/>
    </font>
    <font>
      <sz val="11"/>
      <name val="游ゴシック"/>
      <family val="3"/>
      <charset val="128"/>
    </font>
    <font>
      <sz val="11"/>
      <name val="游ゴシック"/>
      <family val="3"/>
    </font>
    <font>
      <b/>
      <sz val="9"/>
      <name val="游ゴシック"/>
      <family val="3"/>
    </font>
    <font>
      <b/>
      <sz val="14"/>
      <color rgb="FFC00000"/>
      <name val="游ゴシック"/>
      <family val="3"/>
      <charset val="128"/>
      <scheme val="minor"/>
    </font>
    <font>
      <b/>
      <sz val="24"/>
      <color theme="4"/>
      <name val="游ゴシック"/>
      <family val="3"/>
      <charset val="128"/>
      <scheme val="minor"/>
    </font>
    <font>
      <b/>
      <sz val="36"/>
      <color rgb="FFFF0000"/>
      <name val="游ゴシック"/>
      <family val="3"/>
      <charset val="128"/>
      <scheme val="minor"/>
    </font>
    <font>
      <b/>
      <sz val="20"/>
      <color rgb="FFFF0000"/>
      <name val="游ゴシック"/>
      <family val="3"/>
      <charset val="128"/>
      <scheme val="minor"/>
    </font>
    <font>
      <sz val="14"/>
      <color theme="5" tint="-0.249977111117893"/>
      <name val="游ゴシック"/>
      <family val="3"/>
      <charset val="128"/>
      <scheme val="minor"/>
    </font>
    <font>
      <sz val="10"/>
      <color rgb="FFC00000"/>
      <name val="游ゴシック"/>
      <family val="3"/>
      <charset val="128"/>
      <scheme val="minor"/>
    </font>
    <font>
      <b/>
      <sz val="10"/>
      <color rgb="FFFF0000"/>
      <name val="游ゴシック"/>
      <family val="3"/>
      <charset val="128"/>
      <scheme val="minor"/>
    </font>
    <font>
      <sz val="16"/>
      <color theme="1"/>
      <name val="游ゴシック"/>
      <family val="3"/>
      <charset val="128"/>
      <scheme val="minor"/>
    </font>
    <font>
      <sz val="14"/>
      <color rgb="FFFF0000"/>
      <name val="游ゴシック"/>
      <family val="3"/>
      <charset val="128"/>
      <scheme val="minor"/>
    </font>
    <font>
      <sz val="12"/>
      <color theme="4"/>
      <name val="游ゴシック"/>
      <family val="3"/>
      <charset val="128"/>
      <scheme val="minor"/>
    </font>
    <font>
      <b/>
      <sz val="26"/>
      <color theme="4"/>
      <name val="游ゴシック"/>
      <family val="3"/>
      <charset val="128"/>
      <scheme val="minor"/>
    </font>
    <font>
      <sz val="13"/>
      <name val="游ゴシック"/>
      <family val="3"/>
      <charset val="128"/>
      <scheme val="minor"/>
    </font>
    <font>
      <sz val="10"/>
      <name val="游ゴシック"/>
      <family val="3"/>
      <charset val="128"/>
      <scheme val="minor"/>
    </font>
    <font>
      <sz val="12"/>
      <color rgb="FFFF0000"/>
      <name val="游ゴシック"/>
      <family val="3"/>
      <charset val="128"/>
      <scheme val="minor"/>
    </font>
    <font>
      <b/>
      <i/>
      <sz val="16"/>
      <color rgb="FF0B14DA"/>
      <name val="游ゴシック"/>
      <family val="3"/>
      <charset val="128"/>
      <scheme val="minor"/>
    </font>
    <font>
      <b/>
      <sz val="7"/>
      <color rgb="FFC00000"/>
      <name val="游ゴシック"/>
      <family val="3"/>
      <charset val="128"/>
      <scheme val="minor"/>
    </font>
    <font>
      <sz val="9"/>
      <color rgb="FFFF0000"/>
      <name val="游ゴシック"/>
      <family val="3"/>
      <charset val="128"/>
      <scheme val="minor"/>
    </font>
    <font>
      <b/>
      <u/>
      <sz val="11"/>
      <color theme="4"/>
      <name val="游ゴシック"/>
      <family val="3"/>
      <charset val="128"/>
      <scheme val="minor"/>
    </font>
    <font>
      <sz val="12"/>
      <name val="游ゴシック"/>
      <family val="3"/>
      <charset val="128"/>
    </font>
    <font>
      <b/>
      <sz val="12"/>
      <color theme="1"/>
      <name val="游ゴシック"/>
      <family val="3"/>
      <charset val="128"/>
    </font>
    <font>
      <sz val="12"/>
      <color theme="1"/>
      <name val="游ゴシック (本文)"/>
      <family val="3"/>
      <charset val="128"/>
    </font>
    <font>
      <b/>
      <sz val="12"/>
      <color theme="1"/>
      <name val="游ゴシック (本文)"/>
      <family val="3"/>
      <charset val="128"/>
    </font>
    <font>
      <b/>
      <sz val="10"/>
      <color theme="1"/>
      <name val="游ゴシック (本文)"/>
      <family val="3"/>
      <charset val="128"/>
    </font>
    <font>
      <b/>
      <sz val="9"/>
      <color theme="1"/>
      <name val="游ゴシック (本文)"/>
      <family val="3"/>
      <charset val="128"/>
    </font>
    <font>
      <b/>
      <sz val="6"/>
      <color theme="1"/>
      <name val="游ゴシック (本文)"/>
      <family val="3"/>
      <charset val="128"/>
    </font>
    <font>
      <b/>
      <sz val="8"/>
      <color theme="1"/>
      <name val="游ゴシック (本文)"/>
      <family val="3"/>
      <charset val="128"/>
    </font>
    <font>
      <sz val="12"/>
      <color theme="1"/>
      <name val="游ゴシック"/>
      <family val="3"/>
      <charset val="128"/>
    </font>
    <font>
      <sz val="12"/>
      <color theme="1"/>
      <name val="游ゴシック"/>
      <family val="3"/>
    </font>
    <font>
      <b/>
      <sz val="12"/>
      <color theme="1"/>
      <name val="游ゴシック"/>
      <family val="3"/>
    </font>
    <font>
      <b/>
      <sz val="10"/>
      <color theme="1"/>
      <name val="游ゴシック"/>
      <family val="3"/>
    </font>
    <font>
      <b/>
      <sz val="10.5"/>
      <color rgb="FF44812A"/>
      <name val="游ゴシック"/>
      <family val="3"/>
      <charset val="128"/>
      <scheme val="minor"/>
    </font>
    <font>
      <b/>
      <sz val="10.5"/>
      <color theme="8"/>
      <name val="游ゴシック"/>
      <family val="3"/>
      <charset val="128"/>
      <scheme val="minor"/>
    </font>
    <font>
      <b/>
      <sz val="11"/>
      <color theme="8"/>
      <name val="游ゴシック"/>
      <family val="3"/>
      <charset val="128"/>
      <scheme val="minor"/>
    </font>
    <font>
      <b/>
      <sz val="11"/>
      <color rgb="FF44812A"/>
      <name val="游ゴシック"/>
      <family val="3"/>
      <charset val="128"/>
      <scheme val="minor"/>
    </font>
    <font>
      <sz val="10.5"/>
      <color theme="1"/>
      <name val="游ゴシック"/>
      <family val="3"/>
      <charset val="128"/>
      <scheme val="minor"/>
    </font>
    <font>
      <u/>
      <sz val="9"/>
      <color rgb="FFFF0D40"/>
      <name val="游ゴシック"/>
      <family val="3"/>
      <charset val="128"/>
      <scheme val="minor"/>
    </font>
    <font>
      <b/>
      <sz val="9"/>
      <color rgb="FFC00000"/>
      <name val="游ゴシック"/>
      <family val="3"/>
      <charset val="128"/>
      <scheme val="minor"/>
    </font>
    <font>
      <b/>
      <u/>
      <sz val="9"/>
      <color theme="4"/>
      <name val="游ゴシック"/>
      <family val="3"/>
      <charset val="128"/>
      <scheme val="minor"/>
    </font>
    <font>
      <sz val="15"/>
      <color theme="1"/>
      <name val="游ゴシック"/>
      <family val="3"/>
      <charset val="128"/>
      <scheme val="minor"/>
    </font>
    <font>
      <b/>
      <u/>
      <sz val="13"/>
      <color theme="1"/>
      <name val="游ゴシック"/>
      <family val="3"/>
      <charset val="128"/>
      <scheme val="minor"/>
    </font>
    <font>
      <sz val="11"/>
      <color theme="4"/>
      <name val="游ゴシック"/>
      <family val="3"/>
      <charset val="128"/>
      <scheme val="minor"/>
    </font>
    <font>
      <sz val="12"/>
      <name val="MS Mincho"/>
      <family val="2"/>
      <charset val="128"/>
    </font>
    <font>
      <sz val="9"/>
      <color theme="0"/>
      <name val="游ゴシック"/>
      <family val="3"/>
      <charset val="128"/>
      <scheme val="minor"/>
    </font>
    <font>
      <b/>
      <sz val="9"/>
      <color theme="0"/>
      <name val="游ゴシック"/>
      <family val="3"/>
      <charset val="128"/>
      <scheme val="minor"/>
    </font>
  </fonts>
  <fills count="20">
    <fill>
      <patternFill patternType="none"/>
    </fill>
    <fill>
      <patternFill patternType="gray125"/>
    </fill>
    <fill>
      <patternFill patternType="solid">
        <fgColor rgb="FFFCFFCA"/>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bgColor indexed="64"/>
      </patternFill>
    </fill>
    <fill>
      <patternFill patternType="solid">
        <fgColor theme="3" tint="0.749992370372631"/>
        <bgColor indexed="64"/>
      </patternFill>
    </fill>
    <fill>
      <patternFill patternType="solid">
        <fgColor rgb="FFFCFFBE"/>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BCEFF"/>
        <bgColor indexed="64"/>
      </patternFill>
    </fill>
    <fill>
      <patternFill patternType="solid">
        <fgColor rgb="FFFBEBF0"/>
        <bgColor indexed="64"/>
      </patternFill>
    </fill>
    <fill>
      <patternFill patternType="solid">
        <fgColor rgb="FF83E28E"/>
        <bgColor indexed="64"/>
      </patternFill>
    </fill>
    <fill>
      <patternFill patternType="solid">
        <fgColor rgb="FFC1F0C8"/>
        <bgColor indexed="64"/>
      </patternFill>
    </fill>
    <fill>
      <patternFill patternType="solid">
        <fgColor theme="3" tint="0.89999084444715716"/>
        <bgColor indexed="64"/>
      </patternFill>
    </fill>
    <fill>
      <patternFill patternType="solid">
        <fgColor theme="2"/>
        <bgColor indexed="64"/>
      </patternFill>
    </fill>
    <fill>
      <patternFill patternType="solid">
        <fgColor theme="0" tint="-0.14999847407452621"/>
        <bgColor indexed="64"/>
      </patternFill>
    </fill>
    <fill>
      <patternFill patternType="solid">
        <fgColor rgb="FFEAFFD4"/>
        <bgColor indexed="64"/>
      </patternFill>
    </fill>
  </fills>
  <borders count="26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bottom/>
      <diagonal/>
    </border>
    <border>
      <left/>
      <right style="double">
        <color indexed="64"/>
      </right>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bottom style="double">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double">
        <color indexed="64"/>
      </left>
      <right/>
      <top/>
      <bottom style="double">
        <color indexed="64"/>
      </bottom>
      <diagonal/>
    </border>
    <border>
      <left/>
      <right style="medium">
        <color indexed="64"/>
      </right>
      <top/>
      <bottom style="double">
        <color indexed="64"/>
      </bottom>
      <diagonal/>
    </border>
    <border>
      <left/>
      <right/>
      <top style="double">
        <color indexed="64"/>
      </top>
      <bottom/>
      <diagonal/>
    </border>
    <border>
      <left style="double">
        <color indexed="64"/>
      </left>
      <right/>
      <top style="double">
        <color indexed="64"/>
      </top>
      <bottom/>
      <diagonal/>
    </border>
    <border>
      <left style="medium">
        <color indexed="64"/>
      </left>
      <right/>
      <top/>
      <bottom style="double">
        <color auto="1"/>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diagonal/>
    </border>
    <border>
      <left/>
      <right style="double">
        <color indexed="64"/>
      </right>
      <top style="medium">
        <color indexed="64"/>
      </top>
      <bottom/>
      <diagonal/>
    </border>
    <border>
      <left style="medium">
        <color theme="0" tint="-0.24994659260841701"/>
      </left>
      <right/>
      <top/>
      <bottom/>
      <diagonal/>
    </border>
    <border>
      <left style="medium">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medium">
        <color theme="0" tint="-0.24994659260841701"/>
      </left>
      <right style="thin">
        <color indexed="64"/>
      </right>
      <top/>
      <bottom style="thin">
        <color theme="0" tint="-0.24994659260841701"/>
      </bottom>
      <diagonal/>
    </border>
    <border>
      <left style="thin">
        <color indexed="64"/>
      </left>
      <right style="thin">
        <color indexed="64"/>
      </right>
      <top/>
      <bottom style="thin">
        <color theme="0" tint="-0.24994659260841701"/>
      </bottom>
      <diagonal/>
    </border>
    <border>
      <left style="medium">
        <color theme="0" tint="-0.24994659260841701"/>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bottom style="thin">
        <color theme="0" tint="-0.24994659260841701"/>
      </bottom>
      <diagonal/>
    </border>
    <border>
      <left style="thin">
        <color indexed="64"/>
      </left>
      <right/>
      <top style="thin">
        <color theme="0" tint="-0.24994659260841701"/>
      </top>
      <bottom style="thin">
        <color theme="0" tint="-0.24994659260841701"/>
      </bottom>
      <diagonal/>
    </border>
    <border>
      <left style="medium">
        <color theme="0" tint="-0.24994659260841701"/>
      </left>
      <right/>
      <top/>
      <bottom style="thin">
        <color theme="0" tint="-0.24994659260841701"/>
      </bottom>
      <diagonal/>
    </border>
    <border>
      <left/>
      <right/>
      <top/>
      <bottom style="thin">
        <color theme="0" tint="-0.24994659260841701"/>
      </bottom>
      <diagonal/>
    </border>
    <border>
      <left style="medium">
        <color theme="0" tint="-0.24994659260841701"/>
      </left>
      <right/>
      <top style="thin">
        <color theme="0" tint="-0.24994659260841701"/>
      </top>
      <bottom style="medium">
        <color theme="0" tint="-0.24994659260841701"/>
      </bottom>
      <diagonal/>
    </border>
    <border>
      <left/>
      <right/>
      <top style="thin">
        <color theme="0" tint="-0.24994659260841701"/>
      </top>
      <bottom style="medium">
        <color theme="0" tint="-0.24994659260841701"/>
      </bottom>
      <diagonal/>
    </border>
    <border>
      <left style="double">
        <color theme="0" tint="-0.24994659260841701"/>
      </left>
      <right/>
      <top style="thin">
        <color theme="0" tint="-0.24994659260841701"/>
      </top>
      <bottom style="thin">
        <color theme="0" tint="-0.24994659260841701"/>
      </bottom>
      <diagonal/>
    </border>
    <border>
      <left style="medium">
        <color theme="0" tint="-0.24994659260841701"/>
      </left>
      <right/>
      <top style="thin">
        <color theme="0" tint="-0.24994659260841701"/>
      </top>
      <bottom/>
      <diagonal/>
    </border>
    <border>
      <left/>
      <right/>
      <top style="thin">
        <color theme="0" tint="-0.24994659260841701"/>
      </top>
      <bottom/>
      <diagonal/>
    </border>
    <border>
      <left style="double">
        <color theme="0" tint="-0.24994659260841701"/>
      </left>
      <right/>
      <top style="thin">
        <color theme="0" tint="-0.24994659260841701"/>
      </top>
      <bottom/>
      <diagonal/>
    </border>
    <border>
      <left style="medium">
        <color theme="0" tint="-0.24994659260841701"/>
      </left>
      <right style="thin">
        <color indexed="64"/>
      </right>
      <top style="thin">
        <color theme="0" tint="-0.24994659260841701"/>
      </top>
      <bottom/>
      <diagonal/>
    </border>
    <border>
      <left style="thin">
        <color indexed="64"/>
      </left>
      <right style="thin">
        <color indexed="64"/>
      </right>
      <top style="thin">
        <color theme="0" tint="-0.24994659260841701"/>
      </top>
      <bottom/>
      <diagonal/>
    </border>
    <border>
      <left style="thin">
        <color indexed="64"/>
      </left>
      <right/>
      <top style="thin">
        <color theme="0" tint="-0.24994659260841701"/>
      </top>
      <bottom/>
      <diagonal/>
    </border>
    <border>
      <left style="double">
        <color theme="0" tint="-0.24994659260841701"/>
      </left>
      <right/>
      <top/>
      <bottom style="thin">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theme="0" tint="-0.24994659260841701"/>
      </left>
      <right style="medium">
        <color theme="0" tint="-0.24994659260841701"/>
      </right>
      <top style="double">
        <color theme="0" tint="-0.24994659260841701"/>
      </top>
      <bottom style="double">
        <color theme="0" tint="-0.24994659260841701"/>
      </bottom>
      <diagonal/>
    </border>
    <border>
      <left style="double">
        <color theme="0" tint="-0.24994659260841701"/>
      </left>
      <right/>
      <top/>
      <bottom style="double">
        <color theme="0" tint="-0.24994659260841701"/>
      </bottom>
      <diagonal/>
    </border>
    <border>
      <left/>
      <right style="thin">
        <color indexed="64"/>
      </right>
      <top/>
      <bottom style="double">
        <color theme="0" tint="-0.24994659260841701"/>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medium">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thin">
        <color theme="0" tint="-0.24994659260841701"/>
      </bottom>
      <diagonal/>
    </border>
    <border>
      <left style="thin">
        <color theme="0" tint="-0.24994659260841701"/>
      </left>
      <right style="medium">
        <color theme="0" tint="-0.24994659260841701"/>
      </right>
      <top style="double">
        <color theme="0" tint="-0.24994659260841701"/>
      </top>
      <bottom style="thin">
        <color theme="0" tint="-0.24994659260841701"/>
      </bottom>
      <diagonal/>
    </border>
    <border>
      <left/>
      <right style="thin">
        <color theme="0" tint="-0.24994659260841701"/>
      </right>
      <top/>
      <bottom style="double">
        <color theme="0" tint="-0.24994659260841701"/>
      </bottom>
      <diagonal/>
    </border>
    <border>
      <left style="thin">
        <color indexed="64"/>
      </left>
      <right style="double">
        <color theme="0" tint="-0.24994659260841701"/>
      </right>
      <top/>
      <bottom style="double">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double">
        <color theme="0" tint="-0.24994659260841701"/>
      </left>
      <right/>
      <top style="thin">
        <color theme="0" tint="-0.24994659260841701"/>
      </top>
      <bottom style="medium">
        <color theme="0" tint="-0.24994659260841701"/>
      </bottom>
      <diagonal/>
    </border>
    <border>
      <left/>
      <right style="thin">
        <color theme="0" tint="-0.24994659260841701"/>
      </right>
      <top style="thin">
        <color theme="0" tint="-0.24994659260841701"/>
      </top>
      <bottom style="medium">
        <color theme="0" tint="-0.24994659260841701"/>
      </bottom>
      <diagonal/>
    </border>
    <border>
      <left style="medium">
        <color theme="0" tint="-0.24994659260841701"/>
      </left>
      <right/>
      <top/>
      <bottom style="double">
        <color theme="0" tint="-0.24994659260841701"/>
      </bottom>
      <diagonal/>
    </border>
    <border>
      <left/>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medium">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theme="0" tint="-0.24994659260841701"/>
      </right>
      <top style="thin">
        <color theme="0" tint="-0.24994659260841701"/>
      </top>
      <bottom/>
      <diagonal/>
    </border>
    <border>
      <left style="medium">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theme="0" tint="-0.24994659260841701"/>
      </right>
      <top/>
      <bottom style="thin">
        <color theme="0" tint="-0.24994659260841701"/>
      </bottom>
      <diagonal/>
    </border>
    <border>
      <left style="medium">
        <color theme="0" tint="-0.24994659260841701"/>
      </left>
      <right style="thin">
        <color theme="0" tint="-0.24994659260841701"/>
      </right>
      <top style="double">
        <color theme="0" tint="-0.24994659260841701"/>
      </top>
      <bottom style="double">
        <color theme="0" tint="-0.24994659260841701"/>
      </bottom>
      <diagonal/>
    </border>
    <border>
      <left style="medium">
        <color theme="0" tint="-0.24994659260841701"/>
      </left>
      <right style="thin">
        <color theme="0" tint="-0.24994659260841701"/>
      </right>
      <top style="medium">
        <color theme="0" tint="-0.24994659260841701"/>
      </top>
      <bottom style="double">
        <color theme="0" tint="-0.24994659260841701"/>
      </bottom>
      <diagonal/>
    </border>
    <border>
      <left style="thin">
        <color theme="0" tint="-0.24994659260841701"/>
      </left>
      <right style="thin">
        <color theme="0" tint="-0.24994659260841701"/>
      </right>
      <top style="medium">
        <color theme="0" tint="-0.24994659260841701"/>
      </top>
      <bottom style="double">
        <color theme="0" tint="-0.24994659260841701"/>
      </bottom>
      <diagonal/>
    </border>
    <border>
      <left style="thin">
        <color theme="0" tint="-0.24994659260841701"/>
      </left>
      <right style="medium">
        <color theme="0" tint="-0.24994659260841701"/>
      </right>
      <top style="medium">
        <color theme="0" tint="-0.24994659260841701"/>
      </top>
      <bottom style="double">
        <color theme="0" tint="-0.24994659260841701"/>
      </bottom>
      <diagonal/>
    </border>
    <border>
      <left style="medium">
        <color theme="0" tint="-0.24994659260841701"/>
      </left>
      <right style="thin">
        <color theme="0" tint="-0.24994659260841701"/>
      </right>
      <top style="thin">
        <color theme="0" tint="-0.24994659260841701"/>
      </top>
      <bottom style="double">
        <color theme="0" tint="-0.24994659260841701"/>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thin">
        <color theme="0" tint="-0.24994659260841701"/>
      </left>
      <right style="medium">
        <color theme="0" tint="-0.24994659260841701"/>
      </right>
      <top style="thin">
        <color theme="0" tint="-0.24994659260841701"/>
      </top>
      <bottom style="double">
        <color theme="0" tint="-0.24994659260841701"/>
      </bottom>
      <diagonal/>
    </border>
    <border>
      <left style="medium">
        <color theme="0" tint="-0.24994659260841701"/>
      </left>
      <right style="thin">
        <color theme="0" tint="-0.24994659260841701"/>
      </right>
      <top style="double">
        <color theme="0" tint="-0.24994659260841701"/>
      </top>
      <bottom style="thin">
        <color theme="0" tint="-0.24994659260841701"/>
      </bottom>
      <diagonal/>
    </border>
    <border>
      <left style="medium">
        <color theme="0" tint="-0.24994659260841701"/>
      </left>
      <right style="double">
        <color theme="0" tint="-0.24994659260841701"/>
      </right>
      <top style="medium">
        <color theme="0" tint="-0.24994659260841701"/>
      </top>
      <bottom style="thin">
        <color theme="0" tint="-0.24994659260841701"/>
      </bottom>
      <diagonal/>
    </border>
    <border>
      <left style="double">
        <color theme="0" tint="-0.24994659260841701"/>
      </left>
      <right style="double">
        <color theme="0" tint="-0.24994659260841701"/>
      </right>
      <top style="medium">
        <color theme="0" tint="-0.24994659260841701"/>
      </top>
      <bottom style="thin">
        <color theme="0" tint="-0.24994659260841701"/>
      </bottom>
      <diagonal/>
    </border>
    <border>
      <left style="medium">
        <color theme="0" tint="-0.24994659260841701"/>
      </left>
      <right style="double">
        <color theme="0" tint="-0.24994659260841701"/>
      </right>
      <top style="thin">
        <color theme="0" tint="-0.24994659260841701"/>
      </top>
      <bottom style="thin">
        <color theme="0" tint="-0.24994659260841701"/>
      </bottom>
      <diagonal/>
    </border>
    <border>
      <left style="double">
        <color theme="0" tint="-0.24994659260841701"/>
      </left>
      <right style="double">
        <color theme="0" tint="-0.24994659260841701"/>
      </right>
      <top style="thin">
        <color theme="0" tint="-0.24994659260841701"/>
      </top>
      <bottom style="thin">
        <color theme="0" tint="-0.24994659260841701"/>
      </bottom>
      <diagonal/>
    </border>
    <border>
      <left style="medium">
        <color theme="0" tint="-0.24994659260841701"/>
      </left>
      <right style="double">
        <color theme="0" tint="-0.24994659260841701"/>
      </right>
      <top style="thin">
        <color theme="0" tint="-0.24994659260841701"/>
      </top>
      <bottom style="medium">
        <color theme="0" tint="-0.24994659260841701"/>
      </bottom>
      <diagonal/>
    </border>
    <border>
      <left style="double">
        <color theme="0" tint="-0.24994659260841701"/>
      </left>
      <right style="double">
        <color theme="0" tint="-0.24994659260841701"/>
      </right>
      <top style="thin">
        <color theme="0" tint="-0.24994659260841701"/>
      </top>
      <bottom style="medium">
        <color theme="0" tint="-0.24994659260841701"/>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style="double">
        <color theme="0" tint="-0.24994659260841701"/>
      </left>
      <right/>
      <top style="medium">
        <color theme="0" tint="-0.24994659260841701"/>
      </top>
      <bottom style="thin">
        <color theme="0" tint="-0.24994659260841701"/>
      </bottom>
      <diagonal/>
    </border>
    <border>
      <left/>
      <right style="medium">
        <color theme="0" tint="-0.24994659260841701"/>
      </right>
      <top style="medium">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right style="medium">
        <color theme="0" tint="-0.24994659260841701"/>
      </right>
      <top style="thin">
        <color theme="0" tint="-0.24994659260841701"/>
      </top>
      <bottom style="medium">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double">
        <color theme="0" tint="-0.24994659260841701"/>
      </right>
      <top style="thin">
        <color theme="0" tint="-0.24994659260841701"/>
      </top>
      <bottom style="thin">
        <color theme="0" tint="-0.24994659260841701"/>
      </bottom>
      <diagonal/>
    </border>
    <border>
      <left/>
      <right/>
      <top style="medium">
        <color theme="0" tint="-0.24994659260841701"/>
      </top>
      <bottom/>
      <diagonal/>
    </border>
    <border>
      <left/>
      <right/>
      <top/>
      <bottom style="double">
        <color theme="0" tint="-0.24994659260841701"/>
      </bottom>
      <diagonal/>
    </border>
    <border>
      <left style="medium">
        <color theme="0" tint="-0.24994659260841701"/>
      </left>
      <right/>
      <top style="double">
        <color theme="0" tint="-0.24994659260841701"/>
      </top>
      <bottom style="thin">
        <color theme="0" tint="-0.24994659260841701"/>
      </bottom>
      <diagonal/>
    </border>
    <border>
      <left/>
      <right/>
      <top style="double">
        <color theme="0" tint="-0.24994659260841701"/>
      </top>
      <bottom style="thin">
        <color theme="0" tint="-0.24994659260841701"/>
      </bottom>
      <diagonal/>
    </border>
    <border>
      <left/>
      <right style="double">
        <color theme="0" tint="-0.24994659260841701"/>
      </right>
      <top style="double">
        <color theme="0" tint="-0.24994659260841701"/>
      </top>
      <bottom style="thin">
        <color theme="0" tint="-0.24994659260841701"/>
      </bottom>
      <diagonal/>
    </border>
    <border>
      <left style="medium">
        <color theme="0" tint="-0.24994659260841701"/>
      </left>
      <right style="double">
        <color theme="0" tint="-0.24994659260841701"/>
      </right>
      <top/>
      <bottom style="medium">
        <color theme="0" tint="-0.24994659260841701"/>
      </bottom>
      <diagonal/>
    </border>
    <border>
      <left style="double">
        <color theme="0" tint="-0.24994659260841701"/>
      </left>
      <right style="double">
        <color theme="0" tint="-0.24994659260841701"/>
      </right>
      <top/>
      <bottom style="medium">
        <color theme="0" tint="-0.24994659260841701"/>
      </bottom>
      <diagonal/>
    </border>
    <border>
      <left/>
      <right/>
      <top/>
      <bottom style="thick">
        <color theme="0" tint="-0.249977111117893"/>
      </bottom>
      <diagonal/>
    </border>
    <border>
      <left/>
      <right/>
      <top/>
      <bottom style="medium">
        <color theme="0" tint="-0.24994659260841701"/>
      </bottom>
      <diagonal/>
    </border>
    <border>
      <left style="medium">
        <color theme="0" tint="-0.24994659260841701"/>
      </left>
      <right/>
      <top/>
      <bottom style="medium">
        <color theme="0" tint="-0.24994659260841701"/>
      </bottom>
      <diagonal/>
    </border>
    <border>
      <left style="double">
        <color theme="0" tint="-0.24994659260841701"/>
      </left>
      <right/>
      <top style="thin">
        <color theme="0" tint="-0.24994659260841701"/>
      </top>
      <bottom style="double">
        <color theme="0" tint="-0.24994659260841701"/>
      </bottom>
      <diagonal/>
    </border>
    <border>
      <left/>
      <right/>
      <top style="thin">
        <color theme="0" tint="-0.24994659260841701"/>
      </top>
      <bottom style="double">
        <color theme="0" tint="-0.24994659260841701"/>
      </bottom>
      <diagonal/>
    </border>
    <border>
      <left/>
      <right style="double">
        <color theme="0" tint="-0.24994659260841701"/>
      </right>
      <top style="thin">
        <color theme="0" tint="-0.24994659260841701"/>
      </top>
      <bottom style="double">
        <color theme="0" tint="-0.24994659260841701"/>
      </bottom>
      <diagonal/>
    </border>
    <border>
      <left/>
      <right style="medium">
        <color theme="0" tint="-0.24994659260841701"/>
      </right>
      <top style="thin">
        <color theme="0" tint="-0.24994659260841701"/>
      </top>
      <bottom style="double">
        <color theme="0" tint="-0.24994659260841701"/>
      </bottom>
      <diagonal/>
    </border>
    <border>
      <left style="double">
        <color theme="0" tint="-0.24994659260841701"/>
      </left>
      <right/>
      <top style="double">
        <color theme="0" tint="-0.24994659260841701"/>
      </top>
      <bottom style="double">
        <color theme="0" tint="-0.24994659260841701"/>
      </bottom>
      <diagonal/>
    </border>
    <border>
      <left/>
      <right style="thin">
        <color theme="0" tint="-0.24994659260841701"/>
      </right>
      <top style="double">
        <color theme="0" tint="-0.24994659260841701"/>
      </top>
      <bottom style="double">
        <color theme="0" tint="-0.24994659260841701"/>
      </bottom>
      <diagonal/>
    </border>
    <border>
      <left/>
      <right style="thin">
        <color indexed="64"/>
      </right>
      <top style="double">
        <color theme="0" tint="-0.24994659260841701"/>
      </top>
      <bottom style="double">
        <color theme="0" tint="-0.24994659260841701"/>
      </bottom>
      <diagonal/>
    </border>
    <border>
      <left style="thin">
        <color indexed="64"/>
      </left>
      <right style="double">
        <color theme="0" tint="-0.24994659260841701"/>
      </right>
      <top style="double">
        <color theme="0" tint="-0.24994659260841701"/>
      </top>
      <bottom style="double">
        <color theme="0" tint="-0.24994659260841701"/>
      </bottom>
      <diagonal/>
    </border>
    <border>
      <left/>
      <right style="double">
        <color theme="0" tint="-0.24994659260841701"/>
      </right>
      <top style="medium">
        <color theme="0" tint="-0.24994659260841701"/>
      </top>
      <bottom/>
      <diagonal/>
    </border>
    <border>
      <left/>
      <right style="double">
        <color theme="0" tint="-0.24994659260841701"/>
      </right>
      <top/>
      <bottom/>
      <diagonal/>
    </border>
    <border>
      <left/>
      <right style="double">
        <color theme="0" tint="-0.24994659260841701"/>
      </right>
      <top/>
      <bottom style="double">
        <color theme="0" tint="-0.24994659260841701"/>
      </bottom>
      <diagonal/>
    </border>
    <border>
      <left style="double">
        <color theme="0" tint="-0.24994659260841701"/>
      </left>
      <right/>
      <top/>
      <bottom style="medium">
        <color theme="0" tint="-0.24994659260841701"/>
      </bottom>
      <diagonal/>
    </border>
    <border>
      <left/>
      <right style="medium">
        <color theme="0" tint="-0.24994659260841701"/>
      </right>
      <top/>
      <bottom style="medium">
        <color theme="0" tint="-0.24994659260841701"/>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medium">
        <color theme="0" tint="-0.24994659260841701"/>
      </right>
      <top style="thin">
        <color theme="0" tint="-0.24994659260841701"/>
      </top>
      <bottom/>
      <diagonal/>
    </border>
    <border>
      <left/>
      <right style="medium">
        <color theme="0" tint="-0.24994659260841701"/>
      </right>
      <top style="double">
        <color theme="0" tint="-0.24994659260841701"/>
      </top>
      <bottom style="double">
        <color theme="0" tint="-0.24994659260841701"/>
      </bottom>
      <diagonal/>
    </border>
    <border>
      <left style="medium">
        <color theme="0" tint="-0.24994659260841701"/>
      </left>
      <right/>
      <top style="double">
        <color theme="0" tint="-0.24994659260841701"/>
      </top>
      <bottom style="double">
        <color theme="0" tint="-0.24994659260841701"/>
      </bottom>
      <diagonal/>
    </border>
    <border>
      <left/>
      <right/>
      <top style="double">
        <color theme="0" tint="-0.24994659260841701"/>
      </top>
      <bottom style="double">
        <color theme="0" tint="-0.24994659260841701"/>
      </bottom>
      <diagonal/>
    </border>
    <border>
      <left style="medium">
        <color indexed="64"/>
      </left>
      <right style="medium">
        <color theme="0" tint="-0.24994659260841701"/>
      </right>
      <top/>
      <bottom/>
      <diagonal/>
    </border>
    <border>
      <left style="medium">
        <color theme="0" tint="-0.24994659260841701"/>
      </left>
      <right/>
      <top style="medium">
        <color theme="0" tint="-0.24994659260841701"/>
      </top>
      <bottom style="thin">
        <color theme="0" tint="-0.24994659260841701"/>
      </bottom>
      <diagonal/>
    </border>
    <border>
      <left style="medium">
        <color theme="0" tint="-0.24994659260841701"/>
      </left>
      <right/>
      <top/>
      <bottom style="dashed">
        <color theme="0" tint="-0.24994659260841701"/>
      </bottom>
      <diagonal/>
    </border>
    <border>
      <left/>
      <right/>
      <top/>
      <bottom style="dashed">
        <color theme="0" tint="-0.24994659260841701"/>
      </bottom>
      <diagonal/>
    </border>
    <border>
      <left/>
      <right style="medium">
        <color auto="1"/>
      </right>
      <top/>
      <bottom style="dashed">
        <color theme="0" tint="-0.24994659260841701"/>
      </bottom>
      <diagonal/>
    </border>
    <border>
      <left style="thin">
        <color theme="0" tint="-0.24994659260841701"/>
      </left>
      <right/>
      <top/>
      <bottom style="thin">
        <color theme="0" tint="-0.24994659260841701"/>
      </bottom>
      <diagonal/>
    </border>
    <border>
      <left style="thin">
        <color theme="0" tint="-0.24994659260841701"/>
      </left>
      <right/>
      <top/>
      <bottom/>
      <diagonal/>
    </border>
    <border>
      <left/>
      <right style="thin">
        <color theme="0" tint="-0.24994659260841701"/>
      </right>
      <top/>
      <bottom/>
      <diagonal/>
    </border>
    <border>
      <left/>
      <right style="medium">
        <color theme="0" tint="-0.24994659260841701"/>
      </right>
      <top/>
      <bottom style="thin">
        <color theme="0" tint="-0.24994659260841701"/>
      </bottom>
      <diagonal/>
    </border>
    <border>
      <left style="double">
        <color theme="0" tint="-0.24994659260841701"/>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style="medium">
        <color theme="0" tint="-0.24994659260841701"/>
      </top>
      <bottom/>
      <diagonal/>
    </border>
    <border>
      <left/>
      <right style="double">
        <color theme="0" tint="-0.24994659260841701"/>
      </right>
      <top/>
      <bottom style="thin">
        <color theme="0" tint="-0.24994659260841701"/>
      </bottom>
      <diagonal/>
    </border>
    <border>
      <left/>
      <right style="double">
        <color theme="0" tint="-0.24994659260841701"/>
      </right>
      <top style="thin">
        <color theme="0" tint="-0.24994659260841701"/>
      </top>
      <bottom/>
      <diagonal/>
    </border>
    <border>
      <left style="medium">
        <color theme="0" tint="-0.24994659260841701"/>
      </left>
      <right/>
      <top style="dashed">
        <color theme="0" tint="-0.24994659260841701"/>
      </top>
      <bottom/>
      <diagonal/>
    </border>
    <border>
      <left/>
      <right/>
      <top style="dashed">
        <color theme="0" tint="-0.24994659260841701"/>
      </top>
      <bottom/>
      <diagonal/>
    </border>
    <border>
      <left/>
      <right style="medium">
        <color auto="1"/>
      </right>
      <top style="dashed">
        <color theme="0" tint="-0.24994659260841701"/>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theme="2" tint="-9.9978637043366805E-2"/>
      </left>
      <right style="thin">
        <color indexed="64"/>
      </right>
      <top style="thin">
        <color indexed="64"/>
      </top>
      <bottom style="thin">
        <color indexed="64"/>
      </bottom>
      <diagonal/>
    </border>
    <border>
      <left style="thin">
        <color theme="2" tint="-9.9978637043366805E-2"/>
      </left>
      <right style="thin">
        <color theme="2" tint="-9.9978637043366805E-2"/>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2" tint="-9.9978637043366805E-2"/>
      </top>
      <bottom style="thin">
        <color indexed="64"/>
      </bottom>
      <diagonal/>
    </border>
    <border>
      <left style="thin">
        <color theme="2" tint="-9.9978637043366805E-2"/>
      </left>
      <right style="thin">
        <color theme="2" tint="-9.9978637043366805E-2"/>
      </right>
      <top style="thin">
        <color indexed="64"/>
      </top>
      <bottom/>
      <diagonal/>
    </border>
    <border>
      <left style="thin">
        <color theme="2" tint="-9.9978637043366805E-2"/>
      </left>
      <right/>
      <top style="thin">
        <color theme="2" tint="-9.9978637043366805E-2"/>
      </top>
      <bottom style="thin">
        <color indexed="64"/>
      </bottom>
      <diagonal/>
    </border>
    <border>
      <left style="thin">
        <color theme="2" tint="-9.9978637043366805E-2"/>
      </left>
      <right style="thin">
        <color theme="2" tint="-9.9978637043366805E-2"/>
      </right>
      <top style="thin">
        <color indexed="64"/>
      </top>
      <bottom style="thin">
        <color theme="2" tint="-9.9978637043366805E-2"/>
      </bottom>
      <diagonal/>
    </border>
    <border>
      <left/>
      <right style="thin">
        <color indexed="64"/>
      </right>
      <top style="thin">
        <color theme="2" tint="-9.9978637043366805E-2"/>
      </top>
      <bottom style="thin">
        <color indexed="64"/>
      </bottom>
      <diagonal/>
    </border>
    <border>
      <left style="thin">
        <color theme="2" tint="-9.9978637043366805E-2"/>
      </left>
      <right style="thin">
        <color theme="2" tint="-9.9978637043366805E-2"/>
      </right>
      <top style="thin">
        <color theme="2" tint="-9.9978637043366805E-2"/>
      </top>
      <bottom style="thin">
        <color indexed="64"/>
      </bottom>
      <diagonal/>
    </border>
    <border>
      <left style="thin">
        <color indexed="64"/>
      </left>
      <right style="thin">
        <color theme="2" tint="-9.9978637043366805E-2"/>
      </right>
      <top style="thin">
        <color indexed="64"/>
      </top>
      <bottom style="thin">
        <color indexed="64"/>
      </bottom>
      <diagonal/>
    </border>
    <border>
      <left style="thin">
        <color indexed="64"/>
      </left>
      <right style="thin">
        <color theme="2" tint="-9.9978637043366805E-2"/>
      </right>
      <top style="thin">
        <color indexed="64"/>
      </top>
      <bottom/>
      <diagonal/>
    </border>
    <border>
      <left style="thin">
        <color indexed="64"/>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style="thin">
        <color theme="2" tint="-9.9978637043366805E-2"/>
      </left>
      <right style="thin">
        <color theme="2" tint="-9.9978637043366805E-2"/>
      </right>
      <top/>
      <bottom style="thin">
        <color indexed="64"/>
      </bottom>
      <diagonal/>
    </border>
    <border>
      <left style="thin">
        <color theme="2" tint="-9.9978637043366805E-2"/>
      </left>
      <right/>
      <top style="thin">
        <color indexed="64"/>
      </top>
      <bottom style="thin">
        <color indexed="64"/>
      </bottom>
      <diagonal/>
    </border>
    <border>
      <left style="thin">
        <color theme="2" tint="-9.9978637043366805E-2"/>
      </left>
      <right style="thin">
        <color indexed="64"/>
      </right>
      <top style="thin">
        <color indexed="64"/>
      </top>
      <bottom style="thin">
        <color theme="2" tint="-9.9978637043366805E-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theme="0" tint="-0.24994659260841701"/>
      </left>
      <right/>
      <top style="double">
        <color theme="0" tint="-0.24994659260841701"/>
      </top>
      <bottom style="thin">
        <color theme="0" tint="-0.24994659260841701"/>
      </bottom>
      <diagonal/>
    </border>
    <border>
      <left/>
      <right style="medium">
        <color theme="0" tint="-0.24994659260841701"/>
      </right>
      <top style="double">
        <color theme="0" tint="-0.24994659260841701"/>
      </top>
      <bottom style="thin">
        <color theme="0" tint="-0.24994659260841701"/>
      </bottom>
      <diagonal/>
    </border>
    <border>
      <left style="thin">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thin">
        <color theme="0" tint="-0.24994659260841701"/>
      </left>
      <right/>
      <top style="double">
        <color theme="0" tint="-0.24994659260841701"/>
      </top>
      <bottom style="thin">
        <color theme="0" tint="-0.24994659260841701"/>
      </bottom>
      <diagonal/>
    </border>
    <border>
      <left style="thin">
        <color theme="0" tint="-0.24994659260841701"/>
      </left>
      <right/>
      <top style="thin">
        <color theme="0" tint="-0.24994659260841701"/>
      </top>
      <bottom style="medium">
        <color theme="0" tint="-0.24994659260841701"/>
      </bottom>
      <diagonal/>
    </border>
    <border>
      <left style="double">
        <color theme="0" tint="-0.24994659260841701"/>
      </left>
      <right/>
      <top style="medium">
        <color theme="0" tint="-0.24994659260841701"/>
      </top>
      <bottom style="medium">
        <color theme="0" tint="-0.24994659260841701"/>
      </bottom>
      <diagonal/>
    </border>
    <border>
      <left/>
      <right style="thin">
        <color theme="0" tint="-0.24994659260841701"/>
      </right>
      <top style="medium">
        <color theme="0" tint="-0.24994659260841701"/>
      </top>
      <bottom style="medium">
        <color theme="0" tint="-0.24994659260841701"/>
      </bottom>
      <diagonal/>
    </border>
    <border>
      <left/>
      <right style="double">
        <color theme="0" tint="-0.24994659260841701"/>
      </right>
      <top style="thin">
        <color theme="0" tint="-0.24994659260841701"/>
      </top>
      <bottom style="medium">
        <color theme="0" tint="-0.24994659260841701"/>
      </bottom>
      <diagonal/>
    </border>
    <border>
      <left/>
      <right style="thin">
        <color theme="0" tint="-0.24994659260841701"/>
      </right>
      <top style="double">
        <color theme="0" tint="-0.24994659260841701"/>
      </top>
      <bottom style="thin">
        <color theme="0" tint="-0.24994659260841701"/>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dotted">
        <color indexed="64"/>
      </bottom>
      <diagonal/>
    </border>
    <border>
      <left style="double">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double">
        <color indexed="64"/>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right style="double">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double">
        <color indexed="64"/>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double">
        <color indexed="64"/>
      </left>
      <right style="thin">
        <color indexed="64"/>
      </right>
      <top/>
      <bottom style="dotted">
        <color indexed="64"/>
      </bottom>
      <diagonal/>
    </border>
    <border>
      <left style="thin">
        <color indexed="64"/>
      </left>
      <right style="double">
        <color indexed="64"/>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top style="dotted">
        <color indexed="64"/>
      </top>
      <bottom style="double">
        <color indexed="64"/>
      </bottom>
      <diagonal/>
    </border>
    <border>
      <left style="double">
        <color indexed="64"/>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double">
        <color indexed="64"/>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right/>
      <top/>
      <bottom style="dotted">
        <color indexed="64"/>
      </bottom>
      <diagonal/>
    </border>
    <border>
      <left/>
      <right/>
      <top style="dotted">
        <color indexed="64"/>
      </top>
      <bottom style="double">
        <color indexed="64"/>
      </bottom>
      <diagonal/>
    </border>
    <border>
      <left/>
      <right/>
      <top style="dotted">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right/>
      <top style="medium">
        <color theme="0" tint="-0.14993743705557422"/>
      </top>
      <bottom style="medium">
        <color theme="0" tint="-0.14993743705557422"/>
      </bottom>
      <diagonal/>
    </border>
    <border>
      <left/>
      <right style="medium">
        <color theme="0" tint="-0.14993743705557422"/>
      </right>
      <top style="medium">
        <color theme="0" tint="-0.14993743705557422"/>
      </top>
      <bottom style="medium">
        <color theme="0" tint="-0.14993743705557422"/>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14993743705557422"/>
      </left>
      <right/>
      <top style="medium">
        <color theme="0" tint="-0.14993743705557422"/>
      </top>
      <bottom style="medium">
        <color theme="0" tint="-0.14993743705557422"/>
      </bottom>
      <diagonal/>
    </border>
    <border>
      <left/>
      <right style="medium">
        <color theme="0" tint="-0.24994659260841701"/>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3">
    <xf numFmtId="0" fontId="0" fillId="0" borderId="0">
      <alignment vertical="center"/>
    </xf>
    <xf numFmtId="0" fontId="2" fillId="0" borderId="0">
      <alignment vertical="center"/>
    </xf>
    <xf numFmtId="0" fontId="60" fillId="0" borderId="0" applyNumberFormat="0" applyFill="0" applyBorder="0" applyAlignment="0" applyProtection="0">
      <alignment vertical="center"/>
    </xf>
  </cellStyleXfs>
  <cellXfs count="970">
    <xf numFmtId="0" fontId="0" fillId="0" borderId="0" xfId="0">
      <alignment vertical="center"/>
    </xf>
    <xf numFmtId="0" fontId="6" fillId="0" borderId="0" xfId="0" applyFont="1" applyAlignment="1" applyProtection="1">
      <alignment horizontal="center" vertical="center"/>
      <protection locked="0"/>
    </xf>
    <xf numFmtId="0" fontId="6" fillId="0" borderId="0" xfId="0" quotePrefix="1" applyFont="1" applyAlignment="1" applyProtection="1">
      <alignment horizontal="center" vertical="center"/>
      <protection locked="0"/>
    </xf>
    <xf numFmtId="176" fontId="6" fillId="0" borderId="0" xfId="0" applyNumberFormat="1" applyFont="1" applyProtection="1">
      <alignment vertical="center"/>
      <protection locked="0"/>
    </xf>
    <xf numFmtId="0" fontId="0" fillId="0" borderId="0" xfId="0" applyAlignment="1">
      <alignment vertical="center" shrinkToFit="1"/>
    </xf>
    <xf numFmtId="0" fontId="0" fillId="0" borderId="0" xfId="0" applyAlignment="1">
      <alignment horizontal="center" vertical="center"/>
    </xf>
    <xf numFmtId="0" fontId="0" fillId="0" borderId="0" xfId="0" applyAlignment="1">
      <alignment horizontal="center" vertical="center" shrinkToFit="1"/>
    </xf>
    <xf numFmtId="0" fontId="0" fillId="0" borderId="0" xfId="0" applyAlignment="1">
      <alignment horizontal="left" vertical="center" shrinkToFit="1"/>
    </xf>
    <xf numFmtId="0" fontId="19" fillId="0" borderId="0" xfId="0" applyFont="1">
      <alignment vertical="center"/>
    </xf>
    <xf numFmtId="178" fontId="6" fillId="0" borderId="0" xfId="0" applyNumberFormat="1" applyFont="1" applyAlignment="1" applyProtection="1">
      <alignment horizontal="center" vertical="center"/>
      <protection locked="0"/>
    </xf>
    <xf numFmtId="0" fontId="0" fillId="0" borderId="0" xfId="0" quotePrefix="1" applyAlignment="1">
      <alignment horizontal="center" vertical="center" shrinkToFit="1"/>
    </xf>
    <xf numFmtId="0" fontId="31" fillId="0" borderId="0" xfId="0" applyFont="1">
      <alignment vertical="center"/>
    </xf>
    <xf numFmtId="0" fontId="31" fillId="0" borderId="0" xfId="0" applyFont="1" applyAlignment="1">
      <alignment horizontal="center" vertical="center"/>
    </xf>
    <xf numFmtId="0" fontId="18" fillId="0" borderId="0" xfId="0" applyFont="1" applyAlignment="1">
      <alignment horizontal="center" vertical="center"/>
    </xf>
    <xf numFmtId="0" fontId="0" fillId="0" borderId="0" xfId="0" applyAlignment="1">
      <alignment horizontal="left" vertical="center"/>
    </xf>
    <xf numFmtId="184" fontId="0" fillId="0" borderId="0" xfId="0" applyNumberFormat="1">
      <alignment vertical="center"/>
    </xf>
    <xf numFmtId="0" fontId="52" fillId="0" borderId="0" xfId="0" applyFont="1" applyAlignment="1" applyProtection="1">
      <alignment horizontal="center" vertical="center" shrinkToFit="1"/>
      <protection locked="0"/>
    </xf>
    <xf numFmtId="14" fontId="52" fillId="0" borderId="0" xfId="0" applyNumberFormat="1" applyFont="1" applyAlignment="1" applyProtection="1">
      <alignment horizontal="center" vertical="center" shrinkToFit="1"/>
      <protection locked="0"/>
    </xf>
    <xf numFmtId="0" fontId="6" fillId="0" borderId="0" xfId="0" applyFont="1" applyAlignment="1" applyProtection="1">
      <alignment horizontal="left" vertical="center"/>
      <protection locked="0"/>
    </xf>
    <xf numFmtId="0" fontId="19" fillId="0" borderId="0" xfId="0" applyFont="1" applyAlignment="1">
      <alignment horizontal="center" vertical="center" shrinkToFit="1"/>
    </xf>
    <xf numFmtId="0" fontId="19" fillId="0" borderId="0" xfId="0" applyFont="1" applyAlignment="1">
      <alignment vertical="center" shrinkToFit="1"/>
    </xf>
    <xf numFmtId="0" fontId="19" fillId="0" borderId="0" xfId="0" applyFont="1" applyAlignment="1">
      <alignment vertical="center" wrapText="1"/>
    </xf>
    <xf numFmtId="0" fontId="19" fillId="0" borderId="0" xfId="0" applyFont="1" applyProtection="1">
      <alignment vertical="center"/>
      <protection hidden="1"/>
    </xf>
    <xf numFmtId="0" fontId="26" fillId="0" borderId="0" xfId="0" applyFont="1" applyAlignment="1" applyProtection="1">
      <alignment horizontal="center" vertical="center" shrinkToFit="1"/>
      <protection hidden="1"/>
    </xf>
    <xf numFmtId="0" fontId="27" fillId="0" borderId="0" xfId="0" applyFont="1" applyAlignment="1" applyProtection="1">
      <protection hidden="1"/>
    </xf>
    <xf numFmtId="0" fontId="14" fillId="0" borderId="0" xfId="0" applyFont="1" applyAlignment="1" applyProtection="1">
      <protection hidden="1"/>
    </xf>
    <xf numFmtId="0" fontId="14" fillId="0" borderId="0" xfId="0" applyFont="1" applyAlignment="1" applyProtection="1">
      <alignment horizontal="left" wrapText="1"/>
      <protection hidden="1"/>
    </xf>
    <xf numFmtId="179" fontId="11" fillId="0" borderId="0" xfId="0" applyNumberFormat="1" applyFont="1" applyAlignment="1" applyProtection="1">
      <alignment horizontal="center" vertical="center" wrapText="1"/>
      <protection hidden="1"/>
    </xf>
    <xf numFmtId="179" fontId="9" fillId="0" borderId="0" xfId="0" applyNumberFormat="1" applyFont="1" applyAlignment="1" applyProtection="1">
      <alignment horizontal="center" vertical="center" wrapText="1"/>
      <protection hidden="1"/>
    </xf>
    <xf numFmtId="10" fontId="46" fillId="0" borderId="0" xfId="0" applyNumberFormat="1" applyFont="1" applyAlignment="1" applyProtection="1">
      <alignment horizontal="left"/>
      <protection hidden="1"/>
    </xf>
    <xf numFmtId="10" fontId="9" fillId="0" borderId="0" xfId="0" applyNumberFormat="1" applyFont="1" applyAlignment="1" applyProtection="1">
      <alignment horizontal="center" wrapText="1"/>
      <protection hidden="1"/>
    </xf>
    <xf numFmtId="10" fontId="11" fillId="0" borderId="0" xfId="0" applyNumberFormat="1" applyFont="1" applyAlignment="1" applyProtection="1">
      <alignment horizontal="center" wrapText="1"/>
      <protection hidden="1"/>
    </xf>
    <xf numFmtId="10" fontId="47" fillId="0" borderId="0" xfId="0" applyNumberFormat="1" applyFont="1" applyAlignment="1" applyProtection="1">
      <alignment horizontal="left"/>
      <protection hidden="1"/>
    </xf>
    <xf numFmtId="10" fontId="11" fillId="0" borderId="0" xfId="0" applyNumberFormat="1" applyFont="1" applyAlignment="1" applyProtection="1">
      <alignment horizontal="center" vertical="center" wrapText="1"/>
      <protection hidden="1"/>
    </xf>
    <xf numFmtId="10" fontId="12" fillId="0" borderId="0" xfId="0" applyNumberFormat="1" applyFont="1" applyAlignment="1" applyProtection="1">
      <alignment horizontal="center" vertical="center" wrapText="1"/>
      <protection hidden="1"/>
    </xf>
    <xf numFmtId="0" fontId="22" fillId="0" borderId="0" xfId="0" applyFont="1" applyProtection="1">
      <alignment vertical="center"/>
      <protection hidden="1"/>
    </xf>
    <xf numFmtId="10" fontId="7" fillId="0" borderId="0" xfId="0" applyNumberFormat="1" applyFont="1" applyAlignment="1" applyProtection="1">
      <protection hidden="1"/>
    </xf>
    <xf numFmtId="0" fontId="23" fillId="0" borderId="0" xfId="0" applyFont="1" applyAlignment="1" applyProtection="1">
      <alignment vertical="center" shrinkToFit="1"/>
      <protection hidden="1"/>
    </xf>
    <xf numFmtId="10" fontId="8" fillId="0" borderId="0" xfId="0" applyNumberFormat="1" applyFont="1" applyAlignment="1" applyProtection="1">
      <alignment vertical="center" textRotation="255" shrinkToFit="1"/>
      <protection hidden="1"/>
    </xf>
    <xf numFmtId="185" fontId="8" fillId="0" borderId="0" xfId="0" applyNumberFormat="1" applyFont="1" applyAlignment="1" applyProtection="1">
      <alignment vertical="center" shrinkToFit="1"/>
      <protection hidden="1"/>
    </xf>
    <xf numFmtId="10" fontId="22" fillId="0" borderId="0" xfId="0" applyNumberFormat="1" applyFont="1" applyProtection="1">
      <alignment vertical="center"/>
      <protection hidden="1"/>
    </xf>
    <xf numFmtId="10" fontId="23" fillId="0" borderId="0" xfId="0" applyNumberFormat="1" applyFont="1" applyAlignment="1" applyProtection="1">
      <alignment horizontal="left" vertical="center" wrapText="1"/>
      <protection hidden="1"/>
    </xf>
    <xf numFmtId="10" fontId="23" fillId="0" borderId="0" xfId="0" applyNumberFormat="1" applyFont="1" applyAlignment="1" applyProtection="1">
      <alignment horizontal="center" vertical="center" wrapText="1"/>
      <protection hidden="1"/>
    </xf>
    <xf numFmtId="10" fontId="24" fillId="0" borderId="0" xfId="0" applyNumberFormat="1" applyFont="1" applyAlignment="1" applyProtection="1">
      <alignment vertical="center" wrapText="1"/>
      <protection hidden="1"/>
    </xf>
    <xf numFmtId="10" fontId="8" fillId="0" borderId="0" xfId="0" applyNumberFormat="1" applyFont="1" applyAlignment="1" applyProtection="1">
      <alignment vertical="center" shrinkToFit="1"/>
      <protection hidden="1"/>
    </xf>
    <xf numFmtId="10" fontId="11" fillId="0" borderId="0" xfId="0" applyNumberFormat="1" applyFont="1" applyAlignment="1" applyProtection="1">
      <alignment horizontal="left" vertical="center" wrapText="1" indent="2"/>
      <protection hidden="1"/>
    </xf>
    <xf numFmtId="10" fontId="9" fillId="0" borderId="0" xfId="0" applyNumberFormat="1" applyFont="1" applyAlignment="1" applyProtection="1">
      <alignment horizontal="center" vertical="center" wrapText="1"/>
      <protection hidden="1"/>
    </xf>
    <xf numFmtId="10" fontId="14" fillId="0" borderId="0" xfId="0" applyNumberFormat="1" applyFont="1" applyAlignment="1" applyProtection="1">
      <alignment vertical="center" wrapText="1"/>
      <protection hidden="1"/>
    </xf>
    <xf numFmtId="0" fontId="8" fillId="0" borderId="0" xfId="0" applyFont="1" applyAlignment="1" applyProtection="1">
      <alignment horizontal="left" vertical="top"/>
      <protection hidden="1"/>
    </xf>
    <xf numFmtId="0" fontId="8" fillId="0" borderId="0" xfId="0" applyFont="1" applyAlignment="1" applyProtection="1">
      <alignment vertical="top"/>
      <protection hidden="1"/>
    </xf>
    <xf numFmtId="0" fontId="23" fillId="0" borderId="0" xfId="0" applyFont="1" applyAlignment="1" applyProtection="1">
      <alignment horizontal="center" vertical="center"/>
      <protection hidden="1"/>
    </xf>
    <xf numFmtId="10" fontId="22" fillId="0" borderId="0" xfId="0" applyNumberFormat="1" applyFont="1" applyAlignment="1" applyProtection="1">
      <alignment horizontal="center" vertical="center"/>
      <protection hidden="1"/>
    </xf>
    <xf numFmtId="0" fontId="27" fillId="0" borderId="0" xfId="0" applyFont="1" applyProtection="1">
      <alignment vertical="center"/>
      <protection hidden="1"/>
    </xf>
    <xf numFmtId="0" fontId="17" fillId="0" borderId="0" xfId="0" applyFont="1" applyAlignment="1" applyProtection="1">
      <alignment shrinkToFit="1"/>
      <protection hidden="1"/>
    </xf>
    <xf numFmtId="0" fontId="8" fillId="0" borderId="8" xfId="0" applyFont="1" applyBorder="1" applyProtection="1">
      <alignment vertical="center"/>
      <protection hidden="1"/>
    </xf>
    <xf numFmtId="0" fontId="12" fillId="0" borderId="0" xfId="0" applyFont="1" applyAlignment="1" applyProtection="1">
      <alignment vertical="center" wrapText="1"/>
      <protection hidden="1"/>
    </xf>
    <xf numFmtId="181" fontId="12" fillId="0" borderId="0" xfId="0" applyNumberFormat="1" applyFont="1" applyProtection="1">
      <alignment vertical="center"/>
      <protection hidden="1"/>
    </xf>
    <xf numFmtId="0" fontId="16" fillId="0" borderId="0" xfId="0" applyFont="1" applyProtection="1">
      <alignment vertical="center"/>
      <protection hidden="1"/>
    </xf>
    <xf numFmtId="181" fontId="12" fillId="0" borderId="0" xfId="0" applyNumberFormat="1" applyFont="1" applyAlignment="1" applyProtection="1">
      <alignment vertical="center" shrinkToFit="1"/>
      <protection hidden="1"/>
    </xf>
    <xf numFmtId="183" fontId="12" fillId="0" borderId="0" xfId="0" applyNumberFormat="1" applyFont="1" applyProtection="1">
      <alignment vertical="center"/>
      <protection hidden="1"/>
    </xf>
    <xf numFmtId="10" fontId="18" fillId="0" borderId="0" xfId="0" applyNumberFormat="1" applyFont="1" applyAlignment="1" applyProtection="1">
      <alignment vertical="center" shrinkToFit="1"/>
      <protection hidden="1"/>
    </xf>
    <xf numFmtId="10" fontId="18" fillId="0" borderId="0" xfId="0" applyNumberFormat="1" applyFont="1" applyAlignment="1" applyProtection="1">
      <alignment horizontal="center" vertical="center" shrinkToFit="1"/>
      <protection hidden="1"/>
    </xf>
    <xf numFmtId="0" fontId="20" fillId="0" borderId="0" xfId="0" applyFont="1" applyProtection="1">
      <alignment vertical="center"/>
      <protection hidden="1"/>
    </xf>
    <xf numFmtId="0" fontId="10" fillId="0" borderId="0" xfId="0" applyFont="1" applyAlignment="1" applyProtection="1">
      <alignment vertical="center" textRotation="255"/>
      <protection hidden="1"/>
    </xf>
    <xf numFmtId="0" fontId="55" fillId="0" borderId="0" xfId="0" applyFont="1" applyAlignment="1">
      <alignment horizontal="center" vertical="center" shrinkToFit="1"/>
    </xf>
    <xf numFmtId="0" fontId="55" fillId="0" borderId="0" xfId="0" applyFont="1" applyAlignment="1">
      <alignment horizontal="left" vertical="center" shrinkToFit="1"/>
    </xf>
    <xf numFmtId="0" fontId="55" fillId="0" borderId="0" xfId="0" applyFont="1">
      <alignment vertical="center"/>
    </xf>
    <xf numFmtId="0" fontId="55" fillId="0" borderId="0" xfId="0" quotePrefix="1" applyFont="1" applyAlignment="1">
      <alignment horizontal="center" vertical="center" shrinkToFit="1"/>
    </xf>
    <xf numFmtId="0" fontId="21" fillId="0" borderId="0" xfId="0" applyFont="1" applyAlignment="1">
      <alignment horizontal="left" vertical="center"/>
    </xf>
    <xf numFmtId="0" fontId="55" fillId="0" borderId="0" xfId="0" applyFont="1" applyAlignment="1">
      <alignment vertical="center" shrinkToFit="1"/>
    </xf>
    <xf numFmtId="0" fontId="55" fillId="0" borderId="0" xfId="0" applyFont="1" applyAlignment="1">
      <alignment horizontal="center" vertical="center"/>
    </xf>
    <xf numFmtId="178" fontId="5" fillId="18" borderId="1" xfId="0" applyNumberFormat="1" applyFont="1" applyFill="1" applyBorder="1" applyAlignment="1" applyProtection="1">
      <alignment horizontal="center" vertical="center" wrapText="1"/>
      <protection locked="0"/>
    </xf>
    <xf numFmtId="0" fontId="59" fillId="17" borderId="164" xfId="0" applyFont="1" applyFill="1" applyBorder="1" applyAlignment="1">
      <alignment horizontal="center" vertical="center" shrinkToFit="1"/>
    </xf>
    <xf numFmtId="0" fontId="59" fillId="17" borderId="167" xfId="0" applyFont="1" applyFill="1" applyBorder="1" applyAlignment="1">
      <alignment horizontal="center" vertical="center" shrinkToFit="1"/>
    </xf>
    <xf numFmtId="0" fontId="19" fillId="0" borderId="3" xfId="0" applyFont="1" applyBorder="1" applyProtection="1">
      <alignment vertical="center"/>
      <protection hidden="1"/>
    </xf>
    <xf numFmtId="0" fontId="41" fillId="0" borderId="16" xfId="0" applyFont="1" applyBorder="1" applyProtection="1">
      <alignment vertical="center"/>
      <protection hidden="1"/>
    </xf>
    <xf numFmtId="0" fontId="19" fillId="0" borderId="16" xfId="0" applyFont="1" applyBorder="1" applyProtection="1">
      <alignment vertical="center"/>
      <protection hidden="1"/>
    </xf>
    <xf numFmtId="0" fontId="43" fillId="0" borderId="0" xfId="0" applyFont="1" applyAlignment="1" applyProtection="1">
      <protection hidden="1"/>
    </xf>
    <xf numFmtId="0" fontId="44" fillId="0" borderId="0" xfId="0" applyFont="1" applyProtection="1">
      <alignment vertical="center"/>
      <protection hidden="1"/>
    </xf>
    <xf numFmtId="0" fontId="34" fillId="0" borderId="0" xfId="0" applyFont="1" applyAlignment="1" applyProtection="1">
      <alignment vertical="center" wrapText="1"/>
      <protection hidden="1"/>
    </xf>
    <xf numFmtId="0" fontId="30" fillId="0" borderId="0" xfId="0" applyFont="1" applyAlignment="1" applyProtection="1">
      <alignment horizontal="center" vertical="top"/>
      <protection hidden="1"/>
    </xf>
    <xf numFmtId="0" fontId="25" fillId="0" borderId="16" xfId="0" applyFont="1" applyBorder="1" applyAlignment="1" applyProtection="1">
      <alignment vertical="center" shrinkToFit="1"/>
      <protection hidden="1"/>
    </xf>
    <xf numFmtId="14" fontId="13" fillId="0" borderId="16" xfId="0" applyNumberFormat="1" applyFont="1" applyBorder="1" applyAlignment="1" applyProtection="1">
      <alignment horizontal="left" vertical="center" indent="1"/>
      <protection locked="0" hidden="1"/>
    </xf>
    <xf numFmtId="0" fontId="13" fillId="0" borderId="16" xfId="0" applyFont="1" applyBorder="1" applyProtection="1">
      <alignment vertical="center"/>
      <protection hidden="1"/>
    </xf>
    <xf numFmtId="0" fontId="7" fillId="0" borderId="16" xfId="0" applyFont="1" applyBorder="1" applyAlignment="1" applyProtection="1">
      <alignment vertical="center" shrinkToFit="1"/>
      <protection hidden="1"/>
    </xf>
    <xf numFmtId="0" fontId="25" fillId="0" borderId="0" xfId="0" applyFont="1" applyAlignment="1" applyProtection="1">
      <alignment vertical="center" shrinkToFit="1"/>
      <protection hidden="1"/>
    </xf>
    <xf numFmtId="14" fontId="13" fillId="0" borderId="0" xfId="0" applyNumberFormat="1" applyFont="1" applyAlignment="1" applyProtection="1">
      <alignment horizontal="left" vertical="center" indent="1"/>
      <protection locked="0" hidden="1"/>
    </xf>
    <xf numFmtId="0" fontId="13" fillId="0" borderId="0" xfId="0" applyFont="1" applyProtection="1">
      <alignment vertical="center"/>
      <protection hidden="1"/>
    </xf>
    <xf numFmtId="0" fontId="7" fillId="0" borderId="0" xfId="0" applyFont="1" applyAlignment="1" applyProtection="1">
      <alignment vertical="center" shrinkToFit="1"/>
      <protection hidden="1"/>
    </xf>
    <xf numFmtId="0" fontId="54" fillId="0" borderId="5" xfId="0" quotePrefix="1" applyFont="1" applyBorder="1" applyAlignment="1" applyProtection="1">
      <alignment horizontal="center" vertical="center"/>
      <protection hidden="1"/>
    </xf>
    <xf numFmtId="0" fontId="43" fillId="0" borderId="0" xfId="0" applyFont="1" applyProtection="1">
      <alignment vertical="center"/>
      <protection hidden="1"/>
    </xf>
    <xf numFmtId="0" fontId="34" fillId="0" borderId="0" xfId="0" applyFont="1" applyAlignment="1" applyProtection="1">
      <alignment horizontal="left" vertical="top" wrapText="1"/>
      <protection hidden="1"/>
    </xf>
    <xf numFmtId="0" fontId="34" fillId="0" borderId="6" xfId="0" applyFont="1" applyBorder="1" applyAlignment="1" applyProtection="1">
      <alignment vertical="top" wrapText="1"/>
      <protection hidden="1"/>
    </xf>
    <xf numFmtId="0" fontId="49" fillId="0" borderId="142" xfId="0" applyFont="1" applyBorder="1" applyAlignment="1" applyProtection="1">
      <alignment vertical="top" wrapText="1"/>
      <protection hidden="1"/>
    </xf>
    <xf numFmtId="0" fontId="49" fillId="0" borderId="0" xfId="0" applyFont="1" applyAlignment="1" applyProtection="1">
      <alignment horizontal="left" vertical="top" wrapText="1"/>
      <protection hidden="1"/>
    </xf>
    <xf numFmtId="0" fontId="34" fillId="0" borderId="154" xfId="0" applyFont="1" applyBorder="1" applyAlignment="1" applyProtection="1">
      <alignment vertical="top" wrapText="1"/>
      <protection hidden="1"/>
    </xf>
    <xf numFmtId="0" fontId="34" fillId="0" borderId="154" xfId="0" applyFont="1" applyBorder="1" applyAlignment="1" applyProtection="1">
      <alignment vertical="center" wrapText="1"/>
      <protection hidden="1"/>
    </xf>
    <xf numFmtId="0" fontId="34" fillId="0" borderId="0" xfId="0" applyFont="1" applyAlignment="1" applyProtection="1">
      <alignment horizontal="left" vertical="center" wrapText="1"/>
      <protection hidden="1"/>
    </xf>
    <xf numFmtId="0" fontId="49" fillId="0" borderId="142" xfId="0" applyFont="1" applyBorder="1" applyAlignment="1" applyProtection="1">
      <alignment vertical="top" shrinkToFit="1"/>
      <protection hidden="1"/>
    </xf>
    <xf numFmtId="0" fontId="49" fillId="0" borderId="0" xfId="0" applyFont="1" applyAlignment="1" applyProtection="1">
      <alignment horizontal="left" vertical="top" shrinkToFit="1"/>
      <protection hidden="1"/>
    </xf>
    <xf numFmtId="0" fontId="50" fillId="0" borderId="154" xfId="0" applyFont="1" applyBorder="1" applyAlignment="1" applyProtection="1">
      <alignment vertical="center" wrapText="1"/>
      <protection hidden="1"/>
    </xf>
    <xf numFmtId="0" fontId="50" fillId="0" borderId="0" xfId="0" applyFont="1" applyAlignment="1" applyProtection="1">
      <alignment horizontal="left" vertical="center" wrapText="1"/>
      <protection hidden="1"/>
    </xf>
    <xf numFmtId="0" fontId="8" fillId="0" borderId="16" xfId="0" applyFont="1" applyBorder="1" applyAlignment="1" applyProtection="1">
      <alignment vertical="center" shrinkToFit="1"/>
      <protection hidden="1"/>
    </xf>
    <xf numFmtId="0" fontId="8" fillId="0" borderId="0" xfId="0" applyFont="1" applyAlignment="1" applyProtection="1">
      <alignment vertical="center" shrinkToFit="1"/>
      <protection hidden="1"/>
    </xf>
    <xf numFmtId="0" fontId="34" fillId="0" borderId="0" xfId="0" applyFont="1" applyAlignment="1" applyProtection="1">
      <alignment vertical="top" wrapText="1"/>
      <protection hidden="1"/>
    </xf>
    <xf numFmtId="0" fontId="33" fillId="0" borderId="0" xfId="0" applyFont="1" applyAlignment="1" applyProtection="1">
      <alignment vertical="top" wrapText="1"/>
      <protection hidden="1"/>
    </xf>
    <xf numFmtId="0" fontId="33" fillId="0" borderId="0" xfId="0" applyFont="1" applyAlignment="1" applyProtection="1">
      <alignment vertical="center" wrapText="1"/>
      <protection hidden="1"/>
    </xf>
    <xf numFmtId="0" fontId="5" fillId="0" borderId="6" xfId="0" applyFont="1" applyBorder="1" applyAlignment="1" applyProtection="1">
      <alignment horizontal="left" vertical="top" wrapText="1"/>
      <protection hidden="1"/>
    </xf>
    <xf numFmtId="0" fontId="5" fillId="0" borderId="0" xfId="0" applyFont="1" applyAlignment="1" applyProtection="1">
      <alignment horizontal="left" vertical="top" wrapText="1"/>
      <protection hidden="1"/>
    </xf>
    <xf numFmtId="0" fontId="38" fillId="0" borderId="36" xfId="0" applyFont="1" applyBorder="1" applyAlignment="1" applyProtection="1">
      <alignment horizontal="center" vertical="top" wrapText="1"/>
      <protection hidden="1"/>
    </xf>
    <xf numFmtId="0" fontId="38" fillId="0" borderId="0" xfId="0" applyFont="1" applyAlignment="1" applyProtection="1">
      <alignment horizontal="center" vertical="top" wrapText="1"/>
      <protection hidden="1"/>
    </xf>
    <xf numFmtId="0" fontId="10" fillId="0" borderId="0" xfId="0" applyFont="1" applyAlignment="1" applyProtection="1">
      <alignment vertical="top" wrapText="1"/>
      <protection hidden="1"/>
    </xf>
    <xf numFmtId="0" fontId="10" fillId="0" borderId="0" xfId="0" applyFont="1" applyAlignment="1" applyProtection="1">
      <alignment vertical="center" wrapText="1"/>
      <protection hidden="1"/>
    </xf>
    <xf numFmtId="0" fontId="10" fillId="0" borderId="0" xfId="0" applyFont="1" applyAlignment="1" applyProtection="1">
      <alignment horizontal="left" vertical="center" wrapText="1"/>
      <protection hidden="1"/>
    </xf>
    <xf numFmtId="177" fontId="29" fillId="0" borderId="0" xfId="0" applyNumberFormat="1" applyFont="1" applyAlignment="1" applyProtection="1">
      <alignment horizontal="center" vertical="center" wrapText="1"/>
      <protection hidden="1"/>
    </xf>
    <xf numFmtId="176" fontId="53" fillId="0" borderId="0" xfId="0" applyNumberFormat="1" applyFont="1" applyAlignment="1" applyProtection="1">
      <alignment horizontal="center" vertical="center" shrinkToFit="1"/>
      <protection hidden="1"/>
    </xf>
    <xf numFmtId="176" fontId="53" fillId="0" borderId="0" xfId="0" applyNumberFormat="1" applyFont="1" applyAlignment="1" applyProtection="1">
      <alignment vertical="center" shrinkToFit="1"/>
      <protection hidden="1"/>
    </xf>
    <xf numFmtId="192" fontId="53" fillId="0" borderId="0" xfId="0" applyNumberFormat="1" applyFont="1" applyAlignment="1" applyProtection="1">
      <alignment vertical="center" shrinkToFit="1"/>
      <protection hidden="1"/>
    </xf>
    <xf numFmtId="0" fontId="48" fillId="0" borderId="0" xfId="0" applyFont="1" applyAlignment="1" applyProtection="1">
      <protection hidden="1"/>
    </xf>
    <xf numFmtId="49" fontId="6" fillId="0" borderId="0" xfId="0" applyNumberFormat="1" applyFont="1" applyAlignment="1" applyProtection="1">
      <alignment horizontal="center" vertical="center"/>
      <protection locked="0"/>
    </xf>
    <xf numFmtId="49" fontId="55" fillId="0" borderId="0" xfId="0" quotePrefix="1" applyNumberFormat="1" applyFont="1" applyAlignment="1">
      <alignment vertical="center" shrinkToFit="1"/>
    </xf>
    <xf numFmtId="0" fontId="55" fillId="0" borderId="0" xfId="0" quotePrefix="1" applyFont="1" applyAlignment="1">
      <alignment vertical="center" shrinkToFit="1"/>
    </xf>
    <xf numFmtId="184" fontId="55" fillId="0" borderId="0" xfId="0" applyNumberFormat="1" applyFont="1" applyAlignment="1">
      <alignment vertical="center" shrinkToFit="1"/>
    </xf>
    <xf numFmtId="0" fontId="59" fillId="17" borderId="162" xfId="0" applyFont="1" applyFill="1" applyBorder="1" applyAlignment="1">
      <alignment horizontal="center" vertical="center" wrapText="1" shrinkToFit="1"/>
    </xf>
    <xf numFmtId="0" fontId="19" fillId="0" borderId="0" xfId="0" applyFont="1" applyAlignment="1">
      <alignment vertical="center" wrapText="1" shrinkToFit="1"/>
    </xf>
    <xf numFmtId="0" fontId="19" fillId="0" borderId="0" xfId="0" applyFont="1" applyAlignment="1">
      <alignment horizontal="left" vertical="center" wrapText="1" shrinkToFit="1"/>
    </xf>
    <xf numFmtId="0" fontId="7" fillId="0" borderId="0" xfId="0" applyFont="1" applyAlignment="1" applyProtection="1">
      <alignment horizontal="right" vertical="center" textRotation="255"/>
      <protection hidden="1"/>
    </xf>
    <xf numFmtId="0" fontId="21" fillId="2" borderId="0" xfId="0" applyFont="1" applyFill="1" applyAlignment="1">
      <alignment horizontal="center" vertical="center" shrinkToFit="1"/>
    </xf>
    <xf numFmtId="0" fontId="63" fillId="0" borderId="0" xfId="0" applyFont="1" applyAlignment="1" applyProtection="1">
      <alignment vertical="top" wrapText="1"/>
      <protection hidden="1"/>
    </xf>
    <xf numFmtId="49" fontId="31" fillId="0" borderId="0" xfId="0" applyNumberFormat="1" applyFont="1">
      <alignment vertical="center"/>
    </xf>
    <xf numFmtId="192" fontId="31" fillId="0" borderId="0" xfId="0" applyNumberFormat="1" applyFont="1">
      <alignment vertical="center"/>
    </xf>
    <xf numFmtId="0" fontId="67" fillId="0" borderId="0" xfId="0" applyFont="1" applyAlignment="1">
      <alignment horizontal="center" vertical="center" shrinkToFit="1"/>
    </xf>
    <xf numFmtId="0" fontId="68" fillId="0" borderId="0" xfId="0" applyFont="1">
      <alignment vertical="center"/>
    </xf>
    <xf numFmtId="0" fontId="68" fillId="0" borderId="0" xfId="0" applyFont="1" applyAlignment="1">
      <alignment horizontal="center" vertical="center" shrinkToFit="1"/>
    </xf>
    <xf numFmtId="0" fontId="70" fillId="0" borderId="0" xfId="0" applyFont="1" applyAlignment="1">
      <alignment horizontal="center" vertical="center" shrinkToFit="1"/>
    </xf>
    <xf numFmtId="0" fontId="19" fillId="0" borderId="0" xfId="0" applyFont="1" applyAlignment="1" applyProtection="1">
      <alignment horizontal="center" vertical="center" shrinkToFit="1"/>
      <protection hidden="1"/>
    </xf>
    <xf numFmtId="0" fontId="8" fillId="0" borderId="0" xfId="0" applyFont="1" applyProtection="1">
      <alignment vertical="center"/>
      <protection hidden="1"/>
    </xf>
    <xf numFmtId="0" fontId="19" fillId="0" borderId="0" xfId="0" applyFont="1" applyAlignment="1" applyProtection="1">
      <alignment vertical="center" shrinkToFit="1"/>
      <protection hidden="1"/>
    </xf>
    <xf numFmtId="0" fontId="19" fillId="0" borderId="0" xfId="0" applyFont="1" applyAlignment="1" applyProtection="1">
      <alignment horizontal="center" vertical="center"/>
      <protection hidden="1"/>
    </xf>
    <xf numFmtId="0" fontId="19" fillId="0" borderId="0" xfId="0" applyFont="1" applyAlignment="1" applyProtection="1">
      <alignment horizontal="left" vertical="center"/>
      <protection hidden="1"/>
    </xf>
    <xf numFmtId="10" fontId="19" fillId="0" borderId="0" xfId="0" applyNumberFormat="1" applyFont="1" applyProtection="1">
      <alignment vertical="center"/>
      <protection hidden="1"/>
    </xf>
    <xf numFmtId="0" fontId="8" fillId="0" borderId="25" xfId="0" applyFont="1" applyBorder="1" applyAlignment="1" applyProtection="1">
      <alignment horizontal="center" vertical="center"/>
      <protection hidden="1"/>
    </xf>
    <xf numFmtId="0" fontId="73" fillId="0" borderId="2" xfId="0" applyFont="1" applyBorder="1" applyAlignment="1" applyProtection="1">
      <alignment horizontal="left" vertical="center"/>
      <protection hidden="1"/>
    </xf>
    <xf numFmtId="0" fontId="74" fillId="0" borderId="3" xfId="0" applyFont="1" applyBorder="1" applyAlignment="1" applyProtection="1">
      <alignment vertical="center" shrinkToFit="1"/>
      <protection hidden="1"/>
    </xf>
    <xf numFmtId="0" fontId="19" fillId="0" borderId="4" xfId="0" applyFont="1" applyBorder="1" applyProtection="1">
      <alignment vertical="center"/>
      <protection hidden="1"/>
    </xf>
    <xf numFmtId="0" fontId="41" fillId="0" borderId="25" xfId="0" applyFont="1" applyBorder="1" applyAlignment="1" applyProtection="1">
      <alignment horizontal="left"/>
      <protection hidden="1"/>
    </xf>
    <xf numFmtId="0" fontId="74" fillId="0" borderId="16" xfId="0" applyFont="1" applyBorder="1" applyAlignment="1" applyProtection="1">
      <alignment vertical="center" shrinkToFit="1"/>
      <protection hidden="1"/>
    </xf>
    <xf numFmtId="0" fontId="19" fillId="0" borderId="22" xfId="0" applyFont="1" applyBorder="1" applyProtection="1">
      <alignment vertical="center"/>
      <protection hidden="1"/>
    </xf>
    <xf numFmtId="0" fontId="75" fillId="0" borderId="0" xfId="0" applyFont="1" applyAlignment="1" applyProtection="1">
      <alignment vertical="center" shrinkToFit="1"/>
      <protection hidden="1"/>
    </xf>
    <xf numFmtId="0" fontId="74" fillId="0" borderId="0" xfId="0" applyFont="1" applyAlignment="1" applyProtection="1">
      <alignment vertical="center" shrinkToFit="1"/>
      <protection hidden="1"/>
    </xf>
    <xf numFmtId="0" fontId="19" fillId="0" borderId="6" xfId="0" applyFont="1" applyBorder="1" applyProtection="1">
      <alignment vertical="center"/>
      <protection hidden="1"/>
    </xf>
    <xf numFmtId="0" fontId="8" fillId="0" borderId="5" xfId="0" applyFont="1" applyBorder="1" applyAlignment="1" applyProtection="1">
      <alignment horizontal="left" vertical="center"/>
      <protection hidden="1"/>
    </xf>
    <xf numFmtId="0" fontId="28" fillId="0" borderId="36" xfId="0" applyFont="1" applyBorder="1" applyProtection="1">
      <alignment vertical="center"/>
      <protection locked="0" hidden="1"/>
    </xf>
    <xf numFmtId="0" fontId="74" fillId="0" borderId="16" xfId="0" applyFont="1" applyBorder="1" applyAlignment="1" applyProtection="1">
      <alignment horizontal="left" vertical="center" shrinkToFit="1"/>
      <protection hidden="1"/>
    </xf>
    <xf numFmtId="0" fontId="8" fillId="0" borderId="5" xfId="0" applyFont="1" applyBorder="1" applyAlignment="1" applyProtection="1">
      <alignment horizontal="center" vertical="center"/>
      <protection hidden="1"/>
    </xf>
    <xf numFmtId="0" fontId="74" fillId="0" borderId="0" xfId="0" applyFont="1" applyAlignment="1" applyProtection="1">
      <alignment horizontal="left" vertical="center" shrinkToFit="1"/>
      <protection hidden="1"/>
    </xf>
    <xf numFmtId="0" fontId="19" fillId="0" borderId="5" xfId="0" applyFont="1" applyBorder="1" applyAlignment="1" applyProtection="1">
      <alignment horizontal="center" vertical="center"/>
      <protection hidden="1"/>
    </xf>
    <xf numFmtId="0" fontId="28" fillId="0" borderId="6" xfId="0" applyFont="1" applyBorder="1" applyAlignment="1" applyProtection="1">
      <alignment vertical="center" shrinkToFit="1"/>
      <protection hidden="1"/>
    </xf>
    <xf numFmtId="0" fontId="28" fillId="0" borderId="0" xfId="0" applyFont="1" applyAlignment="1" applyProtection="1">
      <alignment horizontal="left" vertical="center" shrinkToFit="1"/>
      <protection hidden="1"/>
    </xf>
    <xf numFmtId="0" fontId="19" fillId="0" borderId="25" xfId="0" applyFont="1" applyBorder="1" applyAlignment="1" applyProtection="1">
      <alignment horizontal="center" vertical="center"/>
      <protection hidden="1"/>
    </xf>
    <xf numFmtId="0" fontId="49" fillId="0" borderId="16" xfId="0" applyFont="1" applyBorder="1" applyAlignment="1" applyProtection="1">
      <alignment vertical="center" shrinkToFit="1"/>
      <protection hidden="1"/>
    </xf>
    <xf numFmtId="0" fontId="7" fillId="0" borderId="16" xfId="0" applyFont="1" applyBorder="1" applyAlignment="1" applyProtection="1">
      <alignment vertical="top" shrinkToFit="1"/>
      <protection hidden="1"/>
    </xf>
    <xf numFmtId="14" fontId="49" fillId="0" borderId="16" xfId="0" applyNumberFormat="1" applyFont="1" applyBorder="1" applyAlignment="1" applyProtection="1">
      <alignment horizontal="left" vertical="center" shrinkToFit="1"/>
      <protection locked="0" hidden="1"/>
    </xf>
    <xf numFmtId="0" fontId="49" fillId="0" borderId="0" xfId="0" applyFont="1" applyAlignment="1" applyProtection="1">
      <alignment vertical="center" shrinkToFit="1"/>
      <protection hidden="1"/>
    </xf>
    <xf numFmtId="0" fontId="7" fillId="0" borderId="0" xfId="0" applyFont="1" applyAlignment="1" applyProtection="1">
      <alignment vertical="top" shrinkToFit="1"/>
      <protection hidden="1"/>
    </xf>
    <xf numFmtId="14" fontId="49" fillId="0" borderId="0" xfId="0" applyNumberFormat="1" applyFont="1" applyAlignment="1" applyProtection="1">
      <alignment horizontal="left" vertical="center" shrinkToFit="1"/>
      <protection locked="0" hidden="1"/>
    </xf>
    <xf numFmtId="0" fontId="76" fillId="0" borderId="154" xfId="0" applyFont="1" applyBorder="1" applyAlignment="1" applyProtection="1">
      <alignment vertical="center" wrapText="1"/>
      <protection hidden="1"/>
    </xf>
    <xf numFmtId="0" fontId="76" fillId="0" borderId="0" xfId="0" applyFont="1" applyAlignment="1" applyProtection="1">
      <alignment horizontal="left" vertical="center" wrapText="1"/>
      <protection hidden="1"/>
    </xf>
    <xf numFmtId="0" fontId="49" fillId="0" borderId="0" xfId="0" applyFont="1" applyAlignment="1" applyProtection="1">
      <alignment horizontal="left" wrapText="1"/>
      <protection hidden="1"/>
    </xf>
    <xf numFmtId="0" fontId="77" fillId="0" borderId="0" xfId="0" applyFont="1" applyAlignment="1" applyProtection="1">
      <alignment horizontal="left" vertical="top" wrapText="1"/>
      <protection hidden="1"/>
    </xf>
    <xf numFmtId="14" fontId="19" fillId="0" borderId="16" xfId="0" applyNumberFormat="1" applyFont="1" applyBorder="1" applyAlignment="1" applyProtection="1">
      <alignment horizontal="left" vertical="center" indent="1"/>
      <protection locked="0" hidden="1"/>
    </xf>
    <xf numFmtId="0" fontId="78" fillId="0" borderId="16" xfId="0" applyFont="1" applyBorder="1" applyAlignment="1" applyProtection="1">
      <alignment vertical="top" wrapText="1"/>
      <protection hidden="1"/>
    </xf>
    <xf numFmtId="0" fontId="29" fillId="0" borderId="16" xfId="0" applyFont="1" applyBorder="1" applyAlignment="1" applyProtection="1">
      <alignment horizontal="left" vertical="center"/>
      <protection hidden="1"/>
    </xf>
    <xf numFmtId="0" fontId="77" fillId="0" borderId="0" xfId="0" applyFont="1" applyAlignment="1" applyProtection="1">
      <alignment vertical="top" wrapText="1"/>
      <protection hidden="1"/>
    </xf>
    <xf numFmtId="14" fontId="19" fillId="0" borderId="0" xfId="0" applyNumberFormat="1" applyFont="1" applyAlignment="1" applyProtection="1">
      <alignment horizontal="left" vertical="center" indent="1"/>
      <protection locked="0" hidden="1"/>
    </xf>
    <xf numFmtId="0" fontId="78" fillId="0" borderId="0" xfId="0" applyFont="1" applyAlignment="1" applyProtection="1">
      <alignment vertical="top" wrapText="1"/>
      <protection hidden="1"/>
    </xf>
    <xf numFmtId="0" fontId="25" fillId="0" borderId="0" xfId="0" applyFont="1" applyAlignment="1" applyProtection="1">
      <alignment horizontal="left" shrinkToFit="1"/>
      <protection hidden="1"/>
    </xf>
    <xf numFmtId="0" fontId="29" fillId="0" borderId="0" xfId="0" applyFont="1" applyAlignment="1" applyProtection="1">
      <alignment horizontal="left" vertical="center"/>
      <protection hidden="1"/>
    </xf>
    <xf numFmtId="0" fontId="27" fillId="0" borderId="5" xfId="0" quotePrefix="1" applyFont="1" applyBorder="1" applyAlignment="1" applyProtection="1">
      <alignment horizontal="center" vertical="center"/>
      <protection hidden="1"/>
    </xf>
    <xf numFmtId="0" fontId="79" fillId="0" borderId="0" xfId="0" applyFont="1" applyProtection="1">
      <alignment vertical="center"/>
      <protection hidden="1"/>
    </xf>
    <xf numFmtId="0" fontId="12" fillId="0" borderId="0" xfId="0" applyFont="1" applyAlignment="1" applyProtection="1">
      <protection hidden="1"/>
    </xf>
    <xf numFmtId="0" fontId="28" fillId="0" borderId="36" xfId="0" applyFont="1" applyBorder="1" applyProtection="1">
      <alignment vertical="center"/>
      <protection hidden="1"/>
    </xf>
    <xf numFmtId="0" fontId="18" fillId="0" borderId="0" xfId="0" applyFont="1" applyProtection="1">
      <alignment vertical="center"/>
      <protection hidden="1"/>
    </xf>
    <xf numFmtId="0" fontId="28" fillId="0" borderId="36" xfId="0" applyFont="1" applyBorder="1" applyAlignment="1" applyProtection="1">
      <alignment horizontal="center" vertical="center"/>
      <protection hidden="1"/>
    </xf>
    <xf numFmtId="0" fontId="28" fillId="0" borderId="0" xfId="0" applyFont="1" applyProtection="1">
      <alignment vertical="center"/>
      <protection hidden="1"/>
    </xf>
    <xf numFmtId="0" fontId="28" fillId="0" borderId="0" xfId="0" applyFont="1" applyAlignment="1" applyProtection="1">
      <alignment horizontal="center" vertical="center"/>
      <protection hidden="1"/>
    </xf>
    <xf numFmtId="0" fontId="18" fillId="0" borderId="0" xfId="0" applyFont="1" applyAlignment="1" applyProtection="1">
      <alignment horizontal="center" vertical="center"/>
      <protection hidden="1"/>
    </xf>
    <xf numFmtId="0" fontId="28" fillId="0" borderId="36" xfId="0" applyFont="1" applyBorder="1" applyAlignment="1" applyProtection="1">
      <alignment horizontal="center" vertical="center" shrinkToFit="1"/>
      <protection hidden="1"/>
    </xf>
    <xf numFmtId="14" fontId="38" fillId="0" borderId="36" xfId="0" applyNumberFormat="1" applyFont="1" applyBorder="1" applyAlignment="1" applyProtection="1">
      <alignment horizontal="center" vertical="center" shrinkToFit="1"/>
      <protection locked="0" hidden="1"/>
    </xf>
    <xf numFmtId="0" fontId="28" fillId="0" borderId="0" xfId="0" applyFont="1" applyAlignment="1" applyProtection="1">
      <alignment horizontal="center" vertical="center" shrinkToFit="1"/>
      <protection hidden="1"/>
    </xf>
    <xf numFmtId="14" fontId="38" fillId="0" borderId="0" xfId="0" applyNumberFormat="1" applyFont="1" applyAlignment="1" applyProtection="1">
      <alignment horizontal="center" vertical="center" shrinkToFit="1"/>
      <protection locked="0" hidden="1"/>
    </xf>
    <xf numFmtId="0" fontId="80" fillId="0" borderId="0" xfId="0" applyFont="1" applyAlignment="1" applyProtection="1">
      <alignment horizontal="center" vertical="top" wrapText="1"/>
      <protection hidden="1"/>
    </xf>
    <xf numFmtId="0" fontId="18" fillId="0" borderId="6" xfId="0" applyFont="1" applyBorder="1" applyAlignment="1" applyProtection="1">
      <alignment horizontal="center" vertical="center"/>
      <protection hidden="1"/>
    </xf>
    <xf numFmtId="0" fontId="28" fillId="0" borderId="118" xfId="0" applyFont="1" applyBorder="1" applyAlignment="1" applyProtection="1">
      <alignment horizontal="center" vertical="center"/>
      <protection hidden="1"/>
    </xf>
    <xf numFmtId="0" fontId="18" fillId="0" borderId="5" xfId="0" applyFont="1" applyBorder="1" applyAlignment="1" applyProtection="1">
      <alignment horizontal="center" vertical="center"/>
      <protection hidden="1"/>
    </xf>
    <xf numFmtId="0" fontId="18" fillId="0" borderId="5" xfId="0" applyFont="1" applyBorder="1" applyAlignment="1" applyProtection="1">
      <alignment vertical="center" wrapText="1"/>
      <protection hidden="1"/>
    </xf>
    <xf numFmtId="0" fontId="18" fillId="0" borderId="5" xfId="0" applyFont="1" applyBorder="1" applyProtection="1">
      <alignment vertical="center"/>
      <protection hidden="1"/>
    </xf>
    <xf numFmtId="0" fontId="80" fillId="0" borderId="0" xfId="0" applyFont="1" applyAlignment="1" applyProtection="1">
      <alignment vertical="top" wrapText="1"/>
      <protection hidden="1"/>
    </xf>
    <xf numFmtId="0" fontId="13" fillId="0" borderId="6" xfId="0" applyFont="1" applyBorder="1" applyProtection="1">
      <alignment vertical="center"/>
      <protection hidden="1"/>
    </xf>
    <xf numFmtId="0" fontId="38" fillId="0" borderId="0" xfId="0" applyFont="1" applyAlignment="1" applyProtection="1">
      <alignment horizontal="left" vertical="center" shrinkToFit="1"/>
      <protection hidden="1"/>
    </xf>
    <xf numFmtId="0" fontId="18" fillId="0" borderId="7" xfId="0" applyFont="1" applyBorder="1" applyProtection="1">
      <alignment vertical="center"/>
      <protection hidden="1"/>
    </xf>
    <xf numFmtId="0" fontId="19" fillId="0" borderId="8" xfId="0" applyFont="1" applyBorder="1" applyProtection="1">
      <alignment vertical="center"/>
      <protection hidden="1"/>
    </xf>
    <xf numFmtId="0" fontId="19" fillId="0" borderId="9" xfId="0" applyFont="1" applyBorder="1" applyProtection="1">
      <alignment vertical="center"/>
      <protection hidden="1"/>
    </xf>
    <xf numFmtId="0" fontId="19" fillId="0" borderId="0" xfId="0" applyFont="1" applyProtection="1">
      <alignment vertical="center"/>
      <protection locked="0" hidden="1"/>
    </xf>
    <xf numFmtId="0" fontId="55" fillId="0" borderId="0" xfId="0" applyFont="1" applyProtection="1">
      <alignment vertical="center"/>
      <protection hidden="1"/>
    </xf>
    <xf numFmtId="0" fontId="13" fillId="0" borderId="0" xfId="0" applyFont="1" applyAlignment="1" applyProtection="1">
      <alignment horizontal="center" vertical="center"/>
      <protection hidden="1"/>
    </xf>
    <xf numFmtId="0" fontId="13" fillId="0" borderId="0" xfId="0" applyFont="1" applyAlignment="1" applyProtection="1">
      <alignment vertical="center" shrinkToFit="1"/>
      <protection hidden="1"/>
    </xf>
    <xf numFmtId="0" fontId="18" fillId="0" borderId="32" xfId="0" applyFont="1" applyBorder="1" applyProtection="1">
      <alignment vertical="center"/>
      <protection hidden="1"/>
    </xf>
    <xf numFmtId="0" fontId="6" fillId="0" borderId="0" xfId="0" applyFont="1" applyAlignment="1" applyProtection="1">
      <alignment vertical="center" shrinkToFit="1"/>
      <protection hidden="1"/>
    </xf>
    <xf numFmtId="0" fontId="18" fillId="0" borderId="0" xfId="0" applyFont="1" applyAlignment="1" applyProtection="1">
      <alignment vertical="center" shrinkToFit="1"/>
      <protection hidden="1"/>
    </xf>
    <xf numFmtId="0" fontId="82" fillId="0" borderId="0" xfId="0" applyFont="1" applyProtection="1">
      <alignment vertical="center"/>
      <protection hidden="1"/>
    </xf>
    <xf numFmtId="0" fontId="49" fillId="0" borderId="0" xfId="0" applyFont="1" applyProtection="1">
      <alignment vertical="center"/>
      <protection hidden="1"/>
    </xf>
    <xf numFmtId="0" fontId="19" fillId="11" borderId="116" xfId="0" applyFont="1" applyFill="1" applyBorder="1" applyProtection="1">
      <alignment vertical="center"/>
      <protection hidden="1"/>
    </xf>
    <xf numFmtId="0" fontId="12" fillId="0" borderId="0" xfId="0" applyFont="1" applyProtection="1">
      <alignment vertical="center"/>
      <protection hidden="1"/>
    </xf>
    <xf numFmtId="0" fontId="9" fillId="0" borderId="0" xfId="0" applyFont="1" applyProtection="1">
      <alignment vertical="center"/>
      <protection hidden="1"/>
    </xf>
    <xf numFmtId="0" fontId="85" fillId="0" borderId="0" xfId="0" applyFont="1" applyAlignment="1" applyProtection="1">
      <protection hidden="1"/>
    </xf>
    <xf numFmtId="0" fontId="19" fillId="0" borderId="0" xfId="0" applyFont="1" applyAlignment="1" applyProtection="1">
      <protection hidden="1"/>
    </xf>
    <xf numFmtId="0" fontId="85" fillId="0" borderId="0" xfId="0" applyFont="1" applyProtection="1">
      <alignment vertical="center"/>
      <protection hidden="1"/>
    </xf>
    <xf numFmtId="0" fontId="10" fillId="0" borderId="0" xfId="0" applyFont="1" applyAlignment="1" applyProtection="1">
      <protection hidden="1"/>
    </xf>
    <xf numFmtId="179" fontId="49" fillId="0" borderId="3" xfId="0" applyNumberFormat="1" applyFont="1" applyBorder="1" applyAlignment="1" applyProtection="1">
      <alignment vertical="center" wrapText="1"/>
      <protection hidden="1"/>
    </xf>
    <xf numFmtId="10" fontId="46" fillId="0" borderId="0" xfId="0" applyNumberFormat="1" applyFont="1" applyAlignment="1" applyProtection="1">
      <alignment horizontal="left" vertical="top"/>
      <protection hidden="1"/>
    </xf>
    <xf numFmtId="0" fontId="19" fillId="0" borderId="0" xfId="0" applyFont="1" applyAlignment="1" applyProtection="1">
      <alignment vertical="top"/>
      <protection hidden="1"/>
    </xf>
    <xf numFmtId="10" fontId="47" fillId="0" borderId="0" xfId="0" applyNumberFormat="1" applyFont="1" applyAlignment="1" applyProtection="1">
      <alignment horizontal="left" vertical="top"/>
      <protection hidden="1"/>
    </xf>
    <xf numFmtId="0" fontId="12" fillId="0" borderId="0" xfId="0" applyFont="1" applyAlignment="1" applyProtection="1">
      <alignment horizontal="left"/>
      <protection hidden="1"/>
    </xf>
    <xf numFmtId="0" fontId="86" fillId="0" borderId="0" xfId="0" applyFont="1" applyProtection="1">
      <alignment vertical="center"/>
      <protection hidden="1"/>
    </xf>
    <xf numFmtId="0" fontId="19" fillId="0" borderId="17" xfId="0" applyFont="1" applyBorder="1" applyProtection="1">
      <alignment vertical="center"/>
      <protection hidden="1"/>
    </xf>
    <xf numFmtId="179" fontId="13" fillId="0" borderId="0" xfId="0" applyNumberFormat="1" applyFont="1" applyAlignment="1" applyProtection="1">
      <alignment vertical="center" shrinkToFit="1"/>
      <protection hidden="1"/>
    </xf>
    <xf numFmtId="10" fontId="28" fillId="0" borderId="0" xfId="0" applyNumberFormat="1" applyFont="1" applyProtection="1">
      <alignment vertical="center"/>
      <protection hidden="1"/>
    </xf>
    <xf numFmtId="0" fontId="86" fillId="0" borderId="0" xfId="0" applyFont="1" applyAlignment="1" applyProtection="1">
      <alignment horizontal="left"/>
      <protection hidden="1"/>
    </xf>
    <xf numFmtId="0" fontId="13" fillId="0" borderId="0" xfId="0" applyFont="1" applyAlignment="1" applyProtection="1">
      <alignment horizontal="center" vertical="center" shrinkToFit="1"/>
      <protection hidden="1"/>
    </xf>
    <xf numFmtId="177" fontId="18" fillId="0" borderId="0" xfId="0" applyNumberFormat="1" applyFont="1" applyAlignment="1" applyProtection="1">
      <alignment horizontal="center" vertical="center"/>
      <protection locked="0" hidden="1"/>
    </xf>
    <xf numFmtId="177" fontId="18" fillId="0" borderId="0" xfId="0" applyNumberFormat="1" applyFont="1" applyAlignment="1" applyProtection="1">
      <alignment horizontal="center" vertical="top"/>
      <protection locked="0" hidden="1"/>
    </xf>
    <xf numFmtId="177" fontId="18" fillId="0" borderId="0" xfId="0" applyNumberFormat="1" applyFont="1" applyAlignment="1" applyProtection="1">
      <alignment horizontal="center" vertical="center"/>
      <protection hidden="1"/>
    </xf>
    <xf numFmtId="0" fontId="65" fillId="0" borderId="0" xfId="0" applyFont="1" applyAlignment="1" applyProtection="1">
      <alignment horizontal="left" vertical="center" wrapText="1"/>
      <protection hidden="1"/>
    </xf>
    <xf numFmtId="0" fontId="88" fillId="0" borderId="0" xfId="0" applyFont="1" applyAlignment="1" applyProtection="1">
      <alignment horizontal="center" vertical="center"/>
      <protection hidden="1"/>
    </xf>
    <xf numFmtId="0" fontId="88" fillId="0" borderId="0" xfId="0" applyFont="1" applyProtection="1">
      <alignment vertical="center"/>
      <protection hidden="1"/>
    </xf>
    <xf numFmtId="182" fontId="18" fillId="0" borderId="0" xfId="0" applyNumberFormat="1" applyFont="1" applyAlignment="1" applyProtection="1">
      <alignment horizontal="center" vertical="center"/>
      <protection hidden="1"/>
    </xf>
    <xf numFmtId="182" fontId="18" fillId="0" borderId="0" xfId="0" applyNumberFormat="1" applyFont="1" applyProtection="1">
      <alignment vertical="center"/>
      <protection hidden="1"/>
    </xf>
    <xf numFmtId="182" fontId="18" fillId="3" borderId="0" xfId="0" applyNumberFormat="1" applyFont="1" applyFill="1" applyProtection="1">
      <alignment vertical="center"/>
      <protection locked="0" hidden="1"/>
    </xf>
    <xf numFmtId="0" fontId="59" fillId="17" borderId="166" xfId="0" applyFont="1" applyFill="1" applyBorder="1" applyAlignment="1">
      <alignment horizontal="center" wrapText="1"/>
    </xf>
    <xf numFmtId="14" fontId="59" fillId="17" borderId="164" xfId="0" applyNumberFormat="1" applyFont="1" applyFill="1" applyBorder="1" applyAlignment="1">
      <alignment horizontal="center" wrapText="1"/>
    </xf>
    <xf numFmtId="0" fontId="90" fillId="0" borderId="0" xfId="0" applyFont="1" applyAlignment="1">
      <alignment horizontal="center" vertical="center" shrinkToFit="1"/>
    </xf>
    <xf numFmtId="0" fontId="66" fillId="0" borderId="0" xfId="0" applyFont="1" applyAlignment="1">
      <alignment horizontal="center" vertical="center" shrinkToFit="1"/>
    </xf>
    <xf numFmtId="0" fontId="68" fillId="0" borderId="0" xfId="0" applyFont="1" applyAlignment="1">
      <alignment vertical="center" shrinkToFit="1"/>
    </xf>
    <xf numFmtId="0" fontId="69" fillId="0" borderId="0" xfId="0" applyFont="1" applyAlignment="1">
      <alignment vertical="center" shrinkToFit="1"/>
    </xf>
    <xf numFmtId="0" fontId="69" fillId="0" borderId="0" xfId="0" applyFont="1" applyAlignment="1">
      <alignment horizontal="center" vertical="center" shrinkToFit="1"/>
    </xf>
    <xf numFmtId="0" fontId="8" fillId="0" borderId="220" xfId="0" applyFont="1" applyBorder="1" applyAlignment="1">
      <alignment vertical="center" shrinkToFit="1"/>
    </xf>
    <xf numFmtId="178" fontId="57" fillId="0" borderId="159" xfId="0" applyNumberFormat="1" applyFont="1" applyBorder="1" applyAlignment="1" applyProtection="1">
      <alignment horizontal="center" vertical="center" wrapText="1"/>
      <protection hidden="1"/>
    </xf>
    <xf numFmtId="0" fontId="37" fillId="0" borderId="0" xfId="0" applyFont="1" applyAlignment="1" applyProtection="1">
      <alignment vertical="center" shrinkToFit="1"/>
      <protection hidden="1"/>
    </xf>
    <xf numFmtId="0" fontId="6" fillId="0" borderId="0" xfId="0" applyFont="1" applyAlignment="1" applyProtection="1">
      <alignment horizontal="center" vertical="center"/>
      <protection locked="0" hidden="1"/>
    </xf>
    <xf numFmtId="178" fontId="6" fillId="0" borderId="0" xfId="0" applyNumberFormat="1" applyFont="1" applyAlignment="1" applyProtection="1">
      <alignment horizontal="center" vertical="center"/>
      <protection locked="0" hidden="1"/>
    </xf>
    <xf numFmtId="49" fontId="0" fillId="0" borderId="0" xfId="0" applyNumberFormat="1" applyProtection="1">
      <alignment vertical="center"/>
      <protection locked="0" hidden="1"/>
    </xf>
    <xf numFmtId="0" fontId="0" fillId="0" borderId="0" xfId="0" applyProtection="1">
      <alignment vertical="center"/>
      <protection locked="0" hidden="1"/>
    </xf>
    <xf numFmtId="176" fontId="6" fillId="0" borderId="0" xfId="0" applyNumberFormat="1" applyFont="1" applyProtection="1">
      <alignment vertical="center"/>
      <protection locked="0" hidden="1"/>
    </xf>
    <xf numFmtId="0" fontId="0" fillId="0" borderId="0" xfId="0" applyAlignment="1" applyProtection="1">
      <alignment horizontal="center" vertical="center"/>
      <protection locked="0" hidden="1"/>
    </xf>
    <xf numFmtId="0" fontId="37" fillId="0" borderId="0" xfId="0" applyFont="1" applyAlignment="1" applyProtection="1">
      <alignment vertical="center" shrinkToFit="1"/>
      <protection locked="0" hidden="1"/>
    </xf>
    <xf numFmtId="0" fontId="15" fillId="0" borderId="0" xfId="0" applyFont="1" applyProtection="1">
      <alignment vertical="center"/>
      <protection locked="0" hidden="1"/>
    </xf>
    <xf numFmtId="176" fontId="31" fillId="0" borderId="0" xfId="0" applyNumberFormat="1" applyFont="1" applyProtection="1">
      <alignment vertical="center"/>
      <protection hidden="1"/>
    </xf>
    <xf numFmtId="0" fontId="31" fillId="0" borderId="0" xfId="0" applyFont="1" applyAlignment="1" applyProtection="1">
      <alignment horizontal="center" vertical="center"/>
      <protection hidden="1"/>
    </xf>
    <xf numFmtId="177" fontId="35" fillId="0" borderId="0" xfId="0" applyNumberFormat="1" applyFont="1" applyAlignment="1" applyProtection="1">
      <alignment vertical="top" wrapText="1"/>
      <protection hidden="1"/>
    </xf>
    <xf numFmtId="0" fontId="31" fillId="0" borderId="0" xfId="0" applyFont="1" applyProtection="1">
      <alignment vertical="center"/>
      <protection hidden="1"/>
    </xf>
    <xf numFmtId="0" fontId="31" fillId="3" borderId="0" xfId="0" applyFont="1" applyFill="1" applyProtection="1">
      <alignment vertical="center"/>
      <protection hidden="1"/>
    </xf>
    <xf numFmtId="182" fontId="31" fillId="0" borderId="0" xfId="0" applyNumberFormat="1" applyFont="1" applyAlignment="1" applyProtection="1">
      <alignment vertical="center" shrinkToFit="1"/>
      <protection locked="0" hidden="1"/>
    </xf>
    <xf numFmtId="182" fontId="31" fillId="0" borderId="0" xfId="0" applyNumberFormat="1" applyFont="1" applyAlignment="1" applyProtection="1">
      <alignment horizontal="center" vertical="center"/>
      <protection locked="0" hidden="1"/>
    </xf>
    <xf numFmtId="182" fontId="31" fillId="0" borderId="0" xfId="0" applyNumberFormat="1" applyFont="1" applyProtection="1">
      <alignment vertical="center"/>
      <protection locked="0" hidden="1"/>
    </xf>
    <xf numFmtId="0" fontId="31" fillId="0" borderId="0" xfId="0" applyFont="1" applyProtection="1">
      <alignment vertical="center"/>
      <protection locked="0" hidden="1"/>
    </xf>
    <xf numFmtId="176" fontId="53" fillId="0" borderId="0" xfId="0" applyNumberFormat="1" applyFont="1" applyAlignment="1" applyProtection="1">
      <alignment vertical="center" shrinkToFit="1"/>
      <protection locked="0" hidden="1"/>
    </xf>
    <xf numFmtId="192" fontId="53" fillId="0" borderId="0" xfId="0" applyNumberFormat="1" applyFont="1" applyAlignment="1" applyProtection="1">
      <alignment vertical="center" shrinkToFit="1"/>
      <protection locked="0" hidden="1"/>
    </xf>
    <xf numFmtId="177" fontId="31" fillId="0" borderId="0" xfId="0" applyNumberFormat="1" applyFont="1" applyAlignment="1" applyProtection="1">
      <alignment horizontal="center" vertical="center" shrinkToFit="1"/>
      <protection locked="0" hidden="1"/>
    </xf>
    <xf numFmtId="177" fontId="31" fillId="0" borderId="0" xfId="0" applyNumberFormat="1" applyFont="1" applyAlignment="1" applyProtection="1">
      <alignment horizontal="center" vertical="center"/>
      <protection locked="0" hidden="1"/>
    </xf>
    <xf numFmtId="176" fontId="53" fillId="0" borderId="0" xfId="0" applyNumberFormat="1" applyFont="1" applyAlignment="1" applyProtection="1">
      <alignment horizontal="center" vertical="center" shrinkToFit="1"/>
      <protection locked="0" hidden="1"/>
    </xf>
    <xf numFmtId="0" fontId="92" fillId="0" borderId="0" xfId="0" applyFont="1" applyAlignment="1">
      <alignment horizontal="center" vertical="center" shrinkToFit="1"/>
    </xf>
    <xf numFmtId="0" fontId="92" fillId="0" borderId="0" xfId="0" applyFont="1" applyAlignment="1">
      <alignment vertical="center" shrinkToFit="1"/>
    </xf>
    <xf numFmtId="0" fontId="92" fillId="0" borderId="0" xfId="0" applyFont="1">
      <alignment vertical="center"/>
    </xf>
    <xf numFmtId="0" fontId="93" fillId="0" borderId="184" xfId="0" applyFont="1" applyBorder="1" applyAlignment="1">
      <alignment horizontal="center" vertical="center" shrinkToFit="1"/>
    </xf>
    <xf numFmtId="0" fontId="94" fillId="0" borderId="182" xfId="0" applyFont="1" applyBorder="1" applyAlignment="1">
      <alignment horizontal="center" vertical="center" wrapText="1" shrinkToFit="1"/>
    </xf>
    <xf numFmtId="0" fontId="93" fillId="19" borderId="33" xfId="0" applyFont="1" applyFill="1" applyBorder="1" applyAlignment="1">
      <alignment horizontal="center" vertical="center" shrinkToFit="1"/>
    </xf>
    <xf numFmtId="0" fontId="93" fillId="19" borderId="219" xfId="0" applyFont="1" applyFill="1" applyBorder="1" applyAlignment="1">
      <alignment horizontal="center" vertical="center" shrinkToFit="1"/>
    </xf>
    <xf numFmtId="0" fontId="93" fillId="0" borderId="217" xfId="0" applyFont="1" applyBorder="1" applyAlignment="1">
      <alignment horizontal="center" vertical="center" shrinkToFit="1"/>
    </xf>
    <xf numFmtId="0" fontId="92" fillId="0" borderId="221" xfId="0" applyFont="1" applyBorder="1" applyAlignment="1">
      <alignment vertical="center" shrinkToFit="1"/>
    </xf>
    <xf numFmtId="0" fontId="92" fillId="0" borderId="222" xfId="0" applyFont="1" applyBorder="1" applyAlignment="1">
      <alignment vertical="center" shrinkToFit="1"/>
    </xf>
    <xf numFmtId="0" fontId="92" fillId="19" borderId="220" xfId="0" applyFont="1" applyFill="1" applyBorder="1" applyAlignment="1">
      <alignment vertical="center" shrinkToFit="1"/>
    </xf>
    <xf numFmtId="0" fontId="92" fillId="19" borderId="223" xfId="0" applyFont="1" applyFill="1" applyBorder="1" applyAlignment="1">
      <alignment vertical="center" shrinkToFit="1"/>
    </xf>
    <xf numFmtId="0" fontId="92" fillId="0" borderId="224" xfId="0" applyFont="1" applyBorder="1" applyAlignment="1">
      <alignment vertical="center" shrinkToFit="1"/>
    </xf>
    <xf numFmtId="0" fontId="95" fillId="19" borderId="182" xfId="0" applyFont="1" applyFill="1" applyBorder="1" applyAlignment="1">
      <alignment horizontal="center" vertical="center" wrapText="1" shrinkToFit="1"/>
    </xf>
    <xf numFmtId="0" fontId="97" fillId="19" borderId="183" xfId="0" applyFont="1" applyFill="1" applyBorder="1" applyAlignment="1">
      <alignment horizontal="center" vertical="center" wrapText="1" shrinkToFit="1"/>
    </xf>
    <xf numFmtId="0" fontId="92" fillId="19" borderId="222" xfId="0" applyFont="1" applyFill="1" applyBorder="1" applyAlignment="1">
      <alignment vertical="center" shrinkToFit="1"/>
    </xf>
    <xf numFmtId="0" fontId="92" fillId="19" borderId="225" xfId="0" applyFont="1" applyFill="1" applyBorder="1" applyAlignment="1">
      <alignment vertical="center" shrinkToFit="1"/>
    </xf>
    <xf numFmtId="0" fontId="93" fillId="0" borderId="229" xfId="0" applyFont="1" applyBorder="1" applyAlignment="1">
      <alignment vertical="center" shrinkToFit="1"/>
    </xf>
    <xf numFmtId="0" fontId="92" fillId="0" borderId="230" xfId="0" applyFont="1" applyBorder="1" applyAlignment="1">
      <alignment vertical="center" shrinkToFit="1"/>
    </xf>
    <xf numFmtId="0" fontId="92" fillId="0" borderId="228" xfId="0" applyFont="1" applyBorder="1" applyAlignment="1">
      <alignment vertical="center" shrinkToFit="1"/>
    </xf>
    <xf numFmtId="0" fontId="92" fillId="19" borderId="229" xfId="0" applyFont="1" applyFill="1" applyBorder="1" applyAlignment="1">
      <alignment vertical="center" shrinkToFit="1"/>
    </xf>
    <xf numFmtId="0" fontId="92" fillId="19" borderId="231" xfId="0" applyFont="1" applyFill="1" applyBorder="1" applyAlignment="1">
      <alignment vertical="center" shrinkToFit="1"/>
    </xf>
    <xf numFmtId="0" fontId="92" fillId="0" borderId="232" xfId="0" applyFont="1" applyBorder="1" applyAlignment="1">
      <alignment vertical="center" shrinkToFit="1"/>
    </xf>
    <xf numFmtId="0" fontId="92" fillId="19" borderId="228" xfId="0" applyFont="1" applyFill="1" applyBorder="1" applyAlignment="1">
      <alignment vertical="center" shrinkToFit="1"/>
    </xf>
    <xf numFmtId="0" fontId="92" fillId="0" borderId="236" xfId="0" applyFont="1" applyBorder="1" applyAlignment="1">
      <alignment vertical="center" shrinkToFit="1"/>
    </xf>
    <xf numFmtId="0" fontId="92" fillId="0" borderId="234" xfId="0" applyFont="1" applyBorder="1" applyAlignment="1">
      <alignment vertical="center" shrinkToFit="1"/>
    </xf>
    <xf numFmtId="0" fontId="92" fillId="19" borderId="235" xfId="0" applyFont="1" applyFill="1" applyBorder="1" applyAlignment="1">
      <alignment vertical="center" shrinkToFit="1"/>
    </xf>
    <xf numFmtId="0" fontId="92" fillId="19" borderId="237" xfId="0" applyFont="1" applyFill="1" applyBorder="1" applyAlignment="1">
      <alignment vertical="center" shrinkToFit="1"/>
    </xf>
    <xf numFmtId="0" fontId="92" fillId="0" borderId="238" xfId="0" applyFont="1" applyBorder="1" applyAlignment="1">
      <alignment vertical="center" shrinkToFit="1"/>
    </xf>
    <xf numFmtId="0" fontId="92" fillId="19" borderId="234" xfId="0" applyFont="1" applyFill="1" applyBorder="1" applyAlignment="1">
      <alignment vertical="center" shrinkToFit="1"/>
    </xf>
    <xf numFmtId="0" fontId="92" fillId="19" borderId="239" xfId="0" applyFont="1" applyFill="1" applyBorder="1">
      <alignment vertical="center"/>
    </xf>
    <xf numFmtId="0" fontId="92" fillId="19" borderId="233" xfId="0" applyFont="1" applyFill="1" applyBorder="1">
      <alignment vertical="center"/>
    </xf>
    <xf numFmtId="0" fontId="93" fillId="0" borderId="235" xfId="0" applyFont="1" applyBorder="1" applyAlignment="1">
      <alignment vertical="center" shrinkToFit="1"/>
    </xf>
    <xf numFmtId="0" fontId="93" fillId="0" borderId="240" xfId="0" applyFont="1" applyBorder="1" applyAlignment="1">
      <alignment vertical="center" shrinkToFit="1"/>
    </xf>
    <xf numFmtId="0" fontId="92" fillId="0" borderId="241" xfId="0" applyFont="1" applyBorder="1" applyAlignment="1">
      <alignment vertical="center" shrinkToFit="1"/>
    </xf>
    <xf numFmtId="0" fontId="92" fillId="0" borderId="242" xfId="0" applyFont="1" applyBorder="1" applyAlignment="1">
      <alignment vertical="center" shrinkToFit="1"/>
    </xf>
    <xf numFmtId="0" fontId="92" fillId="19" borderId="240" xfId="0" applyFont="1" applyFill="1" applyBorder="1" applyAlignment="1">
      <alignment vertical="center" shrinkToFit="1"/>
    </xf>
    <xf numFmtId="0" fontId="92" fillId="19" borderId="243" xfId="0" applyFont="1" applyFill="1" applyBorder="1" applyAlignment="1">
      <alignment vertical="center" shrinkToFit="1"/>
    </xf>
    <xf numFmtId="0" fontId="92" fillId="0" borderId="244" xfId="0" applyFont="1" applyBorder="1" applyAlignment="1">
      <alignment vertical="center" shrinkToFit="1"/>
    </xf>
    <xf numFmtId="0" fontId="92" fillId="19" borderId="242" xfId="0" applyFont="1" applyFill="1" applyBorder="1" applyAlignment="1">
      <alignment vertical="center" shrinkToFit="1"/>
    </xf>
    <xf numFmtId="0" fontId="92" fillId="19" borderId="245" xfId="0" applyFont="1" applyFill="1" applyBorder="1" applyAlignment="1">
      <alignment vertical="center" shrinkToFit="1"/>
    </xf>
    <xf numFmtId="0" fontId="92" fillId="19" borderId="245" xfId="0" applyFont="1" applyFill="1" applyBorder="1">
      <alignment vertical="center"/>
    </xf>
    <xf numFmtId="0" fontId="92" fillId="0" borderId="247" xfId="0" applyFont="1" applyBorder="1" applyAlignment="1">
      <alignment horizontal="center" vertical="center" shrinkToFit="1"/>
    </xf>
    <xf numFmtId="0" fontId="92" fillId="0" borderId="246" xfId="0" applyFont="1" applyBorder="1" applyAlignment="1">
      <alignment horizontal="center" vertical="center" shrinkToFit="1"/>
    </xf>
    <xf numFmtId="0" fontId="98" fillId="0" borderId="248" xfId="0" applyFont="1" applyBorder="1" applyAlignment="1">
      <alignment horizontal="center" vertical="center" shrinkToFit="1"/>
    </xf>
    <xf numFmtId="0" fontId="99" fillId="0" borderId="247" xfId="0" applyFont="1" applyBorder="1" applyAlignment="1">
      <alignment horizontal="center" vertical="center" shrinkToFit="1"/>
    </xf>
    <xf numFmtId="0" fontId="100" fillId="0" borderId="201" xfId="0" applyFont="1" applyBorder="1" applyAlignment="1">
      <alignment horizontal="center" vertical="center" shrinkToFit="1"/>
    </xf>
    <xf numFmtId="0" fontId="91" fillId="0" borderId="33" xfId="0" applyFont="1" applyBorder="1" applyAlignment="1">
      <alignment horizontal="center" vertical="center" shrinkToFit="1"/>
    </xf>
    <xf numFmtId="0" fontId="101" fillId="0" borderId="206" xfId="0" applyFont="1" applyBorder="1" applyAlignment="1">
      <alignment horizontal="center" vertical="center" wrapText="1" shrinkToFit="1"/>
    </xf>
    <xf numFmtId="0" fontId="19" fillId="0" borderId="246" xfId="0" applyFont="1" applyBorder="1" applyAlignment="1">
      <alignment horizontal="center" vertical="center" shrinkToFit="1"/>
    </xf>
    <xf numFmtId="0" fontId="8" fillId="0" borderId="235" xfId="0" applyFont="1" applyBorder="1" applyAlignment="1">
      <alignment vertical="center" shrinkToFit="1"/>
    </xf>
    <xf numFmtId="0" fontId="19" fillId="0" borderId="247" xfId="0" applyFont="1" applyBorder="1" applyAlignment="1">
      <alignment horizontal="center" vertical="center" shrinkToFit="1"/>
    </xf>
    <xf numFmtId="0" fontId="8" fillId="0" borderId="240" xfId="0" applyFont="1" applyBorder="1" applyAlignment="1">
      <alignment vertical="center" shrinkToFit="1"/>
    </xf>
    <xf numFmtId="0" fontId="106" fillId="0" borderId="0" xfId="0" applyFont="1" applyAlignment="1" applyProtection="1">
      <alignment horizontal="left" vertical="center" wrapText="1"/>
      <protection hidden="1"/>
    </xf>
    <xf numFmtId="0" fontId="18" fillId="0" borderId="0" xfId="0" applyFont="1" applyAlignment="1">
      <alignment vertical="center" wrapText="1"/>
    </xf>
    <xf numFmtId="0" fontId="107" fillId="0" borderId="0" xfId="0" applyFont="1" applyAlignment="1">
      <alignment vertical="center" wrapText="1"/>
    </xf>
    <xf numFmtId="0" fontId="107" fillId="0" borderId="0" xfId="0" applyFont="1" applyAlignment="1">
      <alignment horizontal="center" vertical="center" wrapText="1"/>
    </xf>
    <xf numFmtId="0" fontId="59" fillId="17" borderId="170" xfId="0" applyFont="1" applyFill="1" applyBorder="1" applyAlignment="1" applyProtection="1">
      <alignment horizontal="center" vertical="center"/>
      <protection hidden="1"/>
    </xf>
    <xf numFmtId="0" fontId="59" fillId="17" borderId="172" xfId="0" quotePrefix="1" applyFont="1" applyFill="1" applyBorder="1" applyAlignment="1" applyProtection="1">
      <alignment horizontal="center" vertical="center" wrapText="1"/>
      <protection hidden="1"/>
    </xf>
    <xf numFmtId="176" fontId="59" fillId="17" borderId="171" xfId="0" quotePrefix="1" applyNumberFormat="1" applyFont="1" applyFill="1" applyBorder="1" applyAlignment="1" applyProtection="1">
      <alignment horizontal="center" vertical="center"/>
      <protection hidden="1"/>
    </xf>
    <xf numFmtId="176" fontId="59" fillId="17" borderId="164" xfId="0" quotePrefix="1" applyNumberFormat="1" applyFont="1" applyFill="1" applyBorder="1" applyAlignment="1" applyProtection="1">
      <alignment horizontal="center" vertical="center"/>
      <protection hidden="1"/>
    </xf>
    <xf numFmtId="176" fontId="59" fillId="17" borderId="173" xfId="0" quotePrefix="1" applyNumberFormat="1" applyFont="1" applyFill="1" applyBorder="1" applyAlignment="1" applyProtection="1">
      <alignment horizontal="center" vertical="center" wrapText="1"/>
      <protection hidden="1"/>
    </xf>
    <xf numFmtId="178" fontId="59" fillId="17" borderId="175" xfId="0" applyNumberFormat="1" applyFont="1" applyFill="1" applyBorder="1" applyAlignment="1" applyProtection="1">
      <alignment horizontal="center" wrapText="1"/>
      <protection hidden="1"/>
    </xf>
    <xf numFmtId="194" fontId="19" fillId="0" borderId="0" xfId="0" applyNumberFormat="1" applyFont="1" applyAlignment="1">
      <alignment horizontal="left" vertical="center"/>
    </xf>
    <xf numFmtId="0" fontId="19" fillId="0" borderId="0" xfId="0" applyFont="1" applyAlignment="1">
      <alignment horizontal="left" vertical="center"/>
    </xf>
    <xf numFmtId="49" fontId="19" fillId="0" borderId="0" xfId="0" applyNumberFormat="1" applyFont="1" applyProtection="1">
      <alignment vertical="center"/>
      <protection locked="0"/>
    </xf>
    <xf numFmtId="0" fontId="19" fillId="0" borderId="0" xfId="0" applyFont="1" applyProtection="1">
      <alignment vertical="center"/>
      <protection locked="0"/>
    </xf>
    <xf numFmtId="0" fontId="19" fillId="0" borderId="0" xfId="0" applyFont="1" applyAlignment="1" applyProtection="1">
      <alignment horizontal="center" vertical="center"/>
      <protection locked="0"/>
    </xf>
    <xf numFmtId="0" fontId="19" fillId="0" borderId="0" xfId="0" applyFont="1" applyAlignment="1">
      <alignment horizontal="center" vertical="center"/>
    </xf>
    <xf numFmtId="0" fontId="19" fillId="19" borderId="239" xfId="0" applyFont="1" applyFill="1" applyBorder="1" applyAlignment="1">
      <alignment vertical="center" shrinkToFit="1"/>
    </xf>
    <xf numFmtId="0" fontId="19" fillId="19" borderId="245" xfId="0" applyFont="1" applyFill="1" applyBorder="1">
      <alignment vertical="center"/>
    </xf>
    <xf numFmtId="0" fontId="54" fillId="0" borderId="5" xfId="0" quotePrefix="1" applyFont="1" applyBorder="1" applyAlignment="1" applyProtection="1">
      <alignment horizontal="center" shrinkToFit="1"/>
      <protection hidden="1"/>
    </xf>
    <xf numFmtId="0" fontId="54" fillId="0" borderId="5" xfId="0" quotePrefix="1" applyFont="1" applyBorder="1" applyAlignment="1" applyProtection="1">
      <alignment horizontal="center" vertical="center" shrinkToFit="1"/>
      <protection hidden="1"/>
    </xf>
    <xf numFmtId="0" fontId="19" fillId="0" borderId="145" xfId="0" applyFont="1" applyBorder="1" applyProtection="1">
      <alignment vertical="center"/>
      <protection hidden="1"/>
    </xf>
    <xf numFmtId="0" fontId="10" fillId="5" borderId="254" xfId="0" applyFont="1" applyFill="1" applyBorder="1" applyAlignment="1" applyProtection="1">
      <alignment horizontal="center" vertical="center" wrapText="1"/>
      <protection locked="0" hidden="1"/>
    </xf>
    <xf numFmtId="0" fontId="21" fillId="0" borderId="0" xfId="0" applyFont="1" applyAlignment="1">
      <alignment horizontal="center" vertical="center" shrinkToFit="1"/>
    </xf>
    <xf numFmtId="0" fontId="21" fillId="0" borderId="0" xfId="0" applyFont="1" applyAlignment="1">
      <alignment vertical="center" shrinkToFit="1"/>
    </xf>
    <xf numFmtId="0" fontId="21" fillId="0" borderId="0" xfId="0" applyFont="1" applyAlignment="1">
      <alignment horizontal="center" shrinkToFit="1"/>
    </xf>
    <xf numFmtId="0" fontId="21" fillId="0" borderId="0" xfId="0" applyFont="1" applyAlignment="1">
      <alignment horizontal="center" vertical="center"/>
    </xf>
    <xf numFmtId="0" fontId="21" fillId="0" borderId="0" xfId="0" applyFont="1" applyAlignment="1">
      <alignment horizontal="center" vertical="top" wrapText="1"/>
    </xf>
    <xf numFmtId="0" fontId="113" fillId="0" borderId="0" xfId="0" applyFont="1" applyAlignment="1">
      <alignment vertical="center" shrinkToFit="1"/>
    </xf>
    <xf numFmtId="0" fontId="21" fillId="0" borderId="0" xfId="0" applyFont="1" applyAlignment="1">
      <alignment vertical="top" wrapText="1" shrinkToFit="1"/>
    </xf>
    <xf numFmtId="0" fontId="21" fillId="0" borderId="0" xfId="0" applyFont="1" applyAlignment="1">
      <alignment horizontal="left" vertical="center" shrinkToFit="1"/>
    </xf>
    <xf numFmtId="0" fontId="21" fillId="0" borderId="0" xfId="0" quotePrefix="1" applyFont="1" applyAlignment="1">
      <alignment horizontal="left" vertical="center" shrinkToFit="1"/>
    </xf>
    <xf numFmtId="0" fontId="0" fillId="0" borderId="0" xfId="0" applyAlignment="1"/>
    <xf numFmtId="0" fontId="19" fillId="0" borderId="0" xfId="0" applyFont="1" applyAlignment="1" applyProtection="1">
      <alignment horizontal="left" vertical="center" wrapText="1"/>
      <protection hidden="1"/>
    </xf>
    <xf numFmtId="193" fontId="0" fillId="0" borderId="0" xfId="0" quotePrefix="1" applyNumberFormat="1" applyAlignment="1">
      <alignment horizontal="right"/>
    </xf>
    <xf numFmtId="193" fontId="0" fillId="0" borderId="0" xfId="0" applyNumberFormat="1" applyAlignment="1">
      <alignment horizontal="right" vertical="center"/>
    </xf>
    <xf numFmtId="0" fontId="60" fillId="0" borderId="0" xfId="2" applyProtection="1">
      <alignment vertical="center"/>
      <protection hidden="1"/>
    </xf>
    <xf numFmtId="0" fontId="21" fillId="0" borderId="0" xfId="0" applyFont="1" applyAlignment="1">
      <alignment vertical="center" wrapText="1" shrinkToFit="1"/>
    </xf>
    <xf numFmtId="0" fontId="18" fillId="0" borderId="0" xfId="0" applyFont="1" applyAlignment="1" applyProtection="1">
      <alignment horizontal="center" vertical="center" shrinkToFit="1"/>
      <protection locked="0"/>
    </xf>
    <xf numFmtId="14" fontId="18" fillId="0" borderId="0" xfId="0" applyNumberFormat="1" applyFont="1" applyAlignment="1" applyProtection="1">
      <alignment horizontal="center" vertical="center" shrinkToFit="1"/>
      <protection locked="0"/>
    </xf>
    <xf numFmtId="49" fontId="84" fillId="0" borderId="0" xfId="0" applyNumberFormat="1" applyFont="1" applyAlignment="1" applyProtection="1">
      <alignment horizontal="center" shrinkToFit="1"/>
      <protection locked="0"/>
    </xf>
    <xf numFmtId="0" fontId="19" fillId="0" borderId="0" xfId="0" applyFont="1" applyAlignment="1" applyProtection="1">
      <alignment horizontal="center" shrinkToFit="1"/>
      <protection locked="0"/>
    </xf>
    <xf numFmtId="14" fontId="19" fillId="0" borderId="0" xfId="0" applyNumberFormat="1" applyFont="1" applyAlignment="1" applyProtection="1">
      <alignment horizontal="center" vertical="center" shrinkToFit="1"/>
      <protection locked="0"/>
    </xf>
    <xf numFmtId="0" fontId="19" fillId="0" borderId="0" xfId="0" applyFont="1" applyAlignment="1" applyProtection="1">
      <alignment horizontal="center" vertical="center" shrinkToFit="1"/>
      <protection locked="0"/>
    </xf>
    <xf numFmtId="0" fontId="84" fillId="0" borderId="0" xfId="0" applyFont="1" applyAlignment="1" applyProtection="1">
      <alignment horizontal="center" shrinkToFit="1"/>
      <protection locked="0"/>
    </xf>
    <xf numFmtId="49" fontId="18" fillId="0" borderId="0" xfId="0" applyNumberFormat="1" applyFont="1" applyAlignment="1" applyProtection="1">
      <alignment horizontal="center" vertical="center" shrinkToFit="1"/>
      <protection locked="0"/>
    </xf>
    <xf numFmtId="38" fontId="6" fillId="0" borderId="0" xfId="0" applyNumberFormat="1" applyFont="1" applyProtection="1">
      <alignment vertical="center"/>
      <protection locked="0"/>
    </xf>
    <xf numFmtId="40" fontId="6" fillId="0" borderId="0" xfId="0" applyNumberFormat="1" applyFont="1" applyAlignment="1" applyProtection="1">
      <alignment horizontal="center" vertical="center"/>
      <protection locked="0"/>
    </xf>
    <xf numFmtId="40" fontId="6" fillId="0" borderId="0" xfId="0" applyNumberFormat="1" applyFont="1" applyAlignment="1" applyProtection="1">
      <alignment horizontal="center" vertical="center" wrapText="1"/>
      <protection locked="0"/>
    </xf>
    <xf numFmtId="182" fontId="18" fillId="0" borderId="0" xfId="0" applyNumberFormat="1" applyFont="1" applyAlignment="1" applyProtection="1">
      <alignment vertical="center" shrinkToFit="1"/>
      <protection hidden="1"/>
    </xf>
    <xf numFmtId="49" fontId="84" fillId="0" borderId="0" xfId="0" quotePrefix="1" applyNumberFormat="1" applyFont="1" applyAlignment="1" applyProtection="1">
      <alignment horizontal="center" shrinkToFit="1"/>
      <protection locked="0"/>
    </xf>
    <xf numFmtId="182" fontId="18" fillId="0" borderId="0" xfId="0" applyNumberFormat="1" applyFont="1" applyAlignment="1">
      <alignment vertical="center" shrinkToFit="1"/>
    </xf>
    <xf numFmtId="182" fontId="18" fillId="0" borderId="0" xfId="0" applyNumberFormat="1" applyFont="1" applyAlignment="1">
      <alignment horizontal="center" vertical="center"/>
    </xf>
    <xf numFmtId="182" fontId="18" fillId="3" borderId="0" xfId="0" applyNumberFormat="1" applyFont="1" applyFill="1">
      <alignment vertical="center"/>
    </xf>
    <xf numFmtId="182" fontId="18" fillId="0" borderId="0" xfId="0" applyNumberFormat="1" applyFont="1">
      <alignment vertical="center"/>
    </xf>
    <xf numFmtId="182" fontId="18" fillId="3" borderId="0" xfId="0" applyNumberFormat="1" applyFont="1" applyFill="1" applyAlignment="1">
      <alignment horizontal="center" vertical="center"/>
    </xf>
    <xf numFmtId="0" fontId="18" fillId="0" borderId="0" xfId="0" applyFont="1">
      <alignment vertical="center"/>
    </xf>
    <xf numFmtId="176" fontId="53" fillId="0" borderId="0" xfId="0" applyNumberFormat="1" applyFont="1" applyAlignment="1">
      <alignment vertical="center" shrinkToFit="1"/>
    </xf>
    <xf numFmtId="192" fontId="53" fillId="0" borderId="0" xfId="0" applyNumberFormat="1" applyFont="1" applyAlignment="1">
      <alignment vertical="center" shrinkToFit="1"/>
    </xf>
    <xf numFmtId="0" fontId="65" fillId="3" borderId="0" xfId="0" applyFont="1" applyFill="1">
      <alignment vertical="center"/>
    </xf>
    <xf numFmtId="182" fontId="18" fillId="0" borderId="0" xfId="0" applyNumberFormat="1" applyFont="1" applyAlignment="1" applyProtection="1">
      <alignment vertical="center" shrinkToFit="1"/>
      <protection locked="0" hidden="1"/>
    </xf>
    <xf numFmtId="182" fontId="18" fillId="0" borderId="0" xfId="0" applyNumberFormat="1" applyFont="1" applyAlignment="1" applyProtection="1">
      <alignment horizontal="center" vertical="center"/>
      <protection locked="0" hidden="1"/>
    </xf>
    <xf numFmtId="182" fontId="18" fillId="0" borderId="0" xfId="0" applyNumberFormat="1" applyFont="1" applyProtection="1">
      <alignment vertical="center"/>
      <protection locked="0" hidden="1"/>
    </xf>
    <xf numFmtId="182" fontId="18" fillId="3" borderId="0" xfId="0" applyNumberFormat="1" applyFont="1" applyFill="1" applyAlignment="1" applyProtection="1">
      <alignment horizontal="center" vertical="center"/>
      <protection locked="0" hidden="1"/>
    </xf>
    <xf numFmtId="0" fontId="18" fillId="0" borderId="0" xfId="0" applyFont="1" applyProtection="1">
      <alignment vertical="center"/>
      <protection locked="0" hidden="1"/>
    </xf>
    <xf numFmtId="0" fontId="37" fillId="0" borderId="0" xfId="0" applyFont="1" applyAlignment="1">
      <alignment vertical="center" shrinkToFit="1"/>
    </xf>
    <xf numFmtId="0" fontId="6" fillId="0" borderId="0" xfId="0" applyFont="1" applyAlignment="1">
      <alignment horizontal="center" vertical="center"/>
    </xf>
    <xf numFmtId="178" fontId="6" fillId="0" borderId="0" xfId="0" applyNumberFormat="1" applyFont="1" applyAlignment="1">
      <alignment horizontal="center" vertical="center"/>
    </xf>
    <xf numFmtId="0" fontId="65" fillId="3" borderId="0" xfId="0" applyFont="1" applyFill="1" applyProtection="1">
      <alignment vertical="center"/>
      <protection locked="0" hidden="1"/>
    </xf>
    <xf numFmtId="0" fontId="31" fillId="3" borderId="0" xfId="0" applyFont="1" applyFill="1" applyProtection="1">
      <alignment vertical="center"/>
      <protection locked="0" hidden="1"/>
    </xf>
    <xf numFmtId="0" fontId="114" fillId="0" borderId="0" xfId="0" applyFont="1" applyAlignment="1" applyProtection="1">
      <alignment horizontal="center" vertical="center"/>
      <protection hidden="1"/>
    </xf>
    <xf numFmtId="0" fontId="114" fillId="0" borderId="0" xfId="0" applyFont="1" applyBorder="1" applyAlignment="1" applyProtection="1">
      <alignment horizontal="center" vertical="center"/>
      <protection hidden="1"/>
    </xf>
    <xf numFmtId="0" fontId="114" fillId="0" borderId="0" xfId="0" applyFont="1" applyProtection="1">
      <alignment vertical="center"/>
      <protection hidden="1"/>
    </xf>
    <xf numFmtId="0" fontId="114" fillId="0" borderId="0" xfId="0" applyFont="1" applyAlignment="1" applyProtection="1">
      <alignment horizontal="left" vertical="center"/>
      <protection hidden="1"/>
    </xf>
    <xf numFmtId="0" fontId="114" fillId="0" borderId="0" xfId="0" applyFont="1" applyAlignment="1" applyProtection="1">
      <alignment horizontal="center" vertical="center" shrinkToFit="1"/>
      <protection hidden="1"/>
    </xf>
    <xf numFmtId="0" fontId="115" fillId="0" borderId="258" xfId="0" applyFont="1" applyBorder="1" applyAlignment="1" applyProtection="1">
      <alignment horizontal="center" vertical="center" shrinkToFit="1"/>
      <protection hidden="1"/>
    </xf>
    <xf numFmtId="0" fontId="115" fillId="0" borderId="0" xfId="0" applyFont="1" applyAlignment="1" applyProtection="1">
      <alignment horizontal="center" vertical="center"/>
      <protection hidden="1"/>
    </xf>
    <xf numFmtId="0" fontId="114" fillId="0" borderId="1" xfId="0" applyFont="1" applyBorder="1" applyAlignment="1" applyProtection="1">
      <alignment horizontal="center" vertical="center"/>
      <protection hidden="1"/>
    </xf>
    <xf numFmtId="0" fontId="114" fillId="0" borderId="1" xfId="0" applyFont="1" applyBorder="1" applyAlignment="1" applyProtection="1">
      <alignment horizontal="center" vertical="center" shrinkToFit="1"/>
      <protection hidden="1"/>
    </xf>
    <xf numFmtId="0" fontId="114" fillId="0" borderId="0" xfId="0" applyFont="1" applyBorder="1" applyProtection="1">
      <alignment vertical="center"/>
      <protection hidden="1"/>
    </xf>
    <xf numFmtId="0" fontId="114" fillId="0" borderId="0" xfId="0" applyFont="1" applyBorder="1" applyAlignment="1" applyProtection="1">
      <alignment horizontal="left" vertical="center"/>
      <protection hidden="1"/>
    </xf>
    <xf numFmtId="0" fontId="114" fillId="0" borderId="0" xfId="0" applyFont="1" applyBorder="1" applyAlignment="1" applyProtection="1">
      <alignment horizontal="center" vertical="center" shrinkToFit="1"/>
      <protection hidden="1"/>
    </xf>
    <xf numFmtId="0" fontId="114" fillId="0" borderId="16" xfId="0" applyFont="1" applyBorder="1" applyAlignment="1" applyProtection="1">
      <alignment horizontal="center" vertical="center"/>
      <protection hidden="1"/>
    </xf>
    <xf numFmtId="0" fontId="114" fillId="0" borderId="16" xfId="0" applyFont="1" applyBorder="1" applyAlignment="1" applyProtection="1">
      <alignment horizontal="center" vertical="center" shrinkToFit="1"/>
      <protection hidden="1"/>
    </xf>
    <xf numFmtId="0" fontId="114" fillId="0" borderId="16" xfId="0" applyFont="1" applyBorder="1" applyProtection="1">
      <alignment vertical="center"/>
      <protection hidden="1"/>
    </xf>
    <xf numFmtId="0" fontId="114" fillId="0" borderId="16" xfId="0" applyFont="1" applyBorder="1" applyAlignment="1" applyProtection="1">
      <alignment horizontal="left" vertical="center"/>
      <protection hidden="1"/>
    </xf>
    <xf numFmtId="0" fontId="114" fillId="0" borderId="0" xfId="0" applyFont="1" applyAlignment="1" applyProtection="1">
      <alignment vertical="center" shrinkToFit="1"/>
      <protection hidden="1"/>
    </xf>
    <xf numFmtId="0" fontId="115" fillId="0" borderId="0" xfId="0" applyFont="1" applyAlignment="1" applyProtection="1">
      <alignment horizontal="left" vertical="center"/>
      <protection hidden="1"/>
    </xf>
    <xf numFmtId="184" fontId="115" fillId="0" borderId="0" xfId="0" applyNumberFormat="1" applyFont="1" applyAlignment="1" applyProtection="1">
      <alignment horizontal="center" vertical="center" shrinkToFit="1"/>
      <protection hidden="1"/>
    </xf>
    <xf numFmtId="0" fontId="115" fillId="0" borderId="0" xfId="0" applyFont="1" applyProtection="1">
      <alignment vertical="center"/>
      <protection hidden="1"/>
    </xf>
    <xf numFmtId="0" fontId="115" fillId="0" borderId="31" xfId="0" applyFont="1" applyBorder="1" applyAlignment="1" applyProtection="1">
      <alignment horizontal="center" vertical="center" shrinkToFit="1"/>
      <protection hidden="1"/>
    </xf>
    <xf numFmtId="0" fontId="115" fillId="0" borderId="17" xfId="0" applyFont="1" applyBorder="1" applyAlignment="1" applyProtection="1">
      <alignment horizontal="center" vertical="center" shrinkToFit="1"/>
      <protection hidden="1"/>
    </xf>
    <xf numFmtId="0" fontId="115" fillId="0" borderId="34" xfId="0" applyFont="1" applyBorder="1" applyAlignment="1" applyProtection="1">
      <alignment horizontal="center" vertical="center" shrinkToFit="1"/>
      <protection hidden="1"/>
    </xf>
    <xf numFmtId="10" fontId="115" fillId="0" borderId="0" xfId="0" applyNumberFormat="1" applyFont="1" applyAlignment="1" applyProtection="1">
      <alignment horizontal="center" vertical="center"/>
      <protection hidden="1"/>
    </xf>
    <xf numFmtId="0" fontId="115" fillId="0" borderId="30" xfId="0" applyFont="1" applyBorder="1" applyAlignment="1" applyProtection="1">
      <alignment horizontal="center" vertical="center" shrinkToFit="1"/>
      <protection hidden="1"/>
    </xf>
    <xf numFmtId="0" fontId="115" fillId="0" borderId="259" xfId="0" applyFont="1" applyBorder="1" applyAlignment="1" applyProtection="1">
      <alignment horizontal="center" vertical="center" shrinkToFit="1"/>
      <protection hidden="1"/>
    </xf>
    <xf numFmtId="184" fontId="114" fillId="0" borderId="0" xfId="0" applyNumberFormat="1" applyFont="1" applyAlignment="1" applyProtection="1">
      <alignment horizontal="center" vertical="center" shrinkToFit="1"/>
      <protection hidden="1"/>
    </xf>
    <xf numFmtId="177" fontId="114" fillId="0" borderId="0" xfId="0" applyNumberFormat="1" applyFont="1" applyProtection="1">
      <alignment vertical="center"/>
      <protection hidden="1"/>
    </xf>
    <xf numFmtId="179" fontId="114" fillId="0" borderId="0" xfId="0" applyNumberFormat="1" applyFont="1" applyAlignment="1" applyProtection="1">
      <alignment horizontal="center" vertical="center"/>
      <protection hidden="1"/>
    </xf>
    <xf numFmtId="0" fontId="114" fillId="0" borderId="260" xfId="0" applyFont="1" applyBorder="1" applyAlignment="1" applyProtection="1">
      <alignment horizontal="center" vertical="center" shrinkToFit="1"/>
      <protection hidden="1"/>
    </xf>
    <xf numFmtId="0" fontId="114" fillId="0" borderId="261" xfId="0" applyFont="1" applyBorder="1" applyAlignment="1" applyProtection="1">
      <alignment horizontal="center" vertical="center" shrinkToFit="1"/>
      <protection hidden="1"/>
    </xf>
    <xf numFmtId="0" fontId="114" fillId="0" borderId="262" xfId="0" applyFont="1" applyBorder="1" applyAlignment="1" applyProtection="1">
      <alignment horizontal="center" vertical="center" shrinkToFit="1"/>
      <protection hidden="1"/>
    </xf>
    <xf numFmtId="0" fontId="114" fillId="0" borderId="263" xfId="0" applyFont="1" applyBorder="1" applyAlignment="1" applyProtection="1">
      <alignment horizontal="center" vertical="center" shrinkToFit="1"/>
      <protection hidden="1"/>
    </xf>
    <xf numFmtId="0" fontId="114" fillId="0" borderId="264" xfId="0" applyFont="1" applyBorder="1" applyAlignment="1" applyProtection="1">
      <alignment horizontal="center" vertical="center" shrinkToFit="1"/>
      <protection hidden="1"/>
    </xf>
    <xf numFmtId="0" fontId="114" fillId="0" borderId="265" xfId="0" applyFont="1" applyBorder="1" applyAlignment="1" applyProtection="1">
      <alignment horizontal="center" vertical="center" shrinkToFit="1"/>
      <protection hidden="1"/>
    </xf>
    <xf numFmtId="0" fontId="114" fillId="0" borderId="266" xfId="0" applyFont="1" applyBorder="1" applyAlignment="1" applyProtection="1">
      <alignment horizontal="center" vertical="center" shrinkToFit="1"/>
      <protection hidden="1"/>
    </xf>
    <xf numFmtId="0" fontId="114" fillId="0" borderId="267" xfId="0" applyFont="1" applyBorder="1" applyAlignment="1" applyProtection="1">
      <alignment horizontal="center" vertical="center" shrinkToFit="1"/>
      <protection hidden="1"/>
    </xf>
    <xf numFmtId="0" fontId="114" fillId="0" borderId="268" xfId="0" applyFont="1" applyBorder="1" applyAlignment="1" applyProtection="1">
      <alignment horizontal="center" vertical="center" shrinkToFit="1"/>
      <protection hidden="1"/>
    </xf>
    <xf numFmtId="184" fontId="114" fillId="0" borderId="0" xfId="0" applyNumberFormat="1" applyFont="1" applyBorder="1" applyAlignment="1" applyProtection="1">
      <alignment horizontal="center" vertical="center" shrinkToFit="1"/>
      <protection hidden="1"/>
    </xf>
    <xf numFmtId="0" fontId="114" fillId="0" borderId="1" xfId="0" applyFont="1" applyBorder="1" applyAlignment="1" applyProtection="1">
      <alignment horizontal="left" vertical="center" shrinkToFit="1"/>
      <protection hidden="1"/>
    </xf>
    <xf numFmtId="0" fontId="114" fillId="0" borderId="8" xfId="0" applyFont="1" applyBorder="1" applyAlignment="1" applyProtection="1">
      <alignment horizontal="center" vertical="center"/>
      <protection hidden="1"/>
    </xf>
    <xf numFmtId="0" fontId="114" fillId="0" borderId="8" xfId="0" applyFont="1" applyBorder="1" applyProtection="1">
      <alignment vertical="center"/>
      <protection hidden="1"/>
    </xf>
    <xf numFmtId="184" fontId="114" fillId="0" borderId="8" xfId="0" applyNumberFormat="1" applyFont="1" applyBorder="1" applyAlignment="1" applyProtection="1">
      <alignment horizontal="center" vertical="center" shrinkToFit="1"/>
      <protection hidden="1"/>
    </xf>
    <xf numFmtId="0" fontId="114" fillId="0" borderId="8" xfId="0" applyFont="1" applyBorder="1" applyAlignment="1" applyProtection="1">
      <alignment horizontal="left" vertical="center" shrinkToFit="1"/>
      <protection hidden="1"/>
    </xf>
    <xf numFmtId="0" fontId="114" fillId="0" borderId="8" xfId="0" applyFont="1" applyBorder="1" applyAlignment="1" applyProtection="1">
      <alignment horizontal="center" vertical="center" shrinkToFit="1"/>
      <protection hidden="1"/>
    </xf>
    <xf numFmtId="0" fontId="115" fillId="0" borderId="0" xfId="0" applyFont="1" applyBorder="1" applyAlignment="1" applyProtection="1">
      <alignment horizontal="left" vertical="center"/>
      <protection hidden="1"/>
    </xf>
    <xf numFmtId="10" fontId="114" fillId="0" borderId="0" xfId="0" applyNumberFormat="1" applyFont="1" applyAlignment="1" applyProtection="1">
      <alignment horizontal="center" vertical="center"/>
      <protection hidden="1"/>
    </xf>
    <xf numFmtId="0" fontId="114" fillId="0" borderId="258" xfId="0" applyFont="1" applyBorder="1" applyAlignment="1" applyProtection="1">
      <alignment horizontal="center" vertical="center" shrinkToFit="1"/>
      <protection hidden="1"/>
    </xf>
    <xf numFmtId="180" fontId="114" fillId="0" borderId="0" xfId="0" applyNumberFormat="1" applyFont="1" applyAlignment="1" applyProtection="1">
      <alignment horizontal="center" vertical="center"/>
      <protection hidden="1"/>
    </xf>
    <xf numFmtId="10" fontId="114" fillId="0" borderId="0" xfId="0" applyNumberFormat="1" applyFont="1" applyProtection="1">
      <alignment vertical="center"/>
      <protection hidden="1"/>
    </xf>
    <xf numFmtId="180" fontId="114" fillId="0" borderId="0" xfId="0" applyNumberFormat="1" applyFont="1" applyAlignment="1" applyProtection="1">
      <alignment horizontal="left" vertical="center"/>
      <protection hidden="1"/>
    </xf>
    <xf numFmtId="0" fontId="115" fillId="0" borderId="0" xfId="0" applyFont="1" applyBorder="1" applyAlignment="1" applyProtection="1">
      <alignment horizontal="center" vertical="center" shrinkToFit="1"/>
      <protection hidden="1"/>
    </xf>
    <xf numFmtId="177" fontId="114" fillId="0" borderId="0" xfId="0" applyNumberFormat="1" applyFont="1" applyAlignment="1" applyProtection="1">
      <alignment horizontal="center" vertical="center"/>
      <protection hidden="1"/>
    </xf>
    <xf numFmtId="182" fontId="114" fillId="0" borderId="0" xfId="0" applyNumberFormat="1" applyFont="1" applyAlignment="1" applyProtection="1">
      <alignment horizontal="center" vertical="center"/>
      <protection hidden="1"/>
    </xf>
    <xf numFmtId="177" fontId="114" fillId="0" borderId="0" xfId="0" applyNumberFormat="1" applyFont="1" applyAlignment="1" applyProtection="1">
      <alignment horizontal="center" vertical="center" shrinkToFit="1"/>
      <protection hidden="1"/>
    </xf>
    <xf numFmtId="0" fontId="114" fillId="0" borderId="257" xfId="0" applyFont="1" applyBorder="1" applyAlignment="1" applyProtection="1">
      <alignment horizontal="center" vertical="center" shrinkToFit="1"/>
      <protection hidden="1"/>
    </xf>
    <xf numFmtId="190" fontId="114" fillId="0" borderId="0" xfId="0" applyNumberFormat="1" applyFont="1" applyAlignment="1" applyProtection="1">
      <alignment horizontal="center" vertical="center"/>
      <protection hidden="1"/>
    </xf>
    <xf numFmtId="191" fontId="114" fillId="0" borderId="0" xfId="0" applyNumberFormat="1" applyFont="1" applyAlignment="1" applyProtection="1">
      <alignment horizontal="center" vertical="center"/>
      <protection hidden="1"/>
    </xf>
    <xf numFmtId="195" fontId="114" fillId="0" borderId="0" xfId="0" applyNumberFormat="1" applyFont="1" applyAlignment="1" applyProtection="1">
      <alignment horizontal="center" vertical="center"/>
      <protection hidden="1"/>
    </xf>
    <xf numFmtId="0" fontId="114" fillId="0" borderId="8" xfId="0" applyFont="1" applyBorder="1" applyAlignment="1" applyProtection="1">
      <alignment horizontal="left" vertical="center"/>
      <protection hidden="1"/>
    </xf>
    <xf numFmtId="186" fontId="114" fillId="0" borderId="0" xfId="0" applyNumberFormat="1" applyFont="1" applyAlignment="1" applyProtection="1">
      <alignment horizontal="center" vertical="center"/>
      <protection hidden="1"/>
    </xf>
    <xf numFmtId="0" fontId="115" fillId="0" borderId="0" xfId="0" applyFont="1" applyAlignment="1" applyProtection="1">
      <alignment horizontal="center" vertical="center" shrinkToFit="1"/>
      <protection hidden="1"/>
    </xf>
    <xf numFmtId="10" fontId="114" fillId="0" borderId="0" xfId="0" applyNumberFormat="1" applyFont="1" applyAlignment="1" applyProtection="1">
      <alignment horizontal="center" vertical="center" shrinkToFit="1"/>
      <protection hidden="1"/>
    </xf>
    <xf numFmtId="185" fontId="114" fillId="0" borderId="0" xfId="0" applyNumberFormat="1" applyFont="1" applyAlignment="1" applyProtection="1">
      <alignment horizontal="center" vertical="center" shrinkToFit="1"/>
      <protection hidden="1"/>
    </xf>
    <xf numFmtId="0" fontId="114" fillId="0" borderId="258" xfId="0" applyFont="1" applyBorder="1" applyAlignment="1" applyProtection="1">
      <alignment horizontal="center" vertical="center"/>
      <protection hidden="1"/>
    </xf>
    <xf numFmtId="0" fontId="114" fillId="0" borderId="258" xfId="0" applyFont="1" applyBorder="1" applyAlignment="1" applyProtection="1">
      <alignment horizontal="left" vertical="center"/>
      <protection hidden="1"/>
    </xf>
    <xf numFmtId="0" fontId="114" fillId="0" borderId="258" xfId="0" applyFont="1" applyBorder="1" applyProtection="1">
      <alignment vertical="center"/>
      <protection hidden="1"/>
    </xf>
    <xf numFmtId="10" fontId="114" fillId="0" borderId="258" xfId="0" applyNumberFormat="1" applyFont="1" applyBorder="1" applyAlignment="1" applyProtection="1">
      <alignment horizontal="left" vertical="center"/>
      <protection hidden="1"/>
    </xf>
    <xf numFmtId="10" fontId="114" fillId="0" borderId="258" xfId="0" applyNumberFormat="1" applyFont="1" applyBorder="1" applyProtection="1">
      <alignment vertical="center"/>
      <protection hidden="1"/>
    </xf>
    <xf numFmtId="10" fontId="115" fillId="0" borderId="0" xfId="0" applyNumberFormat="1" applyFont="1" applyAlignment="1" applyProtection="1">
      <alignment horizontal="center" vertical="center" shrinkToFit="1"/>
      <protection hidden="1"/>
    </xf>
    <xf numFmtId="184" fontId="114" fillId="0" borderId="0" xfId="0" applyNumberFormat="1" applyFont="1" applyAlignment="1" applyProtection="1">
      <alignment horizontal="center" vertical="center"/>
      <protection hidden="1"/>
    </xf>
    <xf numFmtId="184" fontId="115" fillId="0" borderId="0" xfId="0" applyNumberFormat="1" applyFont="1" applyAlignment="1" applyProtection="1">
      <alignment horizontal="center" vertical="center"/>
      <protection hidden="1"/>
    </xf>
    <xf numFmtId="10" fontId="114" fillId="0" borderId="0" xfId="0" applyNumberFormat="1" applyFont="1" applyAlignment="1" applyProtection="1">
      <alignment horizontal="left" vertical="center"/>
      <protection hidden="1"/>
    </xf>
    <xf numFmtId="180" fontId="114" fillId="0" borderId="0" xfId="0" applyNumberFormat="1" applyFont="1" applyProtection="1">
      <alignment vertical="center"/>
      <protection hidden="1"/>
    </xf>
    <xf numFmtId="0" fontId="19" fillId="0" borderId="133" xfId="0" applyFont="1" applyBorder="1" applyAlignment="1" applyProtection="1">
      <alignment horizontal="left" vertical="center" wrapText="1"/>
      <protection hidden="1"/>
    </xf>
    <xf numFmtId="0" fontId="19" fillId="0" borderId="51" xfId="0" applyFont="1" applyBorder="1" applyAlignment="1" applyProtection="1">
      <alignment horizontal="left" vertical="center" wrapText="1"/>
      <protection hidden="1"/>
    </xf>
    <xf numFmtId="0" fontId="19" fillId="0" borderId="132" xfId="0" applyFont="1" applyBorder="1" applyAlignment="1" applyProtection="1">
      <alignment horizontal="left" vertical="center" wrapText="1"/>
      <protection hidden="1"/>
    </xf>
    <xf numFmtId="0" fontId="19" fillId="0" borderId="144" xfId="0" applyFont="1" applyBorder="1" applyAlignment="1" applyProtection="1">
      <alignment horizontal="left" vertical="center" wrapText="1"/>
      <protection hidden="1"/>
    </xf>
    <xf numFmtId="0" fontId="19" fillId="0" borderId="0" xfId="0" applyFont="1" applyAlignment="1" applyProtection="1">
      <alignment horizontal="left" vertical="center" wrapText="1"/>
      <protection hidden="1"/>
    </xf>
    <xf numFmtId="0" fontId="19" fillId="0" borderId="145" xfId="0" applyFont="1" applyBorder="1" applyAlignment="1" applyProtection="1">
      <alignment horizontal="left" vertical="center" wrapText="1"/>
      <protection hidden="1"/>
    </xf>
    <xf numFmtId="0" fontId="19" fillId="0" borderId="143" xfId="0" applyFont="1" applyBorder="1" applyAlignment="1" applyProtection="1">
      <alignment horizontal="left" vertical="center" wrapText="1"/>
      <protection hidden="1"/>
    </xf>
    <xf numFmtId="0" fontId="19" fillId="0" borderId="46" xfId="0" applyFont="1" applyBorder="1" applyAlignment="1" applyProtection="1">
      <alignment horizontal="left" vertical="center" wrapText="1"/>
      <protection hidden="1"/>
    </xf>
    <xf numFmtId="0" fontId="19" fillId="0" borderId="67" xfId="0" applyFont="1" applyBorder="1" applyAlignment="1" applyProtection="1">
      <alignment horizontal="left" vertical="center" wrapText="1"/>
      <protection hidden="1"/>
    </xf>
    <xf numFmtId="0" fontId="19" fillId="0" borderId="107" xfId="0" applyFont="1" applyBorder="1" applyAlignment="1" applyProtection="1">
      <alignment horizontal="left" vertical="center" wrapText="1"/>
      <protection hidden="1"/>
    </xf>
    <xf numFmtId="0" fontId="19" fillId="0" borderId="38" xfId="0" applyFont="1" applyBorder="1" applyAlignment="1" applyProtection="1">
      <alignment horizontal="left" vertical="center" wrapText="1"/>
      <protection hidden="1"/>
    </xf>
    <xf numFmtId="0" fontId="19" fillId="0" borderId="68" xfId="0" applyFont="1" applyBorder="1" applyAlignment="1" applyProtection="1">
      <alignment horizontal="left" vertical="center" wrapText="1"/>
      <protection hidden="1"/>
    </xf>
    <xf numFmtId="0" fontId="16" fillId="4" borderId="198" xfId="0" applyFont="1" applyFill="1" applyBorder="1" applyAlignment="1" applyProtection="1">
      <alignment horizontal="center" vertical="center" wrapText="1"/>
      <protection hidden="1"/>
    </xf>
    <xf numFmtId="0" fontId="16" fillId="4" borderId="199" xfId="0" applyFont="1" applyFill="1" applyBorder="1" applyAlignment="1" applyProtection="1">
      <alignment horizontal="center" vertical="center"/>
      <protection hidden="1"/>
    </xf>
    <xf numFmtId="0" fontId="8" fillId="8" borderId="201" xfId="0" applyFont="1" applyFill="1" applyBorder="1" applyAlignment="1" applyProtection="1">
      <alignment horizontal="center" vertical="center" shrinkToFit="1"/>
      <protection hidden="1"/>
    </xf>
    <xf numFmtId="0" fontId="8" fillId="8" borderId="182" xfId="0" applyFont="1" applyFill="1" applyBorder="1" applyAlignment="1" applyProtection="1">
      <alignment horizontal="center" vertical="center" shrinkToFit="1"/>
      <protection hidden="1"/>
    </xf>
    <xf numFmtId="0" fontId="8" fillId="8" borderId="183" xfId="0" applyFont="1" applyFill="1" applyBorder="1" applyAlignment="1" applyProtection="1">
      <alignment horizontal="center" vertical="center" shrinkToFit="1"/>
      <protection hidden="1"/>
    </xf>
    <xf numFmtId="179" fontId="11" fillId="7" borderId="5" xfId="0" applyNumberFormat="1" applyFont="1" applyFill="1" applyBorder="1" applyAlignment="1" applyProtection="1">
      <alignment horizontal="center" vertical="center" wrapText="1"/>
      <protection hidden="1"/>
    </xf>
    <xf numFmtId="179" fontId="11" fillId="7" borderId="0" xfId="0" applyNumberFormat="1" applyFont="1" applyFill="1" applyAlignment="1" applyProtection="1">
      <alignment horizontal="center" vertical="center" wrapText="1"/>
      <protection hidden="1"/>
    </xf>
    <xf numFmtId="179" fontId="11" fillId="7" borderId="12" xfId="0" applyNumberFormat="1" applyFont="1" applyFill="1" applyBorder="1" applyAlignment="1" applyProtection="1">
      <alignment horizontal="center" vertical="center" wrapText="1"/>
      <protection hidden="1"/>
    </xf>
    <xf numFmtId="179" fontId="11" fillId="7" borderId="7" xfId="0" applyNumberFormat="1" applyFont="1" applyFill="1" applyBorder="1" applyAlignment="1" applyProtection="1">
      <alignment horizontal="center" vertical="center" wrapText="1"/>
      <protection hidden="1"/>
    </xf>
    <xf numFmtId="179" fontId="11" fillId="7" borderId="8" xfId="0" applyNumberFormat="1" applyFont="1" applyFill="1" applyBorder="1" applyAlignment="1" applyProtection="1">
      <alignment horizontal="center" vertical="center" wrapText="1"/>
      <protection hidden="1"/>
    </xf>
    <xf numFmtId="179" fontId="11" fillId="7" borderId="13" xfId="0" applyNumberFormat="1" applyFont="1" applyFill="1" applyBorder="1" applyAlignment="1" applyProtection="1">
      <alignment horizontal="center" vertical="center" wrapText="1"/>
      <protection hidden="1"/>
    </xf>
    <xf numFmtId="179" fontId="13" fillId="0" borderId="203" xfId="0" applyNumberFormat="1" applyFont="1" applyBorder="1" applyAlignment="1" applyProtection="1">
      <alignment horizontal="center" vertical="center" shrinkToFit="1"/>
      <protection hidden="1"/>
    </xf>
    <xf numFmtId="179" fontId="13" fillId="0" borderId="1" xfId="0" applyNumberFormat="1" applyFont="1" applyBorder="1" applyAlignment="1" applyProtection="1">
      <alignment horizontal="center" vertical="center" shrinkToFit="1"/>
      <protection hidden="1"/>
    </xf>
    <xf numFmtId="179" fontId="13" fillId="0" borderId="178" xfId="0" applyNumberFormat="1" applyFont="1" applyBorder="1" applyAlignment="1" applyProtection="1">
      <alignment horizontal="center" vertical="center" shrinkToFit="1"/>
      <protection hidden="1"/>
    </xf>
    <xf numFmtId="179" fontId="13" fillId="0" borderId="202" xfId="0" applyNumberFormat="1" applyFont="1" applyBorder="1" applyAlignment="1" applyProtection="1">
      <alignment horizontal="center" vertical="center" shrinkToFit="1"/>
      <protection hidden="1"/>
    </xf>
    <xf numFmtId="179" fontId="13" fillId="0" borderId="14" xfId="0" applyNumberFormat="1" applyFont="1" applyBorder="1" applyAlignment="1" applyProtection="1">
      <alignment horizontal="center" vertical="center" shrinkToFit="1"/>
      <protection hidden="1"/>
    </xf>
    <xf numFmtId="179" fontId="13" fillId="0" borderId="181" xfId="0" applyNumberFormat="1" applyFont="1" applyBorder="1" applyAlignment="1" applyProtection="1">
      <alignment horizontal="center" vertical="center" shrinkToFit="1"/>
      <protection hidden="1"/>
    </xf>
    <xf numFmtId="179" fontId="13" fillId="0" borderId="187" xfId="0" applyNumberFormat="1" applyFont="1" applyBorder="1" applyAlignment="1" applyProtection="1">
      <alignment horizontal="center" vertical="center"/>
      <protection hidden="1"/>
    </xf>
    <xf numFmtId="179" fontId="13" fillId="0" borderId="179" xfId="0" applyNumberFormat="1" applyFont="1" applyBorder="1" applyAlignment="1" applyProtection="1">
      <alignment horizontal="center" vertical="center"/>
      <protection hidden="1"/>
    </xf>
    <xf numFmtId="179" fontId="13" fillId="0" borderId="158" xfId="0" applyNumberFormat="1" applyFont="1" applyBorder="1" applyAlignment="1" applyProtection="1">
      <alignment horizontal="center" vertical="center"/>
      <protection hidden="1"/>
    </xf>
    <xf numFmtId="179" fontId="13" fillId="0" borderId="186" xfId="0" applyNumberFormat="1" applyFont="1" applyBorder="1" applyAlignment="1" applyProtection="1">
      <alignment horizontal="center" vertical="center"/>
      <protection hidden="1"/>
    </xf>
    <xf numFmtId="179" fontId="13" fillId="0" borderId="1" xfId="0" applyNumberFormat="1" applyFont="1" applyBorder="1" applyAlignment="1" applyProtection="1">
      <alignment horizontal="center" vertical="center"/>
      <protection hidden="1"/>
    </xf>
    <xf numFmtId="179" fontId="13" fillId="0" borderId="156" xfId="0" applyNumberFormat="1" applyFont="1" applyBorder="1" applyAlignment="1" applyProtection="1">
      <alignment horizontal="center" vertical="center"/>
      <protection hidden="1"/>
    </xf>
    <xf numFmtId="179" fontId="12" fillId="7" borderId="11" xfId="0" applyNumberFormat="1" applyFont="1" applyFill="1" applyBorder="1" applyAlignment="1" applyProtection="1">
      <alignment horizontal="center" vertical="center" wrapText="1"/>
      <protection hidden="1"/>
    </xf>
    <xf numFmtId="179" fontId="12" fillId="7" borderId="8" xfId="0" applyNumberFormat="1" applyFont="1" applyFill="1" applyBorder="1" applyAlignment="1" applyProtection="1">
      <alignment horizontal="center" vertical="center" wrapText="1"/>
      <protection hidden="1"/>
    </xf>
    <xf numFmtId="179" fontId="12" fillId="7" borderId="9" xfId="0" applyNumberFormat="1" applyFont="1" applyFill="1" applyBorder="1" applyAlignment="1" applyProtection="1">
      <alignment horizontal="center" vertical="center" wrapText="1"/>
      <protection hidden="1"/>
    </xf>
    <xf numFmtId="0" fontId="10" fillId="0" borderId="101" xfId="0" applyFont="1" applyBorder="1" applyAlignment="1" applyProtection="1">
      <alignment horizontal="center" vertical="center" shrinkToFit="1"/>
      <protection hidden="1"/>
    </xf>
    <xf numFmtId="0" fontId="10" fillId="0" borderId="102" xfId="0" applyFont="1" applyBorder="1" applyAlignment="1" applyProtection="1">
      <alignment horizontal="center" vertical="center" shrinkToFit="1"/>
      <protection hidden="1"/>
    </xf>
    <xf numFmtId="0" fontId="10" fillId="0" borderId="191" xfId="0" applyFont="1" applyBorder="1" applyAlignment="1" applyProtection="1">
      <alignment horizontal="center" vertical="center" shrinkToFit="1"/>
      <protection hidden="1"/>
    </xf>
    <xf numFmtId="0" fontId="7" fillId="0" borderId="0" xfId="0" applyFont="1" applyAlignment="1" applyProtection="1">
      <alignment horizontal="right" vertical="center" textRotation="255"/>
      <protection hidden="1"/>
    </xf>
    <xf numFmtId="0" fontId="7" fillId="0" borderId="6" xfId="0" applyFont="1" applyBorder="1" applyAlignment="1" applyProtection="1">
      <alignment horizontal="right" vertical="center" textRotation="255"/>
      <protection hidden="1"/>
    </xf>
    <xf numFmtId="0" fontId="16" fillId="0" borderId="20" xfId="0" applyFont="1" applyBorder="1" applyAlignment="1" applyProtection="1">
      <alignment horizontal="center" vertical="center" wrapText="1"/>
      <protection hidden="1"/>
    </xf>
    <xf numFmtId="0" fontId="16" fillId="0" borderId="17" xfId="0" applyFont="1" applyBorder="1" applyAlignment="1" applyProtection="1">
      <alignment horizontal="center" vertical="center" wrapText="1"/>
      <protection hidden="1"/>
    </xf>
    <xf numFmtId="0" fontId="16" fillId="0" borderId="34"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6" fillId="0" borderId="8" xfId="0" applyFont="1" applyBorder="1" applyAlignment="1" applyProtection="1">
      <alignment horizontal="center" vertical="center" wrapText="1"/>
      <protection hidden="1"/>
    </xf>
    <xf numFmtId="0" fontId="16" fillId="0" borderId="27" xfId="0" applyFont="1" applyBorder="1" applyAlignment="1" applyProtection="1">
      <alignment horizontal="center" vertical="center" wrapText="1"/>
      <protection hidden="1"/>
    </xf>
    <xf numFmtId="0" fontId="16" fillId="0" borderId="2" xfId="0"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16" fillId="0" borderId="99" xfId="0" applyFont="1" applyBorder="1" applyAlignment="1" applyProtection="1">
      <alignment horizontal="center" vertical="center" wrapText="1"/>
      <protection hidden="1"/>
    </xf>
    <xf numFmtId="0" fontId="16" fillId="0" borderId="5" xfId="0" applyFont="1" applyBorder="1" applyAlignment="1" applyProtection="1">
      <alignment horizontal="center" vertical="center" wrapText="1"/>
      <protection hidden="1"/>
    </xf>
    <xf numFmtId="0" fontId="16" fillId="0" borderId="0" xfId="0" applyFont="1" applyAlignment="1" applyProtection="1">
      <alignment horizontal="center" vertical="center" wrapText="1"/>
      <protection hidden="1"/>
    </xf>
    <xf numFmtId="0" fontId="16" fillId="0" borderId="32" xfId="0" applyFont="1" applyBorder="1" applyAlignment="1" applyProtection="1">
      <alignment horizontal="center" vertical="center" wrapText="1"/>
      <protection hidden="1"/>
    </xf>
    <xf numFmtId="0" fontId="8" fillId="9" borderId="31" xfId="0" applyFont="1" applyFill="1" applyBorder="1" applyAlignment="1" applyProtection="1">
      <alignment horizontal="center" vertical="center" wrapText="1"/>
      <protection hidden="1"/>
    </xf>
    <xf numFmtId="0" fontId="8" fillId="9" borderId="17" xfId="0" applyFont="1" applyFill="1" applyBorder="1" applyAlignment="1" applyProtection="1">
      <alignment horizontal="center" vertical="center"/>
      <protection hidden="1"/>
    </xf>
    <xf numFmtId="0" fontId="8" fillId="10" borderId="158" xfId="0" applyFont="1" applyFill="1" applyBorder="1" applyAlignment="1" applyProtection="1">
      <alignment horizontal="center" vertical="center" wrapText="1"/>
      <protection hidden="1"/>
    </xf>
    <xf numFmtId="0" fontId="8" fillId="10" borderId="157" xfId="0" applyFont="1" applyFill="1" applyBorder="1" applyAlignment="1" applyProtection="1">
      <alignment horizontal="center" vertical="center"/>
      <protection hidden="1"/>
    </xf>
    <xf numFmtId="0" fontId="50" fillId="0" borderId="3" xfId="0" applyFont="1" applyBorder="1" applyAlignment="1" applyProtection="1">
      <alignment horizontal="left" vertical="top" wrapText="1"/>
      <protection hidden="1"/>
    </xf>
    <xf numFmtId="189" fontId="19" fillId="0" borderId="179" xfId="0" applyNumberFormat="1" applyFont="1" applyBorder="1" applyAlignment="1" applyProtection="1">
      <alignment horizontal="center" vertical="center" shrinkToFit="1"/>
      <protection hidden="1"/>
    </xf>
    <xf numFmtId="189" fontId="19" fillId="0" borderId="158" xfId="0" applyNumberFormat="1" applyFont="1" applyBorder="1" applyAlignment="1" applyProtection="1">
      <alignment horizontal="center" vertical="center" shrinkToFit="1"/>
      <protection hidden="1"/>
    </xf>
    <xf numFmtId="189" fontId="19" fillId="0" borderId="1" xfId="0" applyNumberFormat="1" applyFont="1" applyBorder="1" applyAlignment="1" applyProtection="1">
      <alignment horizontal="center" vertical="center" shrinkToFit="1"/>
      <protection hidden="1"/>
    </xf>
    <xf numFmtId="189" fontId="19" fillId="0" borderId="156" xfId="0" applyNumberFormat="1" applyFont="1" applyBorder="1" applyAlignment="1" applyProtection="1">
      <alignment horizontal="center" vertical="center" shrinkToFit="1"/>
      <protection hidden="1"/>
    </xf>
    <xf numFmtId="187" fontId="19" fillId="0" borderId="1" xfId="0" applyNumberFormat="1" applyFont="1" applyBorder="1" applyAlignment="1" applyProtection="1">
      <alignment horizontal="center" vertical="center" shrinkToFit="1"/>
      <protection hidden="1"/>
    </xf>
    <xf numFmtId="187" fontId="19" fillId="0" borderId="156" xfId="0" applyNumberFormat="1" applyFont="1" applyBorder="1" applyAlignment="1" applyProtection="1">
      <alignment horizontal="center" vertical="center" shrinkToFit="1"/>
      <protection hidden="1"/>
    </xf>
    <xf numFmtId="0" fontId="8" fillId="4" borderId="184" xfId="0" applyFont="1" applyFill="1" applyBorder="1" applyAlignment="1" applyProtection="1">
      <alignment horizontal="center" vertical="center"/>
      <protection hidden="1"/>
    </xf>
    <xf numFmtId="0" fontId="8" fillId="4" borderId="182" xfId="0" applyFont="1" applyFill="1" applyBorder="1" applyAlignment="1" applyProtection="1">
      <alignment horizontal="center" vertical="center"/>
      <protection hidden="1"/>
    </xf>
    <xf numFmtId="0" fontId="8" fillId="4" borderId="33" xfId="0" applyFont="1" applyFill="1" applyBorder="1" applyAlignment="1" applyProtection="1">
      <alignment horizontal="center" vertical="center"/>
      <protection hidden="1"/>
    </xf>
    <xf numFmtId="0" fontId="8" fillId="10" borderId="31" xfId="0" applyFont="1" applyFill="1" applyBorder="1" applyAlignment="1" applyProtection="1">
      <alignment horizontal="center" vertical="center" wrapText="1"/>
      <protection hidden="1"/>
    </xf>
    <xf numFmtId="0" fontId="8" fillId="10" borderId="17" xfId="0" applyFont="1" applyFill="1" applyBorder="1" applyAlignment="1" applyProtection="1">
      <alignment horizontal="center" vertical="center"/>
      <protection hidden="1"/>
    </xf>
    <xf numFmtId="188" fontId="19" fillId="0" borderId="1" xfId="0" applyNumberFormat="1" applyFont="1" applyBorder="1" applyAlignment="1" applyProtection="1">
      <alignment horizontal="center" vertical="center" shrinkToFit="1"/>
      <protection hidden="1"/>
    </xf>
    <xf numFmtId="188" fontId="19" fillId="0" borderId="156" xfId="0" applyNumberFormat="1" applyFont="1" applyBorder="1" applyAlignment="1" applyProtection="1">
      <alignment horizontal="center" vertical="center" shrinkToFit="1"/>
      <protection hidden="1"/>
    </xf>
    <xf numFmtId="179" fontId="40" fillId="7" borderId="11" xfId="0" applyNumberFormat="1" applyFont="1" applyFill="1" applyBorder="1" applyAlignment="1" applyProtection="1">
      <alignment horizontal="center" vertical="center" shrinkToFit="1"/>
      <protection hidden="1"/>
    </xf>
    <xf numFmtId="179" fontId="40" fillId="7" borderId="8" xfId="0" applyNumberFormat="1" applyFont="1" applyFill="1" applyBorder="1" applyAlignment="1" applyProtection="1">
      <alignment horizontal="center" vertical="center" shrinkToFit="1"/>
      <protection hidden="1"/>
    </xf>
    <xf numFmtId="179" fontId="40" fillId="7" borderId="9" xfId="0" applyNumberFormat="1" applyFont="1" applyFill="1" applyBorder="1" applyAlignment="1" applyProtection="1">
      <alignment horizontal="center" vertical="center" shrinkToFit="1"/>
      <protection hidden="1"/>
    </xf>
    <xf numFmtId="10" fontId="45" fillId="0" borderId="0" xfId="0" applyNumberFormat="1" applyFont="1" applyAlignment="1" applyProtection="1">
      <alignment horizontal="left" wrapText="1"/>
      <protection hidden="1"/>
    </xf>
    <xf numFmtId="179" fontId="39" fillId="7" borderId="5" xfId="0" applyNumberFormat="1" applyFont="1" applyFill="1" applyBorder="1" applyAlignment="1" applyProtection="1">
      <alignment horizontal="center" vertical="center" shrinkToFit="1"/>
      <protection hidden="1"/>
    </xf>
    <xf numFmtId="179" fontId="39" fillId="7" borderId="0" xfId="0" applyNumberFormat="1" applyFont="1" applyFill="1" applyAlignment="1" applyProtection="1">
      <alignment horizontal="center" vertical="center" shrinkToFit="1"/>
      <protection hidden="1"/>
    </xf>
    <xf numFmtId="179" fontId="39" fillId="7" borderId="12" xfId="0" applyNumberFormat="1" applyFont="1" applyFill="1" applyBorder="1" applyAlignment="1" applyProtection="1">
      <alignment horizontal="center" vertical="center" shrinkToFit="1"/>
      <protection hidden="1"/>
    </xf>
    <xf numFmtId="179" fontId="39" fillId="7" borderId="7" xfId="0" applyNumberFormat="1" applyFont="1" applyFill="1" applyBorder="1" applyAlignment="1" applyProtection="1">
      <alignment horizontal="center" vertical="center" shrinkToFit="1"/>
      <protection hidden="1"/>
    </xf>
    <xf numFmtId="179" fontId="39" fillId="7" borderId="8" xfId="0" applyNumberFormat="1" applyFont="1" applyFill="1" applyBorder="1" applyAlignment="1" applyProtection="1">
      <alignment horizontal="center" vertical="center" shrinkToFit="1"/>
      <protection hidden="1"/>
    </xf>
    <xf numFmtId="179" fontId="39" fillId="7" borderId="13" xfId="0" applyNumberFormat="1" applyFont="1" applyFill="1" applyBorder="1" applyAlignment="1" applyProtection="1">
      <alignment horizontal="center" vertical="center" shrinkToFit="1"/>
      <protection hidden="1"/>
    </xf>
    <xf numFmtId="179" fontId="40" fillId="7" borderId="21" xfId="0" applyNumberFormat="1" applyFont="1" applyFill="1" applyBorder="1" applyAlignment="1" applyProtection="1">
      <alignment horizontal="center" vertical="center" shrinkToFit="1"/>
      <protection hidden="1"/>
    </xf>
    <xf numFmtId="179" fontId="40" fillId="7" borderId="16" xfId="0" applyNumberFormat="1" applyFont="1" applyFill="1" applyBorder="1" applyAlignment="1" applyProtection="1">
      <alignment horizontal="center" vertical="center" shrinkToFit="1"/>
      <protection hidden="1"/>
    </xf>
    <xf numFmtId="179" fontId="40" fillId="7" borderId="22" xfId="0" applyNumberFormat="1" applyFont="1" applyFill="1" applyBorder="1" applyAlignment="1" applyProtection="1">
      <alignment horizontal="center" vertical="center" shrinkToFit="1"/>
      <protection hidden="1"/>
    </xf>
    <xf numFmtId="0" fontId="16" fillId="4" borderId="24" xfId="0" applyFont="1" applyFill="1" applyBorder="1" applyAlignment="1" applyProtection="1">
      <alignment horizontal="center" vertical="center" shrinkToFit="1"/>
      <protection hidden="1"/>
    </xf>
    <xf numFmtId="0" fontId="16" fillId="4" borderId="23" xfId="0" applyFont="1" applyFill="1" applyBorder="1" applyAlignment="1" applyProtection="1">
      <alignment horizontal="center" vertical="center" shrinkToFit="1"/>
      <protection hidden="1"/>
    </xf>
    <xf numFmtId="0" fontId="16" fillId="4" borderId="28" xfId="0" applyFont="1" applyFill="1" applyBorder="1" applyAlignment="1" applyProtection="1">
      <alignment horizontal="center" vertical="center" shrinkToFit="1"/>
      <protection hidden="1"/>
    </xf>
    <xf numFmtId="0" fontId="14" fillId="0" borderId="0" xfId="0" applyFont="1" applyAlignment="1" applyProtection="1">
      <alignment horizontal="left" wrapText="1"/>
      <protection hidden="1"/>
    </xf>
    <xf numFmtId="179" fontId="12" fillId="7" borderId="21" xfId="0" applyNumberFormat="1" applyFont="1" applyFill="1" applyBorder="1" applyAlignment="1" applyProtection="1">
      <alignment horizontal="center" vertical="center"/>
      <protection hidden="1"/>
    </xf>
    <xf numFmtId="179" fontId="12" fillId="7" borderId="16" xfId="0" applyNumberFormat="1" applyFont="1" applyFill="1" applyBorder="1" applyAlignment="1" applyProtection="1">
      <alignment horizontal="center" vertical="center"/>
      <protection hidden="1"/>
    </xf>
    <xf numFmtId="179" fontId="12" fillId="7" borderId="22" xfId="0" applyNumberFormat="1" applyFont="1" applyFill="1" applyBorder="1" applyAlignment="1" applyProtection="1">
      <alignment horizontal="center" vertical="center"/>
      <protection hidden="1"/>
    </xf>
    <xf numFmtId="0" fontId="16" fillId="8" borderId="24" xfId="0" applyFont="1" applyFill="1" applyBorder="1" applyAlignment="1" applyProtection="1">
      <alignment horizontal="center" vertical="center" wrapText="1" shrinkToFit="1"/>
      <protection hidden="1"/>
    </xf>
    <xf numFmtId="0" fontId="16" fillId="8" borderId="23" xfId="0" applyFont="1" applyFill="1" applyBorder="1" applyAlignment="1" applyProtection="1">
      <alignment horizontal="center" vertical="center" shrinkToFit="1"/>
      <protection hidden="1"/>
    </xf>
    <xf numFmtId="0" fontId="16" fillId="8" borderId="28" xfId="0" applyFont="1" applyFill="1" applyBorder="1" applyAlignment="1" applyProtection="1">
      <alignment horizontal="center" vertical="center" shrinkToFit="1"/>
      <protection hidden="1"/>
    </xf>
    <xf numFmtId="0" fontId="19" fillId="0" borderId="0" xfId="0" applyFont="1" applyAlignment="1" applyProtection="1">
      <alignment horizontal="center" vertical="center" wrapText="1"/>
      <protection hidden="1"/>
    </xf>
    <xf numFmtId="0" fontId="8" fillId="9" borderId="29" xfId="0" applyFont="1" applyFill="1" applyBorder="1" applyAlignment="1" applyProtection="1">
      <alignment horizontal="center" vertical="center" wrapText="1"/>
      <protection hidden="1"/>
    </xf>
    <xf numFmtId="0" fontId="8" fillId="9" borderId="0" xfId="0" applyFont="1" applyFill="1" applyAlignment="1" applyProtection="1">
      <alignment horizontal="center" vertical="center"/>
      <protection hidden="1"/>
    </xf>
    <xf numFmtId="0" fontId="50" fillId="0" borderId="18" xfId="0" applyFont="1" applyBorder="1" applyAlignment="1">
      <alignment horizontal="left" vertical="top" wrapText="1"/>
    </xf>
    <xf numFmtId="0" fontId="50" fillId="0" borderId="15" xfId="0" applyFont="1" applyBorder="1" applyAlignment="1">
      <alignment horizontal="left" vertical="top" wrapText="1"/>
    </xf>
    <xf numFmtId="0" fontId="50" fillId="0" borderId="19" xfId="0" applyFont="1" applyBorder="1" applyAlignment="1">
      <alignment horizontal="left" vertical="top" wrapText="1"/>
    </xf>
    <xf numFmtId="0" fontId="8" fillId="0" borderId="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25" xfId="0" applyFont="1" applyBorder="1" applyAlignment="1" applyProtection="1">
      <alignment horizontal="center" vertical="center"/>
      <protection hidden="1"/>
    </xf>
    <xf numFmtId="0" fontId="8" fillId="0" borderId="16" xfId="0" applyFont="1" applyBorder="1" applyAlignment="1" applyProtection="1">
      <alignment horizontal="center" vertical="center"/>
      <protection hidden="1"/>
    </xf>
    <xf numFmtId="0" fontId="16" fillId="8" borderId="200" xfId="0" applyFont="1" applyFill="1" applyBorder="1" applyAlignment="1" applyProtection="1">
      <alignment horizontal="center" vertical="center" wrapText="1" shrinkToFit="1"/>
      <protection hidden="1"/>
    </xf>
    <xf numFmtId="0" fontId="16" fillId="8" borderId="176" xfId="0" applyFont="1" applyFill="1" applyBorder="1" applyAlignment="1" applyProtection="1">
      <alignment horizontal="center" vertical="center" shrinkToFit="1"/>
      <protection hidden="1"/>
    </xf>
    <xf numFmtId="0" fontId="16" fillId="8" borderId="177" xfId="0" applyFont="1" applyFill="1" applyBorder="1" applyAlignment="1" applyProtection="1">
      <alignment horizontal="center" vertical="center" shrinkToFit="1"/>
      <protection hidden="1"/>
    </xf>
    <xf numFmtId="187" fontId="19" fillId="0" borderId="14" xfId="0" applyNumberFormat="1" applyFont="1" applyBorder="1" applyAlignment="1" applyProtection="1">
      <alignment horizontal="center" vertical="center" shrinkToFit="1"/>
      <protection hidden="1"/>
    </xf>
    <xf numFmtId="187" fontId="19" fillId="0" borderId="30" xfId="0" applyNumberFormat="1" applyFont="1" applyBorder="1" applyAlignment="1" applyProtection="1">
      <alignment horizontal="center" vertical="center" shrinkToFit="1"/>
      <protection hidden="1"/>
    </xf>
    <xf numFmtId="0" fontId="8" fillId="4" borderId="184" xfId="0" applyFont="1" applyFill="1" applyBorder="1" applyAlignment="1" applyProtection="1">
      <alignment horizontal="center" vertical="center" shrinkToFit="1"/>
      <protection hidden="1"/>
    </xf>
    <xf numFmtId="0" fontId="8" fillId="4" borderId="182" xfId="0" applyFont="1" applyFill="1" applyBorder="1" applyAlignment="1" applyProtection="1">
      <alignment horizontal="center" vertical="center" shrinkToFit="1"/>
      <protection hidden="1"/>
    </xf>
    <xf numFmtId="0" fontId="8" fillId="4" borderId="33" xfId="0" applyFont="1" applyFill="1" applyBorder="1" applyAlignment="1" applyProtection="1">
      <alignment horizontal="center" vertical="center" shrinkToFit="1"/>
      <protection hidden="1"/>
    </xf>
    <xf numFmtId="0" fontId="12" fillId="4" borderId="199" xfId="0" applyFont="1" applyFill="1" applyBorder="1" applyAlignment="1" applyProtection="1">
      <alignment horizontal="center" vertical="center"/>
      <protection hidden="1"/>
    </xf>
    <xf numFmtId="0" fontId="50" fillId="0" borderId="118" xfId="0" applyFont="1" applyBorder="1" applyAlignment="1">
      <alignment horizontal="left" vertical="top" wrapText="1"/>
    </xf>
    <xf numFmtId="0" fontId="50" fillId="0" borderId="117" xfId="0" applyFont="1" applyBorder="1" applyAlignment="1">
      <alignment horizontal="left" vertical="top" wrapText="1"/>
    </xf>
    <xf numFmtId="0" fontId="50" fillId="0" borderId="131" xfId="0" applyFont="1" applyBorder="1" applyAlignment="1">
      <alignment horizontal="left" vertical="top" wrapText="1"/>
    </xf>
    <xf numFmtId="0" fontId="112" fillId="0" borderId="0" xfId="0" applyFont="1" applyAlignment="1" applyProtection="1">
      <alignment horizontal="left" vertical="center" wrapText="1"/>
      <protection hidden="1"/>
    </xf>
    <xf numFmtId="179" fontId="13" fillId="0" borderId="204" xfId="0" applyNumberFormat="1" applyFont="1" applyBorder="1" applyAlignment="1" applyProtection="1">
      <alignment horizontal="center" vertical="center" shrinkToFit="1"/>
      <protection hidden="1"/>
    </xf>
    <xf numFmtId="179" fontId="13" fillId="0" borderId="179" xfId="0" applyNumberFormat="1" applyFont="1" applyBorder="1" applyAlignment="1" applyProtection="1">
      <alignment horizontal="center" vertical="center" shrinkToFit="1"/>
      <protection hidden="1"/>
    </xf>
    <xf numFmtId="179" fontId="13" fillId="0" borderId="180" xfId="0" applyNumberFormat="1" applyFont="1" applyBorder="1" applyAlignment="1" applyProtection="1">
      <alignment horizontal="center" vertical="center" shrinkToFit="1"/>
      <protection hidden="1"/>
    </xf>
    <xf numFmtId="0" fontId="8" fillId="0" borderId="26" xfId="0" applyFont="1" applyBorder="1" applyAlignment="1" applyProtection="1">
      <alignment horizontal="center" vertical="center" shrinkToFit="1"/>
      <protection hidden="1"/>
    </xf>
    <xf numFmtId="0" fontId="8" fillId="0" borderId="15" xfId="0" applyFont="1" applyBorder="1" applyAlignment="1" applyProtection="1">
      <alignment horizontal="center" vertical="center" shrinkToFit="1"/>
      <protection hidden="1"/>
    </xf>
    <xf numFmtId="0" fontId="8" fillId="0" borderId="19" xfId="0" applyFont="1" applyBorder="1" applyAlignment="1" applyProtection="1">
      <alignment horizontal="center" vertical="center" shrinkToFit="1"/>
      <protection hidden="1"/>
    </xf>
    <xf numFmtId="0" fontId="8" fillId="0" borderId="18" xfId="0" applyFont="1" applyBorder="1" applyAlignment="1" applyProtection="1">
      <alignment horizontal="center" vertical="center"/>
      <protection hidden="1"/>
    </xf>
    <xf numFmtId="0" fontId="8" fillId="0" borderId="15" xfId="0" applyFont="1" applyBorder="1" applyAlignment="1" applyProtection="1">
      <alignment horizontal="center" vertical="center"/>
      <protection hidden="1"/>
    </xf>
    <xf numFmtId="0" fontId="8" fillId="0" borderId="100" xfId="0" applyFont="1" applyBorder="1" applyAlignment="1" applyProtection="1">
      <alignment horizontal="center" vertical="center"/>
      <protection hidden="1"/>
    </xf>
    <xf numFmtId="0" fontId="10" fillId="8" borderId="10" xfId="0" applyFont="1" applyFill="1" applyBorder="1" applyAlignment="1" applyProtection="1">
      <alignment horizontal="center" vertical="center" wrapText="1"/>
      <protection hidden="1"/>
    </xf>
    <xf numFmtId="0" fontId="10" fillId="8" borderId="3" xfId="0" applyFont="1" applyFill="1" applyBorder="1" applyAlignment="1" applyProtection="1">
      <alignment horizontal="center" vertical="center" wrapText="1"/>
      <protection hidden="1"/>
    </xf>
    <xf numFmtId="0" fontId="10" fillId="8" borderId="4" xfId="0" applyFont="1" applyFill="1" applyBorder="1" applyAlignment="1" applyProtection="1">
      <alignment horizontal="center" vertical="center" wrapText="1"/>
      <protection hidden="1"/>
    </xf>
    <xf numFmtId="0" fontId="83" fillId="0" borderId="0" xfId="0" applyFont="1" applyAlignment="1" applyProtection="1">
      <alignment horizontal="left" vertical="top" wrapText="1"/>
      <protection hidden="1"/>
    </xf>
    <xf numFmtId="0" fontId="63" fillId="0" borderId="0" xfId="0" applyFont="1" applyAlignment="1" applyProtection="1">
      <alignment horizontal="left" vertical="top" wrapText="1"/>
      <protection hidden="1"/>
    </xf>
    <xf numFmtId="0" fontId="9" fillId="11" borderId="116" xfId="0" applyFont="1" applyFill="1" applyBorder="1" applyAlignment="1" applyProtection="1">
      <alignment horizontal="left" vertical="top" wrapText="1"/>
      <protection hidden="1"/>
    </xf>
    <xf numFmtId="10" fontId="10" fillId="4" borderId="2" xfId="0" applyNumberFormat="1" applyFont="1" applyFill="1" applyBorder="1" applyAlignment="1" applyProtection="1">
      <alignment horizontal="center" vertical="center" wrapText="1"/>
      <protection hidden="1"/>
    </xf>
    <xf numFmtId="10" fontId="10" fillId="4" borderId="3" xfId="0" applyNumberFormat="1" applyFont="1" applyFill="1" applyBorder="1" applyAlignment="1" applyProtection="1">
      <alignment horizontal="center" vertical="center" wrapText="1"/>
      <protection hidden="1"/>
    </xf>
    <xf numFmtId="10" fontId="10" fillId="4" borderId="35" xfId="0" applyNumberFormat="1" applyFont="1" applyFill="1" applyBorder="1" applyAlignment="1" applyProtection="1">
      <alignment horizontal="center" vertical="center" wrapText="1"/>
      <protection hidden="1"/>
    </xf>
    <xf numFmtId="10" fontId="10" fillId="8" borderId="2" xfId="0" applyNumberFormat="1" applyFont="1" applyFill="1" applyBorder="1" applyAlignment="1" applyProtection="1">
      <alignment horizontal="center" vertical="center" wrapText="1"/>
      <protection hidden="1"/>
    </xf>
    <xf numFmtId="10" fontId="10" fillId="8" borderId="3" xfId="0" applyNumberFormat="1" applyFont="1" applyFill="1" applyBorder="1" applyAlignment="1" applyProtection="1">
      <alignment horizontal="center" vertical="center" wrapText="1"/>
      <protection hidden="1"/>
    </xf>
    <xf numFmtId="10" fontId="10" fillId="8" borderId="35" xfId="0" applyNumberFormat="1" applyFont="1" applyFill="1" applyBorder="1" applyAlignment="1" applyProtection="1">
      <alignment horizontal="center" vertical="center" wrapText="1"/>
      <protection hidden="1"/>
    </xf>
    <xf numFmtId="0" fontId="8" fillId="0" borderId="0" xfId="0" applyFont="1" applyAlignment="1" applyProtection="1">
      <alignment horizontal="left" vertical="top" wrapText="1"/>
      <protection hidden="1"/>
    </xf>
    <xf numFmtId="0" fontId="8" fillId="0" borderId="0" xfId="0" applyFont="1" applyAlignment="1" applyProtection="1">
      <alignment horizontal="left" vertical="top"/>
      <protection hidden="1"/>
    </xf>
    <xf numFmtId="0" fontId="111" fillId="0" borderId="149" xfId="0" applyFont="1" applyBorder="1" applyAlignment="1">
      <alignment horizontal="left" vertical="center" wrapText="1"/>
    </xf>
    <xf numFmtId="0" fontId="111" fillId="0" borderId="109" xfId="0" applyFont="1" applyBorder="1" applyAlignment="1">
      <alignment horizontal="left" vertical="center" wrapText="1"/>
    </xf>
    <xf numFmtId="0" fontId="111" fillId="0" borderId="148" xfId="0" applyFont="1" applyBorder="1" applyAlignment="1">
      <alignment horizontal="left" vertical="center" wrapText="1"/>
    </xf>
    <xf numFmtId="0" fontId="16" fillId="4" borderId="10" xfId="0" applyFont="1" applyFill="1" applyBorder="1" applyAlignment="1" applyProtection="1">
      <alignment horizontal="center" vertical="center" wrapText="1"/>
      <protection hidden="1"/>
    </xf>
    <xf numFmtId="0" fontId="16" fillId="4" borderId="3" xfId="0" applyFont="1" applyFill="1" applyBorder="1" applyAlignment="1" applyProtection="1">
      <alignment horizontal="center" vertical="center" wrapText="1"/>
      <protection hidden="1"/>
    </xf>
    <xf numFmtId="0" fontId="16" fillId="4" borderId="4" xfId="0" applyFont="1" applyFill="1" applyBorder="1" applyAlignment="1" applyProtection="1">
      <alignment horizontal="center" vertical="center" wrapText="1"/>
      <protection hidden="1"/>
    </xf>
    <xf numFmtId="0" fontId="19" fillId="0" borderId="36" xfId="0" applyFont="1" applyBorder="1" applyAlignment="1" applyProtection="1">
      <alignment horizontal="center" vertical="center" shrinkToFit="1"/>
      <protection hidden="1"/>
    </xf>
    <xf numFmtId="0" fontId="19" fillId="0" borderId="0" xfId="0" applyFont="1" applyAlignment="1" applyProtection="1">
      <alignment horizontal="center" vertical="center" shrinkToFit="1"/>
      <protection hidden="1"/>
    </xf>
    <xf numFmtId="0" fontId="19" fillId="0" borderId="256" xfId="0" applyFont="1" applyBorder="1" applyAlignment="1" applyProtection="1">
      <alignment horizontal="center" vertical="center" shrinkToFit="1"/>
      <protection hidden="1"/>
    </xf>
    <xf numFmtId="0" fontId="81" fillId="0" borderId="0" xfId="0" applyFont="1" applyAlignment="1" applyProtection="1">
      <alignment horizontal="left" vertical="top" wrapText="1"/>
      <protection hidden="1"/>
    </xf>
    <xf numFmtId="0" fontId="33" fillId="0" borderId="8" xfId="0" applyFont="1" applyBorder="1" applyAlignment="1" applyProtection="1">
      <alignment horizontal="center" vertical="center" wrapText="1"/>
      <protection hidden="1"/>
    </xf>
    <xf numFmtId="0" fontId="55" fillId="0" borderId="0" xfId="0" applyFont="1" applyAlignment="1">
      <alignment horizontal="left" vertical="top" wrapText="1"/>
    </xf>
    <xf numFmtId="0" fontId="50" fillId="0" borderId="0" xfId="0" applyFont="1" applyAlignment="1">
      <alignment horizontal="left" vertical="center" wrapText="1"/>
    </xf>
    <xf numFmtId="189" fontId="19" fillId="0" borderId="208" xfId="0" applyNumberFormat="1" applyFont="1" applyBorder="1" applyAlignment="1" applyProtection="1">
      <alignment horizontal="center" vertical="center" shrinkToFit="1"/>
      <protection hidden="1"/>
    </xf>
    <xf numFmtId="189" fontId="19" fillId="0" borderId="157" xfId="0" applyNumberFormat="1" applyFont="1" applyBorder="1" applyAlignment="1" applyProtection="1">
      <alignment horizontal="center" vertical="center" shrinkToFit="1"/>
      <protection hidden="1"/>
    </xf>
    <xf numFmtId="189" fontId="19" fillId="0" borderId="209" xfId="0" applyNumberFormat="1" applyFont="1" applyBorder="1" applyAlignment="1" applyProtection="1">
      <alignment horizontal="center" vertical="center" shrinkToFit="1"/>
      <protection hidden="1"/>
    </xf>
    <xf numFmtId="0" fontId="8" fillId="4" borderId="205" xfId="0" applyFont="1" applyFill="1" applyBorder="1" applyAlignment="1" applyProtection="1">
      <alignment horizontal="center" vertical="center" shrinkToFit="1"/>
      <protection hidden="1"/>
    </xf>
    <xf numFmtId="0" fontId="8" fillId="4" borderId="206" xfId="0" applyFont="1" applyFill="1" applyBorder="1" applyAlignment="1" applyProtection="1">
      <alignment horizontal="center" vertical="center" shrinkToFit="1"/>
      <protection hidden="1"/>
    </xf>
    <xf numFmtId="0" fontId="8" fillId="4" borderId="207" xfId="0" applyFont="1" applyFill="1" applyBorder="1" applyAlignment="1" applyProtection="1">
      <alignment horizontal="center" vertical="center" shrinkToFit="1"/>
      <protection hidden="1"/>
    </xf>
    <xf numFmtId="187" fontId="19" fillId="0" borderId="211" xfId="0" applyNumberFormat="1" applyFont="1" applyBorder="1" applyAlignment="1" applyProtection="1">
      <alignment horizontal="center" vertical="center" shrinkToFit="1"/>
      <protection hidden="1"/>
    </xf>
    <xf numFmtId="187" fontId="19" fillId="0" borderId="212" xfId="0" applyNumberFormat="1" applyFont="1" applyBorder="1" applyAlignment="1" applyProtection="1">
      <alignment horizontal="center" vertical="center" shrinkToFit="1"/>
      <protection hidden="1"/>
    </xf>
    <xf numFmtId="187" fontId="19" fillId="0" borderId="213" xfId="0" applyNumberFormat="1" applyFont="1" applyBorder="1" applyAlignment="1" applyProtection="1">
      <alignment horizontal="center" vertical="center" shrinkToFit="1"/>
      <protection hidden="1"/>
    </xf>
    <xf numFmtId="187" fontId="19" fillId="0" borderId="210" xfId="0" applyNumberFormat="1" applyFont="1" applyBorder="1" applyAlignment="1" applyProtection="1">
      <alignment horizontal="center" vertical="center" shrinkToFit="1"/>
      <protection hidden="1"/>
    </xf>
    <xf numFmtId="187" fontId="19" fillId="0" borderId="155" xfId="0" applyNumberFormat="1" applyFont="1" applyBorder="1" applyAlignment="1" applyProtection="1">
      <alignment horizontal="center" vertical="center" shrinkToFit="1"/>
      <protection hidden="1"/>
    </xf>
    <xf numFmtId="187" fontId="19" fillId="0" borderId="161" xfId="0" applyNumberFormat="1" applyFont="1" applyBorder="1" applyAlignment="1" applyProtection="1">
      <alignment horizontal="center" vertical="center" shrinkToFit="1"/>
      <protection hidden="1"/>
    </xf>
    <xf numFmtId="188" fontId="19" fillId="0" borderId="210" xfId="0" applyNumberFormat="1" applyFont="1" applyBorder="1" applyAlignment="1" applyProtection="1">
      <alignment horizontal="center" vertical="center" shrinkToFit="1"/>
      <protection hidden="1"/>
    </xf>
    <xf numFmtId="188" fontId="19" fillId="0" borderId="155" xfId="0" applyNumberFormat="1" applyFont="1" applyBorder="1" applyAlignment="1" applyProtection="1">
      <alignment horizontal="center" vertical="center" shrinkToFit="1"/>
      <protection hidden="1"/>
    </xf>
    <xf numFmtId="188" fontId="19" fillId="0" borderId="161" xfId="0" applyNumberFormat="1" applyFont="1" applyBorder="1" applyAlignment="1" applyProtection="1">
      <alignment horizontal="center" vertical="center" shrinkToFit="1"/>
      <protection hidden="1"/>
    </xf>
    <xf numFmtId="189" fontId="19" fillId="0" borderId="210" xfId="0" applyNumberFormat="1" applyFont="1" applyBorder="1" applyAlignment="1" applyProtection="1">
      <alignment horizontal="center" vertical="center" shrinkToFit="1"/>
      <protection hidden="1"/>
    </xf>
    <xf numFmtId="189" fontId="19" fillId="0" borderId="155" xfId="0" applyNumberFormat="1" applyFont="1" applyBorder="1" applyAlignment="1" applyProtection="1">
      <alignment horizontal="center" vertical="center" shrinkToFit="1"/>
      <protection hidden="1"/>
    </xf>
    <xf numFmtId="189" fontId="19" fillId="0" borderId="161" xfId="0" applyNumberFormat="1" applyFont="1" applyBorder="1" applyAlignment="1" applyProtection="1">
      <alignment horizontal="center" vertical="center" shrinkToFit="1"/>
      <protection hidden="1"/>
    </xf>
    <xf numFmtId="179" fontId="13" fillId="0" borderId="185" xfId="0" applyNumberFormat="1" applyFont="1" applyBorder="1" applyAlignment="1" applyProtection="1">
      <alignment horizontal="center" vertical="center"/>
      <protection hidden="1"/>
    </xf>
    <xf numFmtId="179" fontId="13" fillId="0" borderId="14" xfId="0" applyNumberFormat="1" applyFont="1" applyBorder="1" applyAlignment="1" applyProtection="1">
      <alignment horizontal="center" vertical="center"/>
      <protection hidden="1"/>
    </xf>
    <xf numFmtId="179" fontId="13" fillId="0" borderId="30" xfId="0" applyNumberFormat="1" applyFont="1" applyBorder="1" applyAlignment="1" applyProtection="1">
      <alignment horizontal="center" vertical="center"/>
      <protection hidden="1"/>
    </xf>
    <xf numFmtId="0" fontId="13" fillId="0" borderId="109" xfId="0" applyFont="1" applyBorder="1" applyAlignment="1" applyProtection="1">
      <alignment horizontal="center" vertical="center"/>
      <protection hidden="1"/>
    </xf>
    <xf numFmtId="0" fontId="61" fillId="0" borderId="51" xfId="0" applyFont="1" applyBorder="1" applyAlignment="1" applyProtection="1">
      <alignment horizontal="center" wrapText="1"/>
      <protection hidden="1"/>
    </xf>
    <xf numFmtId="0" fontId="61" fillId="0" borderId="0" xfId="0" applyFont="1" applyAlignment="1" applyProtection="1">
      <alignment horizontal="center" wrapText="1"/>
      <protection hidden="1"/>
    </xf>
    <xf numFmtId="0" fontId="19" fillId="0" borderId="133" xfId="0" applyFont="1" applyBorder="1" applyAlignment="1" applyProtection="1">
      <alignment horizontal="left" vertical="top" wrapText="1"/>
      <protection hidden="1"/>
    </xf>
    <xf numFmtId="0" fontId="19" fillId="0" borderId="51" xfId="0" applyFont="1" applyBorder="1" applyAlignment="1" applyProtection="1">
      <alignment horizontal="left" vertical="top" wrapText="1"/>
      <protection hidden="1"/>
    </xf>
    <xf numFmtId="0" fontId="19" fillId="0" borderId="132" xfId="0" applyFont="1" applyBorder="1" applyAlignment="1" applyProtection="1">
      <alignment horizontal="left" vertical="top" wrapText="1"/>
      <protection hidden="1"/>
    </xf>
    <xf numFmtId="0" fontId="19" fillId="0" borderId="144" xfId="0" applyFont="1" applyBorder="1" applyAlignment="1" applyProtection="1">
      <alignment horizontal="left" vertical="top" wrapText="1"/>
      <protection hidden="1"/>
    </xf>
    <xf numFmtId="0" fontId="19" fillId="0" borderId="0" xfId="0" applyFont="1" applyAlignment="1" applyProtection="1">
      <alignment horizontal="left" vertical="top" wrapText="1"/>
      <protection hidden="1"/>
    </xf>
    <xf numFmtId="0" fontId="19" fillId="0" borderId="145" xfId="0" applyFont="1" applyBorder="1" applyAlignment="1" applyProtection="1">
      <alignment horizontal="left" vertical="top" wrapText="1"/>
      <protection hidden="1"/>
    </xf>
    <xf numFmtId="0" fontId="62" fillId="0" borderId="143" xfId="2" applyFont="1" applyBorder="1" applyAlignment="1" applyProtection="1">
      <alignment horizontal="left" vertical="top" wrapText="1"/>
    </xf>
    <xf numFmtId="0" fontId="62" fillId="0" borderId="46" xfId="2" applyFont="1" applyBorder="1" applyAlignment="1" applyProtection="1">
      <alignment horizontal="left" vertical="top" wrapText="1"/>
    </xf>
    <xf numFmtId="0" fontId="62" fillId="0" borderId="67" xfId="2" applyFont="1" applyBorder="1" applyAlignment="1" applyProtection="1">
      <alignment horizontal="left" vertical="top" wrapText="1"/>
    </xf>
    <xf numFmtId="0" fontId="61" fillId="0" borderId="0" xfId="0" applyFont="1" applyAlignment="1" applyProtection="1">
      <alignment horizontal="center"/>
      <protection hidden="1"/>
    </xf>
    <xf numFmtId="0" fontId="64" fillId="0" borderId="0" xfId="0" applyFont="1" applyAlignment="1" applyProtection="1">
      <alignment horizontal="left" vertical="top" wrapText="1"/>
      <protection hidden="1"/>
    </xf>
    <xf numFmtId="0" fontId="81" fillId="0" borderId="8" xfId="0" applyFont="1" applyBorder="1" applyAlignment="1" applyProtection="1">
      <alignment horizontal="left" vertical="top" wrapText="1"/>
      <protection hidden="1"/>
    </xf>
    <xf numFmtId="179" fontId="28" fillId="0" borderId="49" xfId="0" applyNumberFormat="1" applyFont="1" applyBorder="1" applyAlignment="1" applyProtection="1">
      <alignment horizontal="center" vertical="center"/>
      <protection locked="0"/>
    </xf>
    <xf numFmtId="179" fontId="28" fillId="0" borderId="38" xfId="0" applyNumberFormat="1" applyFont="1" applyBorder="1" applyAlignment="1" applyProtection="1">
      <alignment horizontal="center" vertical="center"/>
      <protection locked="0"/>
    </xf>
    <xf numFmtId="179" fontId="28" fillId="0" borderId="105" xfId="0" applyNumberFormat="1" applyFont="1" applyBorder="1" applyAlignment="1" applyProtection="1">
      <alignment horizontal="center" vertical="center"/>
      <protection locked="0"/>
    </xf>
    <xf numFmtId="0" fontId="10" fillId="13" borderId="41" xfId="0" applyFont="1" applyFill="1" applyBorder="1" applyAlignment="1" applyProtection="1">
      <alignment horizontal="center" vertical="center" shrinkToFit="1"/>
      <protection hidden="1"/>
    </xf>
    <xf numFmtId="0" fontId="10" fillId="13" borderId="42" xfId="0" applyFont="1" applyFill="1" applyBorder="1" applyAlignment="1" applyProtection="1">
      <alignment horizontal="center" vertical="center" shrinkToFit="1"/>
      <protection hidden="1"/>
    </xf>
    <xf numFmtId="0" fontId="10" fillId="13" borderId="44" xfId="0" applyFont="1" applyFill="1" applyBorder="1" applyAlignment="1" applyProtection="1">
      <alignment horizontal="center" vertical="center" shrinkToFit="1"/>
      <protection hidden="1"/>
    </xf>
    <xf numFmtId="0" fontId="10" fillId="13" borderId="39" xfId="0" applyFont="1" applyFill="1" applyBorder="1" applyAlignment="1" applyProtection="1">
      <alignment horizontal="center" vertical="center" shrinkToFit="1"/>
      <protection hidden="1"/>
    </xf>
    <xf numFmtId="0" fontId="10" fillId="13" borderId="40" xfId="0" applyFont="1" applyFill="1" applyBorder="1" applyAlignment="1" applyProtection="1">
      <alignment horizontal="center" vertical="center" shrinkToFit="1"/>
      <protection hidden="1"/>
    </xf>
    <xf numFmtId="0" fontId="10" fillId="13" borderId="43" xfId="0" applyFont="1" applyFill="1" applyBorder="1" applyAlignment="1" applyProtection="1">
      <alignment horizontal="center" vertical="center" shrinkToFit="1"/>
      <protection hidden="1"/>
    </xf>
    <xf numFmtId="0" fontId="10" fillId="10" borderId="86" xfId="0" applyFont="1" applyFill="1" applyBorder="1" applyAlignment="1" applyProtection="1">
      <alignment horizontal="center" vertical="center" shrinkToFit="1"/>
      <protection hidden="1"/>
    </xf>
    <xf numFmtId="0" fontId="10" fillId="10" borderId="87" xfId="0" applyFont="1" applyFill="1" applyBorder="1" applyAlignment="1" applyProtection="1">
      <alignment horizontal="center" vertical="center" shrinkToFit="1"/>
      <protection hidden="1"/>
    </xf>
    <xf numFmtId="0" fontId="10" fillId="11" borderId="117" xfId="0" applyFont="1" applyFill="1" applyBorder="1" applyAlignment="1" applyProtection="1">
      <alignment horizontal="center" vertical="center" wrapText="1" shrinkToFit="1"/>
      <protection hidden="1"/>
    </xf>
    <xf numFmtId="0" fontId="10" fillId="11" borderId="117" xfId="0" applyFont="1" applyFill="1" applyBorder="1" applyAlignment="1" applyProtection="1">
      <alignment horizontal="center" vertical="center" shrinkToFit="1"/>
      <protection hidden="1"/>
    </xf>
    <xf numFmtId="0" fontId="10" fillId="10" borderId="88" xfId="0" applyFont="1" applyFill="1" applyBorder="1" applyAlignment="1" applyProtection="1">
      <alignment horizontal="center" vertical="center" shrinkToFit="1"/>
      <protection hidden="1"/>
    </xf>
    <xf numFmtId="0" fontId="28" fillId="0" borderId="74" xfId="0" applyFont="1" applyBorder="1" applyAlignment="1" applyProtection="1">
      <alignment horizontal="center" vertical="center" shrinkToFit="1"/>
      <protection locked="0"/>
    </xf>
    <xf numFmtId="0" fontId="28" fillId="0" borderId="75" xfId="0" applyFont="1" applyBorder="1" applyAlignment="1" applyProtection="1">
      <alignment horizontal="center" vertical="center" shrinkToFit="1"/>
      <protection locked="0"/>
    </xf>
    <xf numFmtId="0" fontId="28" fillId="2" borderId="73" xfId="0" applyFont="1" applyFill="1" applyBorder="1" applyAlignment="1" applyProtection="1">
      <alignment horizontal="center" vertical="center" shrinkToFit="1"/>
      <protection locked="0"/>
    </xf>
    <xf numFmtId="0" fontId="28" fillId="2" borderId="74" xfId="0" applyFont="1" applyFill="1" applyBorder="1" applyAlignment="1" applyProtection="1">
      <alignment horizontal="center" vertical="center" shrinkToFit="1"/>
      <protection locked="0"/>
    </xf>
    <xf numFmtId="0" fontId="10" fillId="16" borderId="47" xfId="0" applyFont="1" applyFill="1" applyBorder="1" applyAlignment="1" applyProtection="1">
      <alignment horizontal="center" vertical="center" shrinkToFit="1"/>
      <protection hidden="1"/>
    </xf>
    <xf numFmtId="0" fontId="10" fillId="16" borderId="48" xfId="0" applyFont="1" applyFill="1" applyBorder="1" applyAlignment="1" applyProtection="1">
      <alignment horizontal="center" vertical="center" shrinkToFit="1"/>
      <protection hidden="1"/>
    </xf>
    <xf numFmtId="0" fontId="10" fillId="16" borderId="37" xfId="0" applyFont="1" applyFill="1" applyBorder="1" applyAlignment="1" applyProtection="1">
      <alignment horizontal="center" vertical="center" shrinkToFit="1"/>
      <protection hidden="1"/>
    </xf>
    <xf numFmtId="0" fontId="10" fillId="16" borderId="38" xfId="0" applyFont="1" applyFill="1" applyBorder="1" applyAlignment="1" applyProtection="1">
      <alignment horizontal="center" vertical="center" shrinkToFit="1"/>
      <protection hidden="1"/>
    </xf>
    <xf numFmtId="0" fontId="10" fillId="16" borderId="108" xfId="0" applyFont="1" applyFill="1" applyBorder="1" applyAlignment="1" applyProtection="1">
      <alignment horizontal="center" vertical="center" shrinkToFit="1"/>
      <protection hidden="1"/>
    </xf>
    <xf numFmtId="189" fontId="28" fillId="0" borderId="193" xfId="0" applyNumberFormat="1" applyFont="1" applyBorder="1" applyAlignment="1" applyProtection="1">
      <alignment horizontal="center" vertical="center" shrinkToFit="1"/>
      <protection locked="0"/>
    </xf>
    <xf numFmtId="189" fontId="28" fillId="0" borderId="196" xfId="0" applyNumberFormat="1" applyFont="1" applyBorder="1" applyAlignment="1" applyProtection="1">
      <alignment horizontal="center" vertical="center" shrinkToFit="1"/>
      <protection locked="0"/>
    </xf>
    <xf numFmtId="196" fontId="28" fillId="0" borderId="192" xfId="0" applyNumberFormat="1" applyFont="1" applyBorder="1" applyAlignment="1" applyProtection="1">
      <alignment horizontal="center" vertical="center" shrinkToFit="1"/>
      <protection locked="0"/>
    </xf>
    <xf numFmtId="196" fontId="28" fillId="0" borderId="113" xfId="0" applyNumberFormat="1" applyFont="1" applyBorder="1" applyAlignment="1" applyProtection="1">
      <alignment horizontal="center" vertical="center" shrinkToFit="1"/>
      <protection locked="0"/>
    </xf>
    <xf numFmtId="189" fontId="28" fillId="0" borderId="194" xfId="0" applyNumberFormat="1" applyFont="1" applyBorder="1" applyAlignment="1" applyProtection="1">
      <alignment horizontal="center" vertical="center" shrinkToFit="1"/>
      <protection locked="0"/>
    </xf>
    <xf numFmtId="189" fontId="28" fillId="0" borderId="195" xfId="0" applyNumberFormat="1" applyFont="1" applyBorder="1" applyAlignment="1" applyProtection="1">
      <alignment horizontal="center" vertical="center" shrinkToFit="1"/>
      <protection locked="0"/>
    </xf>
    <xf numFmtId="189" fontId="28" fillId="0" borderId="69" xfId="0" applyNumberFormat="1" applyFont="1" applyBorder="1" applyAlignment="1" applyProtection="1">
      <alignment horizontal="center" vertical="center" shrinkToFit="1"/>
      <protection locked="0"/>
    </xf>
    <xf numFmtId="189" fontId="28" fillId="0" borderId="70" xfId="0" applyNumberFormat="1" applyFont="1" applyBorder="1" applyAlignment="1" applyProtection="1">
      <alignment horizontal="center" vertical="center" shrinkToFit="1"/>
      <protection locked="0"/>
    </xf>
    <xf numFmtId="188" fontId="28" fillId="0" borderId="193" xfId="0" applyNumberFormat="1" applyFont="1" applyBorder="1" applyAlignment="1" applyProtection="1">
      <alignment horizontal="center" vertical="center" shrinkToFit="1"/>
      <protection locked="0"/>
    </xf>
    <xf numFmtId="188" fontId="28" fillId="0" borderId="106" xfId="0" applyNumberFormat="1" applyFont="1" applyBorder="1" applyAlignment="1" applyProtection="1">
      <alignment horizontal="center" vertical="center" shrinkToFit="1"/>
      <protection locked="0"/>
    </xf>
    <xf numFmtId="196" fontId="28" fillId="0" borderId="189" xfId="0" applyNumberFormat="1" applyFont="1" applyBorder="1" applyAlignment="1" applyProtection="1">
      <alignment horizontal="center" vertical="center" shrinkToFit="1"/>
      <protection locked="0"/>
    </xf>
    <xf numFmtId="189" fontId="28" fillId="0" borderId="190" xfId="0" applyNumberFormat="1" applyFont="1" applyBorder="1" applyAlignment="1" applyProtection="1">
      <alignment horizontal="center" vertical="center" shrinkToFit="1"/>
      <protection locked="0"/>
    </xf>
    <xf numFmtId="189" fontId="28" fillId="0" borderId="191" xfId="0" applyNumberFormat="1" applyFont="1" applyBorder="1" applyAlignment="1" applyProtection="1">
      <alignment horizontal="center" vertical="center" shrinkToFit="1"/>
      <protection locked="0"/>
    </xf>
    <xf numFmtId="0" fontId="12" fillId="17" borderId="138" xfId="0" quotePrefix="1" applyFont="1" applyFill="1" applyBorder="1" applyAlignment="1" applyProtection="1">
      <alignment horizontal="center" vertical="center" textRotation="255"/>
      <protection hidden="1"/>
    </xf>
    <xf numFmtId="0" fontId="10" fillId="3" borderId="139" xfId="0" applyFont="1" applyFill="1" applyBorder="1" applyAlignment="1" applyProtection="1">
      <alignment horizontal="center" vertical="center" shrinkToFit="1"/>
      <protection hidden="1"/>
    </xf>
    <xf numFmtId="0" fontId="10" fillId="3" borderId="72" xfId="0" applyFont="1" applyFill="1" applyBorder="1" applyAlignment="1" applyProtection="1">
      <alignment horizontal="center" vertical="center" shrinkToFit="1"/>
      <protection hidden="1"/>
    </xf>
    <xf numFmtId="0" fontId="10" fillId="3" borderId="104" xfId="0" applyFont="1" applyFill="1" applyBorder="1" applyAlignment="1" applyProtection="1">
      <alignment horizontal="center" vertical="center" shrinkToFit="1"/>
      <protection hidden="1"/>
    </xf>
    <xf numFmtId="0" fontId="10" fillId="14" borderId="136" xfId="0" applyFont="1" applyFill="1" applyBorder="1" applyAlignment="1" applyProtection="1">
      <alignment horizontal="center" vertical="center" shrinkToFit="1"/>
      <protection hidden="1"/>
    </xf>
    <xf numFmtId="0" fontId="10" fillId="14" borderId="137" xfId="0" applyFont="1" applyFill="1" applyBorder="1" applyAlignment="1" applyProtection="1">
      <alignment horizontal="center" vertical="center" shrinkToFit="1"/>
      <protection hidden="1"/>
    </xf>
    <xf numFmtId="0" fontId="10" fillId="14" borderId="135" xfId="0" applyFont="1" applyFill="1" applyBorder="1" applyAlignment="1" applyProtection="1">
      <alignment horizontal="center" vertical="center" shrinkToFit="1"/>
      <protection hidden="1"/>
    </xf>
    <xf numFmtId="0" fontId="28" fillId="0" borderId="107" xfId="0" applyFont="1" applyBorder="1" applyAlignment="1" applyProtection="1">
      <alignment horizontal="center" vertical="center" shrinkToFit="1"/>
      <protection locked="0"/>
    </xf>
    <xf numFmtId="0" fontId="28" fillId="0" borderId="38" xfId="0" applyFont="1" applyBorder="1" applyAlignment="1" applyProtection="1">
      <alignment horizontal="center" vertical="center" shrinkToFit="1"/>
      <protection locked="0"/>
    </xf>
    <xf numFmtId="0" fontId="28" fillId="0" borderId="105" xfId="0" applyFont="1" applyBorder="1" applyAlignment="1" applyProtection="1">
      <alignment horizontal="center" vertical="center" shrinkToFit="1"/>
      <protection locked="0"/>
    </xf>
    <xf numFmtId="0" fontId="28" fillId="2" borderId="37" xfId="0" applyFont="1" applyFill="1" applyBorder="1" applyAlignment="1" applyProtection="1">
      <alignment horizontal="center" vertical="center" shrinkToFit="1"/>
      <protection locked="0"/>
    </xf>
    <xf numFmtId="0" fontId="28" fillId="2" borderId="38" xfId="0" applyFont="1" applyFill="1" applyBorder="1" applyAlignment="1" applyProtection="1">
      <alignment horizontal="center" vertical="center" shrinkToFit="1"/>
      <protection locked="0"/>
    </xf>
    <xf numFmtId="0" fontId="28" fillId="2" borderId="68" xfId="0" applyFont="1" applyFill="1" applyBorder="1" applyAlignment="1" applyProtection="1">
      <alignment horizontal="center" vertical="center" shrinkToFit="1"/>
      <protection locked="0"/>
    </xf>
    <xf numFmtId="0" fontId="10" fillId="15" borderId="41" xfId="0" applyFont="1" applyFill="1" applyBorder="1" applyAlignment="1" applyProtection="1">
      <alignment horizontal="center" vertical="center"/>
      <protection hidden="1"/>
    </xf>
    <xf numFmtId="0" fontId="10" fillId="15" borderId="42" xfId="0" applyFont="1" applyFill="1" applyBorder="1" applyAlignment="1" applyProtection="1">
      <alignment horizontal="center" vertical="center"/>
      <protection hidden="1"/>
    </xf>
    <xf numFmtId="0" fontId="10" fillId="15" borderId="44" xfId="0" applyFont="1" applyFill="1" applyBorder="1" applyAlignment="1" applyProtection="1">
      <alignment horizontal="center" vertical="center"/>
      <protection hidden="1"/>
    </xf>
    <xf numFmtId="0" fontId="42" fillId="17" borderId="85" xfId="0" applyFont="1" applyFill="1" applyBorder="1" applyAlignment="1" applyProtection="1">
      <alignment horizontal="center" vertical="center" shrinkToFit="1"/>
      <protection hidden="1"/>
    </xf>
    <xf numFmtId="0" fontId="42" fillId="17" borderId="57" xfId="0" applyFont="1" applyFill="1" applyBorder="1" applyAlignment="1" applyProtection="1">
      <alignment horizontal="center" vertical="center" shrinkToFit="1"/>
      <protection hidden="1"/>
    </xf>
    <xf numFmtId="0" fontId="10" fillId="13" borderId="53" xfId="0" applyFont="1" applyFill="1" applyBorder="1" applyAlignment="1" applyProtection="1">
      <alignment horizontal="center" vertical="center" shrinkToFit="1"/>
      <protection hidden="1"/>
    </xf>
    <xf numFmtId="0" fontId="10" fillId="13" borderId="54" xfId="0" applyFont="1" applyFill="1" applyBorder="1" applyAlignment="1" applyProtection="1">
      <alignment horizontal="center" vertical="center" shrinkToFit="1"/>
      <protection hidden="1"/>
    </xf>
    <xf numFmtId="0" fontId="10" fillId="13" borderId="55" xfId="0" applyFont="1" applyFill="1" applyBorder="1" applyAlignment="1" applyProtection="1">
      <alignment horizontal="center" vertical="center" shrinkToFit="1"/>
      <protection hidden="1"/>
    </xf>
    <xf numFmtId="0" fontId="10" fillId="2" borderId="37" xfId="0" applyFont="1" applyFill="1" applyBorder="1" applyAlignment="1" applyProtection="1">
      <alignment horizontal="center" vertical="center"/>
      <protection hidden="1"/>
    </xf>
    <xf numFmtId="0" fontId="10" fillId="2" borderId="38" xfId="0" applyFont="1" applyFill="1" applyBorder="1" applyAlignment="1" applyProtection="1">
      <alignment horizontal="center" vertical="center"/>
      <protection hidden="1"/>
    </xf>
    <xf numFmtId="187" fontId="28" fillId="0" borderId="102" xfId="0" applyNumberFormat="1" applyFont="1" applyBorder="1" applyAlignment="1" applyProtection="1">
      <alignment horizontal="center" vertical="center" shrinkToFit="1"/>
      <protection hidden="1"/>
    </xf>
    <xf numFmtId="187" fontId="28" fillId="0" borderId="49" xfId="0" applyNumberFormat="1" applyFont="1" applyBorder="1" applyAlignment="1" applyProtection="1">
      <alignment horizontal="center" vertical="center" shrinkToFit="1"/>
      <protection locked="0"/>
    </xf>
    <xf numFmtId="187" fontId="28" fillId="0" borderId="68" xfId="0" applyNumberFormat="1" applyFont="1" applyBorder="1" applyAlignment="1" applyProtection="1">
      <alignment horizontal="center" vertical="center" shrinkToFit="1"/>
      <protection locked="0"/>
    </xf>
    <xf numFmtId="188" fontId="28" fillId="0" borderId="69" xfId="0" applyNumberFormat="1" applyFont="1" applyBorder="1" applyAlignment="1" applyProtection="1">
      <alignment horizontal="center" vertical="center" shrinkToFit="1"/>
      <protection locked="0"/>
    </xf>
    <xf numFmtId="188" fontId="28" fillId="0" borderId="70" xfId="0" applyNumberFormat="1" applyFont="1" applyBorder="1" applyAlignment="1" applyProtection="1">
      <alignment horizontal="center" vertical="center" shrinkToFit="1"/>
      <protection locked="0"/>
    </xf>
    <xf numFmtId="187" fontId="28" fillId="0" borderId="101" xfId="0" applyNumberFormat="1" applyFont="1" applyBorder="1" applyAlignment="1" applyProtection="1">
      <alignment horizontal="center" vertical="center" shrinkToFit="1"/>
      <protection hidden="1"/>
    </xf>
    <xf numFmtId="188" fontId="28" fillId="0" borderId="49" xfId="0" applyNumberFormat="1" applyFont="1" applyBorder="1" applyAlignment="1" applyProtection="1">
      <alignment horizontal="center" vertical="center" shrinkToFit="1"/>
      <protection locked="0"/>
    </xf>
    <xf numFmtId="188" fontId="28" fillId="0" borderId="68" xfId="0" applyNumberFormat="1" applyFont="1" applyBorder="1" applyAlignment="1" applyProtection="1">
      <alignment horizontal="center" vertical="center" shrinkToFit="1"/>
      <protection locked="0"/>
    </xf>
    <xf numFmtId="187" fontId="28" fillId="0" borderId="107" xfId="0" applyNumberFormat="1" applyFont="1" applyBorder="1" applyAlignment="1" applyProtection="1">
      <alignment horizontal="center" vertical="center" shrinkToFit="1"/>
      <protection locked="0"/>
    </xf>
    <xf numFmtId="187" fontId="28" fillId="0" borderId="105" xfId="0" applyNumberFormat="1" applyFont="1" applyBorder="1" applyAlignment="1" applyProtection="1">
      <alignment horizontal="center" vertical="center" shrinkToFit="1"/>
      <protection locked="0"/>
    </xf>
    <xf numFmtId="0" fontId="28" fillId="10" borderId="73" xfId="0" applyFont="1" applyFill="1" applyBorder="1" applyAlignment="1" applyProtection="1">
      <alignment horizontal="center" vertical="center" shrinkToFit="1"/>
      <protection locked="0"/>
    </xf>
    <xf numFmtId="0" fontId="28" fillId="10" borderId="74" xfId="0" applyFont="1" applyFill="1" applyBorder="1" applyAlignment="1" applyProtection="1">
      <alignment horizontal="center" vertical="center" shrinkToFit="1"/>
      <protection locked="0"/>
    </xf>
    <xf numFmtId="187" fontId="10" fillId="8" borderId="119" xfId="0" applyNumberFormat="1" applyFont="1" applyFill="1" applyBorder="1" applyAlignment="1" applyProtection="1">
      <alignment horizontal="center" vertical="center" shrinkToFit="1"/>
      <protection hidden="1"/>
    </xf>
    <xf numFmtId="187" fontId="10" fillId="8" borderId="120" xfId="0" applyNumberFormat="1" applyFont="1" applyFill="1" applyBorder="1" applyAlignment="1" applyProtection="1">
      <alignment horizontal="center" vertical="center" shrinkToFit="1"/>
      <protection hidden="1"/>
    </xf>
    <xf numFmtId="187" fontId="10" fillId="8" borderId="121" xfId="0" applyNumberFormat="1" applyFont="1" applyFill="1" applyBorder="1" applyAlignment="1" applyProtection="1">
      <alignment horizontal="center" vertical="center" shrinkToFit="1"/>
      <protection hidden="1"/>
    </xf>
    <xf numFmtId="187" fontId="10" fillId="8" borderId="122" xfId="0" applyNumberFormat="1" applyFont="1" applyFill="1" applyBorder="1" applyAlignment="1" applyProtection="1">
      <alignment horizontal="center" vertical="center" shrinkToFit="1"/>
      <protection hidden="1"/>
    </xf>
    <xf numFmtId="179" fontId="28" fillId="0" borderId="188" xfId="0" applyNumberFormat="1" applyFont="1" applyBorder="1" applyAlignment="1" applyProtection="1">
      <alignment horizontal="center" vertical="center"/>
      <protection locked="0"/>
    </xf>
    <xf numFmtId="179" fontId="28" fillId="0" borderId="112" xfId="0" applyNumberFormat="1" applyFont="1" applyBorder="1" applyAlignment="1" applyProtection="1">
      <alignment horizontal="center" vertical="center"/>
      <protection locked="0"/>
    </xf>
    <xf numFmtId="179" fontId="28" fillId="0" borderId="189" xfId="0" applyNumberFormat="1" applyFont="1" applyBorder="1" applyAlignment="1" applyProtection="1">
      <alignment horizontal="center" vertical="center"/>
      <protection locked="0"/>
    </xf>
    <xf numFmtId="0" fontId="10" fillId="16" borderId="111" xfId="0" applyFont="1" applyFill="1" applyBorder="1" applyAlignment="1" applyProtection="1">
      <alignment horizontal="center" vertical="center" shrinkToFit="1"/>
      <protection hidden="1"/>
    </xf>
    <xf numFmtId="0" fontId="10" fillId="16" borderId="112" xfId="0" applyFont="1" applyFill="1" applyBorder="1" applyAlignment="1" applyProtection="1">
      <alignment horizontal="center" vertical="center" shrinkToFit="1"/>
      <protection hidden="1"/>
    </xf>
    <xf numFmtId="0" fontId="10" fillId="16" borderId="113" xfId="0" applyFont="1" applyFill="1" applyBorder="1" applyAlignment="1" applyProtection="1">
      <alignment horizontal="center" vertical="center" shrinkToFit="1"/>
      <protection hidden="1"/>
    </xf>
    <xf numFmtId="188" fontId="28" fillId="0" borderId="107" xfId="0" applyNumberFormat="1" applyFont="1" applyBorder="1" applyAlignment="1" applyProtection="1">
      <alignment horizontal="center" vertical="center" shrinkToFit="1"/>
      <protection locked="0"/>
    </xf>
    <xf numFmtId="188" fontId="28" fillId="0" borderId="108" xfId="0" applyNumberFormat="1" applyFont="1" applyBorder="1" applyAlignment="1" applyProtection="1">
      <alignment horizontal="center" vertical="center" shrinkToFit="1"/>
      <protection locked="0"/>
    </xf>
    <xf numFmtId="196" fontId="28" fillId="0" borderId="188" xfId="0" applyNumberFormat="1" applyFont="1" applyBorder="1" applyAlignment="1" applyProtection="1">
      <alignment horizontal="center" vertical="center" shrinkToFit="1"/>
      <protection locked="0"/>
    </xf>
    <xf numFmtId="196" fontId="28" fillId="0" borderId="197" xfId="0" applyNumberFormat="1" applyFont="1" applyBorder="1" applyAlignment="1" applyProtection="1">
      <alignment horizontal="center" vertical="center" shrinkToFit="1"/>
      <protection locked="0"/>
    </xf>
    <xf numFmtId="0" fontId="10" fillId="8" borderId="125" xfId="0" applyFont="1" applyFill="1" applyBorder="1" applyAlignment="1" applyProtection="1">
      <alignment horizontal="center" vertical="center" shrinkToFit="1"/>
      <protection hidden="1"/>
    </xf>
    <xf numFmtId="0" fontId="10" fillId="8" borderId="126" xfId="0" applyFont="1" applyFill="1" applyBorder="1" applyAlignment="1" applyProtection="1">
      <alignment horizontal="center" vertical="center" shrinkToFit="1"/>
      <protection hidden="1"/>
    </xf>
    <xf numFmtId="0" fontId="10" fillId="8" borderId="123" xfId="0" applyFont="1" applyFill="1" applyBorder="1" applyAlignment="1" applyProtection="1">
      <alignment horizontal="center" vertical="center" shrinkToFit="1"/>
      <protection hidden="1"/>
    </xf>
    <xf numFmtId="0" fontId="10" fillId="8" borderId="124" xfId="0" applyFont="1" applyFill="1" applyBorder="1" applyAlignment="1" applyProtection="1">
      <alignment horizontal="center" vertical="center" shrinkToFit="1"/>
      <protection hidden="1"/>
    </xf>
    <xf numFmtId="0" fontId="10" fillId="8" borderId="57" xfId="0" applyFont="1" applyFill="1" applyBorder="1" applyAlignment="1" applyProtection="1">
      <alignment horizontal="center" vertical="center" shrinkToFit="1"/>
      <protection hidden="1"/>
    </xf>
    <xf numFmtId="0" fontId="10" fillId="8" borderId="58" xfId="0" applyFont="1" applyFill="1" applyBorder="1" applyAlignment="1" applyProtection="1">
      <alignment horizontal="center" vertical="center" shrinkToFit="1"/>
      <protection hidden="1"/>
    </xf>
    <xf numFmtId="0" fontId="10" fillId="15" borderId="50" xfId="0" applyFont="1" applyFill="1" applyBorder="1" applyAlignment="1" applyProtection="1">
      <alignment horizontal="center" vertical="center"/>
      <protection hidden="1"/>
    </xf>
    <xf numFmtId="0" fontId="10" fillId="15" borderId="51" xfId="0" applyFont="1" applyFill="1" applyBorder="1" applyAlignment="1" applyProtection="1">
      <alignment horizontal="center" vertical="center"/>
      <protection hidden="1"/>
    </xf>
    <xf numFmtId="187" fontId="10" fillId="17" borderId="65" xfId="0" applyNumberFormat="1" applyFont="1" applyFill="1" applyBorder="1" applyAlignment="1" applyProtection="1">
      <alignment horizontal="center" vertical="center" shrinkToFit="1"/>
      <protection hidden="1"/>
    </xf>
    <xf numFmtId="187" fontId="10" fillId="17" borderId="61" xfId="0" applyNumberFormat="1" applyFont="1" applyFill="1" applyBorder="1" applyAlignment="1" applyProtection="1">
      <alignment horizontal="center" vertical="center" shrinkToFit="1"/>
      <protection hidden="1"/>
    </xf>
    <xf numFmtId="187" fontId="10" fillId="17" borderId="62" xfId="0" applyNumberFormat="1" applyFont="1" applyFill="1" applyBorder="1" applyAlignment="1" applyProtection="1">
      <alignment horizontal="center" vertical="center" shrinkToFit="1"/>
      <protection hidden="1"/>
    </xf>
    <xf numFmtId="0" fontId="10" fillId="17" borderId="109" xfId="0" applyFont="1" applyFill="1" applyBorder="1" applyAlignment="1" applyProtection="1">
      <alignment horizontal="right" wrapText="1" shrinkToFit="1"/>
      <protection hidden="1"/>
    </xf>
    <xf numFmtId="0" fontId="10" fillId="17" borderId="127" xfId="0" applyFont="1" applyFill="1" applyBorder="1" applyAlignment="1" applyProtection="1">
      <alignment horizontal="right" wrapText="1" shrinkToFit="1"/>
      <protection hidden="1"/>
    </xf>
    <xf numFmtId="0" fontId="8" fillId="8" borderId="36" xfId="0" applyFont="1" applyFill="1" applyBorder="1" applyAlignment="1" applyProtection="1">
      <alignment horizontal="center" vertical="center" wrapText="1" shrinkToFit="1"/>
      <protection hidden="1"/>
    </xf>
    <xf numFmtId="0" fontId="8" fillId="8" borderId="0" xfId="0" applyFont="1" applyFill="1" applyAlignment="1" applyProtection="1">
      <alignment horizontal="center" vertical="center" wrapText="1" shrinkToFit="1"/>
      <protection hidden="1"/>
    </xf>
    <xf numFmtId="0" fontId="8" fillId="8" borderId="128" xfId="0" applyFont="1" applyFill="1" applyBorder="1" applyAlignment="1" applyProtection="1">
      <alignment horizontal="center" vertical="center" wrapText="1" shrinkToFit="1"/>
      <protection hidden="1"/>
    </xf>
    <xf numFmtId="0" fontId="8" fillId="8" borderId="71" xfId="0" applyFont="1" applyFill="1" applyBorder="1" applyAlignment="1" applyProtection="1">
      <alignment horizontal="center" vertical="center" wrapText="1" shrinkToFit="1"/>
      <protection hidden="1"/>
    </xf>
    <xf numFmtId="0" fontId="8" fillId="8" borderId="110" xfId="0" applyFont="1" applyFill="1" applyBorder="1" applyAlignment="1" applyProtection="1">
      <alignment horizontal="center" vertical="center" wrapText="1" shrinkToFit="1"/>
      <protection hidden="1"/>
    </xf>
    <xf numFmtId="0" fontId="8" fillId="8" borderId="129" xfId="0" applyFont="1" applyFill="1" applyBorder="1" applyAlignment="1" applyProtection="1">
      <alignment horizontal="center" vertical="center" wrapText="1" shrinkToFit="1"/>
      <protection hidden="1"/>
    </xf>
    <xf numFmtId="179" fontId="28" fillId="0" borderId="119" xfId="0" applyNumberFormat="1" applyFont="1" applyBorder="1" applyAlignment="1" applyProtection="1">
      <alignment horizontal="center" vertical="center"/>
      <protection locked="0"/>
    </xf>
    <xf numFmtId="179" fontId="28" fillId="0" borderId="120" xfId="0" applyNumberFormat="1" applyFont="1" applyBorder="1" applyAlignment="1" applyProtection="1">
      <alignment horizontal="center" vertical="center"/>
      <protection locked="0"/>
    </xf>
    <xf numFmtId="179" fontId="28" fillId="0" borderId="122" xfId="0" applyNumberFormat="1" applyFont="1" applyBorder="1" applyAlignment="1" applyProtection="1">
      <alignment horizontal="center" vertical="center"/>
      <protection locked="0"/>
    </xf>
    <xf numFmtId="10" fontId="10" fillId="15" borderId="39" xfId="0" applyNumberFormat="1" applyFont="1" applyFill="1" applyBorder="1" applyAlignment="1" applyProtection="1">
      <alignment horizontal="center" vertical="center"/>
      <protection hidden="1"/>
    </xf>
    <xf numFmtId="0" fontId="10" fillId="15" borderId="40" xfId="0" applyFont="1" applyFill="1" applyBorder="1" applyAlignment="1" applyProtection="1">
      <alignment horizontal="center" vertical="center"/>
      <protection hidden="1"/>
    </xf>
    <xf numFmtId="0" fontId="10" fillId="15" borderId="43" xfId="0" applyFont="1" applyFill="1" applyBorder="1" applyAlignment="1" applyProtection="1">
      <alignment horizontal="center" vertical="center"/>
      <protection hidden="1"/>
    </xf>
    <xf numFmtId="0" fontId="18" fillId="0" borderId="1" xfId="0" applyFont="1" applyBorder="1" applyAlignment="1" applyProtection="1">
      <alignment horizontal="left" vertical="center"/>
      <protection hidden="1"/>
    </xf>
    <xf numFmtId="0" fontId="18" fillId="0" borderId="1" xfId="0" applyFont="1" applyBorder="1" applyAlignment="1" applyProtection="1">
      <alignment horizontal="center" vertical="center"/>
      <protection hidden="1"/>
    </xf>
    <xf numFmtId="0" fontId="16" fillId="10" borderId="0" xfId="0" applyFont="1" applyFill="1" applyAlignment="1" applyProtection="1">
      <alignment horizontal="left" vertical="top" wrapText="1"/>
      <protection hidden="1"/>
    </xf>
    <xf numFmtId="0" fontId="51" fillId="10" borderId="73" xfId="0" applyFont="1" applyFill="1" applyBorder="1" applyAlignment="1" applyProtection="1">
      <alignment horizontal="center" vertical="center" shrinkToFit="1"/>
      <protection locked="0"/>
    </xf>
    <xf numFmtId="0" fontId="51" fillId="10" borderId="74" xfId="0" applyFont="1" applyFill="1" applyBorder="1" applyAlignment="1" applyProtection="1">
      <alignment horizontal="center" vertical="center" shrinkToFit="1"/>
      <protection locked="0"/>
    </xf>
    <xf numFmtId="0" fontId="28" fillId="10" borderId="82" xfId="0" applyFont="1" applyFill="1" applyBorder="1" applyAlignment="1" applyProtection="1">
      <alignment horizontal="center" vertical="center" shrinkToFit="1"/>
      <protection locked="0"/>
    </xf>
    <xf numFmtId="0" fontId="28" fillId="10" borderId="83" xfId="0" applyFont="1" applyFill="1" applyBorder="1" applyAlignment="1" applyProtection="1">
      <alignment horizontal="center" vertical="center" shrinkToFit="1"/>
      <protection locked="0"/>
    </xf>
    <xf numFmtId="0" fontId="28" fillId="0" borderId="77" xfId="0" applyFont="1" applyBorder="1" applyAlignment="1" applyProtection="1">
      <alignment horizontal="center" vertical="center" shrinkToFit="1"/>
      <protection locked="0"/>
    </xf>
    <xf numFmtId="0" fontId="28" fillId="0" borderId="78" xfId="0" applyFont="1" applyBorder="1" applyAlignment="1" applyProtection="1">
      <alignment horizontal="center" vertical="center" shrinkToFit="1"/>
      <protection locked="0"/>
    </xf>
    <xf numFmtId="0" fontId="28" fillId="2" borderId="47" xfId="0" applyFont="1" applyFill="1" applyBorder="1" applyAlignment="1" applyProtection="1">
      <alignment horizontal="center" vertical="center" shrinkToFit="1"/>
      <protection locked="0"/>
    </xf>
    <xf numFmtId="0" fontId="28" fillId="2" borderId="48" xfId="0" applyFont="1" applyFill="1" applyBorder="1" applyAlignment="1" applyProtection="1">
      <alignment horizontal="center" vertical="center" shrinkToFit="1"/>
      <protection locked="0"/>
    </xf>
    <xf numFmtId="0" fontId="28" fillId="2" borderId="70" xfId="0" applyFont="1" applyFill="1" applyBorder="1" applyAlignment="1" applyProtection="1">
      <alignment horizontal="center" vertical="center" shrinkToFit="1"/>
      <protection locked="0"/>
    </xf>
    <xf numFmtId="0" fontId="28" fillId="10" borderId="47" xfId="0" applyFont="1" applyFill="1" applyBorder="1" applyAlignment="1" applyProtection="1">
      <alignment horizontal="center" vertical="center" shrinkToFit="1"/>
      <protection locked="0"/>
    </xf>
    <xf numFmtId="0" fontId="28" fillId="10" borderId="48" xfId="0" applyFont="1" applyFill="1" applyBorder="1" applyAlignment="1" applyProtection="1">
      <alignment horizontal="center" vertical="center" shrinkToFit="1"/>
      <protection locked="0"/>
    </xf>
    <xf numFmtId="0" fontId="28" fillId="10" borderId="70" xfId="0" applyFont="1" applyFill="1" applyBorder="1" applyAlignment="1" applyProtection="1">
      <alignment horizontal="center" vertical="center" shrinkToFit="1"/>
      <protection locked="0"/>
    </xf>
    <xf numFmtId="0" fontId="18" fillId="0" borderId="14" xfId="0" applyFont="1" applyBorder="1" applyAlignment="1" applyProtection="1">
      <alignment horizontal="left" vertical="center"/>
      <protection hidden="1"/>
    </xf>
    <xf numFmtId="0" fontId="16" fillId="0" borderId="0" xfId="0" applyFont="1" applyAlignment="1" applyProtection="1">
      <alignment horizontal="left" vertical="top" wrapText="1"/>
      <protection hidden="1"/>
    </xf>
    <xf numFmtId="0" fontId="48" fillId="0" borderId="0" xfId="0" applyFont="1" applyAlignment="1" applyProtection="1">
      <alignment horizontal="center" vertical="center" wrapText="1"/>
      <protection hidden="1"/>
    </xf>
    <xf numFmtId="0" fontId="42" fillId="17" borderId="74" xfId="0" applyFont="1" applyFill="1" applyBorder="1" applyAlignment="1" applyProtection="1">
      <alignment horizontal="center" vertical="center"/>
      <protection hidden="1"/>
    </xf>
    <xf numFmtId="0" fontId="42" fillId="17" borderId="75" xfId="0" applyFont="1" applyFill="1" applyBorder="1" applyAlignment="1" applyProtection="1">
      <alignment horizontal="center" vertical="center"/>
      <protection hidden="1"/>
    </xf>
    <xf numFmtId="0" fontId="42" fillId="17" borderId="90" xfId="0" applyFont="1" applyFill="1" applyBorder="1" applyAlignment="1" applyProtection="1">
      <alignment horizontal="center" vertical="center"/>
      <protection hidden="1"/>
    </xf>
    <xf numFmtId="0" fontId="42" fillId="17" borderId="91" xfId="0" applyFont="1" applyFill="1" applyBorder="1" applyAlignment="1" applyProtection="1">
      <alignment horizontal="center" vertical="center"/>
      <protection hidden="1"/>
    </xf>
    <xf numFmtId="0" fontId="12" fillId="0" borderId="0" xfId="0" applyFont="1" applyAlignment="1" applyProtection="1">
      <alignment horizontal="left" wrapText="1"/>
      <protection hidden="1"/>
    </xf>
    <xf numFmtId="0" fontId="42" fillId="17" borderId="58" xfId="0" applyFont="1" applyFill="1" applyBorder="1" applyAlignment="1" applyProtection="1">
      <alignment horizontal="center" vertical="center" shrinkToFit="1"/>
      <protection hidden="1"/>
    </xf>
    <xf numFmtId="0" fontId="72" fillId="0" borderId="0" xfId="0" applyFont="1" applyAlignment="1" applyProtection="1">
      <alignment horizontal="left" vertical="center" shrinkToFit="1"/>
      <protection hidden="1"/>
    </xf>
    <xf numFmtId="0" fontId="28" fillId="0" borderId="101" xfId="0" applyFont="1" applyBorder="1" applyAlignment="1" applyProtection="1">
      <alignment horizontal="center" vertical="center"/>
      <protection locked="0"/>
    </xf>
    <xf numFmtId="0" fontId="28" fillId="0" borderId="102" xfId="0" applyFont="1" applyBorder="1" applyAlignment="1" applyProtection="1">
      <alignment horizontal="center" vertical="center"/>
      <protection locked="0"/>
    </xf>
    <xf numFmtId="0" fontId="30" fillId="0" borderId="16" xfId="0" applyFont="1" applyBorder="1" applyAlignment="1" applyProtection="1">
      <alignment horizontal="center" vertical="top"/>
      <protection hidden="1"/>
    </xf>
    <xf numFmtId="0" fontId="10" fillId="2" borderId="50" xfId="0" applyFont="1" applyFill="1" applyBorder="1" applyAlignment="1" applyProtection="1">
      <alignment horizontal="center" vertical="center"/>
      <protection hidden="1"/>
    </xf>
    <xf numFmtId="0" fontId="10" fillId="2" borderId="51" xfId="0" applyFont="1" applyFill="1" applyBorder="1" applyAlignment="1" applyProtection="1">
      <alignment horizontal="center" vertical="center"/>
      <protection hidden="1"/>
    </xf>
    <xf numFmtId="0" fontId="10" fillId="11" borderId="93" xfId="0" applyFont="1" applyFill="1" applyBorder="1" applyAlignment="1" applyProtection="1">
      <alignment horizontal="center" vertical="center"/>
      <protection hidden="1"/>
    </xf>
    <xf numFmtId="0" fontId="10" fillId="11" borderId="94" xfId="0" applyFont="1" applyFill="1" applyBorder="1" applyAlignment="1" applyProtection="1">
      <alignment horizontal="center" vertical="center"/>
      <protection hidden="1"/>
    </xf>
    <xf numFmtId="0" fontId="10" fillId="11" borderId="97" xfId="0" applyFont="1" applyFill="1" applyBorder="1" applyAlignment="1" applyProtection="1">
      <alignment horizontal="center" vertical="center" shrinkToFit="1"/>
      <protection hidden="1"/>
    </xf>
    <xf numFmtId="0" fontId="10" fillId="11" borderId="98" xfId="0" applyFont="1" applyFill="1" applyBorder="1" applyAlignment="1" applyProtection="1">
      <alignment horizontal="center" vertical="center" shrinkToFit="1"/>
      <protection hidden="1"/>
    </xf>
    <xf numFmtId="0" fontId="28" fillId="0" borderId="36" xfId="0" applyFont="1" applyBorder="1" applyAlignment="1" applyProtection="1">
      <alignment horizontal="left" vertical="center" shrinkToFit="1"/>
      <protection hidden="1"/>
    </xf>
    <xf numFmtId="0" fontId="28" fillId="0" borderId="0" xfId="0" applyFont="1" applyAlignment="1" applyProtection="1">
      <alignment horizontal="left" vertical="center" shrinkToFit="1"/>
      <protection hidden="1"/>
    </xf>
    <xf numFmtId="0" fontId="10" fillId="11" borderId="149" xfId="0" applyFont="1" applyFill="1" applyBorder="1" applyAlignment="1" applyProtection="1">
      <alignment horizontal="center" vertical="center" shrinkToFit="1"/>
      <protection hidden="1"/>
    </xf>
    <xf numFmtId="0" fontId="10" fillId="11" borderId="109" xfId="0" applyFont="1" applyFill="1" applyBorder="1" applyAlignment="1" applyProtection="1">
      <alignment horizontal="center" vertical="center" shrinkToFit="1"/>
      <protection hidden="1"/>
    </xf>
    <xf numFmtId="0" fontId="10" fillId="11" borderId="127" xfId="0" applyFont="1" applyFill="1" applyBorder="1" applyAlignment="1" applyProtection="1">
      <alignment horizontal="center" vertical="center" shrinkToFit="1"/>
      <protection hidden="1"/>
    </xf>
    <xf numFmtId="0" fontId="10" fillId="11" borderId="45" xfId="0" applyFont="1" applyFill="1" applyBorder="1" applyAlignment="1" applyProtection="1">
      <alignment horizontal="center" vertical="center" shrinkToFit="1"/>
      <protection hidden="1"/>
    </xf>
    <xf numFmtId="0" fontId="10" fillId="11" borderId="46" xfId="0" applyFont="1" applyFill="1" applyBorder="1" applyAlignment="1" applyProtection="1">
      <alignment horizontal="center" vertical="center" shrinkToFit="1"/>
      <protection hidden="1"/>
    </xf>
    <xf numFmtId="0" fontId="10" fillId="11" borderId="150" xfId="0" applyFont="1" applyFill="1" applyBorder="1" applyAlignment="1" applyProtection="1">
      <alignment horizontal="center" vertical="center" shrinkToFit="1"/>
      <protection hidden="1"/>
    </xf>
    <xf numFmtId="0" fontId="110" fillId="0" borderId="133" xfId="0" applyFont="1" applyBorder="1" applyAlignment="1" applyProtection="1">
      <alignment horizontal="left" vertical="top" wrapText="1"/>
      <protection hidden="1"/>
    </xf>
    <xf numFmtId="0" fontId="110" fillId="0" borderId="51" xfId="0" applyFont="1" applyBorder="1" applyAlignment="1" applyProtection="1">
      <alignment horizontal="left" vertical="top" wrapText="1"/>
      <protection hidden="1"/>
    </xf>
    <xf numFmtId="0" fontId="110" fillId="0" borderId="132" xfId="0" applyFont="1" applyBorder="1" applyAlignment="1" applyProtection="1">
      <alignment horizontal="left" vertical="top" wrapText="1"/>
      <protection hidden="1"/>
    </xf>
    <xf numFmtId="0" fontId="110" fillId="0" borderId="144" xfId="0" applyFont="1" applyBorder="1" applyAlignment="1" applyProtection="1">
      <alignment horizontal="left" vertical="top" wrapText="1"/>
      <protection hidden="1"/>
    </xf>
    <xf numFmtId="0" fontId="110" fillId="0" borderId="0" xfId="0" applyFont="1" applyAlignment="1" applyProtection="1">
      <alignment horizontal="left" vertical="top" wrapText="1"/>
      <protection hidden="1"/>
    </xf>
    <xf numFmtId="0" fontId="110" fillId="0" borderId="145" xfId="0" applyFont="1" applyBorder="1" applyAlignment="1" applyProtection="1">
      <alignment horizontal="left" vertical="top" wrapText="1"/>
      <protection hidden="1"/>
    </xf>
    <xf numFmtId="0" fontId="110" fillId="0" borderId="143" xfId="0" applyFont="1" applyBorder="1" applyAlignment="1" applyProtection="1">
      <alignment horizontal="left" vertical="top" wrapText="1"/>
      <protection hidden="1"/>
    </xf>
    <xf numFmtId="0" fontId="110" fillId="0" borderId="46" xfId="0" applyFont="1" applyBorder="1" applyAlignment="1" applyProtection="1">
      <alignment horizontal="left" vertical="top" wrapText="1"/>
      <protection hidden="1"/>
    </xf>
    <xf numFmtId="0" fontId="110" fillId="0" borderId="67" xfId="0" applyFont="1" applyBorder="1" applyAlignment="1" applyProtection="1">
      <alignment horizontal="left" vertical="top" wrapText="1"/>
      <protection hidden="1"/>
    </xf>
    <xf numFmtId="0" fontId="63" fillId="0" borderId="6" xfId="0" applyFont="1" applyBorder="1" applyAlignment="1" applyProtection="1">
      <alignment horizontal="left" vertical="top" wrapText="1"/>
      <protection hidden="1"/>
    </xf>
    <xf numFmtId="14" fontId="10" fillId="0" borderId="130" xfId="0" applyNumberFormat="1" applyFont="1" applyBorder="1" applyAlignment="1" applyProtection="1">
      <alignment horizontal="center" vertical="center" shrinkToFit="1"/>
      <protection locked="0"/>
    </xf>
    <xf numFmtId="14" fontId="10" fillId="0" borderId="117" xfId="0" applyNumberFormat="1" applyFont="1" applyBorder="1" applyAlignment="1" applyProtection="1">
      <alignment horizontal="center" vertical="center" shrinkToFit="1"/>
      <protection locked="0"/>
    </xf>
    <xf numFmtId="14" fontId="10" fillId="0" borderId="131" xfId="0" applyNumberFormat="1" applyFont="1" applyBorder="1" applyAlignment="1" applyProtection="1">
      <alignment horizontal="center" vertical="center" shrinkToFit="1"/>
      <protection locked="0"/>
    </xf>
    <xf numFmtId="14" fontId="10" fillId="0" borderId="147" xfId="0" applyNumberFormat="1" applyFont="1" applyBorder="1" applyAlignment="1" applyProtection="1">
      <alignment horizontal="center" vertical="center" shrinkToFit="1"/>
      <protection locked="0"/>
    </xf>
    <xf numFmtId="14" fontId="10" fillId="0" borderId="109" xfId="0" applyNumberFormat="1" applyFont="1" applyBorder="1" applyAlignment="1" applyProtection="1">
      <alignment horizontal="center" vertical="center" shrinkToFit="1"/>
      <protection locked="0"/>
    </xf>
    <xf numFmtId="14" fontId="10" fillId="0" borderId="148" xfId="0" applyNumberFormat="1" applyFont="1" applyBorder="1" applyAlignment="1" applyProtection="1">
      <alignment horizontal="center" vertical="center" shrinkToFit="1"/>
      <protection locked="0"/>
    </xf>
    <xf numFmtId="14" fontId="10" fillId="0" borderId="56" xfId="0" applyNumberFormat="1" applyFont="1" applyBorder="1" applyAlignment="1" applyProtection="1">
      <alignment horizontal="center" vertical="center" shrinkToFit="1"/>
      <protection locked="0"/>
    </xf>
    <xf numFmtId="14" fontId="10" fillId="0" borderId="46" xfId="0" applyNumberFormat="1" applyFont="1" applyBorder="1" applyAlignment="1" applyProtection="1">
      <alignment horizontal="center" vertical="center" shrinkToFit="1"/>
      <protection locked="0"/>
    </xf>
    <xf numFmtId="14" fontId="10" fillId="0" borderId="146" xfId="0" applyNumberFormat="1" applyFont="1" applyBorder="1" applyAlignment="1" applyProtection="1">
      <alignment horizontal="center" vertical="center" shrinkToFit="1"/>
      <protection locked="0"/>
    </xf>
    <xf numFmtId="0" fontId="10" fillId="11" borderId="50" xfId="0" applyFont="1" applyFill="1" applyBorder="1" applyAlignment="1" applyProtection="1">
      <alignment horizontal="center" vertical="center" shrinkToFit="1"/>
      <protection hidden="1"/>
    </xf>
    <xf numFmtId="0" fontId="10" fillId="11" borderId="51" xfId="0" applyFont="1" applyFill="1" applyBorder="1" applyAlignment="1" applyProtection="1">
      <alignment horizontal="center" vertical="center" shrinkToFit="1"/>
      <protection hidden="1"/>
    </xf>
    <xf numFmtId="0" fontId="10" fillId="11" borderId="151" xfId="0" applyFont="1" applyFill="1" applyBorder="1" applyAlignment="1" applyProtection="1">
      <alignment horizontal="center" vertical="center" shrinkToFit="1"/>
      <protection hidden="1"/>
    </xf>
    <xf numFmtId="0" fontId="64" fillId="0" borderId="255" xfId="0" applyFont="1" applyBorder="1" applyAlignment="1" applyProtection="1">
      <alignment horizontal="left" vertical="center" wrapText="1"/>
      <protection hidden="1"/>
    </xf>
    <xf numFmtId="0" fontId="64" fillId="0" borderId="252" xfId="0" applyFont="1" applyBorder="1" applyAlignment="1" applyProtection="1">
      <alignment horizontal="left" vertical="center" wrapText="1"/>
      <protection hidden="1"/>
    </xf>
    <xf numFmtId="0" fontId="64" fillId="0" borderId="253" xfId="0" applyFont="1" applyBorder="1" applyAlignment="1" applyProtection="1">
      <alignment horizontal="left" vertical="center" wrapText="1"/>
      <protection hidden="1"/>
    </xf>
    <xf numFmtId="0" fontId="19" fillId="0" borderId="143" xfId="0" applyFont="1" applyBorder="1" applyAlignment="1" applyProtection="1">
      <alignment horizontal="left" vertical="top" wrapText="1"/>
      <protection hidden="1"/>
    </xf>
    <xf numFmtId="0" fontId="19" fillId="0" borderId="46" xfId="0" applyFont="1" applyBorder="1" applyAlignment="1" applyProtection="1">
      <alignment horizontal="left" vertical="top" wrapText="1"/>
      <protection hidden="1"/>
    </xf>
    <xf numFmtId="0" fontId="19" fillId="0" borderId="67" xfId="0" applyFont="1" applyBorder="1" applyAlignment="1" applyProtection="1">
      <alignment horizontal="left" vertical="top" wrapText="1"/>
      <protection hidden="1"/>
    </xf>
    <xf numFmtId="0" fontId="28" fillId="0" borderId="83" xfId="0" applyFont="1" applyBorder="1" applyAlignment="1" applyProtection="1">
      <alignment horizontal="center" vertical="center"/>
      <protection locked="0"/>
    </xf>
    <xf numFmtId="0" fontId="28" fillId="0" borderId="84" xfId="0" applyFont="1" applyBorder="1" applyAlignment="1" applyProtection="1">
      <alignment horizontal="center" vertical="center"/>
      <protection locked="0"/>
    </xf>
    <xf numFmtId="0" fontId="10" fillId="6" borderId="87" xfId="0" applyFont="1" applyFill="1" applyBorder="1" applyAlignment="1" applyProtection="1">
      <alignment horizontal="center" vertical="center" shrinkToFit="1"/>
      <protection hidden="1"/>
    </xf>
    <xf numFmtId="0" fontId="10" fillId="6" borderId="88" xfId="0" applyFont="1" applyFill="1" applyBorder="1" applyAlignment="1" applyProtection="1">
      <alignment horizontal="center" vertical="center" shrinkToFit="1"/>
      <protection hidden="1"/>
    </xf>
    <xf numFmtId="0" fontId="28" fillId="6" borderId="76" xfId="0" applyFont="1" applyFill="1" applyBorder="1" applyAlignment="1" applyProtection="1">
      <alignment horizontal="center" vertical="center" shrinkToFit="1"/>
      <protection locked="0"/>
    </xf>
    <xf numFmtId="0" fontId="28" fillId="6" borderId="77" xfId="0" applyFont="1" applyFill="1" applyBorder="1" applyAlignment="1" applyProtection="1">
      <alignment horizontal="center" vertical="center" shrinkToFit="1"/>
      <protection locked="0"/>
    </xf>
    <xf numFmtId="0" fontId="28" fillId="6" borderId="111" xfId="0" applyFont="1" applyFill="1" applyBorder="1" applyAlignment="1" applyProtection="1">
      <alignment horizontal="center" vertical="center" shrinkToFit="1"/>
      <protection locked="0"/>
    </xf>
    <xf numFmtId="0" fontId="28" fillId="6" borderId="112" xfId="0" applyFont="1" applyFill="1" applyBorder="1" applyAlignment="1" applyProtection="1">
      <alignment horizontal="center" vertical="center" shrinkToFit="1"/>
      <protection locked="0"/>
    </xf>
    <xf numFmtId="0" fontId="28" fillId="6" borderId="197" xfId="0" applyFont="1" applyFill="1" applyBorder="1" applyAlignment="1" applyProtection="1">
      <alignment horizontal="center" vertical="center" shrinkToFit="1"/>
      <protection locked="0"/>
    </xf>
    <xf numFmtId="0" fontId="42" fillId="17" borderId="82" xfId="0" applyFont="1" applyFill="1" applyBorder="1" applyAlignment="1" applyProtection="1">
      <alignment horizontal="center" vertical="center" shrinkToFit="1"/>
      <protection hidden="1"/>
    </xf>
    <xf numFmtId="0" fontId="42" fillId="17" borderId="83" xfId="0" applyFont="1" applyFill="1" applyBorder="1" applyAlignment="1" applyProtection="1">
      <alignment horizontal="center" vertical="center" shrinkToFit="1"/>
      <protection hidden="1"/>
    </xf>
    <xf numFmtId="0" fontId="42" fillId="17" borderId="84" xfId="0" applyFont="1" applyFill="1" applyBorder="1" applyAlignment="1" applyProtection="1">
      <alignment horizontal="center" vertical="center" shrinkToFit="1"/>
      <protection hidden="1"/>
    </xf>
    <xf numFmtId="0" fontId="28" fillId="0" borderId="77" xfId="0" applyFont="1" applyBorder="1" applyAlignment="1" applyProtection="1">
      <alignment horizontal="center" vertical="center"/>
      <protection locked="0"/>
    </xf>
    <xf numFmtId="0" fontId="28" fillId="0" borderId="78" xfId="0" applyFont="1" applyBorder="1" applyAlignment="1" applyProtection="1">
      <alignment horizontal="center" vertical="center"/>
      <protection locked="0"/>
    </xf>
    <xf numFmtId="0" fontId="10" fillId="2" borderId="86" xfId="0" applyFont="1" applyFill="1" applyBorder="1" applyAlignment="1" applyProtection="1">
      <alignment horizontal="center" vertical="center" shrinkToFit="1"/>
      <protection hidden="1"/>
    </xf>
    <xf numFmtId="0" fontId="10" fillId="2" borderId="87" xfId="0" applyFont="1" applyFill="1" applyBorder="1" applyAlignment="1" applyProtection="1">
      <alignment horizontal="center" vertical="center" shrinkToFit="1"/>
      <protection hidden="1"/>
    </xf>
    <xf numFmtId="0" fontId="42" fillId="17" borderId="89" xfId="0" applyFont="1" applyFill="1" applyBorder="1" applyAlignment="1" applyProtection="1">
      <alignment horizontal="center" vertical="center"/>
      <protection hidden="1"/>
    </xf>
    <xf numFmtId="0" fontId="42" fillId="17" borderId="73" xfId="0" applyFont="1" applyFill="1" applyBorder="1" applyAlignment="1" applyProtection="1">
      <alignment horizontal="center" vertical="center" shrinkToFit="1"/>
      <protection hidden="1"/>
    </xf>
    <xf numFmtId="0" fontId="42" fillId="17" borderId="74" xfId="0" applyFont="1" applyFill="1" applyBorder="1" applyAlignment="1" applyProtection="1">
      <alignment horizontal="center" vertical="center" shrinkToFit="1"/>
      <protection hidden="1"/>
    </xf>
    <xf numFmtId="0" fontId="42" fillId="17" borderId="73" xfId="0" applyFont="1" applyFill="1" applyBorder="1" applyAlignment="1" applyProtection="1">
      <alignment horizontal="center" vertical="center"/>
      <protection hidden="1"/>
    </xf>
    <xf numFmtId="0" fontId="42" fillId="17" borderId="92" xfId="0" applyFont="1" applyFill="1" applyBorder="1" applyAlignment="1" applyProtection="1">
      <alignment horizontal="center" vertical="center"/>
      <protection hidden="1"/>
    </xf>
    <xf numFmtId="0" fontId="42" fillId="17" borderId="63" xfId="0" applyFont="1" applyFill="1" applyBorder="1" applyAlignment="1" applyProtection="1">
      <alignment horizontal="center" vertical="center"/>
      <protection hidden="1"/>
    </xf>
    <xf numFmtId="0" fontId="42" fillId="17" borderId="64" xfId="0" applyFont="1" applyFill="1" applyBorder="1" applyAlignment="1" applyProtection="1">
      <alignment horizontal="center" vertical="center"/>
      <protection hidden="1"/>
    </xf>
    <xf numFmtId="0" fontId="10" fillId="6" borderId="86" xfId="0" applyFont="1" applyFill="1" applyBorder="1" applyAlignment="1" applyProtection="1">
      <alignment horizontal="center" vertical="center" shrinkToFit="1"/>
      <protection hidden="1"/>
    </xf>
    <xf numFmtId="0" fontId="10" fillId="2" borderId="88" xfId="0" applyFont="1" applyFill="1" applyBorder="1" applyAlignment="1" applyProtection="1">
      <alignment horizontal="center" vertical="center" shrinkToFit="1"/>
      <protection hidden="1"/>
    </xf>
    <xf numFmtId="0" fontId="28" fillId="2" borderId="82" xfId="0" applyFont="1" applyFill="1" applyBorder="1" applyAlignment="1" applyProtection="1">
      <alignment horizontal="center" vertical="center" shrinkToFit="1"/>
      <protection locked="0"/>
    </xf>
    <xf numFmtId="0" fontId="28" fillId="2" borderId="83" xfId="0" applyFont="1" applyFill="1" applyBorder="1" applyAlignment="1" applyProtection="1">
      <alignment horizontal="center" vertical="center" shrinkToFit="1"/>
      <protection locked="0"/>
    </xf>
    <xf numFmtId="179" fontId="28" fillId="0" borderId="69" xfId="0" applyNumberFormat="1" applyFont="1" applyBorder="1" applyAlignment="1" applyProtection="1">
      <alignment horizontal="center" vertical="center"/>
      <protection locked="0"/>
    </xf>
    <xf numFmtId="179" fontId="28" fillId="0" borderId="48" xfId="0" applyNumberFormat="1" applyFont="1" applyBorder="1" applyAlignment="1" applyProtection="1">
      <alignment horizontal="center" vertical="center"/>
      <protection locked="0"/>
    </xf>
    <xf numFmtId="179" fontId="28" fillId="0" borderId="106" xfId="0" applyNumberFormat="1" applyFont="1" applyBorder="1" applyAlignment="1" applyProtection="1">
      <alignment horizontal="center" vertical="center"/>
      <protection locked="0"/>
    </xf>
    <xf numFmtId="187" fontId="10" fillId="17" borderId="59" xfId="0" applyNumberFormat="1" applyFont="1" applyFill="1" applyBorder="1" applyAlignment="1" applyProtection="1">
      <alignment horizontal="center" vertical="center" shrinkToFit="1"/>
      <protection hidden="1"/>
    </xf>
    <xf numFmtId="0" fontId="51" fillId="2" borderId="73" xfId="0" applyFont="1" applyFill="1" applyBorder="1" applyAlignment="1" applyProtection="1">
      <alignment horizontal="center" vertical="center" shrinkToFit="1"/>
      <protection locked="0"/>
    </xf>
    <xf numFmtId="0" fontId="51" fillId="2" borderId="74" xfId="0" applyFont="1" applyFill="1" applyBorder="1" applyAlignment="1" applyProtection="1">
      <alignment horizontal="center" vertical="center" shrinkToFit="1"/>
      <protection locked="0"/>
    </xf>
    <xf numFmtId="187" fontId="10" fillId="17" borderId="60" xfId="0" applyNumberFormat="1" applyFont="1" applyFill="1" applyBorder="1" applyAlignment="1" applyProtection="1">
      <alignment horizontal="center" vertical="center" shrinkToFit="1"/>
      <protection hidden="1"/>
    </xf>
    <xf numFmtId="187" fontId="10" fillId="17" borderId="66" xfId="0" applyNumberFormat="1" applyFont="1" applyFill="1" applyBorder="1" applyAlignment="1" applyProtection="1">
      <alignment horizontal="center" vertical="center" shrinkToFit="1"/>
      <protection hidden="1"/>
    </xf>
    <xf numFmtId="0" fontId="34" fillId="0" borderId="36" xfId="0" applyFont="1" applyBorder="1" applyAlignment="1" applyProtection="1">
      <alignment horizontal="left" vertical="center" shrinkToFit="1"/>
      <protection hidden="1"/>
    </xf>
    <xf numFmtId="0" fontId="34" fillId="0" borderId="0" xfId="0" applyFont="1" applyAlignment="1" applyProtection="1">
      <alignment horizontal="left" vertical="center" shrinkToFit="1"/>
      <protection hidden="1"/>
    </xf>
    <xf numFmtId="0" fontId="34" fillId="0" borderId="36" xfId="0" applyFont="1" applyBorder="1" applyAlignment="1" applyProtection="1">
      <alignment horizontal="left" vertical="top" wrapText="1"/>
      <protection hidden="1"/>
    </xf>
    <xf numFmtId="0" fontId="34" fillId="0" borderId="0" xfId="0" applyFont="1" applyAlignment="1" applyProtection="1">
      <alignment horizontal="left" vertical="top" wrapText="1"/>
      <protection hidden="1"/>
    </xf>
    <xf numFmtId="0" fontId="7" fillId="0" borderId="140" xfId="0" applyFont="1" applyBorder="1" applyAlignment="1" applyProtection="1">
      <alignment horizontal="left" vertical="top" wrapText="1"/>
      <protection hidden="1"/>
    </xf>
    <xf numFmtId="0" fontId="7" fillId="0" borderId="141" xfId="0" applyFont="1" applyBorder="1" applyAlignment="1" applyProtection="1">
      <alignment horizontal="left" vertical="top" wrapText="1"/>
      <protection hidden="1"/>
    </xf>
    <xf numFmtId="0" fontId="34" fillId="0" borderId="152" xfId="0" applyFont="1" applyBorder="1" applyAlignment="1" applyProtection="1">
      <alignment horizontal="left" vertical="top" wrapText="1"/>
      <protection hidden="1"/>
    </xf>
    <xf numFmtId="0" fontId="34" fillId="0" borderId="153" xfId="0" applyFont="1" applyBorder="1" applyAlignment="1" applyProtection="1">
      <alignment horizontal="left" vertical="top" wrapText="1"/>
      <protection hidden="1"/>
    </xf>
    <xf numFmtId="0" fontId="50" fillId="0" borderId="152" xfId="0" applyFont="1" applyBorder="1" applyAlignment="1" applyProtection="1">
      <alignment horizontal="left" vertical="center" wrapText="1"/>
      <protection hidden="1"/>
    </xf>
    <xf numFmtId="0" fontId="50" fillId="0" borderId="153" xfId="0" applyFont="1" applyBorder="1" applyAlignment="1" applyProtection="1">
      <alignment horizontal="left" vertical="center" wrapText="1"/>
      <protection hidden="1"/>
    </xf>
    <xf numFmtId="0" fontId="7" fillId="0" borderId="140" xfId="0" applyFont="1" applyBorder="1" applyAlignment="1" applyProtection="1">
      <alignment horizontal="left" vertical="top" shrinkToFit="1"/>
      <protection hidden="1"/>
    </xf>
    <xf numFmtId="0" fontId="7" fillId="0" borderId="141" xfId="0" applyFont="1" applyBorder="1" applyAlignment="1" applyProtection="1">
      <alignment horizontal="left" vertical="top" shrinkToFit="1"/>
      <protection hidden="1"/>
    </xf>
    <xf numFmtId="0" fontId="28" fillId="0" borderId="152" xfId="0" applyFont="1" applyBorder="1" applyAlignment="1" applyProtection="1">
      <alignment horizontal="left" vertical="center" wrapText="1"/>
      <protection hidden="1"/>
    </xf>
    <xf numFmtId="0" fontId="28" fillId="0" borderId="153" xfId="0" applyFont="1" applyBorder="1" applyAlignment="1" applyProtection="1">
      <alignment horizontal="left" vertical="center" wrapText="1"/>
      <protection hidden="1"/>
    </xf>
    <xf numFmtId="0" fontId="34" fillId="0" borderId="152" xfId="0" applyFont="1" applyBorder="1" applyAlignment="1" applyProtection="1">
      <alignment horizontal="left" vertical="center" shrinkToFit="1"/>
      <protection hidden="1"/>
    </xf>
    <xf numFmtId="0" fontId="34" fillId="0" borderId="153" xfId="0" applyFont="1" applyBorder="1" applyAlignment="1" applyProtection="1">
      <alignment horizontal="left" vertical="center" shrinkToFit="1"/>
      <protection hidden="1"/>
    </xf>
    <xf numFmtId="0" fontId="42" fillId="17" borderId="80" xfId="0" applyFont="1" applyFill="1" applyBorder="1" applyAlignment="1" applyProtection="1">
      <alignment horizontal="center" vertical="center" shrinkToFit="1"/>
      <protection hidden="1"/>
    </xf>
    <xf numFmtId="0" fontId="42" fillId="17" borderId="81" xfId="0" applyFont="1" applyFill="1" applyBorder="1" applyAlignment="1" applyProtection="1">
      <alignment horizontal="center" vertical="center" shrinkToFit="1"/>
      <protection hidden="1"/>
    </xf>
    <xf numFmtId="0" fontId="42" fillId="17" borderId="75" xfId="0" applyFont="1" applyFill="1" applyBorder="1" applyAlignment="1" applyProtection="1">
      <alignment horizontal="center" vertical="center" shrinkToFit="1"/>
      <protection hidden="1"/>
    </xf>
    <xf numFmtId="0" fontId="42" fillId="17" borderId="79" xfId="0" applyFont="1" applyFill="1" applyBorder="1" applyAlignment="1" applyProtection="1">
      <alignment horizontal="center" vertical="center" shrinkToFit="1"/>
      <protection hidden="1"/>
    </xf>
    <xf numFmtId="0" fontId="12" fillId="0" borderId="133" xfId="0" applyFont="1" applyBorder="1" applyAlignment="1" applyProtection="1">
      <alignment horizontal="left" vertical="top" wrapText="1"/>
      <protection hidden="1"/>
    </xf>
    <xf numFmtId="0" fontId="12" fillId="0" borderId="51" xfId="0" applyFont="1" applyBorder="1" applyAlignment="1" applyProtection="1">
      <alignment horizontal="left" vertical="top" wrapText="1"/>
      <protection hidden="1"/>
    </xf>
    <xf numFmtId="0" fontId="12" fillId="0" borderId="132" xfId="0" applyFont="1" applyBorder="1" applyAlignment="1" applyProtection="1">
      <alignment horizontal="left" vertical="top" wrapText="1"/>
      <protection hidden="1"/>
    </xf>
    <xf numFmtId="0" fontId="12" fillId="0" borderId="143" xfId="0" applyFont="1" applyBorder="1" applyAlignment="1" applyProtection="1">
      <alignment horizontal="left" vertical="top" wrapText="1"/>
      <protection hidden="1"/>
    </xf>
    <xf numFmtId="0" fontId="12" fillId="0" borderId="46" xfId="0" applyFont="1" applyBorder="1" applyAlignment="1" applyProtection="1">
      <alignment horizontal="left" vertical="top" wrapText="1"/>
      <protection hidden="1"/>
    </xf>
    <xf numFmtId="0" fontId="12" fillId="0" borderId="67" xfId="0" applyFont="1" applyBorder="1" applyAlignment="1" applyProtection="1">
      <alignment horizontal="left" vertical="top" wrapText="1"/>
      <protection hidden="1"/>
    </xf>
    <xf numFmtId="0" fontId="10" fillId="12" borderId="136" xfId="0" applyFont="1" applyFill="1" applyBorder="1" applyAlignment="1" applyProtection="1">
      <alignment horizontal="center" vertical="center" shrinkToFit="1"/>
      <protection hidden="1"/>
    </xf>
    <xf numFmtId="0" fontId="10" fillId="12" borderId="137" xfId="0" applyFont="1" applyFill="1" applyBorder="1" applyAlignment="1" applyProtection="1">
      <alignment horizontal="center" vertical="center" shrinkToFit="1"/>
      <protection hidden="1"/>
    </xf>
    <xf numFmtId="0" fontId="10" fillId="12" borderId="135" xfId="0" applyFont="1" applyFill="1" applyBorder="1" applyAlignment="1" applyProtection="1">
      <alignment horizontal="center" vertical="center" shrinkToFit="1"/>
      <protection hidden="1"/>
    </xf>
    <xf numFmtId="0" fontId="28" fillId="0" borderId="69" xfId="0" applyFont="1" applyBorder="1" applyAlignment="1" applyProtection="1">
      <alignment horizontal="center" vertical="center" shrinkToFit="1"/>
      <protection locked="0"/>
    </xf>
    <xf numFmtId="0" fontId="28" fillId="0" borderId="48" xfId="0" applyFont="1" applyBorder="1" applyAlignment="1" applyProtection="1">
      <alignment horizontal="center" vertical="center" shrinkToFit="1"/>
      <protection locked="0"/>
    </xf>
    <xf numFmtId="0" fontId="28" fillId="0" borderId="106" xfId="0" applyFont="1" applyBorder="1" applyAlignment="1" applyProtection="1">
      <alignment horizontal="center" vertical="center" shrinkToFit="1"/>
      <protection locked="0"/>
    </xf>
    <xf numFmtId="0" fontId="28" fillId="0" borderId="49" xfId="0" applyFont="1" applyBorder="1" applyAlignment="1" applyProtection="1">
      <alignment horizontal="center" vertical="center" shrinkToFit="1"/>
      <protection locked="0"/>
    </xf>
    <xf numFmtId="0" fontId="28" fillId="0" borderId="103" xfId="0" applyFont="1" applyBorder="1" applyAlignment="1" applyProtection="1">
      <alignment horizontal="center" vertical="center" shrinkToFit="1"/>
      <protection locked="0"/>
    </xf>
    <xf numFmtId="0" fontId="28" fillId="0" borderId="72" xfId="0" applyFont="1" applyBorder="1" applyAlignment="1" applyProtection="1">
      <alignment horizontal="center" vertical="center" shrinkToFit="1"/>
      <protection locked="0"/>
    </xf>
    <xf numFmtId="0" fontId="28" fillId="0" borderId="104" xfId="0" applyFont="1" applyBorder="1" applyAlignment="1" applyProtection="1">
      <alignment horizontal="center" vertical="center" shrinkToFit="1"/>
      <protection locked="0"/>
    </xf>
    <xf numFmtId="0" fontId="10" fillId="11" borderId="50" xfId="0" applyFont="1" applyFill="1" applyBorder="1" applyAlignment="1" applyProtection="1">
      <alignment horizontal="center" vertical="center" wrapText="1" shrinkToFit="1"/>
      <protection hidden="1"/>
    </xf>
    <xf numFmtId="0" fontId="10" fillId="11" borderId="51" xfId="0" applyFont="1" applyFill="1" applyBorder="1" applyAlignment="1" applyProtection="1">
      <alignment horizontal="center" vertical="center" wrapText="1" shrinkToFit="1"/>
      <protection hidden="1"/>
    </xf>
    <xf numFmtId="0" fontId="10" fillId="11" borderId="151" xfId="0" applyFont="1" applyFill="1" applyBorder="1" applyAlignment="1" applyProtection="1">
      <alignment horizontal="center" vertical="center" wrapText="1" shrinkToFit="1"/>
      <protection hidden="1"/>
    </xf>
    <xf numFmtId="0" fontId="10" fillId="11" borderId="45" xfId="0" applyFont="1" applyFill="1" applyBorder="1" applyAlignment="1" applyProtection="1">
      <alignment horizontal="center" vertical="center" wrapText="1" shrinkToFit="1"/>
      <protection hidden="1"/>
    </xf>
    <xf numFmtId="0" fontId="10" fillId="11" borderId="46" xfId="0" applyFont="1" applyFill="1" applyBorder="1" applyAlignment="1" applyProtection="1">
      <alignment horizontal="center" vertical="center" wrapText="1" shrinkToFit="1"/>
      <protection hidden="1"/>
    </xf>
    <xf numFmtId="0" fontId="10" fillId="11" borderId="150" xfId="0" applyFont="1" applyFill="1" applyBorder="1" applyAlignment="1" applyProtection="1">
      <alignment horizontal="center" vertical="center" wrapText="1" shrinkToFit="1"/>
      <protection hidden="1"/>
    </xf>
    <xf numFmtId="14" fontId="28" fillId="0" borderId="52" xfId="0" applyNumberFormat="1" applyFont="1" applyBorder="1" applyAlignment="1" applyProtection="1">
      <alignment horizontal="center" vertical="center" shrinkToFit="1"/>
      <protection locked="0"/>
    </xf>
    <xf numFmtId="14" fontId="28" fillId="0" borderId="51" xfId="0" applyNumberFormat="1" applyFont="1" applyBorder="1" applyAlignment="1" applyProtection="1">
      <alignment horizontal="center" vertical="center" shrinkToFit="1"/>
      <protection locked="0"/>
    </xf>
    <xf numFmtId="14" fontId="28" fillId="0" borderId="134" xfId="0" applyNumberFormat="1" applyFont="1" applyBorder="1" applyAlignment="1" applyProtection="1">
      <alignment horizontal="center" vertical="center" shrinkToFit="1"/>
      <protection locked="0"/>
    </xf>
    <xf numFmtId="14" fontId="28" fillId="0" borderId="56" xfId="0" applyNumberFormat="1" applyFont="1" applyBorder="1" applyAlignment="1" applyProtection="1">
      <alignment horizontal="center" vertical="center" shrinkToFit="1"/>
      <protection locked="0"/>
    </xf>
    <xf numFmtId="14" fontId="28" fillId="0" borderId="46" xfId="0" applyNumberFormat="1" applyFont="1" applyBorder="1" applyAlignment="1" applyProtection="1">
      <alignment horizontal="center" vertical="center" shrinkToFit="1"/>
      <protection locked="0"/>
    </xf>
    <xf numFmtId="14" fontId="28" fillId="0" borderId="146" xfId="0" applyNumberFormat="1" applyFont="1" applyBorder="1" applyAlignment="1" applyProtection="1">
      <alignment horizontal="center" vertical="center" shrinkToFit="1"/>
      <protection locked="0"/>
    </xf>
    <xf numFmtId="0" fontId="10" fillId="11" borderId="114" xfId="0" applyFont="1" applyFill="1" applyBorder="1" applyAlignment="1" applyProtection="1">
      <alignment horizontal="center" vertical="center" shrinkToFit="1"/>
      <protection hidden="1"/>
    </xf>
    <xf numFmtId="0" fontId="10" fillId="11" borderId="115" xfId="0" applyFont="1" applyFill="1" applyBorder="1" applyAlignment="1" applyProtection="1">
      <alignment horizontal="center" vertical="center" shrinkToFit="1"/>
      <protection hidden="1"/>
    </xf>
    <xf numFmtId="0" fontId="10" fillId="2" borderId="45" xfId="0" applyFont="1" applyFill="1" applyBorder="1" applyAlignment="1" applyProtection="1">
      <alignment horizontal="center" vertical="center"/>
      <protection hidden="1"/>
    </xf>
    <xf numFmtId="0" fontId="10" fillId="2" borderId="46" xfId="0" applyFont="1" applyFill="1" applyBorder="1" applyAlignment="1" applyProtection="1">
      <alignment horizontal="center" vertical="center"/>
      <protection hidden="1"/>
    </xf>
    <xf numFmtId="0" fontId="25" fillId="0" borderId="16" xfId="0" applyFont="1" applyBorder="1" applyAlignment="1" applyProtection="1">
      <alignment horizontal="left" shrinkToFit="1"/>
      <protection hidden="1"/>
    </xf>
    <xf numFmtId="0" fontId="10" fillId="11" borderId="95" xfId="0" applyFont="1" applyFill="1" applyBorder="1" applyAlignment="1" applyProtection="1">
      <alignment horizontal="center" vertical="center" shrinkToFit="1"/>
      <protection hidden="1"/>
    </xf>
    <xf numFmtId="0" fontId="10" fillId="11" borderId="96" xfId="0" applyFont="1" applyFill="1" applyBorder="1" applyAlignment="1" applyProtection="1">
      <alignment horizontal="center" vertical="center" shrinkToFit="1"/>
      <protection hidden="1"/>
    </xf>
    <xf numFmtId="49" fontId="58" fillId="0" borderId="156" xfId="0" applyNumberFormat="1" applyFont="1" applyBorder="1" applyAlignment="1">
      <alignment horizontal="center" vertical="center" wrapText="1" shrinkToFit="1"/>
    </xf>
    <xf numFmtId="49" fontId="58" fillId="0" borderId="31" xfId="0" applyNumberFormat="1" applyFont="1" applyBorder="1" applyAlignment="1">
      <alignment horizontal="center" vertical="center" wrapText="1" shrinkToFit="1"/>
    </xf>
    <xf numFmtId="0" fontId="25" fillId="0" borderId="161" xfId="0" applyFont="1" applyBorder="1" applyAlignment="1">
      <alignment horizontal="center" vertical="center" shrinkToFit="1"/>
    </xf>
    <xf numFmtId="0" fontId="25" fillId="0" borderId="34" xfId="0" applyFont="1" applyBorder="1" applyAlignment="1">
      <alignment horizontal="center" vertical="center" shrinkToFit="1"/>
    </xf>
    <xf numFmtId="0" fontId="25" fillId="0" borderId="160" xfId="0" applyFont="1" applyBorder="1" applyAlignment="1">
      <alignment horizontal="center" vertical="center" shrinkToFit="1"/>
    </xf>
    <xf numFmtId="0" fontId="25" fillId="0" borderId="165" xfId="0" applyFont="1" applyBorder="1" applyAlignment="1">
      <alignment horizontal="center" vertical="center" shrinkToFit="1"/>
    </xf>
    <xf numFmtId="14" fontId="58" fillId="0" borderId="155" xfId="0" applyNumberFormat="1" applyFont="1" applyBorder="1" applyAlignment="1">
      <alignment horizontal="center" vertical="center" shrinkToFit="1"/>
    </xf>
    <xf numFmtId="14" fontId="58" fillId="0" borderId="17" xfId="0" applyNumberFormat="1" applyFont="1" applyBorder="1" applyAlignment="1">
      <alignment horizontal="center" vertical="center" shrinkToFit="1"/>
    </xf>
    <xf numFmtId="176" fontId="5" fillId="0" borderId="0" xfId="0" applyNumberFormat="1" applyFont="1" applyAlignment="1" applyProtection="1">
      <alignment horizontal="center" vertical="center" shrinkToFit="1"/>
      <protection hidden="1"/>
    </xf>
    <xf numFmtId="0" fontId="25" fillId="0" borderId="163" xfId="0" applyFont="1" applyBorder="1" applyAlignment="1">
      <alignment horizontal="center" vertical="center" shrinkToFit="1"/>
    </xf>
    <xf numFmtId="0" fontId="8" fillId="0" borderId="0" xfId="0" applyFont="1" applyAlignment="1" applyProtection="1">
      <alignment horizontal="center" vertical="center" shrinkToFit="1"/>
      <protection hidden="1"/>
    </xf>
    <xf numFmtId="177" fontId="64" fillId="0" borderId="0" xfId="0" applyNumberFormat="1" applyFont="1" applyAlignment="1" applyProtection="1">
      <alignment horizontal="left" vertical="top" wrapText="1"/>
      <protection hidden="1"/>
    </xf>
    <xf numFmtId="176" fontId="25" fillId="0" borderId="160" xfId="0" applyNumberFormat="1" applyFont="1" applyBorder="1" applyAlignment="1" applyProtection="1">
      <alignment horizontal="center" vertical="center" wrapText="1"/>
      <protection hidden="1"/>
    </xf>
    <xf numFmtId="176" fontId="25" fillId="0" borderId="165" xfId="0" applyNumberFormat="1" applyFont="1" applyBorder="1" applyAlignment="1" applyProtection="1">
      <alignment horizontal="center" vertical="center" wrapText="1"/>
      <protection hidden="1"/>
    </xf>
    <xf numFmtId="0" fontId="25" fillId="0" borderId="155" xfId="0" applyFont="1" applyBorder="1" applyAlignment="1" applyProtection="1">
      <alignment horizontal="center" vertical="center" wrapText="1"/>
      <protection hidden="1"/>
    </xf>
    <xf numFmtId="0" fontId="25" fillId="0" borderId="17" xfId="0" applyFont="1" applyBorder="1" applyAlignment="1" applyProtection="1">
      <alignment horizontal="center" vertical="center" wrapText="1"/>
      <protection hidden="1"/>
    </xf>
    <xf numFmtId="0" fontId="25" fillId="0" borderId="168" xfId="0" applyFont="1" applyBorder="1" applyAlignment="1" applyProtection="1">
      <alignment horizontal="center" vertical="center" wrapText="1"/>
      <protection hidden="1"/>
    </xf>
    <xf numFmtId="0" fontId="5" fillId="0" borderId="169" xfId="0" applyFont="1" applyBorder="1" applyAlignment="1" applyProtection="1">
      <alignment horizontal="center" vertical="center" wrapText="1"/>
      <protection hidden="1"/>
    </xf>
    <xf numFmtId="177" fontId="64" fillId="0" borderId="0" xfId="0" applyNumberFormat="1" applyFont="1" applyAlignment="1">
      <alignment horizontal="left" vertical="top" wrapText="1"/>
    </xf>
    <xf numFmtId="176" fontId="25" fillId="0" borderId="174" xfId="0" applyNumberFormat="1" applyFont="1" applyBorder="1" applyAlignment="1" applyProtection="1">
      <alignment horizontal="center" vertical="center" wrapText="1"/>
      <protection hidden="1"/>
    </xf>
    <xf numFmtId="176" fontId="25" fillId="0" borderId="175" xfId="0" applyNumberFormat="1" applyFont="1" applyBorder="1" applyAlignment="1" applyProtection="1">
      <alignment horizontal="center" vertical="center" wrapText="1"/>
      <protection hidden="1"/>
    </xf>
    <xf numFmtId="0" fontId="67" fillId="0" borderId="0" xfId="0" applyFont="1" applyAlignment="1">
      <alignment horizontal="center" vertical="center" shrinkToFit="1"/>
    </xf>
    <xf numFmtId="0" fontId="93" fillId="0" borderId="216" xfId="0" applyFont="1" applyBorder="1" applyAlignment="1">
      <alignment horizontal="center" vertical="center" shrinkToFit="1"/>
    </xf>
    <xf numFmtId="0" fontId="93" fillId="0" borderId="176" xfId="0" applyFont="1" applyBorder="1" applyAlignment="1">
      <alignment horizontal="center" vertical="center" shrinkToFit="1"/>
    </xf>
    <xf numFmtId="0" fontId="93" fillId="0" borderId="214" xfId="0" applyFont="1" applyBorder="1" applyAlignment="1">
      <alignment horizontal="center" vertical="center" shrinkToFit="1"/>
    </xf>
    <xf numFmtId="0" fontId="93" fillId="0" borderId="218" xfId="0" applyFont="1" applyBorder="1" applyAlignment="1">
      <alignment horizontal="center" vertical="center" shrinkToFit="1"/>
    </xf>
    <xf numFmtId="0" fontId="93" fillId="0" borderId="215" xfId="0" applyFont="1" applyBorder="1" applyAlignment="1">
      <alignment horizontal="center" vertical="center" shrinkToFit="1"/>
    </xf>
    <xf numFmtId="0" fontId="93" fillId="0" borderId="177" xfId="0" applyFont="1" applyBorder="1" applyAlignment="1">
      <alignment horizontal="center" vertical="center" shrinkToFit="1"/>
    </xf>
    <xf numFmtId="0" fontId="93" fillId="0" borderId="249" xfId="0" applyFont="1" applyBorder="1" applyAlignment="1">
      <alignment horizontal="center" vertical="center" shrinkToFit="1"/>
    </xf>
    <xf numFmtId="0" fontId="93" fillId="0" borderId="199" xfId="0" applyFont="1" applyBorder="1" applyAlignment="1">
      <alignment horizontal="center" vertical="center" shrinkToFit="1"/>
    </xf>
    <xf numFmtId="0" fontId="93" fillId="0" borderId="226" xfId="0" applyFont="1" applyBorder="1" applyAlignment="1">
      <alignment horizontal="center" vertical="center" shrinkToFit="1"/>
    </xf>
    <xf numFmtId="0" fontId="19" fillId="0" borderId="250" xfId="0" applyFont="1" applyBorder="1" applyAlignment="1">
      <alignment horizontal="center" vertical="center" shrinkToFit="1"/>
    </xf>
    <xf numFmtId="0" fontId="19" fillId="0" borderId="227" xfId="0" applyFont="1" applyBorder="1" applyAlignment="1">
      <alignment horizontal="center" vertical="center" shrinkToFit="1"/>
    </xf>
    <xf numFmtId="0" fontId="98" fillId="0" borderId="250" xfId="0" applyFont="1" applyBorder="1" applyAlignment="1">
      <alignment horizontal="center" vertical="center" shrinkToFit="1"/>
    </xf>
    <xf numFmtId="0" fontId="92" fillId="0" borderId="251" xfId="0" applyFont="1" applyBorder="1" applyAlignment="1">
      <alignment horizontal="center" vertical="center" shrinkToFit="1"/>
    </xf>
    <xf numFmtId="0" fontId="19" fillId="0" borderId="251" xfId="0" applyFont="1" applyBorder="1" applyAlignment="1">
      <alignment horizontal="center" vertical="center" shrinkToFit="1"/>
    </xf>
    <xf numFmtId="10" fontId="114" fillId="0" borderId="0" xfId="0" applyNumberFormat="1" applyFont="1" applyAlignment="1" applyProtection="1">
      <alignment horizontal="left" vertical="center" wrapText="1"/>
      <protection hidden="1"/>
    </xf>
    <xf numFmtId="0" fontId="114" fillId="0" borderId="0" xfId="0" applyFont="1" applyAlignment="1" applyProtection="1">
      <alignment horizontal="left" vertical="center" wrapText="1"/>
      <protection hidden="1"/>
    </xf>
    <xf numFmtId="0" fontId="0" fillId="0" borderId="0" xfId="0" applyAlignment="1">
      <alignment horizontal="center" vertical="center" shrinkToFit="1"/>
    </xf>
    <xf numFmtId="0" fontId="0" fillId="0" borderId="0" xfId="0" applyAlignment="1">
      <alignment horizontal="center" vertical="center" wrapText="1"/>
    </xf>
    <xf numFmtId="0" fontId="0" fillId="0" borderId="0" xfId="0" applyAlignment="1">
      <alignment horizontal="center" vertical="center" wrapText="1" shrinkToFit="1"/>
    </xf>
    <xf numFmtId="0" fontId="21" fillId="0" borderId="0" xfId="0" applyFont="1" applyAlignment="1">
      <alignment horizontal="center" vertical="center" shrinkToFit="1"/>
    </xf>
  </cellXfs>
  <cellStyles count="3">
    <cellStyle name="ハイパーリンク" xfId="2" builtinId="8"/>
    <cellStyle name="標準" xfId="0" builtinId="0"/>
    <cellStyle name="標準 10" xfId="1" xr:uid="{E13432BC-4869-9A48-AF50-96158FB5F4C6}"/>
  </cellStyles>
  <dxfs count="43">
    <dxf>
      <font>
        <color rgb="FFC00000"/>
      </font>
    </dxf>
    <dxf>
      <fill>
        <patternFill patternType="lightGray">
          <fgColor theme="0" tint="-0.24994659260841701"/>
          <bgColor theme="0" tint="-0.24994659260841701"/>
        </patternFill>
      </fill>
    </dxf>
    <dxf>
      <font>
        <color rgb="FFC00000"/>
      </font>
    </dxf>
    <dxf>
      <font>
        <color theme="0" tint="-0.24994659260841701"/>
      </font>
      <fill>
        <patternFill>
          <bgColor theme="0" tint="-0.24994659260841701"/>
        </patternFill>
      </fill>
    </dxf>
    <dxf>
      <font>
        <color rgb="FFC00000"/>
      </font>
    </dxf>
    <dxf>
      <font>
        <color rgb="FFC00000"/>
      </font>
    </dxf>
    <dxf>
      <font>
        <color rgb="FFC00000"/>
      </font>
    </dxf>
    <dxf>
      <font>
        <color rgb="FFC00000"/>
      </font>
    </dxf>
    <dxf>
      <font>
        <color rgb="FFC00000"/>
      </font>
      <fill>
        <patternFill patternType="none">
          <bgColor auto="1"/>
        </patternFill>
      </fill>
    </dxf>
    <dxf>
      <font>
        <color rgb="FFC00000"/>
      </font>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border>
    </dxf>
    <dxf>
      <font>
        <color rgb="FFC00000"/>
      </font>
    </dxf>
    <dxf>
      <font>
        <color theme="1"/>
      </font>
    </dxf>
    <dxf>
      <font>
        <color theme="1"/>
      </font>
    </dxf>
    <dxf>
      <font>
        <color theme="1"/>
      </font>
    </dxf>
    <dxf>
      <font>
        <color theme="1"/>
      </font>
    </dxf>
    <dxf>
      <font>
        <color theme="0" tint="-0.24994659260841701"/>
      </font>
      <fill>
        <patternFill>
          <bgColor theme="0" tint="-0.24994659260841701"/>
        </patternFill>
      </fill>
      <border>
        <left/>
        <right/>
        <top/>
        <bottom/>
      </border>
    </dxf>
    <dxf>
      <font>
        <color theme="0" tint="-0.24994659260841701"/>
      </font>
      <fill>
        <patternFill>
          <fgColor auto="1"/>
          <bgColor theme="0" tint="-0.24994659260841701"/>
        </patternFill>
      </fill>
    </dxf>
    <dxf>
      <font>
        <b/>
        <i val="0"/>
        <color theme="0"/>
      </font>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font>
      <fill>
        <patternFill>
          <bgColor theme="0"/>
        </patternFill>
      </fill>
    </dxf>
    <dxf>
      <font>
        <color theme="0"/>
      </font>
      <fill>
        <patternFill>
          <bgColor theme="0"/>
        </patternFill>
      </fill>
    </dxf>
    <dxf>
      <font>
        <color theme="1"/>
      </font>
    </dxf>
    <dxf>
      <fill>
        <patternFill>
          <bgColor theme="5" tint="0.79998168889431442"/>
        </patternFill>
      </fill>
    </dxf>
    <dxf>
      <fill>
        <patternFill patternType="none">
          <bgColor auto="1"/>
        </patternFill>
      </fill>
    </dxf>
    <dxf>
      <fill>
        <patternFill>
          <bgColor theme="6" tint="0.79998168889431442"/>
        </patternFill>
      </fill>
    </dxf>
    <dxf>
      <fill>
        <patternFill patternType="none">
          <bgColor auto="1"/>
        </patternFill>
      </fill>
    </dxf>
    <dxf>
      <fill>
        <patternFill>
          <fgColor rgb="FFC00000"/>
        </patternFill>
      </fill>
    </dxf>
    <dxf>
      <fill>
        <patternFill>
          <fgColor auto="1"/>
          <bgColor rgb="FFFCFFBE"/>
        </patternFill>
      </fill>
    </dxf>
    <dxf>
      <fill>
        <patternFill patternType="none">
          <fgColor auto="1"/>
          <bgColor auto="1"/>
        </patternFill>
      </fill>
    </dxf>
    <dxf>
      <font>
        <color rgb="FFC00000"/>
      </font>
    </dxf>
    <dxf>
      <font>
        <color theme="1"/>
      </font>
    </dxf>
    <dxf>
      <fill>
        <patternFill patternType="gray0625">
          <fgColor theme="1" tint="0.499984740745262"/>
          <bgColor theme="1" tint="0.499984740745262"/>
        </patternFill>
      </fill>
    </dxf>
    <dxf>
      <font>
        <color theme="0" tint="-0.24994659260841701"/>
      </font>
      <fill>
        <patternFill>
          <bgColor theme="0" tint="-0.24994659260841701"/>
        </patternFill>
      </fill>
      <border>
        <left/>
        <right/>
        <top/>
        <bottom/>
        <vertical/>
        <horizontal/>
      </border>
    </dxf>
    <dxf>
      <font>
        <color theme="0"/>
      </font>
      <fill>
        <patternFill>
          <bgColor theme="0"/>
        </patternFill>
      </fill>
    </dxf>
    <dxf>
      <font>
        <b val="0"/>
        <i val="0"/>
        <strike val="0"/>
      </font>
    </dxf>
  </dxfs>
  <tableStyles count="0" defaultTableStyle="TableStyleMedium2" defaultPivotStyle="PivotStyleLight16"/>
  <colors>
    <mruColors>
      <color rgb="FFEAFFD4"/>
      <color rgb="FF539EEB"/>
      <color rgb="FF4F95DA"/>
      <color rgb="FFFCFFCA"/>
      <color rgb="FFFFF176"/>
      <color rgb="FFFDFD8A"/>
      <color rgb="FFFCFFBE"/>
      <color rgb="FFC1F0C8"/>
      <color rgb="FF83E28E"/>
      <color rgb="FFFBEB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metadata.xml" Type="http://schemas.openxmlformats.org/officeDocument/2006/relationships/sheetMetadata"/><Relationship Id="rId19"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style1.xml" Type="http://schemas.microsoft.com/office/2011/relationships/chartStyle"/><Relationship Id="rId2" Target="colors1.xml" Type="http://schemas.microsoft.com/office/2011/relationships/chartColorStyle"/></Relationships>
</file>

<file path=xl/charts/_rels/chart2.xml.rels><?xml version="1.0" encoding="UTF-8" standalone="yes"?><Relationships xmlns="http://schemas.openxmlformats.org/package/2006/relationships"><Relationship Id="rId1" Target="style2.xml" Type="http://schemas.microsoft.com/office/2011/relationships/chartStyle"/><Relationship Id="rId2" Target="colors2.xml" Type="http://schemas.microsoft.com/office/2011/relationships/chartColorStyle"/></Relationships>
</file>

<file path=xl/charts/_rels/chart3.xml.rels><?xml version="1.0" encoding="UTF-8" standalone="yes"?><Relationships xmlns="http://schemas.openxmlformats.org/package/2006/relationships"><Relationship Id="rId1" Target="style3.xml" Type="http://schemas.microsoft.com/office/2011/relationships/chartStyle"/><Relationship Id="rId2" Target="colors3.xml" Type="http://schemas.microsoft.com/office/2011/relationships/chartColorStyle"/></Relationships>
</file>

<file path=xl/charts/_rels/chart4.xml.rels><?xml version="1.0" encoding="UTF-8" standalone="yes"?><Relationships xmlns="http://schemas.openxmlformats.org/package/2006/relationships"><Relationship Id="rId1" Target="style4.xml" Type="http://schemas.microsoft.com/office/2011/relationships/chartStyle"/><Relationship Id="rId2" Target="colors4.xml" Type="http://schemas.microsoft.com/office/2011/relationships/chartColorStyle"/></Relationships>
</file>

<file path=xl/charts/_rels/chart5.xml.rels><?xml version="1.0" encoding="UTF-8" standalone="yes"?><Relationships xmlns="http://schemas.openxmlformats.org/package/2006/relationships"><Relationship Id="rId1" Target="style5.xml" Type="http://schemas.microsoft.com/office/2011/relationships/chartStyle"/><Relationship Id="rId2" Target="colors5.xml" Type="http://schemas.microsoft.com/office/2011/relationships/chartColorStyle"/><Relationship Id="rId3" Target="../drawings/drawing2.xml" Type="http://schemas.openxmlformats.org/officeDocument/2006/relationships/chartUserShapes"/></Relationships>
</file>

<file path=xl/charts/_rels/chart6.xml.rels><?xml version="1.0" encoding="UTF-8" standalone="yes"?><Relationships xmlns="http://schemas.openxmlformats.org/package/2006/relationships"><Relationship Id="rId1" Target="style6.xml" Type="http://schemas.microsoft.com/office/2011/relationships/chartStyle"/><Relationship Id="rId2" Target="colors6.xml" Type="http://schemas.microsoft.com/office/2011/relationships/chartColorStyle"/></Relationships>
</file>

<file path=xl/charts/_rels/chart7.xml.rels><?xml version="1.0" encoding="UTF-8" standalone="yes"?><Relationships xmlns="http://schemas.openxmlformats.org/package/2006/relationships"><Relationship Id="rId1" Target="style7.xml" Type="http://schemas.microsoft.com/office/2011/relationships/chartStyle"/><Relationship Id="rId2" Target="colors7.xml" Type="http://schemas.microsoft.com/office/2011/relationships/chartColorStyl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35748792270531"/>
          <c:y val="8.6021505376344093E-2"/>
          <c:w val="0.76811594202898559"/>
          <c:h val="0.85483870967741948"/>
        </c:manualLayout>
      </c:layout>
      <c:radarChart>
        <c:radarStyle val="marker"/>
        <c:varyColors val="0"/>
        <c:ser>
          <c:idx val="0"/>
          <c:order val="0"/>
          <c:tx>
            <c:v>貴社</c:v>
          </c:tx>
          <c:spPr>
            <a:ln w="28575" cap="rnd">
              <a:solidFill>
                <a:schemeClr val="accent2"/>
              </a:solidFill>
              <a:round/>
            </a:ln>
            <a:effectLst/>
          </c:spPr>
          <c:marker>
            <c:symbol val="none"/>
          </c:marker>
          <c:cat>
            <c:strRef>
              <c:f>計算!$B$28:$B$36</c:f>
              <c:strCache>
                <c:ptCount val="9"/>
                <c:pt idx="0">
                  <c:v>0年</c:v>
                </c:pt>
                <c:pt idx="1">
                  <c:v>1-2年</c:v>
                </c:pt>
                <c:pt idx="2">
                  <c:v>3-4年</c:v>
                </c:pt>
                <c:pt idx="3">
                  <c:v>5-9年</c:v>
                </c:pt>
                <c:pt idx="4">
                  <c:v>10-14年</c:v>
                </c:pt>
                <c:pt idx="5">
                  <c:v>15-19年</c:v>
                </c:pt>
                <c:pt idx="6">
                  <c:v>20-24年</c:v>
                </c:pt>
                <c:pt idx="7">
                  <c:v>25-29年</c:v>
                </c:pt>
                <c:pt idx="8">
                  <c:v>30年以上</c:v>
                </c:pt>
              </c:strCache>
            </c:strRef>
          </c:cat>
          <c:val>
            <c:numRef>
              <c:f>計算!$H$28:$H$36</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4D21-EC44-A696-90377D0F222A}"/>
            </c:ext>
          </c:extLst>
        </c:ser>
        <c:ser>
          <c:idx val="1"/>
          <c:order val="1"/>
          <c:tx>
            <c:v>賃構</c:v>
          </c:tx>
          <c:spPr>
            <a:ln w="28575" cap="rnd">
              <a:solidFill>
                <a:srgbClr val="4F95DA"/>
              </a:solidFill>
              <a:round/>
            </a:ln>
            <a:effectLst/>
          </c:spPr>
          <c:marker>
            <c:symbol val="none"/>
          </c:marker>
          <c:cat>
            <c:strRef>
              <c:f>計算!$B$28:$B$36</c:f>
              <c:strCache>
                <c:ptCount val="9"/>
                <c:pt idx="0">
                  <c:v>0年</c:v>
                </c:pt>
                <c:pt idx="1">
                  <c:v>1-2年</c:v>
                </c:pt>
                <c:pt idx="2">
                  <c:v>3-4年</c:v>
                </c:pt>
                <c:pt idx="3">
                  <c:v>5-9年</c:v>
                </c:pt>
                <c:pt idx="4">
                  <c:v>10-14年</c:v>
                </c:pt>
                <c:pt idx="5">
                  <c:v>15-19年</c:v>
                </c:pt>
                <c:pt idx="6">
                  <c:v>20-24年</c:v>
                </c:pt>
                <c:pt idx="7">
                  <c:v>25-29年</c:v>
                </c:pt>
                <c:pt idx="8">
                  <c:v>30年以上</c:v>
                </c:pt>
              </c:strCache>
            </c:strRef>
          </c:cat>
          <c:val>
            <c:numRef>
              <c:f>計算!$I$28:$I$36</c:f>
              <c:numCache>
                <c:formatCode>0.0%</c:formatCode>
                <c:ptCount val="9"/>
                <c:pt idx="0">
                  <c:v>0.81463129908822973</c:v>
                </c:pt>
                <c:pt idx="1">
                  <c:v>0.82856900702664193</c:v>
                </c:pt>
                <c:pt idx="2">
                  <c:v>0.81303918340467562</c:v>
                </c:pt>
                <c:pt idx="3">
                  <c:v>0.80184659412513193</c:v>
                </c:pt>
                <c:pt idx="4">
                  <c:v>0.77043257771692275</c:v>
                </c:pt>
                <c:pt idx="5">
                  <c:v>0.75119732844954146</c:v>
                </c:pt>
                <c:pt idx="6">
                  <c:v>0.74460040443862896</c:v>
                </c:pt>
                <c:pt idx="7">
                  <c:v>0.7624099767753546</c:v>
                </c:pt>
                <c:pt idx="8">
                  <c:v>0.76638123322940221</c:v>
                </c:pt>
              </c:numCache>
            </c:numRef>
          </c:val>
          <c:extLst>
            <c:ext xmlns:c16="http://schemas.microsoft.com/office/drawing/2014/chart" uri="{C3380CC4-5D6E-409C-BE32-E72D297353CC}">
              <c16:uniqueId val="{00000001-4D21-EC44-A696-90377D0F222A}"/>
            </c:ext>
          </c:extLst>
        </c:ser>
        <c:dLbls>
          <c:showLegendKey val="0"/>
          <c:showVal val="0"/>
          <c:showCatName val="0"/>
          <c:showSerName val="0"/>
          <c:showPercent val="0"/>
          <c:showBubbleSize val="0"/>
        </c:dLbls>
        <c:axId val="1955027311"/>
        <c:axId val="1146308143"/>
      </c:radarChart>
      <c:catAx>
        <c:axId val="1955027311"/>
        <c:scaling>
          <c:orientation val="minMax"/>
        </c:scaling>
        <c:delete val="1"/>
        <c:axPos val="b"/>
        <c:numFmt formatCode="General" sourceLinked="1"/>
        <c:majorTickMark val="none"/>
        <c:minorTickMark val="none"/>
        <c:tickLblPos val="nextTo"/>
        <c:crossAx val="1146308143"/>
        <c:crosses val="autoZero"/>
        <c:auto val="1"/>
        <c:lblAlgn val="ctr"/>
        <c:lblOffset val="100"/>
        <c:noMultiLvlLbl val="0"/>
      </c:catAx>
      <c:valAx>
        <c:axId val="114630814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55027311"/>
        <c:crosses val="autoZero"/>
        <c:crossBetween val="between"/>
        <c:majorUnit val="0.5"/>
      </c:valAx>
      <c:spPr>
        <a:solidFill>
          <a:schemeClr val="bg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lumMod val="20000"/>
        <a:lumOff val="8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00958990295704"/>
          <c:y val="0.12020397051432401"/>
          <c:w val="0.71575451373663035"/>
          <c:h val="0.78189688390015077"/>
        </c:manualLayout>
      </c:layout>
      <c:radarChart>
        <c:radarStyle val="marker"/>
        <c:varyColors val="0"/>
        <c:ser>
          <c:idx val="0"/>
          <c:order val="0"/>
          <c:tx>
            <c:v>貴社</c:v>
          </c:tx>
          <c:spPr>
            <a:ln w="28575" cap="rnd">
              <a:solidFill>
                <a:schemeClr val="accent2"/>
              </a:solidFill>
              <a:round/>
            </a:ln>
            <a:effectLst/>
          </c:spPr>
          <c:marker>
            <c:symbol val="none"/>
          </c:marker>
          <c:cat>
            <c:strRef>
              <c:f>計算!$B$18:$B$21</c:f>
              <c:strCache>
                <c:ptCount val="4"/>
                <c:pt idx="0">
                  <c:v>非役職</c:v>
                </c:pt>
                <c:pt idx="1">
                  <c:v>係長級</c:v>
                </c:pt>
                <c:pt idx="2">
                  <c:v>課長級</c:v>
                </c:pt>
                <c:pt idx="3">
                  <c:v>部長級</c:v>
                </c:pt>
              </c:strCache>
            </c:strRef>
          </c:cat>
          <c:val>
            <c:numRef>
              <c:f>計算!$H$18:$H$21</c:f>
              <c:numCache>
                <c:formatCode>0.0%</c:formatCode>
                <c:ptCount val="4"/>
                <c:pt idx="0">
                  <c:v>0</c:v>
                </c:pt>
                <c:pt idx="1">
                  <c:v>0</c:v>
                </c:pt>
                <c:pt idx="2">
                  <c:v>0</c:v>
                </c:pt>
                <c:pt idx="3">
                  <c:v>0</c:v>
                </c:pt>
              </c:numCache>
            </c:numRef>
          </c:val>
          <c:extLst>
            <c:ext xmlns:c16="http://schemas.microsoft.com/office/drawing/2014/chart" uri="{C3380CC4-5D6E-409C-BE32-E72D297353CC}">
              <c16:uniqueId val="{00000000-4298-FC48-AE67-ED6CBF2A00AF}"/>
            </c:ext>
          </c:extLst>
        </c:ser>
        <c:ser>
          <c:idx val="1"/>
          <c:order val="1"/>
          <c:tx>
            <c:v>賃構</c:v>
          </c:tx>
          <c:spPr>
            <a:ln w="28575" cap="rnd">
              <a:solidFill>
                <a:srgbClr val="4F95DA"/>
              </a:solidFill>
              <a:round/>
            </a:ln>
            <a:effectLst/>
          </c:spPr>
          <c:marker>
            <c:symbol val="none"/>
          </c:marker>
          <c:cat>
            <c:strRef>
              <c:f>計算!$B$18:$B$21</c:f>
              <c:strCache>
                <c:ptCount val="4"/>
                <c:pt idx="0">
                  <c:v>非役職</c:v>
                </c:pt>
                <c:pt idx="1">
                  <c:v>係長級</c:v>
                </c:pt>
                <c:pt idx="2">
                  <c:v>課長級</c:v>
                </c:pt>
                <c:pt idx="3">
                  <c:v>部長級</c:v>
                </c:pt>
              </c:strCache>
            </c:strRef>
          </c:cat>
          <c:val>
            <c:numRef>
              <c:f>計算!$I$18:$I$21</c:f>
              <c:numCache>
                <c:formatCode>0.0%</c:formatCode>
                <c:ptCount val="4"/>
                <c:pt idx="0">
                  <c:v>0.79314849256182274</c:v>
                </c:pt>
                <c:pt idx="1">
                  <c:v>0.83781321600379743</c:v>
                </c:pt>
                <c:pt idx="2">
                  <c:v>0.83478639481398997</c:v>
                </c:pt>
                <c:pt idx="3">
                  <c:v>0.81821436107677936</c:v>
                </c:pt>
              </c:numCache>
            </c:numRef>
          </c:val>
          <c:extLst>
            <c:ext xmlns:c16="http://schemas.microsoft.com/office/drawing/2014/chart" uri="{C3380CC4-5D6E-409C-BE32-E72D297353CC}">
              <c16:uniqueId val="{00000001-4298-FC48-AE67-ED6CBF2A00AF}"/>
            </c:ext>
          </c:extLst>
        </c:ser>
        <c:dLbls>
          <c:showLegendKey val="0"/>
          <c:showVal val="0"/>
          <c:showCatName val="0"/>
          <c:showSerName val="0"/>
          <c:showPercent val="0"/>
          <c:showBubbleSize val="0"/>
        </c:dLbls>
        <c:axId val="2012675375"/>
        <c:axId val="1143468255"/>
      </c:radarChart>
      <c:catAx>
        <c:axId val="2012675375"/>
        <c:scaling>
          <c:orientation val="minMax"/>
        </c:scaling>
        <c:delete val="1"/>
        <c:axPos val="b"/>
        <c:numFmt formatCode="General" sourceLinked="1"/>
        <c:majorTickMark val="none"/>
        <c:minorTickMark val="none"/>
        <c:tickLblPos val="nextTo"/>
        <c:crossAx val="1143468255"/>
        <c:crosses val="autoZero"/>
        <c:auto val="1"/>
        <c:lblAlgn val="ctr"/>
        <c:lblOffset val="100"/>
        <c:noMultiLvlLbl val="0"/>
      </c:catAx>
      <c:valAx>
        <c:axId val="11434682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12675375"/>
        <c:crosses val="autoZero"/>
        <c:crossBetween val="between"/>
        <c:majorUnit val="0.5"/>
        <c:minorUnit val="0.25"/>
      </c:valAx>
      <c:spPr>
        <a:solidFill>
          <a:schemeClr val="bg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40000"/>
        <a:lumOff val="6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1210674457548"/>
          <c:y val="6.5088757396449703E-2"/>
          <c:w val="0.7993313618603104"/>
          <c:h val="0.82770255789032288"/>
        </c:manualLayout>
      </c:layout>
      <c:barChart>
        <c:barDir val="bar"/>
        <c:grouping val="clustered"/>
        <c:varyColors val="0"/>
        <c:ser>
          <c:idx val="0"/>
          <c:order val="0"/>
          <c:tx>
            <c:v>貴社</c:v>
          </c:tx>
          <c:spPr>
            <a:solidFill>
              <a:schemeClr val="accent2"/>
            </a:solidFill>
            <a:ln>
              <a:noFill/>
            </a:ln>
            <a:effectLst/>
          </c:spPr>
          <c:invertIfNegative val="0"/>
          <c:cat>
            <c:strRef>
              <c:f>計算!$B$18:$B$21</c:f>
              <c:strCache>
                <c:ptCount val="4"/>
                <c:pt idx="0">
                  <c:v>非役職</c:v>
                </c:pt>
                <c:pt idx="1">
                  <c:v>係長級</c:v>
                </c:pt>
                <c:pt idx="2">
                  <c:v>課長級</c:v>
                </c:pt>
                <c:pt idx="3">
                  <c:v>部長級</c:v>
                </c:pt>
              </c:strCache>
            </c:strRef>
          </c:cat>
          <c:val>
            <c:numRef>
              <c:f>計算!$H$18:$H$21</c:f>
              <c:numCache>
                <c:formatCode>0.0%</c:formatCode>
                <c:ptCount val="4"/>
                <c:pt idx="0">
                  <c:v>0</c:v>
                </c:pt>
                <c:pt idx="1">
                  <c:v>0</c:v>
                </c:pt>
                <c:pt idx="2">
                  <c:v>0</c:v>
                </c:pt>
                <c:pt idx="3">
                  <c:v>0</c:v>
                </c:pt>
              </c:numCache>
            </c:numRef>
          </c:val>
          <c:extLst>
            <c:ext xmlns:c16="http://schemas.microsoft.com/office/drawing/2014/chart" uri="{C3380CC4-5D6E-409C-BE32-E72D297353CC}">
              <c16:uniqueId val="{00000000-29E6-FC4D-B232-E597175AC0A7}"/>
            </c:ext>
          </c:extLst>
        </c:ser>
        <c:ser>
          <c:idx val="1"/>
          <c:order val="1"/>
          <c:tx>
            <c:v>賃構</c:v>
          </c:tx>
          <c:spPr>
            <a:solidFill>
              <a:schemeClr val="tx2">
                <a:lumMod val="50000"/>
                <a:lumOff val="50000"/>
              </a:schemeClr>
            </a:solidFill>
            <a:ln>
              <a:noFill/>
            </a:ln>
            <a:effectLst/>
          </c:spPr>
          <c:invertIfNegative val="0"/>
          <c:cat>
            <c:strRef>
              <c:f>計算!$B$18:$B$21</c:f>
              <c:strCache>
                <c:ptCount val="4"/>
                <c:pt idx="0">
                  <c:v>非役職</c:v>
                </c:pt>
                <c:pt idx="1">
                  <c:v>係長級</c:v>
                </c:pt>
                <c:pt idx="2">
                  <c:v>課長級</c:v>
                </c:pt>
                <c:pt idx="3">
                  <c:v>部長級</c:v>
                </c:pt>
              </c:strCache>
            </c:strRef>
          </c:cat>
          <c:val>
            <c:numRef>
              <c:f>計算!$I$18:$I$21</c:f>
              <c:numCache>
                <c:formatCode>0.0%</c:formatCode>
                <c:ptCount val="4"/>
                <c:pt idx="0">
                  <c:v>0.79314849256182274</c:v>
                </c:pt>
                <c:pt idx="1">
                  <c:v>0.83781321600379743</c:v>
                </c:pt>
                <c:pt idx="2">
                  <c:v>0.83478639481398997</c:v>
                </c:pt>
                <c:pt idx="3">
                  <c:v>0.81821436107677936</c:v>
                </c:pt>
              </c:numCache>
            </c:numRef>
          </c:val>
          <c:extLst>
            <c:ext xmlns:c16="http://schemas.microsoft.com/office/drawing/2014/chart" uri="{C3380CC4-5D6E-409C-BE32-E72D297353CC}">
              <c16:uniqueId val="{00000001-29E6-FC4D-B232-E597175AC0A7}"/>
            </c:ext>
          </c:extLst>
        </c:ser>
        <c:dLbls>
          <c:showLegendKey val="0"/>
          <c:showVal val="0"/>
          <c:showCatName val="0"/>
          <c:showSerName val="0"/>
          <c:showPercent val="0"/>
          <c:showBubbleSize val="0"/>
        </c:dLbls>
        <c:gapWidth val="182"/>
        <c:axId val="1455555423"/>
        <c:axId val="241758032"/>
      </c:barChart>
      <c:catAx>
        <c:axId val="145555542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2">
                    <a:lumMod val="10000"/>
                  </a:schemeClr>
                </a:solidFill>
                <a:latin typeface="+mn-lt"/>
                <a:ea typeface="+mn-ea"/>
                <a:cs typeface="+mn-cs"/>
              </a:defRPr>
            </a:pPr>
            <a:endParaRPr lang="ja-JP"/>
          </a:p>
        </c:txPr>
        <c:crossAx val="241758032"/>
        <c:crosses val="autoZero"/>
        <c:auto val="1"/>
        <c:lblAlgn val="ctr"/>
        <c:lblOffset val="100"/>
        <c:noMultiLvlLbl val="0"/>
      </c:catAx>
      <c:valAx>
        <c:axId val="241758032"/>
        <c:scaling>
          <c:orientation val="minMax"/>
          <c:max val="1"/>
        </c:scaling>
        <c:delete val="0"/>
        <c:axPos val="t"/>
        <c:majorGridlines>
          <c:spPr>
            <a:ln w="12700" cap="flat" cmpd="sng" algn="ctr">
              <a:solidFill>
                <a:schemeClr val="bg1">
                  <a:lumMod val="85000"/>
                </a:schemeClr>
              </a:solidFill>
              <a:round/>
            </a:ln>
            <a:effectLst/>
          </c:spPr>
        </c:majorGridlines>
        <c:minorGridlines>
          <c:spPr>
            <a:ln w="12700" cap="flat" cmpd="sng" algn="ctr">
              <a:solidFill>
                <a:schemeClr val="bg1">
                  <a:lumMod val="85000"/>
                </a:schemeClr>
              </a:solidFill>
              <a:round/>
            </a:ln>
            <a:effectLst/>
          </c:spPr>
        </c:minorGridlines>
        <c:numFmt formatCode="0.0%" sourceLinked="1"/>
        <c:majorTickMark val="none"/>
        <c:minorTickMark val="none"/>
        <c:tickLblPos val="high"/>
        <c:spPr>
          <a:noFill/>
          <a:ln w="12700">
            <a:solidFill>
              <a:schemeClr val="tx1">
                <a:lumMod val="15000"/>
                <a:lumOff val="8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ja-JP"/>
          </a:p>
        </c:txPr>
        <c:crossAx val="1455555423"/>
        <c:crosses val="autoZero"/>
        <c:crossBetween val="between"/>
        <c:majorUnit val="0.5"/>
        <c:minorUnit val="0.25"/>
      </c:valAx>
      <c:spPr>
        <a:noFill/>
        <a:ln>
          <a:solidFill>
            <a:schemeClr val="bg1">
              <a:lumMod val="8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貴社</c:v>
          </c:tx>
          <c:spPr>
            <a:solidFill>
              <a:schemeClr val="accent2"/>
            </a:solidFill>
            <a:ln>
              <a:noFill/>
            </a:ln>
            <a:effectLst/>
          </c:spPr>
          <c:invertIfNegative val="0"/>
          <c:cat>
            <c:strRef>
              <c:f>計算!$B$28:$B$36</c:f>
              <c:strCache>
                <c:ptCount val="9"/>
                <c:pt idx="0">
                  <c:v>0年</c:v>
                </c:pt>
                <c:pt idx="1">
                  <c:v>1-2年</c:v>
                </c:pt>
                <c:pt idx="2">
                  <c:v>3-4年</c:v>
                </c:pt>
                <c:pt idx="3">
                  <c:v>5-9年</c:v>
                </c:pt>
                <c:pt idx="4">
                  <c:v>10-14年</c:v>
                </c:pt>
                <c:pt idx="5">
                  <c:v>15-19年</c:v>
                </c:pt>
                <c:pt idx="6">
                  <c:v>20-24年</c:v>
                </c:pt>
                <c:pt idx="7">
                  <c:v>25-29年</c:v>
                </c:pt>
                <c:pt idx="8">
                  <c:v>30年以上</c:v>
                </c:pt>
              </c:strCache>
            </c:strRef>
          </c:cat>
          <c:val>
            <c:numRef>
              <c:f>計算!$H$28:$H$36</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F4DA-1E4A-883C-06735A8A666E}"/>
            </c:ext>
          </c:extLst>
        </c:ser>
        <c:ser>
          <c:idx val="1"/>
          <c:order val="1"/>
          <c:tx>
            <c:v>賃構</c:v>
          </c:tx>
          <c:spPr>
            <a:solidFill>
              <a:srgbClr val="4F95DA"/>
            </a:solidFill>
            <a:ln>
              <a:noFill/>
            </a:ln>
            <a:effectLst/>
          </c:spPr>
          <c:invertIfNegative val="0"/>
          <c:cat>
            <c:strRef>
              <c:f>計算!$B$28:$B$36</c:f>
              <c:strCache>
                <c:ptCount val="9"/>
                <c:pt idx="0">
                  <c:v>0年</c:v>
                </c:pt>
                <c:pt idx="1">
                  <c:v>1-2年</c:v>
                </c:pt>
                <c:pt idx="2">
                  <c:v>3-4年</c:v>
                </c:pt>
                <c:pt idx="3">
                  <c:v>5-9年</c:v>
                </c:pt>
                <c:pt idx="4">
                  <c:v>10-14年</c:v>
                </c:pt>
                <c:pt idx="5">
                  <c:v>15-19年</c:v>
                </c:pt>
                <c:pt idx="6">
                  <c:v>20-24年</c:v>
                </c:pt>
                <c:pt idx="7">
                  <c:v>25-29年</c:v>
                </c:pt>
                <c:pt idx="8">
                  <c:v>30年以上</c:v>
                </c:pt>
              </c:strCache>
            </c:strRef>
          </c:cat>
          <c:val>
            <c:numRef>
              <c:f>計算!$I$28:$I$36</c:f>
              <c:numCache>
                <c:formatCode>0.0%</c:formatCode>
                <c:ptCount val="9"/>
                <c:pt idx="0">
                  <c:v>0.81463129908822973</c:v>
                </c:pt>
                <c:pt idx="1">
                  <c:v>0.82856900702664193</c:v>
                </c:pt>
                <c:pt idx="2">
                  <c:v>0.81303918340467562</c:v>
                </c:pt>
                <c:pt idx="3">
                  <c:v>0.80184659412513193</c:v>
                </c:pt>
                <c:pt idx="4">
                  <c:v>0.77043257771692275</c:v>
                </c:pt>
                <c:pt idx="5">
                  <c:v>0.75119732844954146</c:v>
                </c:pt>
                <c:pt idx="6">
                  <c:v>0.74460040443862896</c:v>
                </c:pt>
                <c:pt idx="7">
                  <c:v>0.7624099767753546</c:v>
                </c:pt>
                <c:pt idx="8">
                  <c:v>0.76638123322940221</c:v>
                </c:pt>
              </c:numCache>
            </c:numRef>
          </c:val>
          <c:extLst>
            <c:ext xmlns:c16="http://schemas.microsoft.com/office/drawing/2014/chart" uri="{C3380CC4-5D6E-409C-BE32-E72D297353CC}">
              <c16:uniqueId val="{00000001-F4DA-1E4A-883C-06735A8A666E}"/>
            </c:ext>
          </c:extLst>
        </c:ser>
        <c:dLbls>
          <c:showLegendKey val="0"/>
          <c:showVal val="0"/>
          <c:showCatName val="0"/>
          <c:showSerName val="0"/>
          <c:showPercent val="0"/>
          <c:showBubbleSize val="0"/>
        </c:dLbls>
        <c:gapWidth val="50"/>
        <c:axId val="1455673679"/>
        <c:axId val="1548857056"/>
      </c:barChart>
      <c:catAx>
        <c:axId val="145567367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2">
                    <a:lumMod val="10000"/>
                  </a:schemeClr>
                </a:solidFill>
                <a:latin typeface="+mn-lt"/>
                <a:ea typeface="+mn-ea"/>
                <a:cs typeface="+mn-cs"/>
              </a:defRPr>
            </a:pPr>
            <a:endParaRPr lang="ja-JP"/>
          </a:p>
        </c:txPr>
        <c:crossAx val="1548857056"/>
        <c:crossesAt val="0"/>
        <c:auto val="1"/>
        <c:lblAlgn val="ctr"/>
        <c:lblOffset val="100"/>
        <c:noMultiLvlLbl val="0"/>
      </c:catAx>
      <c:valAx>
        <c:axId val="1548857056"/>
        <c:scaling>
          <c:orientation val="minMax"/>
          <c:max val="1"/>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75000"/>
                </a:schemeClr>
              </a:solidFill>
              <a:round/>
            </a:ln>
            <a:effectLst/>
          </c:spPr>
        </c:minorGridlines>
        <c:numFmt formatCode="0.0%" sourceLinked="1"/>
        <c:majorTickMark val="out"/>
        <c:minorTickMark val="none"/>
        <c:tickLblPos val="high"/>
        <c:spPr>
          <a:noFill/>
          <a:ln>
            <a:solidFill>
              <a:schemeClr val="tx1">
                <a:lumMod val="15000"/>
                <a:lumOff val="8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ja-JP"/>
          </a:p>
        </c:txPr>
        <c:crossAx val="1455673679"/>
        <c:crosses val="autoZero"/>
        <c:crossBetween val="between"/>
        <c:majorUnit val="0.5"/>
        <c:minorUnit val="0.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94444444444445"/>
          <c:y val="8.9229623324111523E-2"/>
          <c:w val="0.75462962962962965"/>
          <c:h val="0.88108108108108107"/>
        </c:manualLayout>
      </c:layout>
      <c:radarChart>
        <c:radarStyle val="marker"/>
        <c:varyColors val="0"/>
        <c:ser>
          <c:idx val="0"/>
          <c:order val="0"/>
          <c:spPr>
            <a:ln w="28575" cap="rnd">
              <a:solidFill>
                <a:schemeClr val="accent2"/>
              </a:solidFill>
              <a:round/>
            </a:ln>
            <a:effectLst/>
          </c:spPr>
          <c:marker>
            <c:symbol val="none"/>
          </c:marker>
          <c:cat>
            <c:strRef>
              <c:f>計算!$B$9:$B$11</c:f>
              <c:strCache>
                <c:ptCount val="3"/>
                <c:pt idx="0">
                  <c:v>全労働者</c:v>
                </c:pt>
                <c:pt idx="1">
                  <c:v>正規雇用労働者</c:v>
                </c:pt>
                <c:pt idx="2">
                  <c:v>非正規雇用労働者</c:v>
                </c:pt>
              </c:strCache>
            </c:strRef>
          </c:cat>
          <c:val>
            <c:numRef>
              <c:f>計算!$H$9:$H$11</c:f>
              <c:numCache>
                <c:formatCode>0.0%</c:formatCode>
                <c:ptCount val="3"/>
                <c:pt idx="0">
                  <c:v>0</c:v>
                </c:pt>
                <c:pt idx="1">
                  <c:v>0</c:v>
                </c:pt>
                <c:pt idx="2">
                  <c:v>0</c:v>
                </c:pt>
              </c:numCache>
            </c:numRef>
          </c:val>
          <c:extLst>
            <c:ext xmlns:c16="http://schemas.microsoft.com/office/drawing/2014/chart" uri="{C3380CC4-5D6E-409C-BE32-E72D297353CC}">
              <c16:uniqueId val="{00000000-0A96-144F-9A2F-428BAE8DF01E}"/>
            </c:ext>
          </c:extLst>
        </c:ser>
        <c:ser>
          <c:idx val="1"/>
          <c:order val="1"/>
          <c:spPr>
            <a:ln w="28575" cap="rnd">
              <a:solidFill>
                <a:srgbClr val="4F95DA"/>
              </a:solidFill>
              <a:round/>
            </a:ln>
            <a:effectLst/>
          </c:spPr>
          <c:marker>
            <c:symbol val="none"/>
          </c:marker>
          <c:cat>
            <c:strRef>
              <c:f>計算!$B$9:$B$11</c:f>
              <c:strCache>
                <c:ptCount val="3"/>
                <c:pt idx="0">
                  <c:v>全労働者</c:v>
                </c:pt>
                <c:pt idx="1">
                  <c:v>正規雇用労働者</c:v>
                </c:pt>
                <c:pt idx="2">
                  <c:v>非正規雇用労働者</c:v>
                </c:pt>
              </c:strCache>
            </c:strRef>
          </c:cat>
          <c:val>
            <c:numRef>
              <c:f>計算!$I$9:$I$11</c:f>
              <c:numCache>
                <c:formatCode>0.0%</c:formatCode>
                <c:ptCount val="3"/>
                <c:pt idx="0">
                  <c:v>0.55844621590657462</c:v>
                </c:pt>
                <c:pt idx="1">
                  <c:v>0.73106087917898432</c:v>
                </c:pt>
                <c:pt idx="2">
                  <c:v>0.69120164327285172</c:v>
                </c:pt>
              </c:numCache>
            </c:numRef>
          </c:val>
          <c:extLst>
            <c:ext xmlns:c16="http://schemas.microsoft.com/office/drawing/2014/chart" uri="{C3380CC4-5D6E-409C-BE32-E72D297353CC}">
              <c16:uniqueId val="{00000001-0A96-144F-9A2F-428BAE8DF01E}"/>
            </c:ext>
          </c:extLst>
        </c:ser>
        <c:dLbls>
          <c:showLegendKey val="0"/>
          <c:showVal val="0"/>
          <c:showCatName val="0"/>
          <c:showSerName val="0"/>
          <c:showPercent val="0"/>
          <c:showBubbleSize val="0"/>
        </c:dLbls>
        <c:axId val="1130134383"/>
        <c:axId val="1129840687"/>
      </c:radarChart>
      <c:catAx>
        <c:axId val="1130134383"/>
        <c:scaling>
          <c:orientation val="minMax"/>
        </c:scaling>
        <c:delete val="1"/>
        <c:axPos val="b"/>
        <c:numFmt formatCode="General" sourceLinked="1"/>
        <c:majorTickMark val="none"/>
        <c:minorTickMark val="none"/>
        <c:tickLblPos val="nextTo"/>
        <c:crossAx val="1129840687"/>
        <c:crosses val="autoZero"/>
        <c:auto val="1"/>
        <c:lblAlgn val="ctr"/>
        <c:lblOffset val="100"/>
        <c:noMultiLvlLbl val="0"/>
      </c:catAx>
      <c:valAx>
        <c:axId val="112984068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30134383"/>
        <c:crosses val="autoZero"/>
        <c:crossBetween val="between"/>
        <c:majorUnit val="0.5"/>
      </c:valAx>
      <c:spPr>
        <a:solidFill>
          <a:schemeClr val="bg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176"/>
    </a:solidFill>
    <a:ln w="9525" cap="flat" cmpd="sng" algn="ctr">
      <a:solidFill>
        <a:srgbClr val="FDFD8A"/>
      </a:solidFill>
      <a:round/>
    </a:ln>
    <a:effectLst/>
  </c:spPr>
  <c:txPr>
    <a:bodyPr/>
    <a:lstStyle/>
    <a:p>
      <a:pPr>
        <a:defRPr/>
      </a:pPr>
      <a:endParaRPr lang="ja-JP"/>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14752832645404"/>
          <c:y val="0.13386542947888116"/>
          <c:w val="0.67203646000417383"/>
          <c:h val="0.78393784897579377"/>
        </c:manualLayout>
      </c:layout>
      <c:radarChart>
        <c:radarStyle val="marker"/>
        <c:varyColors val="0"/>
        <c:ser>
          <c:idx val="0"/>
          <c:order val="0"/>
          <c:tx>
            <c:v>会社</c:v>
          </c:tx>
          <c:spPr>
            <a:ln w="28575" cap="rnd">
              <a:solidFill>
                <a:schemeClr val="accent2"/>
              </a:solidFill>
              <a:round/>
            </a:ln>
            <a:effectLst/>
          </c:spPr>
          <c:marker>
            <c:symbol val="none"/>
          </c:marker>
          <c:val>
            <c:numRef>
              <c:f>計算!$H$43:$H$46</c:f>
              <c:numCache>
                <c:formatCode>0.00%</c:formatCode>
                <c:ptCount val="4"/>
                <c:pt idx="0">
                  <c:v>0</c:v>
                </c:pt>
                <c:pt idx="1">
                  <c:v>0</c:v>
                </c:pt>
                <c:pt idx="2">
                  <c:v>0</c:v>
                </c:pt>
                <c:pt idx="3">
                  <c:v>0</c:v>
                </c:pt>
              </c:numCache>
            </c:numRef>
          </c:val>
          <c:extLst>
            <c:ext xmlns:c15="http://schemas.microsoft.com/office/drawing/2012/chart" uri="{02D57815-91ED-43cb-92C2-25804820EDAC}">
              <c15:filteredCategoryTitle>
                <c15:cat>
                  <c:strRef>
                    <c:extLst>
                      <c:ext uri="{02D57815-91ED-43cb-92C2-25804820EDAC}">
                        <c15:formulaRef>
                          <c15:sqref>計算!$B$43:$B$46</c15:sqref>
                        </c15:formulaRef>
                      </c:ext>
                    </c:extLst>
                    <c:strCache>
                      <c:ptCount val="4"/>
                      <c:pt idx="0">
                        <c:v>直近1年間の採用者数</c:v>
                      </c:pt>
                      <c:pt idx="1">
                        <c:v>平均勤続年数</c:v>
                      </c:pt>
                      <c:pt idx="2">
                        <c:v>管理職数</c:v>
                      </c:pt>
                      <c:pt idx="3">
                        <c:v>一月当たりの平均残業時間</c:v>
                      </c:pt>
                    </c:strCache>
                  </c:strRef>
                </c15:cat>
              </c15:filteredCategoryTitle>
            </c:ext>
            <c:ext xmlns:c16="http://schemas.microsoft.com/office/drawing/2014/chart" uri="{C3380CC4-5D6E-409C-BE32-E72D297353CC}">
              <c16:uniqueId val="{00000000-A4D8-D944-A7F5-6BA0EE2C5F63}"/>
            </c:ext>
          </c:extLst>
        </c:ser>
        <c:ser>
          <c:idx val="1"/>
          <c:order val="1"/>
          <c:tx>
            <c:v>賃金センサス</c:v>
          </c:tx>
          <c:spPr>
            <a:ln w="28575" cap="rnd">
              <a:solidFill>
                <a:schemeClr val="tx2">
                  <a:lumMod val="50000"/>
                  <a:lumOff val="50000"/>
                </a:schemeClr>
              </a:solidFill>
              <a:round/>
            </a:ln>
            <a:effectLst/>
          </c:spPr>
          <c:marker>
            <c:symbol val="none"/>
          </c:marker>
          <c:val>
            <c:numRef>
              <c:f>計算!$I$43:$I$46</c:f>
              <c:numCache>
                <c:formatCode>0.00%</c:formatCode>
                <c:ptCount val="4"/>
                <c:pt idx="0">
                  <c:v>0.8097466960352423</c:v>
                </c:pt>
                <c:pt idx="1">
                  <c:v>0.72992700729927007</c:v>
                </c:pt>
                <c:pt idx="2">
                  <c:v>0.14618585924982538</c:v>
                </c:pt>
                <c:pt idx="3">
                  <c:v>0.54225352112676062</c:v>
                </c:pt>
              </c:numCache>
            </c:numRef>
          </c:val>
          <c:extLst>
            <c:ext xmlns:c15="http://schemas.microsoft.com/office/drawing/2012/chart" uri="{02D57815-91ED-43cb-92C2-25804820EDAC}">
              <c15:filteredCategoryTitle>
                <c15:cat>
                  <c:strRef>
                    <c:extLst>
                      <c:ext uri="{02D57815-91ED-43cb-92C2-25804820EDAC}">
                        <c15:formulaRef>
                          <c15:sqref>計算!$B$43:$B$46</c15:sqref>
                        </c15:formulaRef>
                      </c:ext>
                    </c:extLst>
                    <c:strCache>
                      <c:ptCount val="4"/>
                      <c:pt idx="0">
                        <c:v>直近1年間の採用者数</c:v>
                      </c:pt>
                      <c:pt idx="1">
                        <c:v>平均勤続年数</c:v>
                      </c:pt>
                      <c:pt idx="2">
                        <c:v>管理職数</c:v>
                      </c:pt>
                      <c:pt idx="3">
                        <c:v>一月当たりの平均残業時間</c:v>
                      </c:pt>
                    </c:strCache>
                  </c:strRef>
                </c15:cat>
              </c15:filteredCategoryTitle>
            </c:ext>
            <c:ext xmlns:c16="http://schemas.microsoft.com/office/drawing/2014/chart" uri="{C3380CC4-5D6E-409C-BE32-E72D297353CC}">
              <c16:uniqueId val="{00000001-A4D8-D944-A7F5-6BA0EE2C5F63}"/>
            </c:ext>
          </c:extLst>
        </c:ser>
        <c:dLbls>
          <c:showLegendKey val="0"/>
          <c:showVal val="0"/>
          <c:showCatName val="0"/>
          <c:showSerName val="0"/>
          <c:showPercent val="0"/>
          <c:showBubbleSize val="0"/>
        </c:dLbls>
        <c:axId val="916493279"/>
        <c:axId val="916494991"/>
      </c:radarChart>
      <c:catAx>
        <c:axId val="916493279"/>
        <c:scaling>
          <c:orientation val="minMax"/>
        </c:scaling>
        <c:delete val="1"/>
        <c:axPos val="b"/>
        <c:numFmt formatCode="General" sourceLinked="1"/>
        <c:majorTickMark val="none"/>
        <c:minorTickMark val="none"/>
        <c:tickLblPos val="nextTo"/>
        <c:crossAx val="916494991"/>
        <c:crosses val="autoZero"/>
        <c:auto val="1"/>
        <c:lblAlgn val="ctr"/>
        <c:lblOffset val="100"/>
        <c:noMultiLvlLbl val="0"/>
      </c:catAx>
      <c:valAx>
        <c:axId val="916494991"/>
        <c:scaling>
          <c:orientation val="minMax"/>
          <c:max val="1.5"/>
        </c:scaling>
        <c:delete val="0"/>
        <c:axPos val="l"/>
        <c:majorGridlines>
          <c:spPr>
            <a:ln w="9525" cap="flat" cmpd="sng" algn="ctr">
              <a:solidFill>
                <a:schemeClr val="tx1"/>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6493279"/>
        <c:crosses val="autoZero"/>
        <c:crossBetween val="between"/>
        <c:majorUnit val="0.5"/>
      </c:valAx>
      <c:spPr>
        <a:solidFill>
          <a:schemeClr val="bg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176"/>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14752832645404"/>
          <c:y val="0.13386542947888116"/>
          <c:w val="0.67203646000417383"/>
          <c:h val="0.78393784897579377"/>
        </c:manualLayout>
      </c:layout>
      <c:radarChart>
        <c:radarStyle val="marker"/>
        <c:varyColors val="0"/>
        <c:ser>
          <c:idx val="0"/>
          <c:order val="0"/>
          <c:tx>
            <c:v>貴社</c:v>
          </c:tx>
          <c:spPr>
            <a:ln w="28575" cap="rnd">
              <a:solidFill>
                <a:schemeClr val="accent2"/>
              </a:solidFill>
              <a:round/>
            </a:ln>
            <a:effectLst/>
          </c:spPr>
          <c:marker>
            <c:symbol val="none"/>
          </c:marker>
          <c:val>
            <c:numRef>
              <c:f>計算!$H$47:$H$49</c:f>
              <c:numCache>
                <c:formatCode>0.00%</c:formatCode>
                <c:ptCount val="3"/>
                <c:pt idx="0">
                  <c:v>0</c:v>
                </c:pt>
                <c:pt idx="1">
                  <c:v>0</c:v>
                </c:pt>
                <c:pt idx="2">
                  <c:v>0</c:v>
                </c:pt>
              </c:numCache>
            </c:numRef>
          </c:val>
          <c:extLst>
            <c:ext xmlns:c15="http://schemas.microsoft.com/office/drawing/2012/chart" uri="{02D57815-91ED-43cb-92C2-25804820EDAC}">
              <c15:filteredCategoryTitle>
                <c15:cat>
                  <c:strRef>
                    <c:extLst>
                      <c:ext uri="{02D57815-91ED-43cb-92C2-25804820EDAC}">
                        <c15:formulaRef>
                          <c15:sqref>計算!$B$43:$B$46</c15:sqref>
                        </c15:formulaRef>
                      </c:ext>
                    </c:extLst>
                    <c:strCache>
                      <c:ptCount val="4"/>
                      <c:pt idx="0">
                        <c:v>直近1年間の採用者数</c:v>
                      </c:pt>
                      <c:pt idx="1">
                        <c:v>平均勤続年数</c:v>
                      </c:pt>
                      <c:pt idx="2">
                        <c:v>管理職数</c:v>
                      </c:pt>
                      <c:pt idx="3">
                        <c:v>一月当たりの平均残業時間</c:v>
                      </c:pt>
                    </c:strCache>
                  </c:strRef>
                </c15:cat>
              </c15:filteredCategoryTitle>
            </c:ext>
            <c:ext xmlns:c16="http://schemas.microsoft.com/office/drawing/2014/chart" uri="{C3380CC4-5D6E-409C-BE32-E72D297353CC}">
              <c16:uniqueId val="{00000000-3848-C24A-BA1A-E34E9D3CB20C}"/>
            </c:ext>
          </c:extLst>
        </c:ser>
        <c:ser>
          <c:idx val="1"/>
          <c:order val="1"/>
          <c:tx>
            <c:v>賃金センサス</c:v>
          </c:tx>
          <c:spPr>
            <a:ln w="28575" cap="rnd">
              <a:solidFill>
                <a:schemeClr val="tx2">
                  <a:lumMod val="50000"/>
                  <a:lumOff val="50000"/>
                </a:schemeClr>
              </a:solidFill>
              <a:round/>
            </a:ln>
            <a:effectLst/>
          </c:spPr>
          <c:marker>
            <c:symbol val="none"/>
          </c:marker>
          <c:val>
            <c:numRef>
              <c:f>計算!$I$47:$I$49</c:f>
              <c:numCache>
                <c:formatCode>0.00%</c:formatCode>
                <c:ptCount val="3"/>
                <c:pt idx="0">
                  <c:v>1</c:v>
                </c:pt>
                <c:pt idx="1">
                  <c:v>0.8904109589041096</c:v>
                </c:pt>
                <c:pt idx="2">
                  <c:v>0.48148148148148145</c:v>
                </c:pt>
              </c:numCache>
            </c:numRef>
          </c:val>
          <c:extLst>
            <c:ext xmlns:c15="http://schemas.microsoft.com/office/drawing/2012/chart" uri="{02D57815-91ED-43cb-92C2-25804820EDAC}">
              <c15:filteredCategoryTitle>
                <c15:cat>
                  <c:strRef>
                    <c:extLst>
                      <c:ext uri="{02D57815-91ED-43cb-92C2-25804820EDAC}">
                        <c15:formulaRef>
                          <c15:sqref>計算!$B$43:$B$46</c15:sqref>
                        </c15:formulaRef>
                      </c:ext>
                    </c:extLst>
                    <c:strCache>
                      <c:ptCount val="4"/>
                      <c:pt idx="0">
                        <c:v>直近1年間の採用者数</c:v>
                      </c:pt>
                      <c:pt idx="1">
                        <c:v>平均勤続年数</c:v>
                      </c:pt>
                      <c:pt idx="2">
                        <c:v>管理職数</c:v>
                      </c:pt>
                      <c:pt idx="3">
                        <c:v>一月当たりの平均残業時間</c:v>
                      </c:pt>
                    </c:strCache>
                  </c:strRef>
                </c15:cat>
              </c15:filteredCategoryTitle>
            </c:ext>
            <c:ext xmlns:c16="http://schemas.microsoft.com/office/drawing/2014/chart" uri="{C3380CC4-5D6E-409C-BE32-E72D297353CC}">
              <c16:uniqueId val="{00000001-3848-C24A-BA1A-E34E9D3CB20C}"/>
            </c:ext>
          </c:extLst>
        </c:ser>
        <c:dLbls>
          <c:showLegendKey val="0"/>
          <c:showVal val="0"/>
          <c:showCatName val="0"/>
          <c:showSerName val="0"/>
          <c:showPercent val="0"/>
          <c:showBubbleSize val="0"/>
        </c:dLbls>
        <c:axId val="916493279"/>
        <c:axId val="916494991"/>
      </c:radarChart>
      <c:catAx>
        <c:axId val="916493279"/>
        <c:scaling>
          <c:orientation val="minMax"/>
        </c:scaling>
        <c:delete val="1"/>
        <c:axPos val="b"/>
        <c:numFmt formatCode="General" sourceLinked="1"/>
        <c:majorTickMark val="none"/>
        <c:minorTickMark val="none"/>
        <c:tickLblPos val="nextTo"/>
        <c:crossAx val="916494991"/>
        <c:crosses val="autoZero"/>
        <c:auto val="1"/>
        <c:lblAlgn val="ctr"/>
        <c:lblOffset val="100"/>
        <c:noMultiLvlLbl val="0"/>
      </c:catAx>
      <c:valAx>
        <c:axId val="916494991"/>
        <c:scaling>
          <c:orientation val="minMax"/>
          <c:max val="1.5"/>
        </c:scaling>
        <c:delete val="0"/>
        <c:axPos val="l"/>
        <c:majorGridlines>
          <c:spPr>
            <a:ln w="9525" cap="flat" cmpd="sng" algn="ctr">
              <a:solidFill>
                <a:schemeClr val="tx1"/>
              </a:solidFill>
              <a:round/>
            </a:ln>
            <a:effectLst/>
          </c:spPr>
        </c:majorGridlines>
        <c:numFmt formatCode="0%" sourceLinked="0"/>
        <c:majorTickMark val="none"/>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6493279"/>
        <c:crosses val="autoZero"/>
        <c:crossBetween val="between"/>
        <c:majorUnit val="0.5"/>
      </c:valAx>
      <c:spPr>
        <a:solidFill>
          <a:schemeClr val="bg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40000"/>
        <a:lumOff val="6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E7%A4%BE%E5%93%A1%E3%81%AE%E6%83%85%E5%A0%B1(%E7%B5%A6%E4%B8%8E%E4%BB%A5%E5%A4%96)'!A1" Type="http://schemas.openxmlformats.org/officeDocument/2006/relationships/hyperlink"/><Relationship Id="rId7" Target="#%E5%88%86%E6%9E%90%E7%B5%90%E6%9E%9C!A1" Type="http://schemas.openxmlformats.org/officeDocument/2006/relationships/hyperlink"/><Relationship Id="rId8" Target="../charts/chart6.xml" Type="http://schemas.openxmlformats.org/officeDocument/2006/relationships/chart"/><Relationship Id="rId9" Target="../charts/chart7.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38</xdr:col>
      <xdr:colOff>34978</xdr:colOff>
      <xdr:row>11</xdr:row>
      <xdr:rowOff>278017</xdr:rowOff>
    </xdr:from>
    <xdr:to>
      <xdr:col>58</xdr:col>
      <xdr:colOff>149266</xdr:colOff>
      <xdr:row>26</xdr:row>
      <xdr:rowOff>497055</xdr:rowOff>
    </xdr:to>
    <xdr:grpSp>
      <xdr:nvGrpSpPr>
        <xdr:cNvPr id="25" name="グループ化 24">
          <a:extLst>
            <a:ext uri="{FF2B5EF4-FFF2-40B4-BE49-F238E27FC236}">
              <a16:creationId xmlns:a16="http://schemas.microsoft.com/office/drawing/2014/main" id="{66C50A76-B91B-F367-7B29-86E7C915C737}"/>
            </a:ext>
          </a:extLst>
        </xdr:cNvPr>
        <xdr:cNvGrpSpPr/>
      </xdr:nvGrpSpPr>
      <xdr:grpSpPr>
        <a:xfrm>
          <a:off x="5911903" y="10993642"/>
          <a:ext cx="3133713" cy="3114638"/>
          <a:chOff x="5881461" y="10984857"/>
          <a:chExt cx="3083668" cy="3104417"/>
        </a:xfrm>
      </xdr:grpSpPr>
      <xdr:graphicFrame macro="">
        <xdr:nvGraphicFramePr>
          <xdr:cNvPr id="88" name="グラフ 87">
            <a:extLst>
              <a:ext uri="{FF2B5EF4-FFF2-40B4-BE49-F238E27FC236}">
                <a16:creationId xmlns:a16="http://schemas.microsoft.com/office/drawing/2014/main" id="{C2CE7D81-C168-2924-7ED6-737E1AAEB98F}"/>
              </a:ext>
            </a:extLst>
          </xdr:cNvPr>
          <xdr:cNvGraphicFramePr/>
        </xdr:nvGraphicFramePr>
        <xdr:xfrm>
          <a:off x="6196651" y="11256776"/>
          <a:ext cx="2697480" cy="2359800"/>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87" name="グループ化 86">
            <a:extLst>
              <a:ext uri="{FF2B5EF4-FFF2-40B4-BE49-F238E27FC236}">
                <a16:creationId xmlns:a16="http://schemas.microsoft.com/office/drawing/2014/main" id="{4D383DD2-B35E-201B-FC71-3E5E717CFEAD}"/>
              </a:ext>
            </a:extLst>
          </xdr:cNvPr>
          <xdr:cNvGrpSpPr/>
        </xdr:nvGrpSpPr>
        <xdr:grpSpPr>
          <a:xfrm>
            <a:off x="5881461" y="10984857"/>
            <a:ext cx="3083668" cy="3104417"/>
            <a:chOff x="5927779" y="10590406"/>
            <a:chExt cx="3136798" cy="3127622"/>
          </a:xfrm>
        </xdr:grpSpPr>
        <xdr:sp macro="" textlink="">
          <xdr:nvSpPr>
            <xdr:cNvPr id="46" name="正方形/長方形 45">
              <a:extLst>
                <a:ext uri="{FF2B5EF4-FFF2-40B4-BE49-F238E27FC236}">
                  <a16:creationId xmlns:a16="http://schemas.microsoft.com/office/drawing/2014/main" id="{845675E9-434C-3B49-B448-BB2866E0FE36}"/>
                </a:ext>
              </a:extLst>
            </xdr:cNvPr>
            <xdr:cNvSpPr/>
          </xdr:nvSpPr>
          <xdr:spPr>
            <a:xfrm>
              <a:off x="7133441" y="10791726"/>
              <a:ext cx="932376" cy="32986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b="1" kern="1200">
                  <a:solidFill>
                    <a:schemeClr val="tx1"/>
                  </a:solidFill>
                  <a:latin typeface="+mj-ea"/>
                  <a:ea typeface="+mj-ea"/>
                </a:rPr>
                <a:t>0</a:t>
              </a:r>
              <a:r>
                <a:rPr kumimoji="1" lang="ja-JP" altLang="en-US" sz="1000" b="1" kern="1200">
                  <a:solidFill>
                    <a:schemeClr val="tx1"/>
                  </a:solidFill>
                  <a:latin typeface="+mj-ea"/>
                  <a:ea typeface="+mj-ea"/>
                </a:rPr>
                <a:t>年</a:t>
              </a:r>
            </a:p>
          </xdr:txBody>
        </xdr:sp>
        <xdr:sp macro="" textlink="">
          <xdr:nvSpPr>
            <xdr:cNvPr id="47" name="正方形/長方形 46">
              <a:extLst>
                <a:ext uri="{FF2B5EF4-FFF2-40B4-BE49-F238E27FC236}">
                  <a16:creationId xmlns:a16="http://schemas.microsoft.com/office/drawing/2014/main" id="{63BC90ED-B80B-864D-9B09-37F17A41D0B7}"/>
                </a:ext>
              </a:extLst>
            </xdr:cNvPr>
            <xdr:cNvSpPr/>
          </xdr:nvSpPr>
          <xdr:spPr>
            <a:xfrm rot="18761204">
              <a:off x="8041821" y="10960425"/>
              <a:ext cx="899144" cy="34205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b="1" kern="1200">
                  <a:solidFill>
                    <a:schemeClr val="tx1"/>
                  </a:solidFill>
                  <a:latin typeface="+mj-ea"/>
                  <a:ea typeface="+mj-ea"/>
                </a:rPr>
                <a:t>1-2</a:t>
              </a:r>
              <a:r>
                <a:rPr kumimoji="1" lang="ja-JP" altLang="en-US" sz="1000" b="1" kern="1200">
                  <a:solidFill>
                    <a:schemeClr val="tx1"/>
                  </a:solidFill>
                  <a:latin typeface="+mj-ea"/>
                  <a:ea typeface="+mj-ea"/>
                </a:rPr>
                <a:t>年</a:t>
              </a:r>
              <a:endParaRPr kumimoji="1" lang="en-US" altLang="ja-JP" sz="1000" b="1" kern="1200">
                <a:solidFill>
                  <a:schemeClr val="tx1"/>
                </a:solidFill>
                <a:latin typeface="+mj-ea"/>
                <a:ea typeface="+mj-ea"/>
              </a:endParaRPr>
            </a:p>
            <a:p>
              <a:pPr algn="ctr"/>
              <a:endParaRPr kumimoji="1" lang="ja-JP" altLang="en-US" sz="1000" b="1" kern="1200">
                <a:solidFill>
                  <a:schemeClr val="tx1"/>
                </a:solidFill>
                <a:latin typeface="+mj-ea"/>
                <a:ea typeface="+mj-ea"/>
              </a:endParaRPr>
            </a:p>
          </xdr:txBody>
        </xdr:sp>
        <xdr:sp macro="" textlink="">
          <xdr:nvSpPr>
            <xdr:cNvPr id="48" name="正方形/長方形 47">
              <a:extLst>
                <a:ext uri="{FF2B5EF4-FFF2-40B4-BE49-F238E27FC236}">
                  <a16:creationId xmlns:a16="http://schemas.microsoft.com/office/drawing/2014/main" id="{B9BF8443-B24C-A64D-B6EF-8B6B03FF5A0B}"/>
                </a:ext>
              </a:extLst>
            </xdr:cNvPr>
            <xdr:cNvSpPr/>
          </xdr:nvSpPr>
          <xdr:spPr>
            <a:xfrm>
              <a:off x="8521410" y="11724762"/>
              <a:ext cx="537900" cy="62014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b="1" kern="1200">
                  <a:solidFill>
                    <a:schemeClr val="tx1"/>
                  </a:solidFill>
                  <a:latin typeface="+mj-ea"/>
                  <a:ea typeface="+mj-ea"/>
                </a:rPr>
                <a:t>3-4</a:t>
              </a:r>
              <a:r>
                <a:rPr kumimoji="1" lang="ja-JP" altLang="en-US" sz="1000" b="1" kern="1200">
                  <a:solidFill>
                    <a:schemeClr val="tx1"/>
                  </a:solidFill>
                  <a:latin typeface="+mj-ea"/>
                  <a:ea typeface="+mj-ea"/>
                </a:rPr>
                <a:t>年</a:t>
              </a:r>
            </a:p>
          </xdr:txBody>
        </xdr:sp>
        <xdr:sp macro="" textlink="">
          <xdr:nvSpPr>
            <xdr:cNvPr id="49" name="正方形/長方形 48">
              <a:extLst>
                <a:ext uri="{FF2B5EF4-FFF2-40B4-BE49-F238E27FC236}">
                  <a16:creationId xmlns:a16="http://schemas.microsoft.com/office/drawing/2014/main" id="{BF119246-03EB-C14E-86DC-C82F4B0EF160}"/>
                </a:ext>
              </a:extLst>
            </xdr:cNvPr>
            <xdr:cNvSpPr/>
          </xdr:nvSpPr>
          <xdr:spPr>
            <a:xfrm rot="1750967">
              <a:off x="8188237" y="12571762"/>
              <a:ext cx="876340" cy="37952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b="1" kern="1200">
                  <a:solidFill>
                    <a:schemeClr val="tx1"/>
                  </a:solidFill>
                  <a:latin typeface="+mj-ea"/>
                  <a:ea typeface="+mj-ea"/>
                </a:rPr>
                <a:t>5-9</a:t>
              </a:r>
              <a:r>
                <a:rPr kumimoji="1" lang="ja-JP" altLang="en-US" sz="1000" b="1" kern="1200">
                  <a:solidFill>
                    <a:schemeClr val="tx1"/>
                  </a:solidFill>
                  <a:latin typeface="+mj-ea"/>
                  <a:ea typeface="+mj-ea"/>
                </a:rPr>
                <a:t>年</a:t>
              </a:r>
            </a:p>
          </xdr:txBody>
        </xdr:sp>
        <xdr:sp macro="" textlink="">
          <xdr:nvSpPr>
            <xdr:cNvPr id="50" name="正方形/長方形 49">
              <a:extLst>
                <a:ext uri="{FF2B5EF4-FFF2-40B4-BE49-F238E27FC236}">
                  <a16:creationId xmlns:a16="http://schemas.microsoft.com/office/drawing/2014/main" id="{CBE8A849-AAA7-DA49-8058-5D6354A33049}"/>
                </a:ext>
              </a:extLst>
            </xdr:cNvPr>
            <xdr:cNvSpPr/>
          </xdr:nvSpPr>
          <xdr:spPr>
            <a:xfrm rot="3217650">
              <a:off x="7629145" y="13084248"/>
              <a:ext cx="940568" cy="32699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b="1" kern="1200">
                  <a:solidFill>
                    <a:schemeClr val="tx1"/>
                  </a:solidFill>
                  <a:latin typeface="+mj-ea"/>
                  <a:ea typeface="+mj-ea"/>
                </a:rPr>
                <a:t>10-14</a:t>
              </a:r>
              <a:r>
                <a:rPr kumimoji="1" lang="ja-JP" altLang="en-US" sz="900" b="1" kern="1200">
                  <a:solidFill>
                    <a:schemeClr val="tx1"/>
                  </a:solidFill>
                  <a:latin typeface="+mj-ea"/>
                  <a:ea typeface="+mj-ea"/>
                </a:rPr>
                <a:t>年</a:t>
              </a:r>
            </a:p>
          </xdr:txBody>
        </xdr:sp>
        <xdr:sp macro="" textlink="">
          <xdr:nvSpPr>
            <xdr:cNvPr id="51" name="正方形/長方形 50">
              <a:extLst>
                <a:ext uri="{FF2B5EF4-FFF2-40B4-BE49-F238E27FC236}">
                  <a16:creationId xmlns:a16="http://schemas.microsoft.com/office/drawing/2014/main" id="{020308D4-70DF-6849-B8DF-709BA42855BE}"/>
                </a:ext>
              </a:extLst>
            </xdr:cNvPr>
            <xdr:cNvSpPr/>
          </xdr:nvSpPr>
          <xdr:spPr>
            <a:xfrm rot="18729533">
              <a:off x="6603219" y="13005684"/>
              <a:ext cx="961533" cy="31986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b="1" kern="1200">
                  <a:solidFill>
                    <a:schemeClr val="tx1"/>
                  </a:solidFill>
                  <a:latin typeface="+mj-ea"/>
                  <a:ea typeface="+mj-ea"/>
                </a:rPr>
                <a:t>15-19</a:t>
              </a:r>
              <a:r>
                <a:rPr kumimoji="1" lang="ja-JP" altLang="en-US" sz="900" b="1" kern="1200">
                  <a:solidFill>
                    <a:schemeClr val="tx1"/>
                  </a:solidFill>
                  <a:latin typeface="+mj-ea"/>
                  <a:ea typeface="+mj-ea"/>
                </a:rPr>
                <a:t>年</a:t>
              </a:r>
            </a:p>
          </xdr:txBody>
        </xdr:sp>
        <xdr:sp macro="" textlink="">
          <xdr:nvSpPr>
            <xdr:cNvPr id="52" name="正方形/長方形 51">
              <a:extLst>
                <a:ext uri="{FF2B5EF4-FFF2-40B4-BE49-F238E27FC236}">
                  <a16:creationId xmlns:a16="http://schemas.microsoft.com/office/drawing/2014/main" id="{0F989D45-66C5-3A4D-BB71-3E8444CBA07E}"/>
                </a:ext>
              </a:extLst>
            </xdr:cNvPr>
            <xdr:cNvSpPr/>
          </xdr:nvSpPr>
          <xdr:spPr>
            <a:xfrm rot="20033707">
              <a:off x="6157306" y="12562029"/>
              <a:ext cx="745543" cy="41253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b="1" kern="1200">
                  <a:solidFill>
                    <a:schemeClr val="tx1"/>
                  </a:solidFill>
                  <a:latin typeface="+mj-ea"/>
                  <a:ea typeface="+mj-ea"/>
                </a:rPr>
                <a:t>20-24</a:t>
              </a:r>
              <a:r>
                <a:rPr kumimoji="1" lang="ja-JP" altLang="en-US" sz="900" b="1" kern="1200">
                  <a:solidFill>
                    <a:schemeClr val="tx1"/>
                  </a:solidFill>
                  <a:latin typeface="+mj-ea"/>
                  <a:ea typeface="+mj-ea"/>
                </a:rPr>
                <a:t>年</a:t>
              </a:r>
              <a:endParaRPr kumimoji="1" lang="en-US" altLang="ja-JP" sz="900" b="1" kern="1200">
                <a:solidFill>
                  <a:schemeClr val="tx1"/>
                </a:solidFill>
                <a:latin typeface="+mj-ea"/>
                <a:ea typeface="+mj-ea"/>
              </a:endParaRPr>
            </a:p>
          </xdr:txBody>
        </xdr:sp>
        <xdr:sp macro="" textlink="">
          <xdr:nvSpPr>
            <xdr:cNvPr id="53" name="正方形/長方形 52">
              <a:extLst>
                <a:ext uri="{FF2B5EF4-FFF2-40B4-BE49-F238E27FC236}">
                  <a16:creationId xmlns:a16="http://schemas.microsoft.com/office/drawing/2014/main" id="{1018F5D5-017A-084E-9E84-50DE1B64CE1A}"/>
                </a:ext>
              </a:extLst>
            </xdr:cNvPr>
            <xdr:cNvSpPr/>
          </xdr:nvSpPr>
          <xdr:spPr>
            <a:xfrm>
              <a:off x="5927779" y="11750658"/>
              <a:ext cx="777823" cy="120628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b="1" kern="1200">
                  <a:solidFill>
                    <a:schemeClr val="tx1"/>
                  </a:solidFill>
                  <a:latin typeface="+mj-ea"/>
                  <a:ea typeface="+mj-ea"/>
                </a:rPr>
                <a:t>25-29</a:t>
              </a:r>
              <a:r>
                <a:rPr kumimoji="1" lang="ja-JP" altLang="en-US" sz="900" b="1" kern="1200">
                  <a:solidFill>
                    <a:schemeClr val="tx1"/>
                  </a:solidFill>
                  <a:latin typeface="+mj-ea"/>
                  <a:ea typeface="+mj-ea"/>
                </a:rPr>
                <a:t>年</a:t>
              </a:r>
            </a:p>
          </xdr:txBody>
        </xdr:sp>
        <xdr:sp macro="" textlink="">
          <xdr:nvSpPr>
            <xdr:cNvPr id="54" name="正方形/長方形 53">
              <a:extLst>
                <a:ext uri="{FF2B5EF4-FFF2-40B4-BE49-F238E27FC236}">
                  <a16:creationId xmlns:a16="http://schemas.microsoft.com/office/drawing/2014/main" id="{A4901C36-9B24-E143-BBD0-1028531D9D50}"/>
                </a:ext>
              </a:extLst>
            </xdr:cNvPr>
            <xdr:cNvSpPr/>
          </xdr:nvSpPr>
          <xdr:spPr>
            <a:xfrm rot="2736387">
              <a:off x="6167875" y="10922524"/>
              <a:ext cx="1046879" cy="38264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b="1" kern="1200">
                  <a:solidFill>
                    <a:schemeClr val="tx1"/>
                  </a:solidFill>
                  <a:latin typeface="+mj-ea"/>
                  <a:ea typeface="+mj-ea"/>
                </a:rPr>
                <a:t>30</a:t>
              </a:r>
              <a:r>
                <a:rPr kumimoji="1" lang="ja-JP" altLang="en-US" sz="900" b="1" kern="1200">
                  <a:solidFill>
                    <a:schemeClr val="tx1"/>
                  </a:solidFill>
                  <a:latin typeface="+mj-ea"/>
                  <a:ea typeface="+mj-ea"/>
                </a:rPr>
                <a:t>年以上</a:t>
              </a:r>
            </a:p>
          </xdr:txBody>
        </xdr:sp>
      </xdr:grpSp>
    </xdr:grpSp>
    <xdr:clientData/>
  </xdr:twoCellAnchor>
  <xdr:twoCellAnchor>
    <xdr:from>
      <xdr:col>21</xdr:col>
      <xdr:colOff>43232</xdr:colOff>
      <xdr:row>12</xdr:row>
      <xdr:rowOff>1068</xdr:rowOff>
    </xdr:from>
    <xdr:to>
      <xdr:col>39</xdr:col>
      <xdr:colOff>55932</xdr:colOff>
      <xdr:row>26</xdr:row>
      <xdr:rowOff>221</xdr:rowOff>
    </xdr:to>
    <xdr:graphicFrame macro="">
      <xdr:nvGraphicFramePr>
        <xdr:cNvPr id="85" name="グラフ 84">
          <a:extLst>
            <a:ext uri="{FF2B5EF4-FFF2-40B4-BE49-F238E27FC236}">
              <a16:creationId xmlns:a16="http://schemas.microsoft.com/office/drawing/2014/main" id="{83E0CBC8-D011-91E5-C9E4-672528A555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18908</xdr:colOff>
      <xdr:row>21</xdr:row>
      <xdr:rowOff>27346</xdr:rowOff>
    </xdr:from>
    <xdr:to>
      <xdr:col>26</xdr:col>
      <xdr:colOff>54469</xdr:colOff>
      <xdr:row>23</xdr:row>
      <xdr:rowOff>195893</xdr:rowOff>
    </xdr:to>
    <xdr:sp macro="" textlink="">
      <xdr:nvSpPr>
        <xdr:cNvPr id="37" name="正方形/長方形 36">
          <a:extLst>
            <a:ext uri="{FF2B5EF4-FFF2-40B4-BE49-F238E27FC236}">
              <a16:creationId xmlns:a16="http://schemas.microsoft.com/office/drawing/2014/main" id="{8DF7F74B-A5E1-FA9E-934B-60E3C178269B}"/>
            </a:ext>
          </a:extLst>
        </xdr:cNvPr>
        <xdr:cNvSpPr/>
      </xdr:nvSpPr>
      <xdr:spPr>
        <a:xfrm>
          <a:off x="2985628" y="12290466"/>
          <a:ext cx="889001" cy="3920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kern="1200">
              <a:solidFill>
                <a:schemeClr val="tx1"/>
              </a:solidFill>
            </a:rPr>
            <a:t>部長級</a:t>
          </a:r>
        </a:p>
      </xdr:txBody>
    </xdr:sp>
    <xdr:clientData/>
  </xdr:twoCellAnchor>
  <xdr:twoCellAnchor>
    <xdr:from>
      <xdr:col>34</xdr:col>
      <xdr:colOff>135215</xdr:colOff>
      <xdr:row>21</xdr:row>
      <xdr:rowOff>18856</xdr:rowOff>
    </xdr:from>
    <xdr:to>
      <xdr:col>41</xdr:col>
      <xdr:colOff>40040</xdr:colOff>
      <xdr:row>23</xdr:row>
      <xdr:rowOff>187403</xdr:rowOff>
    </xdr:to>
    <xdr:sp macro="" textlink="">
      <xdr:nvSpPr>
        <xdr:cNvPr id="38" name="正方形/長方形 37">
          <a:extLst>
            <a:ext uri="{FF2B5EF4-FFF2-40B4-BE49-F238E27FC236}">
              <a16:creationId xmlns:a16="http://schemas.microsoft.com/office/drawing/2014/main" id="{BF03913B-6DFE-7E43-B1FF-483EE84EA2EA}"/>
            </a:ext>
          </a:extLst>
        </xdr:cNvPr>
        <xdr:cNvSpPr/>
      </xdr:nvSpPr>
      <xdr:spPr>
        <a:xfrm>
          <a:off x="5083135" y="12281976"/>
          <a:ext cx="880185" cy="3920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kern="1200">
              <a:solidFill>
                <a:schemeClr val="tx1"/>
              </a:solidFill>
            </a:rPr>
            <a:t>係長級</a:t>
          </a:r>
        </a:p>
      </xdr:txBody>
    </xdr:sp>
    <xdr:clientData/>
  </xdr:twoCellAnchor>
  <xdr:twoCellAnchor>
    <xdr:from>
      <xdr:col>28</xdr:col>
      <xdr:colOff>36589</xdr:colOff>
      <xdr:row>11</xdr:row>
      <xdr:rowOff>427738</xdr:rowOff>
    </xdr:from>
    <xdr:to>
      <xdr:col>33</xdr:col>
      <xdr:colOff>3323</xdr:colOff>
      <xdr:row>15</xdr:row>
      <xdr:rowOff>67136</xdr:rowOff>
    </xdr:to>
    <xdr:sp macro="" textlink="">
      <xdr:nvSpPr>
        <xdr:cNvPr id="40" name="正方形/長方形 39">
          <a:extLst>
            <a:ext uri="{FF2B5EF4-FFF2-40B4-BE49-F238E27FC236}">
              <a16:creationId xmlns:a16="http://schemas.microsoft.com/office/drawing/2014/main" id="{5EFFCCCF-F38C-974C-BC27-FDCF9881DF49}"/>
            </a:ext>
          </a:extLst>
        </xdr:cNvPr>
        <xdr:cNvSpPr/>
      </xdr:nvSpPr>
      <xdr:spPr>
        <a:xfrm rot="5400000">
          <a:off x="4223617" y="11074310"/>
          <a:ext cx="492838" cy="67793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kumimoji="1" lang="ja-JP" altLang="en-US" sz="1100" b="1" kern="1200">
              <a:solidFill>
                <a:schemeClr val="tx1"/>
              </a:solidFill>
            </a:rPr>
            <a:t>非役職</a:t>
          </a:r>
        </a:p>
      </xdr:txBody>
    </xdr:sp>
    <xdr:clientData/>
  </xdr:twoCellAnchor>
  <xdr:twoCellAnchor>
    <xdr:from>
      <xdr:col>28</xdr:col>
      <xdr:colOff>19509</xdr:colOff>
      <xdr:row>24</xdr:row>
      <xdr:rowOff>384267</xdr:rowOff>
    </xdr:from>
    <xdr:to>
      <xdr:col>33</xdr:col>
      <xdr:colOff>141416</xdr:colOff>
      <xdr:row>26</xdr:row>
      <xdr:rowOff>237983</xdr:rowOff>
    </xdr:to>
    <xdr:sp macro="" textlink="">
      <xdr:nvSpPr>
        <xdr:cNvPr id="39" name="正方形/長方形 38">
          <a:extLst>
            <a:ext uri="{FF2B5EF4-FFF2-40B4-BE49-F238E27FC236}">
              <a16:creationId xmlns:a16="http://schemas.microsoft.com/office/drawing/2014/main" id="{71EC31D3-FA94-314C-A13C-78DDADE57240}"/>
            </a:ext>
          </a:extLst>
        </xdr:cNvPr>
        <xdr:cNvSpPr/>
      </xdr:nvSpPr>
      <xdr:spPr>
        <a:xfrm rot="16200000">
          <a:off x="4248085" y="13153371"/>
          <a:ext cx="564916" cy="83310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vert" rtlCol="0" anchor="t"/>
        <a:lstStyle/>
        <a:p>
          <a:pPr algn="ctr"/>
          <a:r>
            <a:rPr kumimoji="1" lang="ja-JP" altLang="en-US" sz="1100" b="1" kern="1200">
              <a:solidFill>
                <a:schemeClr val="tx1"/>
              </a:solidFill>
            </a:rPr>
            <a:t>課長級</a:t>
          </a:r>
        </a:p>
      </xdr:txBody>
    </xdr:sp>
    <xdr:clientData/>
  </xdr:twoCellAnchor>
  <xdr:twoCellAnchor>
    <xdr:from>
      <xdr:col>58</xdr:col>
      <xdr:colOff>13511</xdr:colOff>
      <xdr:row>2</xdr:row>
      <xdr:rowOff>4863067</xdr:rowOff>
    </xdr:from>
    <xdr:to>
      <xdr:col>98</xdr:col>
      <xdr:colOff>135106</xdr:colOff>
      <xdr:row>6</xdr:row>
      <xdr:rowOff>380253</xdr:rowOff>
    </xdr:to>
    <xdr:sp macro="" textlink="">
      <xdr:nvSpPr>
        <xdr:cNvPr id="7" name="四角形吹き出し 1">
          <a:extLst>
            <a:ext uri="{FF2B5EF4-FFF2-40B4-BE49-F238E27FC236}">
              <a16:creationId xmlns:a16="http://schemas.microsoft.com/office/drawing/2014/main" id="{C8B26090-8B5D-A743-A62D-E6BF0CA5AFC7}"/>
            </a:ext>
          </a:extLst>
        </xdr:cNvPr>
        <xdr:cNvSpPr/>
      </xdr:nvSpPr>
      <xdr:spPr>
        <a:xfrm>
          <a:off x="8354871" y="7138907"/>
          <a:ext cx="6298875" cy="1714786"/>
        </a:xfrm>
        <a:custGeom>
          <a:avLst/>
          <a:gdLst>
            <a:gd name="connsiteX0" fmla="*/ 0 w 5567083"/>
            <a:gd name="connsiteY0" fmla="*/ 0 h 1890807"/>
            <a:gd name="connsiteX1" fmla="*/ 927847 w 5567083"/>
            <a:gd name="connsiteY1" fmla="*/ 0 h 1890807"/>
            <a:gd name="connsiteX2" fmla="*/ 927847 w 5567083"/>
            <a:gd name="connsiteY2" fmla="*/ 0 h 1890807"/>
            <a:gd name="connsiteX3" fmla="*/ 2319618 w 5567083"/>
            <a:gd name="connsiteY3" fmla="*/ 0 h 1890807"/>
            <a:gd name="connsiteX4" fmla="*/ 5567083 w 5567083"/>
            <a:gd name="connsiteY4" fmla="*/ 0 h 1890807"/>
            <a:gd name="connsiteX5" fmla="*/ 5567083 w 5567083"/>
            <a:gd name="connsiteY5" fmla="*/ 1102971 h 1890807"/>
            <a:gd name="connsiteX6" fmla="*/ 5567083 w 5567083"/>
            <a:gd name="connsiteY6" fmla="*/ 1102971 h 1890807"/>
            <a:gd name="connsiteX7" fmla="*/ 5567083 w 5567083"/>
            <a:gd name="connsiteY7" fmla="*/ 1575673 h 1890807"/>
            <a:gd name="connsiteX8" fmla="*/ 5567083 w 5567083"/>
            <a:gd name="connsiteY8" fmla="*/ 1890807 h 1890807"/>
            <a:gd name="connsiteX9" fmla="*/ 2319618 w 5567083"/>
            <a:gd name="connsiteY9" fmla="*/ 1890807 h 1890807"/>
            <a:gd name="connsiteX10" fmla="*/ 927847 w 5567083"/>
            <a:gd name="connsiteY10" fmla="*/ 1890807 h 1890807"/>
            <a:gd name="connsiteX11" fmla="*/ 927847 w 5567083"/>
            <a:gd name="connsiteY11" fmla="*/ 1890807 h 1890807"/>
            <a:gd name="connsiteX12" fmla="*/ 0 w 5567083"/>
            <a:gd name="connsiteY12" fmla="*/ 1890807 h 1890807"/>
            <a:gd name="connsiteX13" fmla="*/ 0 w 5567083"/>
            <a:gd name="connsiteY13" fmla="*/ 1575673 h 1890807"/>
            <a:gd name="connsiteX14" fmla="*/ -840017 w 5567083"/>
            <a:gd name="connsiteY14" fmla="*/ 1258483 h 1890807"/>
            <a:gd name="connsiteX15" fmla="*/ 0 w 5567083"/>
            <a:gd name="connsiteY15" fmla="*/ 1102971 h 1890807"/>
            <a:gd name="connsiteX16" fmla="*/ 0 w 5567083"/>
            <a:gd name="connsiteY16" fmla="*/ 0 h 1890807"/>
            <a:gd name="connsiteX0" fmla="*/ 840017 w 6407100"/>
            <a:gd name="connsiteY0" fmla="*/ 0 h 1890807"/>
            <a:gd name="connsiteX1" fmla="*/ 1767864 w 6407100"/>
            <a:gd name="connsiteY1" fmla="*/ 0 h 1890807"/>
            <a:gd name="connsiteX2" fmla="*/ 1767864 w 6407100"/>
            <a:gd name="connsiteY2" fmla="*/ 0 h 1890807"/>
            <a:gd name="connsiteX3" fmla="*/ 3159635 w 6407100"/>
            <a:gd name="connsiteY3" fmla="*/ 0 h 1890807"/>
            <a:gd name="connsiteX4" fmla="*/ 6407100 w 6407100"/>
            <a:gd name="connsiteY4" fmla="*/ 0 h 1890807"/>
            <a:gd name="connsiteX5" fmla="*/ 6407100 w 6407100"/>
            <a:gd name="connsiteY5" fmla="*/ 1102971 h 1890807"/>
            <a:gd name="connsiteX6" fmla="*/ 6407100 w 6407100"/>
            <a:gd name="connsiteY6" fmla="*/ 1102971 h 1890807"/>
            <a:gd name="connsiteX7" fmla="*/ 6407100 w 6407100"/>
            <a:gd name="connsiteY7" fmla="*/ 1575673 h 1890807"/>
            <a:gd name="connsiteX8" fmla="*/ 6407100 w 6407100"/>
            <a:gd name="connsiteY8" fmla="*/ 1890807 h 1890807"/>
            <a:gd name="connsiteX9" fmla="*/ 3159635 w 6407100"/>
            <a:gd name="connsiteY9" fmla="*/ 1890807 h 1890807"/>
            <a:gd name="connsiteX10" fmla="*/ 1767864 w 6407100"/>
            <a:gd name="connsiteY10" fmla="*/ 1890807 h 1890807"/>
            <a:gd name="connsiteX11" fmla="*/ 1767864 w 6407100"/>
            <a:gd name="connsiteY11" fmla="*/ 1890807 h 1890807"/>
            <a:gd name="connsiteX12" fmla="*/ 840017 w 6407100"/>
            <a:gd name="connsiteY12" fmla="*/ 1890807 h 1890807"/>
            <a:gd name="connsiteX13" fmla="*/ 852717 w 6407100"/>
            <a:gd name="connsiteY13" fmla="*/ 1321673 h 1890807"/>
            <a:gd name="connsiteX14" fmla="*/ 0 w 6407100"/>
            <a:gd name="connsiteY14" fmla="*/ 1258483 h 1890807"/>
            <a:gd name="connsiteX15" fmla="*/ 840017 w 6407100"/>
            <a:gd name="connsiteY15" fmla="*/ 1102971 h 1890807"/>
            <a:gd name="connsiteX16" fmla="*/ 840017 w 6407100"/>
            <a:gd name="connsiteY16" fmla="*/ 0 h 1890807"/>
            <a:gd name="connsiteX0" fmla="*/ 907804 w 6474887"/>
            <a:gd name="connsiteY0" fmla="*/ 0 h 1890807"/>
            <a:gd name="connsiteX1" fmla="*/ 1835651 w 6474887"/>
            <a:gd name="connsiteY1" fmla="*/ 0 h 1890807"/>
            <a:gd name="connsiteX2" fmla="*/ 1835651 w 6474887"/>
            <a:gd name="connsiteY2" fmla="*/ 0 h 1890807"/>
            <a:gd name="connsiteX3" fmla="*/ 3227422 w 6474887"/>
            <a:gd name="connsiteY3" fmla="*/ 0 h 1890807"/>
            <a:gd name="connsiteX4" fmla="*/ 6474887 w 6474887"/>
            <a:gd name="connsiteY4" fmla="*/ 0 h 1890807"/>
            <a:gd name="connsiteX5" fmla="*/ 6474887 w 6474887"/>
            <a:gd name="connsiteY5" fmla="*/ 1102971 h 1890807"/>
            <a:gd name="connsiteX6" fmla="*/ 6474887 w 6474887"/>
            <a:gd name="connsiteY6" fmla="*/ 1102971 h 1890807"/>
            <a:gd name="connsiteX7" fmla="*/ 6474887 w 6474887"/>
            <a:gd name="connsiteY7" fmla="*/ 1575673 h 1890807"/>
            <a:gd name="connsiteX8" fmla="*/ 6474887 w 6474887"/>
            <a:gd name="connsiteY8" fmla="*/ 1890807 h 1890807"/>
            <a:gd name="connsiteX9" fmla="*/ 3227422 w 6474887"/>
            <a:gd name="connsiteY9" fmla="*/ 1890807 h 1890807"/>
            <a:gd name="connsiteX10" fmla="*/ 1835651 w 6474887"/>
            <a:gd name="connsiteY10" fmla="*/ 1890807 h 1890807"/>
            <a:gd name="connsiteX11" fmla="*/ 1835651 w 6474887"/>
            <a:gd name="connsiteY11" fmla="*/ 1890807 h 1890807"/>
            <a:gd name="connsiteX12" fmla="*/ 907804 w 6474887"/>
            <a:gd name="connsiteY12" fmla="*/ 1890807 h 1890807"/>
            <a:gd name="connsiteX13" fmla="*/ 920504 w 6474887"/>
            <a:gd name="connsiteY13" fmla="*/ 1321673 h 1890807"/>
            <a:gd name="connsiteX14" fmla="*/ 0 w 6474887"/>
            <a:gd name="connsiteY14" fmla="*/ 1868083 h 1890807"/>
            <a:gd name="connsiteX15" fmla="*/ 907804 w 6474887"/>
            <a:gd name="connsiteY15" fmla="*/ 1102971 h 1890807"/>
            <a:gd name="connsiteX16" fmla="*/ 907804 w 6474887"/>
            <a:gd name="connsiteY16" fmla="*/ 0 h 1890807"/>
            <a:gd name="connsiteX0" fmla="*/ 907804 w 6474887"/>
            <a:gd name="connsiteY0" fmla="*/ 0 h 1890807"/>
            <a:gd name="connsiteX1" fmla="*/ 1835651 w 6474887"/>
            <a:gd name="connsiteY1" fmla="*/ 0 h 1890807"/>
            <a:gd name="connsiteX2" fmla="*/ 1835651 w 6474887"/>
            <a:gd name="connsiteY2" fmla="*/ 0 h 1890807"/>
            <a:gd name="connsiteX3" fmla="*/ 3227422 w 6474887"/>
            <a:gd name="connsiteY3" fmla="*/ 0 h 1890807"/>
            <a:gd name="connsiteX4" fmla="*/ 6474887 w 6474887"/>
            <a:gd name="connsiteY4" fmla="*/ 0 h 1890807"/>
            <a:gd name="connsiteX5" fmla="*/ 6474887 w 6474887"/>
            <a:gd name="connsiteY5" fmla="*/ 1102971 h 1890807"/>
            <a:gd name="connsiteX6" fmla="*/ 6474887 w 6474887"/>
            <a:gd name="connsiteY6" fmla="*/ 1102971 h 1890807"/>
            <a:gd name="connsiteX7" fmla="*/ 6474887 w 6474887"/>
            <a:gd name="connsiteY7" fmla="*/ 1575673 h 1890807"/>
            <a:gd name="connsiteX8" fmla="*/ 6474887 w 6474887"/>
            <a:gd name="connsiteY8" fmla="*/ 1890807 h 1890807"/>
            <a:gd name="connsiteX9" fmla="*/ 3227422 w 6474887"/>
            <a:gd name="connsiteY9" fmla="*/ 1890807 h 1890807"/>
            <a:gd name="connsiteX10" fmla="*/ 1835651 w 6474887"/>
            <a:gd name="connsiteY10" fmla="*/ 1890807 h 1890807"/>
            <a:gd name="connsiteX11" fmla="*/ 1835651 w 6474887"/>
            <a:gd name="connsiteY11" fmla="*/ 1890807 h 1890807"/>
            <a:gd name="connsiteX12" fmla="*/ 907804 w 6474887"/>
            <a:gd name="connsiteY12" fmla="*/ 1890807 h 1890807"/>
            <a:gd name="connsiteX13" fmla="*/ 920504 w 6474887"/>
            <a:gd name="connsiteY13" fmla="*/ 1321673 h 1890807"/>
            <a:gd name="connsiteX14" fmla="*/ 0 w 6474887"/>
            <a:gd name="connsiteY14" fmla="*/ 1804583 h 1890807"/>
            <a:gd name="connsiteX15" fmla="*/ 907804 w 6474887"/>
            <a:gd name="connsiteY15" fmla="*/ 1102971 h 1890807"/>
            <a:gd name="connsiteX16" fmla="*/ 907804 w 6474887"/>
            <a:gd name="connsiteY16" fmla="*/ 0 h 1890807"/>
            <a:gd name="connsiteX0" fmla="*/ 840017 w 6407100"/>
            <a:gd name="connsiteY0" fmla="*/ 0 h 1890807"/>
            <a:gd name="connsiteX1" fmla="*/ 1767864 w 6407100"/>
            <a:gd name="connsiteY1" fmla="*/ 0 h 1890807"/>
            <a:gd name="connsiteX2" fmla="*/ 1767864 w 6407100"/>
            <a:gd name="connsiteY2" fmla="*/ 0 h 1890807"/>
            <a:gd name="connsiteX3" fmla="*/ 3159635 w 6407100"/>
            <a:gd name="connsiteY3" fmla="*/ 0 h 1890807"/>
            <a:gd name="connsiteX4" fmla="*/ 6407100 w 6407100"/>
            <a:gd name="connsiteY4" fmla="*/ 0 h 1890807"/>
            <a:gd name="connsiteX5" fmla="*/ 6407100 w 6407100"/>
            <a:gd name="connsiteY5" fmla="*/ 1102971 h 1890807"/>
            <a:gd name="connsiteX6" fmla="*/ 6407100 w 6407100"/>
            <a:gd name="connsiteY6" fmla="*/ 1102971 h 1890807"/>
            <a:gd name="connsiteX7" fmla="*/ 6407100 w 6407100"/>
            <a:gd name="connsiteY7" fmla="*/ 1575673 h 1890807"/>
            <a:gd name="connsiteX8" fmla="*/ 6407100 w 6407100"/>
            <a:gd name="connsiteY8" fmla="*/ 1890807 h 1890807"/>
            <a:gd name="connsiteX9" fmla="*/ 3159635 w 6407100"/>
            <a:gd name="connsiteY9" fmla="*/ 1890807 h 1890807"/>
            <a:gd name="connsiteX10" fmla="*/ 1767864 w 6407100"/>
            <a:gd name="connsiteY10" fmla="*/ 1890807 h 1890807"/>
            <a:gd name="connsiteX11" fmla="*/ 1767864 w 6407100"/>
            <a:gd name="connsiteY11" fmla="*/ 1890807 h 1890807"/>
            <a:gd name="connsiteX12" fmla="*/ 840017 w 6407100"/>
            <a:gd name="connsiteY12" fmla="*/ 1890807 h 1890807"/>
            <a:gd name="connsiteX13" fmla="*/ 852717 w 6407100"/>
            <a:gd name="connsiteY13" fmla="*/ 1321673 h 1890807"/>
            <a:gd name="connsiteX14" fmla="*/ 0 w 6407100"/>
            <a:gd name="connsiteY14" fmla="*/ 1575983 h 1890807"/>
            <a:gd name="connsiteX15" fmla="*/ 840017 w 6407100"/>
            <a:gd name="connsiteY15" fmla="*/ 1102971 h 1890807"/>
            <a:gd name="connsiteX16" fmla="*/ 840017 w 6407100"/>
            <a:gd name="connsiteY16" fmla="*/ 0 h 18908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6407100" h="1890807">
              <a:moveTo>
                <a:pt x="840017" y="0"/>
              </a:moveTo>
              <a:lnTo>
                <a:pt x="1767864" y="0"/>
              </a:lnTo>
              <a:lnTo>
                <a:pt x="1767864" y="0"/>
              </a:lnTo>
              <a:lnTo>
                <a:pt x="3159635" y="0"/>
              </a:lnTo>
              <a:lnTo>
                <a:pt x="6407100" y="0"/>
              </a:lnTo>
              <a:lnTo>
                <a:pt x="6407100" y="1102971"/>
              </a:lnTo>
              <a:lnTo>
                <a:pt x="6407100" y="1102971"/>
              </a:lnTo>
              <a:lnTo>
                <a:pt x="6407100" y="1575673"/>
              </a:lnTo>
              <a:lnTo>
                <a:pt x="6407100" y="1890807"/>
              </a:lnTo>
              <a:lnTo>
                <a:pt x="3159635" y="1890807"/>
              </a:lnTo>
              <a:lnTo>
                <a:pt x="1767864" y="1890807"/>
              </a:lnTo>
              <a:lnTo>
                <a:pt x="1767864" y="1890807"/>
              </a:lnTo>
              <a:lnTo>
                <a:pt x="840017" y="1890807"/>
              </a:lnTo>
              <a:lnTo>
                <a:pt x="852717" y="1321673"/>
              </a:lnTo>
              <a:lnTo>
                <a:pt x="0" y="1575983"/>
              </a:lnTo>
              <a:lnTo>
                <a:pt x="840017" y="1102971"/>
              </a:lnTo>
              <a:lnTo>
                <a:pt x="840017" y="0"/>
              </a:lnTo>
              <a:close/>
            </a:path>
          </a:pathLst>
        </a:cu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05840" tIns="91440" rIns="18288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a:solidFill>
                <a:schemeClr val="tx1"/>
              </a:solidFill>
              <a:effectLst/>
              <a:latin typeface="+mn-ea"/>
              <a:ea typeface="+mn-ea"/>
              <a:cs typeface="+mn-cs"/>
            </a:rPr>
            <a:t>※</a:t>
          </a:r>
          <a:r>
            <a:rPr kumimoji="1" lang="ja-JP" altLang="en-US" sz="1200" b="1" kern="1200">
              <a:solidFill>
                <a:schemeClr val="tx1"/>
              </a:solidFill>
              <a:latin typeface="+mn-ea"/>
              <a:ea typeface="+mn-ea"/>
            </a:rPr>
            <a:t>初期値</a:t>
          </a:r>
          <a:r>
            <a:rPr kumimoji="1" lang="ja-JP" altLang="en-US" sz="1200" kern="1200">
              <a:solidFill>
                <a:schemeClr val="tx1"/>
              </a:solidFill>
              <a:latin typeface="+mn-ea"/>
              <a:ea typeface="+mn-ea"/>
            </a:rPr>
            <a:t>は、</a:t>
          </a:r>
          <a:r>
            <a:rPr kumimoji="1" lang="ja-JP" altLang="en-US" sz="1200" b="1" kern="1200">
              <a:solidFill>
                <a:schemeClr val="tx1"/>
              </a:solidFill>
              <a:latin typeface="+mn-ea"/>
              <a:ea typeface="+mn-ea"/>
            </a:rPr>
            <a:t>「産業大分類計」「企業規模計」の数値が表示</a:t>
          </a:r>
          <a:r>
            <a:rPr kumimoji="1" lang="ja-JP" altLang="en-US" sz="1200" kern="1200">
              <a:solidFill>
                <a:schemeClr val="tx1"/>
              </a:solidFill>
              <a:latin typeface="+mn-ea"/>
              <a:ea typeface="+mn-ea"/>
            </a:rPr>
            <a:t>されています。</a:t>
          </a:r>
          <a:endParaRPr kumimoji="1" lang="en-US" altLang="ja-JP" sz="1200" kern="1200">
            <a:solidFill>
              <a:schemeClr val="tx1"/>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kern="1200">
              <a:solidFill>
                <a:schemeClr val="tx1"/>
              </a:solidFill>
              <a:latin typeface="+mn-ea"/>
              <a:ea typeface="+mn-ea"/>
            </a:rPr>
            <a:t>　</a:t>
          </a:r>
          <a:r>
            <a:rPr kumimoji="1" lang="en-US" altLang="ja-JP" sz="1200" kern="1200">
              <a:solidFill>
                <a:schemeClr val="tx1"/>
              </a:solidFill>
              <a:latin typeface="+mn-ea"/>
              <a:ea typeface="+mn-ea"/>
            </a:rPr>
            <a:t>①</a:t>
          </a:r>
          <a:r>
            <a:rPr kumimoji="1" lang="ja-JP" altLang="en-US" sz="1200" kern="1200">
              <a:solidFill>
                <a:schemeClr val="tx1"/>
              </a:solidFill>
              <a:latin typeface="+mn-ea"/>
              <a:ea typeface="+mn-ea"/>
            </a:rPr>
            <a:t>シート「入力シート」で、自社が該当する産業分類や企業規模を選択</a:t>
          </a:r>
          <a:endParaRPr kumimoji="1" lang="en-US" altLang="ja-JP" sz="1200" kern="1200">
            <a:solidFill>
              <a:schemeClr val="tx1"/>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kern="1200">
              <a:solidFill>
                <a:schemeClr val="tx1"/>
              </a:solidFill>
              <a:latin typeface="+mn-ea"/>
              <a:ea typeface="+mn-ea"/>
            </a:rPr>
            <a:t>　すると、表示される数値は切り替わります。</a:t>
          </a:r>
          <a:endParaRPr kumimoji="1" lang="en-US" altLang="ja-JP" sz="1200" kern="1200">
            <a:solidFill>
              <a:schemeClr val="tx1"/>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a:solidFill>
                <a:schemeClr val="tx1"/>
              </a:solidFill>
              <a:effectLst/>
              <a:latin typeface="+mn-ea"/>
              <a:ea typeface="+mn-ea"/>
              <a:cs typeface="+mn-cs"/>
            </a:rPr>
            <a:t>※</a:t>
          </a:r>
          <a:r>
            <a:rPr lang="ja-JP" altLang="en-US" sz="1200">
              <a:solidFill>
                <a:schemeClr val="tx1"/>
              </a:solidFill>
              <a:effectLst/>
              <a:latin typeface="+mn-ea"/>
              <a:ea typeface="+mn-ea"/>
              <a:cs typeface="+mn-cs"/>
            </a:rPr>
            <a:t>国内の全事業所が調査対象ではないため、</a:t>
          </a:r>
          <a:r>
            <a:rPr lang="ja-JP" altLang="en-US" sz="1200" b="1">
              <a:solidFill>
                <a:schemeClr val="tx1"/>
              </a:solidFill>
              <a:effectLst/>
              <a:latin typeface="+mn-ea"/>
              <a:ea typeface="+mn-ea"/>
              <a:cs typeface="+mn-cs"/>
            </a:rPr>
            <a:t>選択条件（産業分類・企業</a:t>
          </a:r>
          <a:r>
            <a:rPr lang="ja-JP" altLang="en-US" sz="1200" b="1" baseline="0">
              <a:solidFill>
                <a:schemeClr val="tx1"/>
              </a:solidFill>
              <a:effectLst/>
              <a:latin typeface="+mn-ea"/>
              <a:ea typeface="+mn-ea"/>
              <a:cs typeface="+mn-cs"/>
            </a:rPr>
            <a:t>    </a:t>
          </a:r>
          <a:br>
            <a:rPr lang="en-US" altLang="ja-JP" sz="1200" b="1" baseline="0">
              <a:solidFill>
                <a:schemeClr val="tx1"/>
              </a:solidFill>
              <a:effectLst/>
              <a:latin typeface="+mn-ea"/>
              <a:ea typeface="+mn-ea"/>
              <a:cs typeface="+mn-cs"/>
            </a:rPr>
          </a:br>
          <a:r>
            <a:rPr lang="ja-JP" altLang="en-US" sz="1200" b="1" baseline="0">
              <a:solidFill>
                <a:schemeClr val="tx1"/>
              </a:solidFill>
              <a:effectLst/>
              <a:latin typeface="+mn-ea"/>
              <a:ea typeface="+mn-ea"/>
              <a:cs typeface="+mn-cs"/>
            </a:rPr>
            <a:t>　</a:t>
          </a:r>
          <a:r>
            <a:rPr lang="ja-JP" altLang="en-US" sz="1200" b="1">
              <a:solidFill>
                <a:schemeClr val="tx1"/>
              </a:solidFill>
              <a:effectLst/>
              <a:latin typeface="+mn-ea"/>
              <a:ea typeface="+mn-ea"/>
              <a:cs typeface="+mn-cs"/>
            </a:rPr>
            <a:t>模）によっては、データが存在せず「</a:t>
          </a:r>
          <a:r>
            <a:rPr lang="en-US" altLang="ja-JP" sz="1200" b="1">
              <a:solidFill>
                <a:schemeClr val="tx1"/>
              </a:solidFill>
              <a:effectLst/>
              <a:latin typeface="+mn-ea"/>
              <a:ea typeface="+mn-ea"/>
              <a:cs typeface="+mn-cs"/>
            </a:rPr>
            <a:t>-</a:t>
          </a:r>
          <a:r>
            <a:rPr lang="ja-JP" altLang="en-US" sz="1200" b="1">
              <a:solidFill>
                <a:schemeClr val="tx1"/>
              </a:solidFill>
              <a:effectLst/>
              <a:latin typeface="+mn-ea"/>
              <a:ea typeface="+mn-ea"/>
              <a:cs typeface="+mn-cs"/>
            </a:rPr>
            <a:t>」と表記される場合があります。　　　</a:t>
          </a:r>
          <a:br>
            <a:rPr lang="en-US" altLang="ja-JP" sz="1200" b="1">
              <a:solidFill>
                <a:schemeClr val="tx1"/>
              </a:solidFill>
              <a:effectLst/>
              <a:latin typeface="+mn-ea"/>
              <a:ea typeface="+mn-ea"/>
              <a:cs typeface="+mn-cs"/>
            </a:rPr>
          </a:br>
          <a:r>
            <a:rPr lang="ja-JP" altLang="en-US" sz="1200" b="1">
              <a:solidFill>
                <a:schemeClr val="tx1"/>
              </a:solidFill>
              <a:effectLst/>
              <a:latin typeface="+mn-ea"/>
              <a:ea typeface="+mn-ea"/>
              <a:cs typeface="+mn-cs"/>
            </a:rPr>
            <a:t>　</a:t>
          </a:r>
          <a:r>
            <a:rPr lang="ja-JP" altLang="en-US" sz="1200">
              <a:solidFill>
                <a:schemeClr val="tx1"/>
              </a:solidFill>
              <a:effectLst/>
              <a:latin typeface="+mn-ea"/>
              <a:ea typeface="+mn-ea"/>
              <a:cs typeface="+mn-cs"/>
            </a:rPr>
            <a:t>あくまで参考情報としてご覧ください。</a:t>
          </a:r>
          <a:endParaRPr kumimoji="1" lang="en-US" altLang="ja-JP" sz="1200" kern="1200">
            <a:solidFill>
              <a:schemeClr val="tx1"/>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a:solidFill>
              <a:schemeClr val="tx1"/>
            </a:solidFill>
            <a:latin typeface="+mn-ea"/>
            <a:ea typeface="+mn-ea"/>
          </a:endParaRPr>
        </a:p>
      </xdr:txBody>
    </xdr:sp>
    <xdr:clientData/>
  </xdr:twoCellAnchor>
  <xdr:twoCellAnchor>
    <xdr:from>
      <xdr:col>0</xdr:col>
      <xdr:colOff>194733</xdr:colOff>
      <xdr:row>2</xdr:row>
      <xdr:rowOff>1015999</xdr:rowOff>
    </xdr:from>
    <xdr:to>
      <xdr:col>15</xdr:col>
      <xdr:colOff>117554</xdr:colOff>
      <xdr:row>2</xdr:row>
      <xdr:rowOff>1638299</xdr:rowOff>
    </xdr:to>
    <xdr:sp macro="" textlink="">
      <xdr:nvSpPr>
        <xdr:cNvPr id="73" name="正方形/長方形 72">
          <a:extLst>
            <a:ext uri="{FF2B5EF4-FFF2-40B4-BE49-F238E27FC236}">
              <a16:creationId xmlns:a16="http://schemas.microsoft.com/office/drawing/2014/main" id="{D86CFEDD-B041-294F-A6D3-11295F4F91E4}"/>
            </a:ext>
          </a:extLst>
        </xdr:cNvPr>
        <xdr:cNvSpPr/>
      </xdr:nvSpPr>
      <xdr:spPr>
        <a:xfrm>
          <a:off x="194733" y="3291839"/>
          <a:ext cx="2239301" cy="6223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46800" tIns="0" rIns="46800" bIns="0" rtlCol="0" anchor="ctr"/>
        <a:lstStyle/>
        <a:p>
          <a:pPr algn="ctr"/>
          <a:r>
            <a:rPr kumimoji="1" lang="en-US" altLang="ja-JP" sz="1200" b="1" kern="1200"/>
            <a:t>①</a:t>
          </a:r>
          <a:r>
            <a:rPr kumimoji="1" lang="ja-JP" altLang="en-US" sz="1200" b="1" u="none" kern="1200">
              <a:solidFill>
                <a:schemeClr val="tx1"/>
              </a:solidFill>
            </a:rPr>
            <a:t>［</a:t>
          </a:r>
          <a:r>
            <a:rPr kumimoji="1" lang="ja-JP" altLang="en-US" sz="1200" b="1" u="none" kern="1200">
              <a:solidFill>
                <a:schemeClr val="accent1">
                  <a:lumMod val="60000"/>
                  <a:lumOff val="40000"/>
                </a:schemeClr>
              </a:solidFill>
            </a:rPr>
            <a:t>入力シート</a:t>
          </a:r>
          <a:r>
            <a:rPr kumimoji="1" lang="ja-JP" altLang="en-US" sz="1200" b="1" u="none" kern="1200">
              <a:solidFill>
                <a:schemeClr val="tx1"/>
              </a:solidFill>
            </a:rPr>
            <a:t>］</a:t>
          </a:r>
        </a:p>
      </xdr:txBody>
    </xdr:sp>
    <xdr:clientData/>
  </xdr:twoCellAnchor>
  <xdr:twoCellAnchor>
    <xdr:from>
      <xdr:col>17</xdr:col>
      <xdr:colOff>101600</xdr:colOff>
      <xdr:row>2</xdr:row>
      <xdr:rowOff>190499</xdr:rowOff>
    </xdr:from>
    <xdr:to>
      <xdr:col>58</xdr:col>
      <xdr:colOff>203200</xdr:colOff>
      <xdr:row>2</xdr:row>
      <xdr:rowOff>2476499</xdr:rowOff>
    </xdr:to>
    <xdr:sp macro="" textlink="">
      <xdr:nvSpPr>
        <xdr:cNvPr id="74" name="正方形/長方形 73">
          <a:extLst>
            <a:ext uri="{FF2B5EF4-FFF2-40B4-BE49-F238E27FC236}">
              <a16:creationId xmlns:a16="http://schemas.microsoft.com/office/drawing/2014/main" id="{75FB4F15-30C0-BB44-B572-FF90695EFABF}"/>
            </a:ext>
          </a:extLst>
        </xdr:cNvPr>
        <xdr:cNvSpPr/>
      </xdr:nvSpPr>
      <xdr:spPr>
        <a:xfrm>
          <a:off x="2641600" y="2466339"/>
          <a:ext cx="5902960" cy="2286000"/>
        </a:xfrm>
        <a:prstGeom prst="rect">
          <a:avLst/>
        </a:prstGeom>
        <a:ln>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kern="1200">
              <a:latin typeface="+mn-ea"/>
              <a:ea typeface="+mn-ea"/>
            </a:rPr>
            <a:t>　本ツールの使用用途を選択することから始めます。</a:t>
          </a:r>
          <a:r>
            <a:rPr kumimoji="1" lang="ja-JP" altLang="en-US" sz="1100">
              <a:latin typeface="+mn-ea"/>
              <a:ea typeface="+mn-ea"/>
            </a:rPr>
            <a:t>必要な手順を進めることで、貴社数値と参考値を照合し、</a:t>
          </a:r>
          <a:r>
            <a:rPr kumimoji="1" lang="ja-JP" altLang="en-US" sz="1100" dirty="0">
              <a:solidFill>
                <a:schemeClr val="tx1"/>
              </a:solidFill>
              <a:latin typeface="+mn-ea"/>
              <a:ea typeface="+mn-ea"/>
            </a:rPr>
            <a:t>貴社の男女間賃金差異の状況やアドバイス等が表示されます。</a:t>
          </a:r>
          <a:endParaRPr kumimoji="1" lang="en-US" altLang="ja-JP" sz="1100" dirty="0">
            <a:solidFill>
              <a:schemeClr val="tx1"/>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sng" kern="1200">
              <a:latin typeface="+mn-ea"/>
              <a:ea typeface="+mn-ea"/>
            </a:rPr>
            <a:t>自社と同業他社の平均値（参考値）を比較したい場合</a:t>
          </a:r>
          <a:r>
            <a:rPr kumimoji="1" lang="ja-JP" altLang="en-US" sz="1100" b="0" u="none" kern="1200">
              <a:latin typeface="+mn-ea"/>
              <a:ea typeface="+mn-ea"/>
            </a:rPr>
            <a:t>：シート内</a:t>
          </a:r>
          <a:r>
            <a:rPr kumimoji="1" lang="ja-JP" altLang="en-US" sz="1100" kern="1200">
              <a:latin typeface="+mn-ea"/>
              <a:ea typeface="+mn-ea"/>
            </a:rPr>
            <a:t>（１）</a:t>
          </a:r>
          <a:r>
            <a:rPr kumimoji="1" lang="en-US" altLang="ja-JP" sz="1100" kern="1200">
              <a:latin typeface="+mn-ea"/>
              <a:ea typeface="+mn-ea"/>
            </a:rPr>
            <a:t>〜</a:t>
          </a:r>
          <a:r>
            <a:rPr kumimoji="1" lang="ja-JP" altLang="en-US" sz="1100" kern="1200">
              <a:latin typeface="+mn-ea"/>
              <a:ea typeface="+mn-ea"/>
            </a:rPr>
            <a:t>（４）の入力・選択</a:t>
          </a:r>
          <a:endParaRPr kumimoji="1" lang="en-US" altLang="ja-JP" sz="1100" kern="12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1" u="none" kern="1200">
              <a:solidFill>
                <a:srgbClr val="C00000"/>
              </a:solidFill>
              <a:latin typeface="+mn-ea"/>
              <a:ea typeface="+mn-ea"/>
            </a:rPr>
            <a:t>『</a:t>
          </a:r>
          <a:r>
            <a:rPr kumimoji="1" lang="ja-JP" altLang="en-US" sz="1050" b="1" u="none" kern="1200">
              <a:solidFill>
                <a:srgbClr val="C00000"/>
              </a:solidFill>
              <a:latin typeface="+mn-ea"/>
              <a:ea typeface="+mn-ea"/>
            </a:rPr>
            <a:t>ツールを使用して計算する場合</a:t>
          </a:r>
          <a:r>
            <a:rPr kumimoji="1" lang="en-US" altLang="ja-JP" sz="1050" b="1" u="none" kern="1200">
              <a:solidFill>
                <a:srgbClr val="C00000"/>
              </a:solidFill>
              <a:latin typeface="+mn-ea"/>
              <a:ea typeface="+mn-ea"/>
            </a:rPr>
            <a:t>』</a:t>
          </a:r>
          <a:r>
            <a:rPr kumimoji="1" lang="ja-JP" altLang="en-US" sz="1050" u="none" kern="1200">
              <a:solidFill>
                <a:schemeClr val="dk1"/>
              </a:solidFill>
              <a:latin typeface="+mn-ea"/>
              <a:ea typeface="+mn-ea"/>
            </a:rPr>
            <a:t>：</a:t>
          </a:r>
          <a:r>
            <a:rPr kumimoji="1" lang="ja-JP" altLang="en-US" sz="1050" kern="1200">
              <a:latin typeface="+mn-ea"/>
              <a:ea typeface="+mn-ea"/>
            </a:rPr>
            <a:t>（４）において、</a:t>
          </a:r>
          <a:r>
            <a:rPr lang="ja-JP" altLang="en-US" sz="1050">
              <a:solidFill>
                <a:schemeClr val="dk1"/>
              </a:solidFill>
              <a:effectLst/>
              <a:latin typeface="+mn-ea"/>
              <a:ea typeface="+mn-ea"/>
              <a:cs typeface="+mn-cs"/>
            </a:rPr>
            <a:t>貴社の雇用形態等を入力・選択します。</a:t>
          </a:r>
          <a:endParaRPr lang="en-US" altLang="ja-JP" sz="1050">
            <a:solidFill>
              <a:schemeClr val="dk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1" u="none" kern="1200">
              <a:solidFill>
                <a:srgbClr val="C00000"/>
              </a:solidFill>
              <a:latin typeface="+mn-ea"/>
              <a:ea typeface="+mn-ea"/>
            </a:rPr>
            <a:t>『</a:t>
          </a:r>
          <a:r>
            <a:rPr kumimoji="1" lang="ja-JP" altLang="en-US" sz="1050" b="1" u="none">
              <a:solidFill>
                <a:srgbClr val="C00000"/>
              </a:solidFill>
              <a:latin typeface="+mn-ea"/>
              <a:ea typeface="+mn-ea"/>
            </a:rPr>
            <a:t>自社で計算したデータを手入力する場合</a:t>
          </a:r>
          <a:r>
            <a:rPr kumimoji="1" lang="en-US" altLang="ja-JP" sz="1050" b="1" u="none" kern="1200">
              <a:solidFill>
                <a:srgbClr val="C00000"/>
              </a:solidFill>
              <a:latin typeface="+mn-ea"/>
              <a:ea typeface="+mn-ea"/>
            </a:rPr>
            <a:t>』</a:t>
          </a:r>
          <a:r>
            <a:rPr kumimoji="1" lang="ja-JP" altLang="en-US" sz="1050" b="0" u="none">
              <a:solidFill>
                <a:schemeClr val="tx1"/>
              </a:solidFill>
              <a:latin typeface="+mn-ea"/>
              <a:ea typeface="+mn-ea"/>
            </a:rPr>
            <a:t>：</a:t>
          </a:r>
          <a:r>
            <a:rPr kumimoji="1" lang="en-US" altLang="ja-JP" sz="1050" b="0" u="none">
              <a:solidFill>
                <a:schemeClr val="tx1"/>
              </a:solidFill>
              <a:latin typeface="+mn-ea"/>
              <a:ea typeface="+mn-ea"/>
            </a:rPr>
            <a:t>【</a:t>
          </a:r>
          <a:r>
            <a:rPr kumimoji="1" lang="ja-JP" altLang="en-US" sz="1050" b="0" u="none">
              <a:solidFill>
                <a:schemeClr val="tx1"/>
              </a:solidFill>
              <a:latin typeface="+mn-ea"/>
              <a:ea typeface="+mn-ea"/>
            </a:rPr>
            <a:t>事前準備</a:t>
          </a:r>
          <a:r>
            <a:rPr kumimoji="1" lang="en-US" altLang="ja-JP" sz="1050" b="0" u="none">
              <a:solidFill>
                <a:schemeClr val="tx1"/>
              </a:solidFill>
              <a:latin typeface="+mn-ea"/>
              <a:ea typeface="+mn-ea"/>
            </a:rPr>
            <a:t>】</a:t>
          </a:r>
          <a:r>
            <a:rPr kumimoji="1" lang="ja-JP" altLang="en-US" sz="1050" b="0" u="none">
              <a:solidFill>
                <a:schemeClr val="tx1"/>
              </a:solidFill>
              <a:latin typeface="+mn-ea"/>
              <a:ea typeface="+mn-ea"/>
            </a:rPr>
            <a:t>として、</a:t>
          </a:r>
          <a:r>
            <a:rPr kumimoji="1" lang="ja-JP" altLang="en-US" sz="1050" b="1" u="none" kern="1200">
              <a:solidFill>
                <a:sysClr val="windowText" lastClr="000000"/>
              </a:solidFill>
              <a:latin typeface="+mn-ea"/>
              <a:ea typeface="+mn-ea"/>
            </a:rPr>
            <a:t>直近１事業年度の賃金・人事データを基に数値の算出</a:t>
          </a:r>
          <a:r>
            <a:rPr kumimoji="1" lang="ja-JP" altLang="en-US" sz="1050" b="0" u="none" kern="1200">
              <a:solidFill>
                <a:sysClr val="windowText" lastClr="000000"/>
              </a:solidFill>
              <a:latin typeface="+mn-ea"/>
              <a:ea typeface="+mn-ea"/>
            </a:rPr>
            <a:t>をする必要があります。</a:t>
          </a:r>
          <a:endParaRPr kumimoji="1" lang="en-US" altLang="ja-JP" sz="1050" b="0" u="none" kern="12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sng" kern="1200">
              <a:latin typeface="+mn-ea"/>
              <a:ea typeface="+mn-ea"/>
            </a:rPr>
            <a:t>同業他社の平均値（参考値）を確認したい場合</a:t>
          </a:r>
          <a:r>
            <a:rPr kumimoji="1" lang="ja-JP" altLang="en-US" sz="1050" u="none" kern="1200">
              <a:latin typeface="+mn-ea"/>
              <a:ea typeface="+mn-ea"/>
            </a:rPr>
            <a:t>：</a:t>
          </a:r>
          <a:r>
            <a:rPr kumimoji="1" lang="ja-JP" altLang="en-US" sz="1050" b="0" u="none" kern="1200">
              <a:latin typeface="+mn-ea"/>
              <a:ea typeface="+mn-ea"/>
            </a:rPr>
            <a:t>シート内</a:t>
          </a:r>
          <a:r>
            <a:rPr kumimoji="1" lang="ja-JP" altLang="en-US" sz="1050" u="none" kern="1200">
              <a:latin typeface="+mn-ea"/>
              <a:ea typeface="+mn-ea"/>
            </a:rPr>
            <a:t>（</a:t>
          </a:r>
          <a:r>
            <a:rPr kumimoji="1" lang="ja-JP" altLang="en-US" sz="1050" kern="1200">
              <a:latin typeface="+mn-ea"/>
              <a:ea typeface="+mn-ea"/>
            </a:rPr>
            <a:t>１）（２）の選択</a:t>
          </a:r>
          <a:endParaRPr kumimoji="1" lang="en-US" altLang="ja-JP" sz="1050" kern="12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kern="1200">
              <a:latin typeface="+mn-ea"/>
              <a:ea typeface="+mn-ea"/>
            </a:rPr>
            <a:t>その後、利用手順「</a:t>
          </a:r>
          <a:r>
            <a:rPr kumimoji="1" lang="en-US" altLang="ja-JP" sz="1050" kern="1200">
              <a:latin typeface="+mn-ea"/>
              <a:ea typeface="+mn-ea"/>
            </a:rPr>
            <a:t>③</a:t>
          </a:r>
          <a:r>
            <a:rPr kumimoji="1" lang="ja-JP" altLang="en-US" sz="1050" kern="1200">
              <a:latin typeface="+mn-ea"/>
              <a:ea typeface="+mn-ea"/>
            </a:rPr>
            <a:t>シート［分析結果］」へ移動して、参考値を確認してください。</a:t>
          </a:r>
          <a:endParaRPr kumimoji="1" lang="en-US" altLang="ja-JP" sz="1050" kern="1200">
            <a:latin typeface="+mn-ea"/>
            <a:ea typeface="+mn-ea"/>
          </a:endParaRPr>
        </a:p>
      </xdr:txBody>
    </xdr:sp>
    <xdr:clientData/>
  </xdr:twoCellAnchor>
  <xdr:twoCellAnchor>
    <xdr:from>
      <xdr:col>16</xdr:col>
      <xdr:colOff>25400</xdr:colOff>
      <xdr:row>2</xdr:row>
      <xdr:rowOff>1181099</xdr:rowOff>
    </xdr:from>
    <xdr:to>
      <xdr:col>17</xdr:col>
      <xdr:colOff>109539</xdr:colOff>
      <xdr:row>2</xdr:row>
      <xdr:rowOff>1481137</xdr:rowOff>
    </xdr:to>
    <xdr:sp macro="" textlink="">
      <xdr:nvSpPr>
        <xdr:cNvPr id="75" name="二等辺三角形 12">
          <a:extLst>
            <a:ext uri="{FF2B5EF4-FFF2-40B4-BE49-F238E27FC236}">
              <a16:creationId xmlns:a16="http://schemas.microsoft.com/office/drawing/2014/main" id="{F40B58B6-9189-5340-B4C1-65DBA1C2FDD1}"/>
            </a:ext>
          </a:extLst>
        </xdr:cNvPr>
        <xdr:cNvSpPr/>
      </xdr:nvSpPr>
      <xdr:spPr>
        <a:xfrm rot="16200000">
          <a:off x="2416811" y="3524248"/>
          <a:ext cx="300038" cy="165419"/>
        </a:xfrm>
        <a:prstGeom prst="triangle">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177800</xdr:colOff>
      <xdr:row>2</xdr:row>
      <xdr:rowOff>2622486</xdr:rowOff>
    </xdr:from>
    <xdr:to>
      <xdr:col>15</xdr:col>
      <xdr:colOff>63500</xdr:colOff>
      <xdr:row>2</xdr:row>
      <xdr:rowOff>3721099</xdr:rowOff>
    </xdr:to>
    <xdr:sp macro="" textlink="">
      <xdr:nvSpPr>
        <xdr:cNvPr id="76" name="正方形/長方形 75">
          <a:extLst>
            <a:ext uri="{FF2B5EF4-FFF2-40B4-BE49-F238E27FC236}">
              <a16:creationId xmlns:a16="http://schemas.microsoft.com/office/drawing/2014/main" id="{E9F5D83C-F5B8-5B40-A292-B0C0A60366E8}"/>
            </a:ext>
          </a:extLst>
        </xdr:cNvPr>
        <xdr:cNvSpPr/>
      </xdr:nvSpPr>
      <xdr:spPr>
        <a:xfrm>
          <a:off x="177800" y="4898326"/>
          <a:ext cx="2202180" cy="109861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46800" tIns="0" rIns="4680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b="1" kern="1200"/>
            <a:t>②</a:t>
          </a:r>
          <a:r>
            <a:rPr kumimoji="1" lang="ja-JP" altLang="en-US" sz="1200" b="1" kern="1200"/>
            <a:t>シート</a:t>
          </a:r>
          <a:endParaRPr kumimoji="1" lang="en-US" altLang="ja-JP" sz="1200" b="1" kern="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b="1" u="none" kern="1200">
              <a:solidFill>
                <a:sysClr val="windowText" lastClr="000000"/>
              </a:solidFill>
            </a:rPr>
            <a:t>［</a:t>
          </a:r>
          <a:r>
            <a:rPr kumimoji="1" lang="ja-JP" altLang="en-US" sz="1200" b="1" u="none" kern="1200">
              <a:solidFill>
                <a:schemeClr val="accent1">
                  <a:lumMod val="60000"/>
                  <a:lumOff val="40000"/>
                </a:schemeClr>
              </a:solidFill>
            </a:rPr>
            <a:t>従業員情報</a:t>
          </a:r>
          <a:r>
            <a:rPr kumimoji="1" lang="en-US" altLang="ja-JP" sz="1200" b="1" u="none" kern="1200">
              <a:solidFill>
                <a:schemeClr val="accent1">
                  <a:lumMod val="60000"/>
                  <a:lumOff val="40000"/>
                </a:schemeClr>
              </a:solidFill>
            </a:rPr>
            <a:t>(</a:t>
          </a:r>
          <a:r>
            <a:rPr kumimoji="1" lang="ja-JP" altLang="en-US" sz="1200" b="1" u="none" kern="1200">
              <a:solidFill>
                <a:schemeClr val="accent1">
                  <a:lumMod val="60000"/>
                  <a:lumOff val="40000"/>
                </a:schemeClr>
              </a:solidFill>
            </a:rPr>
            <a:t>給与以外</a:t>
          </a:r>
          <a:r>
            <a:rPr kumimoji="1" lang="en-US" altLang="ja-JP" sz="1200" b="1" u="none" kern="1200">
              <a:solidFill>
                <a:schemeClr val="accent1">
                  <a:lumMod val="60000"/>
                  <a:lumOff val="40000"/>
                </a:schemeClr>
              </a:solidFill>
            </a:rPr>
            <a:t>) </a:t>
          </a:r>
          <a:r>
            <a:rPr kumimoji="1" lang="ja-JP" altLang="en-US" sz="1200" b="1" u="none" kern="1200">
              <a:solidFill>
                <a:schemeClr val="tx1"/>
              </a:solidFill>
            </a:rPr>
            <a:t>］</a:t>
          </a:r>
          <a:endParaRPr kumimoji="1" lang="en-US" altLang="ja-JP" sz="1200" b="1" u="none" kern="12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b="1" u="none" kern="1200">
              <a:solidFill>
                <a:sysClr val="windowText" lastClr="000000"/>
              </a:solidFill>
            </a:rPr>
            <a:t>［</a:t>
          </a:r>
          <a:r>
            <a:rPr kumimoji="1" lang="ja-JP" altLang="en-US" sz="1200" b="1" u="none" kern="1200">
              <a:solidFill>
                <a:schemeClr val="accent1">
                  <a:lumMod val="60000"/>
                  <a:lumOff val="40000"/>
                </a:schemeClr>
              </a:solidFill>
            </a:rPr>
            <a:t>従業員の給与情報</a:t>
          </a:r>
          <a:r>
            <a:rPr kumimoji="1" lang="ja-JP" altLang="en-US" sz="1200" b="1" u="none" kern="1200">
              <a:solidFill>
                <a:schemeClr val="tx1"/>
              </a:solidFill>
            </a:rPr>
            <a:t>］</a:t>
          </a:r>
          <a:endParaRPr kumimoji="1" lang="en-US" altLang="ja-JP" sz="1200" b="1" u="none" kern="1200">
            <a:solidFill>
              <a:schemeClr val="tx1"/>
            </a:solidFill>
          </a:endParaRPr>
        </a:p>
      </xdr:txBody>
    </xdr:sp>
    <xdr:clientData/>
  </xdr:twoCellAnchor>
  <xdr:twoCellAnchor>
    <xdr:from>
      <xdr:col>17</xdr:col>
      <xdr:colOff>114300</xdr:colOff>
      <xdr:row>2</xdr:row>
      <xdr:rowOff>2624453</xdr:rowOff>
    </xdr:from>
    <xdr:to>
      <xdr:col>58</xdr:col>
      <xdr:colOff>177800</xdr:colOff>
      <xdr:row>2</xdr:row>
      <xdr:rowOff>3721099</xdr:rowOff>
    </xdr:to>
    <xdr:sp macro="" textlink="">
      <xdr:nvSpPr>
        <xdr:cNvPr id="77" name="正方形/長方形 76">
          <a:extLst>
            <a:ext uri="{FF2B5EF4-FFF2-40B4-BE49-F238E27FC236}">
              <a16:creationId xmlns:a16="http://schemas.microsoft.com/office/drawing/2014/main" id="{A2C5A6ED-F409-894B-A8E1-A6659B6FC8E6}"/>
            </a:ext>
          </a:extLst>
        </xdr:cNvPr>
        <xdr:cNvSpPr/>
      </xdr:nvSpPr>
      <xdr:spPr>
        <a:xfrm>
          <a:off x="2654300" y="4900293"/>
          <a:ext cx="5864860" cy="1096646"/>
        </a:xfrm>
        <a:prstGeom prst="rect">
          <a:avLst/>
        </a:prstGeom>
        <a:ln>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シート［入力シート］の「（３）貴社の</a:t>
          </a:r>
          <a:r>
            <a:rPr kumimoji="1" lang="en-US" altLang="ja-JP" sz="1100" dirty="0">
              <a:latin typeface="+mn-ea"/>
              <a:ea typeface="+mn-ea"/>
            </a:rPr>
            <a:t>『</a:t>
          </a:r>
          <a:r>
            <a:rPr kumimoji="1" lang="ja-JP" altLang="en-US" sz="1100">
              <a:latin typeface="+mn-ea"/>
              <a:ea typeface="+mn-ea"/>
            </a:rPr>
            <a:t>男女間賃金差異</a:t>
          </a:r>
          <a:r>
            <a:rPr kumimoji="1" lang="en-US" altLang="ja-JP" sz="1100" dirty="0">
              <a:latin typeface="+mn-ea"/>
              <a:ea typeface="+mn-ea"/>
            </a:rPr>
            <a:t>』</a:t>
          </a:r>
          <a:r>
            <a:rPr kumimoji="1" lang="ja-JP" altLang="en-US" sz="1100">
              <a:latin typeface="+mn-ea"/>
              <a:ea typeface="+mn-ea"/>
            </a:rPr>
            <a:t>の入力方法の選択」で、</a:t>
          </a:r>
          <a:r>
            <a:rPr kumimoji="1" lang="en-US" altLang="ja-JP" sz="1100" b="1" u="none" kern="0">
              <a:solidFill>
                <a:srgbClr val="C00000"/>
              </a:solidFill>
              <a:latin typeface="+mn-ea"/>
              <a:ea typeface="+mn-ea"/>
            </a:rPr>
            <a:t>『</a:t>
          </a:r>
          <a:r>
            <a:rPr kumimoji="1" lang="ja-JP" altLang="en-US" sz="1100" b="1" u="none">
              <a:solidFill>
                <a:srgbClr val="C00000"/>
              </a:solidFill>
              <a:latin typeface="+mn-ea"/>
              <a:ea typeface="+mn-ea"/>
            </a:rPr>
            <a:t>ツールを利用して計算する</a:t>
          </a:r>
          <a:r>
            <a:rPr kumimoji="1" lang="en-US" altLang="ja-JP" sz="1100" b="1" u="none">
              <a:solidFill>
                <a:srgbClr val="C00000"/>
              </a:solidFill>
              <a:latin typeface="+mn-ea"/>
              <a:ea typeface="+mn-ea"/>
            </a:rPr>
            <a:t>』</a:t>
          </a:r>
          <a:r>
            <a:rPr kumimoji="1" lang="ja-JP" altLang="en-US" sz="1100" b="1">
              <a:solidFill>
                <a:srgbClr val="C00000"/>
              </a:solidFill>
              <a:latin typeface="+mn-ea"/>
              <a:ea typeface="+mn-ea"/>
            </a:rPr>
            <a:t>を選択した場合のみ</a:t>
          </a:r>
          <a:r>
            <a:rPr kumimoji="1" lang="ja-JP" altLang="en-US" sz="1100">
              <a:latin typeface="+mn-ea"/>
              <a:ea typeface="+mn-ea"/>
            </a:rPr>
            <a:t>使用します。</a:t>
          </a:r>
          <a:endParaRPr kumimoji="1" lang="en-US" altLang="ja-JP" sz="1100">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u="none">
              <a:solidFill>
                <a:schemeClr val="tx1"/>
              </a:solidFill>
              <a:latin typeface="+mn-ea"/>
              <a:ea typeface="+mn-ea"/>
            </a:rPr>
            <a:t>【</a:t>
          </a:r>
          <a:r>
            <a:rPr kumimoji="1" lang="ja-JP" altLang="en-US" sz="1100" b="0" u="none">
              <a:solidFill>
                <a:schemeClr val="tx1"/>
              </a:solidFill>
              <a:latin typeface="+mn-ea"/>
              <a:ea typeface="+mn-ea"/>
            </a:rPr>
            <a:t>事前準備</a:t>
          </a:r>
          <a:r>
            <a:rPr kumimoji="1" lang="en-US" altLang="ja-JP" sz="1100" b="0" u="none">
              <a:solidFill>
                <a:schemeClr val="tx1"/>
              </a:solidFill>
              <a:latin typeface="+mn-ea"/>
              <a:ea typeface="+mn-ea"/>
            </a:rPr>
            <a:t>】</a:t>
          </a:r>
          <a:r>
            <a:rPr kumimoji="1" lang="ja-JP" altLang="en-US" sz="1100" b="0" u="none">
              <a:solidFill>
                <a:schemeClr val="tx1"/>
              </a:solidFill>
              <a:latin typeface="+mn-ea"/>
              <a:ea typeface="+mn-ea"/>
            </a:rPr>
            <a:t>として、</a:t>
          </a:r>
          <a:r>
            <a:rPr kumimoji="1" lang="ja-JP" altLang="en-US" sz="1100" b="1">
              <a:solidFill>
                <a:schemeClr val="tx1"/>
              </a:solidFill>
              <a:latin typeface="+mn-ea"/>
              <a:ea typeface="+mn-ea"/>
            </a:rPr>
            <a:t>自社の役職名および雇用形態名称（パート、嘱託等）の洗い出しや直近１事業年度の自社の賃金・人事データ</a:t>
          </a:r>
          <a:r>
            <a:rPr kumimoji="1" lang="ja-JP" altLang="en-US" sz="1100">
              <a:latin typeface="+mn-ea"/>
              <a:ea typeface="+mn-ea"/>
            </a:rPr>
            <a:t>を</a:t>
          </a:r>
          <a:r>
            <a:rPr kumimoji="1" lang="ja-JP" altLang="en-US" sz="1100" kern="1200">
              <a:latin typeface="+mn-ea"/>
              <a:ea typeface="+mn-ea"/>
            </a:rPr>
            <a:t>準備する必要があります。</a:t>
          </a:r>
        </a:p>
      </xdr:txBody>
    </xdr:sp>
    <xdr:clientData/>
  </xdr:twoCellAnchor>
  <xdr:twoCellAnchor>
    <xdr:from>
      <xdr:col>15</xdr:col>
      <xdr:colOff>130413</xdr:colOff>
      <xdr:row>2</xdr:row>
      <xdr:rowOff>2971799</xdr:rowOff>
    </xdr:from>
    <xdr:to>
      <xdr:col>17</xdr:col>
      <xdr:colOff>93426</xdr:colOff>
      <xdr:row>2</xdr:row>
      <xdr:rowOff>3271837</xdr:rowOff>
    </xdr:to>
    <xdr:sp macro="" textlink="">
      <xdr:nvSpPr>
        <xdr:cNvPr id="78" name="二等辺三角形 12">
          <a:extLst>
            <a:ext uri="{FF2B5EF4-FFF2-40B4-BE49-F238E27FC236}">
              <a16:creationId xmlns:a16="http://schemas.microsoft.com/office/drawing/2014/main" id="{A49B16BE-BA05-4343-A448-26439724F599}"/>
            </a:ext>
          </a:extLst>
        </xdr:cNvPr>
        <xdr:cNvSpPr/>
      </xdr:nvSpPr>
      <xdr:spPr>
        <a:xfrm rot="16200000">
          <a:off x="2390141" y="5304391"/>
          <a:ext cx="300038" cy="186533"/>
        </a:xfrm>
        <a:prstGeom prst="triangle">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12700</xdr:colOff>
      <xdr:row>2</xdr:row>
      <xdr:rowOff>4052192</xdr:rowOff>
    </xdr:from>
    <xdr:to>
      <xdr:col>58</xdr:col>
      <xdr:colOff>152400</xdr:colOff>
      <xdr:row>2</xdr:row>
      <xdr:rowOff>5028307</xdr:rowOff>
    </xdr:to>
    <xdr:sp macro="" textlink="">
      <xdr:nvSpPr>
        <xdr:cNvPr id="80" name="正方形/長方形 79">
          <a:extLst>
            <a:ext uri="{FF2B5EF4-FFF2-40B4-BE49-F238E27FC236}">
              <a16:creationId xmlns:a16="http://schemas.microsoft.com/office/drawing/2014/main" id="{2A8AA61B-6D3F-D149-A762-009A01CEC766}"/>
            </a:ext>
          </a:extLst>
        </xdr:cNvPr>
        <xdr:cNvSpPr/>
      </xdr:nvSpPr>
      <xdr:spPr>
        <a:xfrm>
          <a:off x="2694940" y="6328032"/>
          <a:ext cx="5798820" cy="976115"/>
        </a:xfrm>
        <a:prstGeom prst="rect">
          <a:avLst/>
        </a:prstGeom>
        <a:ln>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kern="1200">
              <a:latin typeface="+mn-ea"/>
              <a:ea typeface="+mn-ea"/>
            </a:rPr>
            <a:t>　上記</a:t>
          </a:r>
          <a:r>
            <a:rPr kumimoji="1" lang="en-US" altLang="ja-JP" sz="1100" kern="1200">
              <a:latin typeface="+mn-ea"/>
              <a:ea typeface="+mn-ea"/>
            </a:rPr>
            <a:t>①</a:t>
          </a:r>
          <a:r>
            <a:rPr kumimoji="1" lang="ja-JP" altLang="en-US" sz="1100" kern="1200">
              <a:latin typeface="+mn-ea"/>
              <a:ea typeface="+mn-ea"/>
            </a:rPr>
            <a:t>および</a:t>
          </a:r>
          <a:r>
            <a:rPr kumimoji="1" lang="en-US" altLang="ja-JP" sz="1100" kern="1200">
              <a:latin typeface="+mn-ea"/>
              <a:ea typeface="+mn-ea"/>
            </a:rPr>
            <a:t>②</a:t>
          </a:r>
          <a:r>
            <a:rPr kumimoji="1" lang="ja-JP" altLang="en-US" sz="1100" kern="1200">
              <a:latin typeface="+mn-ea"/>
              <a:ea typeface="+mn-ea"/>
            </a:rPr>
            <a:t>で入力した使用用途に応じて、分析結果が表示されます。</a:t>
          </a:r>
          <a:endParaRPr kumimoji="1" lang="en-US" altLang="ja-JP" sz="1100" kern="1200">
            <a:latin typeface="+mn-ea"/>
            <a:ea typeface="+mn-ea"/>
          </a:endParaRPr>
        </a:p>
        <a:p>
          <a:pPr>
            <a:lnSpc>
              <a:spcPts val="1640"/>
            </a:lnSpc>
          </a:pPr>
          <a:r>
            <a:rPr kumimoji="1" lang="ja-JP" altLang="en-US" sz="1100">
              <a:solidFill>
                <a:sysClr val="windowText" lastClr="000000"/>
              </a:solidFill>
              <a:latin typeface="+mn-ea"/>
              <a:ea typeface="+mn-ea"/>
            </a:rPr>
            <a:t>「</a:t>
          </a:r>
          <a:r>
            <a:rPr kumimoji="1" lang="ja-JP" altLang="en-US" sz="1100" dirty="0">
              <a:solidFill>
                <a:sysClr val="windowText" lastClr="000000"/>
              </a:solidFill>
              <a:latin typeface="+mn-ea"/>
              <a:ea typeface="+mn-ea"/>
            </a:rPr>
            <a:t>男女間賃金差異の状況」「女性活躍のためのアドバイス</a:t>
          </a:r>
          <a:r>
            <a:rPr kumimoji="1" lang="ja-JP" altLang="en-US" sz="1100">
              <a:solidFill>
                <a:sysClr val="windowText" lastClr="000000"/>
              </a:solidFill>
              <a:latin typeface="+mn-ea"/>
              <a:ea typeface="+mn-ea"/>
            </a:rPr>
            <a:t>」欄等に表示された結果は、</a:t>
          </a:r>
          <a:r>
            <a:rPr kumimoji="1" lang="ja-JP" altLang="en-US" sz="1100" dirty="0">
              <a:solidFill>
                <a:sysClr val="windowText" lastClr="000000"/>
              </a:solidFill>
              <a:latin typeface="+mn-ea"/>
              <a:ea typeface="+mn-ea"/>
            </a:rPr>
            <a:t>これまでに何</a:t>
          </a:r>
          <a:r>
            <a:rPr kumimoji="1" lang="ja-JP" altLang="en-US" sz="1100">
              <a:solidFill>
                <a:sysClr val="windowText" lastClr="000000"/>
              </a:solidFill>
              <a:latin typeface="+mn-ea"/>
              <a:ea typeface="+mn-ea"/>
            </a:rPr>
            <a:t>となく賃金差異の要因</a:t>
          </a:r>
          <a:r>
            <a:rPr kumimoji="1" lang="ja-JP" altLang="en-US" sz="1100" dirty="0">
              <a:solidFill>
                <a:sysClr val="windowText" lastClr="000000"/>
              </a:solidFill>
              <a:latin typeface="+mn-ea"/>
              <a:ea typeface="+mn-ea"/>
            </a:rPr>
            <a:t>と考えてきたものに一定の根拠を与えるものとなります</a:t>
          </a:r>
          <a:r>
            <a:rPr kumimoji="1" lang="ja-JP" altLang="en-US" sz="1100">
              <a:solidFill>
                <a:sysClr val="windowText" lastClr="000000"/>
              </a:solidFill>
              <a:latin typeface="+mn-ea"/>
              <a:ea typeface="+mn-ea"/>
            </a:rPr>
            <a:t>ので、 男女間賃金差異に関する情報公表などを行う際に、ご活用ください。 </a:t>
          </a:r>
          <a:endParaRPr kumimoji="1" lang="en-US" altLang="ja-JP" sz="1100" dirty="0">
            <a:solidFill>
              <a:sysClr val="windowText" lastClr="000000"/>
            </a:solidFill>
            <a:latin typeface="+mn-ea"/>
            <a:ea typeface="+mn-ea"/>
          </a:endParaRPr>
        </a:p>
      </xdr:txBody>
    </xdr:sp>
    <xdr:clientData/>
  </xdr:twoCellAnchor>
  <xdr:twoCellAnchor>
    <xdr:from>
      <xdr:col>16</xdr:col>
      <xdr:colOff>63500</xdr:colOff>
      <xdr:row>2</xdr:row>
      <xdr:rowOff>4381499</xdr:rowOff>
    </xdr:from>
    <xdr:to>
      <xdr:col>18</xdr:col>
      <xdr:colOff>7939</xdr:colOff>
      <xdr:row>2</xdr:row>
      <xdr:rowOff>4681537</xdr:rowOff>
    </xdr:to>
    <xdr:sp macro="" textlink="">
      <xdr:nvSpPr>
        <xdr:cNvPr id="81" name="二等辺三角形 12">
          <a:extLst>
            <a:ext uri="{FF2B5EF4-FFF2-40B4-BE49-F238E27FC236}">
              <a16:creationId xmlns:a16="http://schemas.microsoft.com/office/drawing/2014/main" id="{A125224C-BDE9-A848-9C5B-98F95BF63D7A}"/>
            </a:ext>
          </a:extLst>
        </xdr:cNvPr>
        <xdr:cNvSpPr/>
      </xdr:nvSpPr>
      <xdr:spPr>
        <a:xfrm rot="16200000">
          <a:off x="2456181" y="6723378"/>
          <a:ext cx="300038" cy="167959"/>
        </a:xfrm>
        <a:prstGeom prst="triangle">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76200</xdr:colOff>
      <xdr:row>2</xdr:row>
      <xdr:rowOff>1657643</xdr:rowOff>
    </xdr:from>
    <xdr:to>
      <xdr:col>7</xdr:col>
      <xdr:colOff>76200</xdr:colOff>
      <xdr:row>2</xdr:row>
      <xdr:rowOff>2509590</xdr:rowOff>
    </xdr:to>
    <xdr:cxnSp macro="">
      <xdr:nvCxnSpPr>
        <xdr:cNvPr id="82" name="直線矢印コネクタ 81">
          <a:extLst>
            <a:ext uri="{FF2B5EF4-FFF2-40B4-BE49-F238E27FC236}">
              <a16:creationId xmlns:a16="http://schemas.microsoft.com/office/drawing/2014/main" id="{B53EA4C7-D9D0-5D48-A402-F66FDB971E27}"/>
            </a:ext>
          </a:extLst>
        </xdr:cNvPr>
        <xdr:cNvCxnSpPr/>
      </xdr:nvCxnSpPr>
      <xdr:spPr>
        <a:xfrm>
          <a:off x="1254760" y="3933483"/>
          <a:ext cx="0" cy="851947"/>
        </a:xfrm>
        <a:prstGeom prst="straightConnector1">
          <a:avLst/>
        </a:prstGeom>
        <a:ln w="4445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2</xdr:row>
      <xdr:rowOff>3695699</xdr:rowOff>
    </xdr:from>
    <xdr:to>
      <xdr:col>7</xdr:col>
      <xdr:colOff>38100</xdr:colOff>
      <xdr:row>2</xdr:row>
      <xdr:rowOff>4086224</xdr:rowOff>
    </xdr:to>
    <xdr:cxnSp macro="">
      <xdr:nvCxnSpPr>
        <xdr:cNvPr id="83" name="直線矢印コネクタ 82">
          <a:extLst>
            <a:ext uri="{FF2B5EF4-FFF2-40B4-BE49-F238E27FC236}">
              <a16:creationId xmlns:a16="http://schemas.microsoft.com/office/drawing/2014/main" id="{5D156AE3-B48A-9543-89CD-F49DEC11333E}"/>
            </a:ext>
          </a:extLst>
        </xdr:cNvPr>
        <xdr:cNvCxnSpPr/>
      </xdr:nvCxnSpPr>
      <xdr:spPr>
        <a:xfrm>
          <a:off x="1216660" y="5971539"/>
          <a:ext cx="0" cy="390525"/>
        </a:xfrm>
        <a:prstGeom prst="straightConnector1">
          <a:avLst/>
        </a:prstGeom>
        <a:ln w="4445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31750</xdr:colOff>
      <xdr:row>26</xdr:row>
      <xdr:rowOff>368299</xdr:rowOff>
    </xdr:from>
    <xdr:to>
      <xdr:col>30</xdr:col>
      <xdr:colOff>50800</xdr:colOff>
      <xdr:row>27</xdr:row>
      <xdr:rowOff>114299</xdr:rowOff>
    </xdr:to>
    <xdr:graphicFrame macro="">
      <xdr:nvGraphicFramePr>
        <xdr:cNvPr id="55" name="グラフ 54">
          <a:extLst>
            <a:ext uri="{FF2B5EF4-FFF2-40B4-BE49-F238E27FC236}">
              <a16:creationId xmlns:a16="http://schemas.microsoft.com/office/drawing/2014/main" id="{52CE24A5-7E83-BDB5-FA04-BAA2A981B4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xdr:col>
      <xdr:colOff>31750</xdr:colOff>
      <xdr:row>26</xdr:row>
      <xdr:rowOff>380999</xdr:rowOff>
    </xdr:from>
    <xdr:to>
      <xdr:col>58</xdr:col>
      <xdr:colOff>139700</xdr:colOff>
      <xdr:row>27</xdr:row>
      <xdr:rowOff>139699</xdr:rowOff>
    </xdr:to>
    <xdr:graphicFrame macro="">
      <xdr:nvGraphicFramePr>
        <xdr:cNvPr id="57" name="グラフ 56">
          <a:extLst>
            <a:ext uri="{FF2B5EF4-FFF2-40B4-BE49-F238E27FC236}">
              <a16:creationId xmlns:a16="http://schemas.microsoft.com/office/drawing/2014/main" id="{C2D63B13-AB70-B25B-0B5A-33A183D1AB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228600</xdr:colOff>
      <xdr:row>11</xdr:row>
      <xdr:rowOff>500602</xdr:rowOff>
    </xdr:from>
    <xdr:to>
      <xdr:col>20</xdr:col>
      <xdr:colOff>50800</xdr:colOff>
      <xdr:row>25</xdr:row>
      <xdr:rowOff>299942</xdr:rowOff>
    </xdr:to>
    <xdr:graphicFrame macro="">
      <xdr:nvGraphicFramePr>
        <xdr:cNvPr id="84" name="グラフ 83">
          <a:extLst>
            <a:ext uri="{FF2B5EF4-FFF2-40B4-BE49-F238E27FC236}">
              <a16:creationId xmlns:a16="http://schemas.microsoft.com/office/drawing/2014/main" id="{607D268F-D6C5-AA54-1334-D628813D3F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228600</xdr:colOff>
      <xdr:row>2</xdr:row>
      <xdr:rowOff>4364566</xdr:rowOff>
    </xdr:from>
    <xdr:to>
      <xdr:col>14</xdr:col>
      <xdr:colOff>127000</xdr:colOff>
      <xdr:row>2</xdr:row>
      <xdr:rowOff>4631266</xdr:rowOff>
    </xdr:to>
    <xdr:sp macro="" textlink="">
      <xdr:nvSpPr>
        <xdr:cNvPr id="6" name="正方形/長方形 5">
          <a:hlinkClick xmlns:r="http://schemas.openxmlformats.org/officeDocument/2006/relationships" r:id="rId6"/>
          <a:extLst>
            <a:ext uri="{FF2B5EF4-FFF2-40B4-BE49-F238E27FC236}">
              <a16:creationId xmlns:a16="http://schemas.microsoft.com/office/drawing/2014/main" id="{3FD0422B-CF75-4D2B-2034-600B067707CF}"/>
            </a:ext>
          </a:extLst>
        </xdr:cNvPr>
        <xdr:cNvSpPr/>
      </xdr:nvSpPr>
      <xdr:spPr>
        <a:xfrm>
          <a:off x="462280" y="6640406"/>
          <a:ext cx="1838960" cy="2667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59267</xdr:colOff>
      <xdr:row>2</xdr:row>
      <xdr:rowOff>4635499</xdr:rowOff>
    </xdr:from>
    <xdr:to>
      <xdr:col>15</xdr:col>
      <xdr:colOff>0</xdr:colOff>
      <xdr:row>2</xdr:row>
      <xdr:rowOff>4961467</xdr:rowOff>
    </xdr:to>
    <xdr:sp macro="" textlink="">
      <xdr:nvSpPr>
        <xdr:cNvPr id="10" name="正方形/長方形 9">
          <a:hlinkClick xmlns:r="http://schemas.openxmlformats.org/officeDocument/2006/relationships" r:id="rId7"/>
          <a:extLst>
            <a:ext uri="{FF2B5EF4-FFF2-40B4-BE49-F238E27FC236}">
              <a16:creationId xmlns:a16="http://schemas.microsoft.com/office/drawing/2014/main" id="{82FF0EAE-6A60-984A-972A-7674C32878FE}"/>
            </a:ext>
          </a:extLst>
        </xdr:cNvPr>
        <xdr:cNvSpPr/>
      </xdr:nvSpPr>
      <xdr:spPr>
        <a:xfrm>
          <a:off x="292947" y="6911339"/>
          <a:ext cx="2023533" cy="32596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xdr:col>
      <xdr:colOff>44325</xdr:colOff>
      <xdr:row>41</xdr:row>
      <xdr:rowOff>70784</xdr:rowOff>
    </xdr:from>
    <xdr:to>
      <xdr:col>52</xdr:col>
      <xdr:colOff>133223</xdr:colOff>
      <xdr:row>45</xdr:row>
      <xdr:rowOff>1865212</xdr:rowOff>
    </xdr:to>
    <xdr:grpSp>
      <xdr:nvGrpSpPr>
        <xdr:cNvPr id="3" name="グループ化 2">
          <a:extLst>
            <a:ext uri="{FF2B5EF4-FFF2-40B4-BE49-F238E27FC236}">
              <a16:creationId xmlns:a16="http://schemas.microsoft.com/office/drawing/2014/main" id="{897A9A44-2A14-9850-7028-EE070DF61B24}"/>
            </a:ext>
          </a:extLst>
        </xdr:cNvPr>
        <xdr:cNvGrpSpPr/>
      </xdr:nvGrpSpPr>
      <xdr:grpSpPr>
        <a:xfrm>
          <a:off x="672975" y="25512059"/>
          <a:ext cx="7442198" cy="2956478"/>
          <a:chOff x="872069" y="24345451"/>
          <a:chExt cx="7454898" cy="2958231"/>
        </a:xfrm>
      </xdr:grpSpPr>
      <xdr:grpSp>
        <xdr:nvGrpSpPr>
          <xdr:cNvPr id="70" name="グループ化 69">
            <a:extLst>
              <a:ext uri="{FF2B5EF4-FFF2-40B4-BE49-F238E27FC236}">
                <a16:creationId xmlns:a16="http://schemas.microsoft.com/office/drawing/2014/main" id="{9BB8FB9A-50DC-6E86-EF07-991058C0DAA1}"/>
              </a:ext>
            </a:extLst>
          </xdr:cNvPr>
          <xdr:cNvGrpSpPr/>
        </xdr:nvGrpSpPr>
        <xdr:grpSpPr>
          <a:xfrm>
            <a:off x="872069" y="24345451"/>
            <a:ext cx="3407834" cy="2953417"/>
            <a:chOff x="6408269" y="11834261"/>
            <a:chExt cx="2601758" cy="3004365"/>
          </a:xfrm>
        </xdr:grpSpPr>
        <xdr:grpSp>
          <xdr:nvGrpSpPr>
            <xdr:cNvPr id="58" name="グループ化 57">
              <a:extLst>
                <a:ext uri="{FF2B5EF4-FFF2-40B4-BE49-F238E27FC236}">
                  <a16:creationId xmlns:a16="http://schemas.microsoft.com/office/drawing/2014/main" id="{65AD7A15-FAF1-2052-285E-F8A20F1E3215}"/>
                </a:ext>
              </a:extLst>
            </xdr:cNvPr>
            <xdr:cNvGrpSpPr/>
          </xdr:nvGrpSpPr>
          <xdr:grpSpPr>
            <a:xfrm>
              <a:off x="6408269" y="12220482"/>
              <a:ext cx="2601758" cy="2618144"/>
              <a:chOff x="6408269" y="14850129"/>
              <a:chExt cx="2601758" cy="2618144"/>
            </a:xfrm>
          </xdr:grpSpPr>
          <xdr:graphicFrame macro="">
            <xdr:nvGraphicFramePr>
              <xdr:cNvPr id="5" name="グラフ 4">
                <a:extLst>
                  <a:ext uri="{FF2B5EF4-FFF2-40B4-BE49-F238E27FC236}">
                    <a16:creationId xmlns:a16="http://schemas.microsoft.com/office/drawing/2014/main" id="{7DA082BD-EB7A-20C7-B030-8763EB19CBCA}"/>
                  </a:ext>
                </a:extLst>
              </xdr:cNvPr>
              <xdr:cNvGraphicFramePr/>
            </xdr:nvGraphicFramePr>
            <xdr:xfrm>
              <a:off x="6491773" y="14850129"/>
              <a:ext cx="2447158" cy="2618144"/>
            </xdr:xfrm>
            <a:graphic>
              <a:graphicData uri="http://schemas.openxmlformats.org/drawingml/2006/chart">
                <c:chart xmlns:c="http://schemas.openxmlformats.org/drawingml/2006/chart" xmlns:r="http://schemas.openxmlformats.org/officeDocument/2006/relationships" r:id="rId8"/>
              </a:graphicData>
            </a:graphic>
          </xdr:graphicFrame>
          <xdr:sp macro="" textlink="">
            <xdr:nvSpPr>
              <xdr:cNvPr id="29" name="正方形/長方形 28">
                <a:extLst>
                  <a:ext uri="{FF2B5EF4-FFF2-40B4-BE49-F238E27FC236}">
                    <a16:creationId xmlns:a16="http://schemas.microsoft.com/office/drawing/2014/main" id="{EDB3D468-63F1-2C49-92B3-C6D2AD502B30}"/>
                  </a:ext>
                </a:extLst>
              </xdr:cNvPr>
              <xdr:cNvSpPr/>
            </xdr:nvSpPr>
            <xdr:spPr>
              <a:xfrm>
                <a:off x="8485479" y="15830970"/>
                <a:ext cx="524548" cy="81891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b="1" kern="1200">
                    <a:solidFill>
                      <a:schemeClr val="tx1"/>
                    </a:solidFill>
                  </a:rPr>
                  <a:t>平均</a:t>
                </a:r>
                <a:endParaRPr kumimoji="1" lang="en-US" altLang="ja-JP" sz="1100" b="1" kern="1200">
                  <a:solidFill>
                    <a:schemeClr val="tx1"/>
                  </a:solidFill>
                </a:endParaRPr>
              </a:p>
              <a:p>
                <a:pPr algn="ctr"/>
                <a:r>
                  <a:rPr kumimoji="1" lang="ja-JP" altLang="en-US" sz="1100" b="1" kern="1200">
                    <a:solidFill>
                      <a:schemeClr val="tx1"/>
                    </a:solidFill>
                  </a:rPr>
                  <a:t>継続勤務</a:t>
                </a:r>
                <a:endParaRPr kumimoji="1" lang="en-US" altLang="ja-JP" sz="1100" b="1" kern="1200">
                  <a:solidFill>
                    <a:schemeClr val="tx1"/>
                  </a:solidFill>
                </a:endParaRPr>
              </a:p>
              <a:p>
                <a:pPr algn="ctr"/>
                <a:r>
                  <a:rPr kumimoji="1" lang="ja-JP" altLang="en-US" sz="1100" b="1" kern="1200">
                    <a:solidFill>
                      <a:schemeClr val="tx1"/>
                    </a:solidFill>
                  </a:rPr>
                  <a:t>年数</a:t>
                </a:r>
              </a:p>
            </xdr:txBody>
          </xdr:sp>
          <xdr:sp macro="" textlink="">
            <xdr:nvSpPr>
              <xdr:cNvPr id="30" name="正方形/長方形 29">
                <a:extLst>
                  <a:ext uri="{FF2B5EF4-FFF2-40B4-BE49-F238E27FC236}">
                    <a16:creationId xmlns:a16="http://schemas.microsoft.com/office/drawing/2014/main" id="{45040D3B-9F57-8044-B2E6-3FC60BF08B93}"/>
                  </a:ext>
                </a:extLst>
              </xdr:cNvPr>
              <xdr:cNvSpPr/>
            </xdr:nvSpPr>
            <xdr:spPr>
              <a:xfrm>
                <a:off x="6850933" y="17249009"/>
                <a:ext cx="1847758" cy="20789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b="1" kern="1200">
                    <a:solidFill>
                      <a:schemeClr val="tx1"/>
                    </a:solidFill>
                  </a:rPr>
                  <a:t>女性管理職</a:t>
                </a:r>
                <a:r>
                  <a:rPr kumimoji="1" lang="en-US" altLang="ja-JP" sz="900" b="1" kern="1200">
                    <a:solidFill>
                      <a:schemeClr val="tx1"/>
                    </a:solidFill>
                  </a:rPr>
                  <a:t>※</a:t>
                </a:r>
                <a:r>
                  <a:rPr kumimoji="1" lang="ja-JP" altLang="en-US" sz="900" b="1" kern="1200">
                    <a:solidFill>
                      <a:schemeClr val="tx1"/>
                    </a:solidFill>
                  </a:rPr>
                  <a:t>正規雇用労働者のみ</a:t>
                </a:r>
              </a:p>
            </xdr:txBody>
          </xdr:sp>
          <xdr:sp macro="" textlink="">
            <xdr:nvSpPr>
              <xdr:cNvPr id="32" name="正方形/長方形 31">
                <a:extLst>
                  <a:ext uri="{FF2B5EF4-FFF2-40B4-BE49-F238E27FC236}">
                    <a16:creationId xmlns:a16="http://schemas.microsoft.com/office/drawing/2014/main" id="{A06949CC-2F60-FD4E-BA59-961AD074D5EC}"/>
                  </a:ext>
                </a:extLst>
              </xdr:cNvPr>
              <xdr:cNvSpPr/>
            </xdr:nvSpPr>
            <xdr:spPr>
              <a:xfrm>
                <a:off x="6408269" y="15947531"/>
                <a:ext cx="482584" cy="62547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b="1" kern="1200">
                    <a:solidFill>
                      <a:schemeClr val="tx1"/>
                    </a:solidFill>
                  </a:rPr>
                  <a:t>平均残業</a:t>
                </a:r>
                <a:endParaRPr kumimoji="1" lang="en-US" altLang="ja-JP" sz="1100" b="1" kern="1200">
                  <a:solidFill>
                    <a:schemeClr val="tx1"/>
                  </a:solidFill>
                </a:endParaRPr>
              </a:p>
              <a:p>
                <a:pPr algn="ctr"/>
                <a:r>
                  <a:rPr kumimoji="1" lang="ja-JP" altLang="en-US" sz="1100" b="1" kern="1200">
                    <a:solidFill>
                      <a:schemeClr val="tx1"/>
                    </a:solidFill>
                  </a:rPr>
                  <a:t>時間</a:t>
                </a:r>
                <a:r>
                  <a:rPr kumimoji="1" lang="en-US" altLang="ja-JP" sz="1100" b="1" kern="1200">
                    <a:solidFill>
                      <a:schemeClr val="tx1"/>
                    </a:solidFill>
                  </a:rPr>
                  <a:t>/</a:t>
                </a:r>
                <a:r>
                  <a:rPr kumimoji="1" lang="ja-JP" altLang="en-US" sz="1100" b="1" kern="1200">
                    <a:solidFill>
                      <a:schemeClr val="tx1"/>
                    </a:solidFill>
                  </a:rPr>
                  <a:t>月</a:t>
                </a:r>
              </a:p>
            </xdr:txBody>
          </xdr:sp>
        </xdr:grpSp>
        <xdr:sp macro="" textlink="">
          <xdr:nvSpPr>
            <xdr:cNvPr id="65" name="正方形/長方形 64">
              <a:extLst>
                <a:ext uri="{FF2B5EF4-FFF2-40B4-BE49-F238E27FC236}">
                  <a16:creationId xmlns:a16="http://schemas.microsoft.com/office/drawing/2014/main" id="{D8812366-4B92-5E46-B243-1CFF5D4D70E0}"/>
                </a:ext>
              </a:extLst>
            </xdr:cNvPr>
            <xdr:cNvSpPr/>
          </xdr:nvSpPr>
          <xdr:spPr>
            <a:xfrm>
              <a:off x="6450096" y="11834261"/>
              <a:ext cx="1755426" cy="41372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kern="1200">
                  <a:solidFill>
                    <a:srgbClr val="C00000"/>
                  </a:solidFill>
                </a:rPr>
                <a:t>正規雇用労働者</a:t>
              </a:r>
              <a:endParaRPr kumimoji="1" lang="en-US" altLang="ja-JP" sz="1600" b="1" kern="1200">
                <a:solidFill>
                  <a:srgbClr val="C00000"/>
                </a:solidFill>
              </a:endParaRPr>
            </a:p>
          </xdr:txBody>
        </xdr:sp>
      </xdr:grpSp>
      <xdr:grpSp>
        <xdr:nvGrpSpPr>
          <xdr:cNvPr id="17" name="グループ化 16">
            <a:extLst>
              <a:ext uri="{FF2B5EF4-FFF2-40B4-BE49-F238E27FC236}">
                <a16:creationId xmlns:a16="http://schemas.microsoft.com/office/drawing/2014/main" id="{8F359325-73D5-A0CB-52B4-26454F723079}"/>
              </a:ext>
            </a:extLst>
          </xdr:cNvPr>
          <xdr:cNvGrpSpPr/>
        </xdr:nvGrpSpPr>
        <xdr:grpSpPr>
          <a:xfrm>
            <a:off x="4419600" y="24379909"/>
            <a:ext cx="3907367" cy="2923773"/>
            <a:chOff x="5885021" y="24739830"/>
            <a:chExt cx="2977163" cy="2906754"/>
          </a:xfrm>
        </xdr:grpSpPr>
        <xdr:grpSp>
          <xdr:nvGrpSpPr>
            <xdr:cNvPr id="67" name="グループ化 66">
              <a:extLst>
                <a:ext uri="{FF2B5EF4-FFF2-40B4-BE49-F238E27FC236}">
                  <a16:creationId xmlns:a16="http://schemas.microsoft.com/office/drawing/2014/main" id="{F330BA66-26E9-BD82-76BA-4E9790870F75}"/>
                </a:ext>
              </a:extLst>
            </xdr:cNvPr>
            <xdr:cNvGrpSpPr/>
          </xdr:nvGrpSpPr>
          <xdr:grpSpPr>
            <a:xfrm>
              <a:off x="5885021" y="24739830"/>
              <a:ext cx="2977163" cy="2906754"/>
              <a:chOff x="5969649" y="17430994"/>
              <a:chExt cx="2919849" cy="3053706"/>
            </a:xfrm>
          </xdr:grpSpPr>
          <xdr:graphicFrame macro="">
            <xdr:nvGraphicFramePr>
              <xdr:cNvPr id="59" name="グラフ 58">
                <a:extLst>
                  <a:ext uri="{FF2B5EF4-FFF2-40B4-BE49-F238E27FC236}">
                    <a16:creationId xmlns:a16="http://schemas.microsoft.com/office/drawing/2014/main" id="{3F666769-8829-B442-8F46-F8C9B3604B81}"/>
                  </a:ext>
                </a:extLst>
              </xdr:cNvPr>
              <xdr:cNvGraphicFramePr>
                <a:graphicFrameLocks/>
              </xdr:cNvGraphicFramePr>
            </xdr:nvGraphicFramePr>
            <xdr:xfrm>
              <a:off x="6320118" y="17794942"/>
              <a:ext cx="2530233" cy="2689758"/>
            </xdr:xfrm>
            <a:graphic>
              <a:graphicData uri="http://schemas.openxmlformats.org/drawingml/2006/chart">
                <c:chart xmlns:c="http://schemas.openxmlformats.org/drawingml/2006/chart" xmlns:r="http://schemas.openxmlformats.org/officeDocument/2006/relationships" r:id="rId9"/>
              </a:graphicData>
            </a:graphic>
          </xdr:graphicFrame>
          <xdr:sp macro="" textlink="">
            <xdr:nvSpPr>
              <xdr:cNvPr id="62" name="正方形/長方形 61">
                <a:extLst>
                  <a:ext uri="{FF2B5EF4-FFF2-40B4-BE49-F238E27FC236}">
                    <a16:creationId xmlns:a16="http://schemas.microsoft.com/office/drawing/2014/main" id="{7F62D341-C54F-D240-8A09-8D0622D34268}"/>
                  </a:ext>
                </a:extLst>
              </xdr:cNvPr>
              <xdr:cNvSpPr/>
            </xdr:nvSpPr>
            <xdr:spPr>
              <a:xfrm>
                <a:off x="8299316" y="19552440"/>
                <a:ext cx="590182" cy="89361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rIns="0" bIns="0" rtlCol="0" anchor="ctr" anchorCtr="0"/>
              <a:lstStyle/>
              <a:p>
                <a:pPr algn="ctr"/>
                <a:r>
                  <a:rPr kumimoji="1" lang="ja-JP" altLang="en-US" sz="1100" b="1" kern="1200">
                    <a:solidFill>
                      <a:schemeClr val="tx1"/>
                    </a:solidFill>
                  </a:rPr>
                  <a:t>平均</a:t>
                </a:r>
                <a:endParaRPr kumimoji="1" lang="en-US" altLang="ja-JP" sz="1100" b="1" kern="1200">
                  <a:solidFill>
                    <a:schemeClr val="tx1"/>
                  </a:solidFill>
                </a:endParaRPr>
              </a:p>
              <a:p>
                <a:pPr algn="ctr"/>
                <a:r>
                  <a:rPr kumimoji="1" lang="ja-JP" altLang="en-US" sz="1100" b="1" kern="1200">
                    <a:solidFill>
                      <a:schemeClr val="tx1"/>
                    </a:solidFill>
                  </a:rPr>
                  <a:t>継続勤務</a:t>
                </a:r>
                <a:endParaRPr kumimoji="1" lang="en-US" altLang="ja-JP" sz="1100" b="1" kern="1200">
                  <a:solidFill>
                    <a:schemeClr val="tx1"/>
                  </a:solidFill>
                </a:endParaRPr>
              </a:p>
              <a:p>
                <a:pPr algn="ctr"/>
                <a:r>
                  <a:rPr kumimoji="1" lang="ja-JP" altLang="en-US" sz="1100" b="1" kern="1200">
                    <a:solidFill>
                      <a:schemeClr val="tx1"/>
                    </a:solidFill>
                  </a:rPr>
                  <a:t>年数</a:t>
                </a:r>
              </a:p>
            </xdr:txBody>
          </xdr:sp>
          <xdr:sp macro="" textlink="">
            <xdr:nvSpPr>
              <xdr:cNvPr id="66" name="正方形/長方形 65">
                <a:extLst>
                  <a:ext uri="{FF2B5EF4-FFF2-40B4-BE49-F238E27FC236}">
                    <a16:creationId xmlns:a16="http://schemas.microsoft.com/office/drawing/2014/main" id="{A4887CF7-0CFE-474B-802C-02AF5EADE69C}"/>
                  </a:ext>
                </a:extLst>
              </xdr:cNvPr>
              <xdr:cNvSpPr/>
            </xdr:nvSpPr>
            <xdr:spPr>
              <a:xfrm>
                <a:off x="5969649" y="17430994"/>
                <a:ext cx="1981316" cy="41372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kern="1200">
                    <a:solidFill>
                      <a:srgbClr val="44812A"/>
                    </a:solidFill>
                  </a:rPr>
                  <a:t>非正規雇用労働者</a:t>
                </a:r>
                <a:endParaRPr kumimoji="1" lang="en-US" altLang="ja-JP" sz="1600" b="1" kern="1200">
                  <a:solidFill>
                    <a:srgbClr val="44812A"/>
                  </a:solidFill>
                </a:endParaRPr>
              </a:p>
            </xdr:txBody>
          </xdr:sp>
        </xdr:grpSp>
        <xdr:sp macro="" textlink="">
          <xdr:nvSpPr>
            <xdr:cNvPr id="69" name="正方形/長方形 68">
              <a:extLst>
                <a:ext uri="{FF2B5EF4-FFF2-40B4-BE49-F238E27FC236}">
                  <a16:creationId xmlns:a16="http://schemas.microsoft.com/office/drawing/2014/main" id="{6F04D6F1-205E-CF47-A393-95D0DA877521}"/>
                </a:ext>
              </a:extLst>
            </xdr:cNvPr>
            <xdr:cNvSpPr/>
          </xdr:nvSpPr>
          <xdr:spPr>
            <a:xfrm>
              <a:off x="6464046" y="25110143"/>
              <a:ext cx="2186992" cy="23905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b="1" kern="1200">
                  <a:solidFill>
                    <a:schemeClr val="tx1"/>
                  </a:solidFill>
                </a:rPr>
                <a:t>（直近１年間の）採用者数又は労働者数</a:t>
              </a:r>
            </a:p>
          </xdr:txBody>
        </xdr:sp>
        <xdr:sp macro="" textlink="">
          <xdr:nvSpPr>
            <xdr:cNvPr id="71" name="正方形/長方形 70">
              <a:extLst>
                <a:ext uri="{FF2B5EF4-FFF2-40B4-BE49-F238E27FC236}">
                  <a16:creationId xmlns:a16="http://schemas.microsoft.com/office/drawing/2014/main" id="{06F9AF4B-9D19-F04A-A8FC-74C27DB51C0F}"/>
                </a:ext>
              </a:extLst>
            </xdr:cNvPr>
            <xdr:cNvSpPr/>
          </xdr:nvSpPr>
          <xdr:spPr>
            <a:xfrm>
              <a:off x="6212298" y="26949400"/>
              <a:ext cx="538423" cy="609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b="1" kern="1200">
                  <a:solidFill>
                    <a:schemeClr val="tx1"/>
                  </a:solidFill>
                </a:rPr>
                <a:t>平均残業</a:t>
              </a:r>
              <a:endParaRPr kumimoji="1" lang="en-US" altLang="ja-JP" sz="1100" b="1" kern="1200">
                <a:solidFill>
                  <a:schemeClr val="tx1"/>
                </a:solidFill>
              </a:endParaRPr>
            </a:p>
            <a:p>
              <a:pPr algn="ctr"/>
              <a:r>
                <a:rPr kumimoji="1" lang="ja-JP" altLang="en-US" sz="1100" b="1" kern="1200">
                  <a:solidFill>
                    <a:schemeClr val="tx1"/>
                  </a:solidFill>
                </a:rPr>
                <a:t>時間</a:t>
              </a:r>
              <a:r>
                <a:rPr kumimoji="1" lang="en-US" altLang="ja-JP" sz="1100" b="1" kern="1200">
                  <a:solidFill>
                    <a:schemeClr val="tx1"/>
                  </a:solidFill>
                </a:rPr>
                <a:t>/</a:t>
              </a:r>
              <a:r>
                <a:rPr kumimoji="1" lang="ja-JP" altLang="en-US" sz="1100" b="1" kern="1200">
                  <a:solidFill>
                    <a:schemeClr val="tx1"/>
                  </a:solidFill>
                </a:rPr>
                <a:t>月</a:t>
              </a:r>
            </a:p>
          </xdr:txBody>
        </xdr:sp>
      </xdr:grpSp>
      <xdr:sp macro="" textlink="">
        <xdr:nvSpPr>
          <xdr:cNvPr id="2" name="正方形/長方形 1">
            <a:extLst>
              <a:ext uri="{FF2B5EF4-FFF2-40B4-BE49-F238E27FC236}">
                <a16:creationId xmlns:a16="http://schemas.microsoft.com/office/drawing/2014/main" id="{17691A6E-3362-E248-8936-87B91A368977}"/>
              </a:ext>
            </a:extLst>
          </xdr:cNvPr>
          <xdr:cNvSpPr/>
        </xdr:nvSpPr>
        <xdr:spPr>
          <a:xfrm>
            <a:off x="1159417" y="24727146"/>
            <a:ext cx="2819915" cy="2688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b="1" kern="1200">
                <a:solidFill>
                  <a:schemeClr val="tx1"/>
                </a:solidFill>
              </a:rPr>
              <a:t>（直近１年間の）採用者数又は労働者数</a:t>
            </a:r>
          </a:p>
        </xdr:txBody>
      </xdr:sp>
    </xdr:grpSp>
    <xdr:clientData/>
  </xdr:twoCellAnchor>
  <xdr:twoCellAnchor>
    <xdr:from>
      <xdr:col>38</xdr:col>
      <xdr:colOff>16934</xdr:colOff>
      <xdr:row>30</xdr:row>
      <xdr:rowOff>281092</xdr:rowOff>
    </xdr:from>
    <xdr:to>
      <xdr:col>58</xdr:col>
      <xdr:colOff>254002</xdr:colOff>
      <xdr:row>31</xdr:row>
      <xdr:rowOff>104985</xdr:rowOff>
    </xdr:to>
    <xdr:sp macro="" textlink="">
      <xdr:nvSpPr>
        <xdr:cNvPr id="16" name="正方形/長方形 15">
          <a:extLst>
            <a:ext uri="{FF2B5EF4-FFF2-40B4-BE49-F238E27FC236}">
              <a16:creationId xmlns:a16="http://schemas.microsoft.com/office/drawing/2014/main" id="{D0F778E4-2F6E-C64B-B064-16DDCF332D35}"/>
            </a:ext>
          </a:extLst>
        </xdr:cNvPr>
        <xdr:cNvSpPr/>
      </xdr:nvSpPr>
      <xdr:spPr>
        <a:xfrm>
          <a:off x="5533814" y="20916052"/>
          <a:ext cx="3061548" cy="36237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en-US" altLang="ja-JP" sz="1000" b="1" kern="1200">
              <a:solidFill>
                <a:sysClr val="windowText" lastClr="000000"/>
              </a:solidFill>
            </a:rPr>
            <a:t>※</a:t>
          </a:r>
          <a:r>
            <a:rPr kumimoji="1" lang="ja-JP" altLang="en-US" sz="1000" b="1" kern="1200">
              <a:solidFill>
                <a:sysClr val="windowText" lastClr="000000"/>
              </a:solidFill>
            </a:rPr>
            <a:t>男性に対する女性の割合（％）＝</a:t>
          </a:r>
          <a:r>
            <a:rPr kumimoji="1" lang="ja-JP" altLang="en-US" sz="1000" b="1" kern="1200">
              <a:solidFill>
                <a:schemeClr val="tx1"/>
              </a:solidFill>
            </a:rPr>
            <a:t>女性値</a:t>
          </a:r>
          <a:r>
            <a:rPr kumimoji="1" lang="en-US" altLang="ja-JP" sz="1000" b="1" kern="1200">
              <a:solidFill>
                <a:schemeClr val="tx1"/>
              </a:solidFill>
            </a:rPr>
            <a:t>÷</a:t>
          </a:r>
          <a:r>
            <a:rPr kumimoji="1" lang="ja-JP" altLang="en-US" sz="1000" b="1" kern="1200">
              <a:solidFill>
                <a:schemeClr val="tx1"/>
              </a:solidFill>
            </a:rPr>
            <a:t>男性値</a:t>
          </a:r>
        </a:p>
      </xdr:txBody>
    </xdr:sp>
    <xdr:clientData/>
  </xdr:twoCellAnchor>
  <xdr:twoCellAnchor>
    <xdr:from>
      <xdr:col>0</xdr:col>
      <xdr:colOff>169333</xdr:colOff>
      <xdr:row>2</xdr:row>
      <xdr:rowOff>4081705</xdr:rowOff>
    </xdr:from>
    <xdr:to>
      <xdr:col>15</xdr:col>
      <xdr:colOff>79454</xdr:colOff>
      <xdr:row>2</xdr:row>
      <xdr:rowOff>4991099</xdr:rowOff>
    </xdr:to>
    <xdr:sp macro="" textlink="">
      <xdr:nvSpPr>
        <xdr:cNvPr id="79" name="正方形/長方形 78">
          <a:extLst>
            <a:ext uri="{FF2B5EF4-FFF2-40B4-BE49-F238E27FC236}">
              <a16:creationId xmlns:a16="http://schemas.microsoft.com/office/drawing/2014/main" id="{CA77EFDB-03DA-AD4C-8166-4ABFB6887F44}"/>
            </a:ext>
          </a:extLst>
        </xdr:cNvPr>
        <xdr:cNvSpPr/>
      </xdr:nvSpPr>
      <xdr:spPr>
        <a:xfrm>
          <a:off x="169333" y="6357545"/>
          <a:ext cx="2226601" cy="90939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46800" tIns="0" rIns="46800" bIns="0" rtlCol="0" anchor="ctr"/>
        <a:lstStyle/>
        <a:p>
          <a:pPr algn="ctr"/>
          <a:r>
            <a:rPr kumimoji="1" lang="en-US" altLang="ja-JP" sz="1200" b="1" kern="1200">
              <a:latin typeface="+mn-ea"/>
              <a:ea typeface="+mn-ea"/>
            </a:rPr>
            <a:t>③</a:t>
          </a:r>
          <a:r>
            <a:rPr kumimoji="1" lang="ja-JP" altLang="en-US" sz="1200" b="1" u="none" kern="1200">
              <a:solidFill>
                <a:schemeClr val="tx1"/>
              </a:solidFill>
              <a:latin typeface="+mn-ea"/>
              <a:ea typeface="+mn-ea"/>
            </a:rPr>
            <a:t>シート［分析結果］</a:t>
          </a:r>
          <a:endParaRPr kumimoji="1" lang="en-US" altLang="ja-JP" sz="1200" b="1" u="none" kern="1200">
            <a:solidFill>
              <a:schemeClr val="tx1"/>
            </a:solidFill>
            <a:latin typeface="+mn-ea"/>
            <a:ea typeface="+mn-ea"/>
          </a:endParaRPr>
        </a:p>
        <a:p>
          <a:pPr algn="ctr"/>
          <a:r>
            <a:rPr kumimoji="1" lang="en-US" altLang="ja-JP" sz="1200" b="1" u="none" kern="1200" baseline="0">
              <a:solidFill>
                <a:schemeClr val="tx1"/>
              </a:solidFill>
              <a:latin typeface="+mn-ea"/>
              <a:ea typeface="+mn-ea"/>
            </a:rPr>
            <a:t>  </a:t>
          </a:r>
          <a:r>
            <a:rPr kumimoji="1" lang="ja-JP" altLang="en-US" sz="1200" b="1" u="none" kern="1200" baseline="0">
              <a:solidFill>
                <a:schemeClr val="accent4"/>
              </a:solidFill>
              <a:latin typeface="+mn-ea"/>
              <a:ea typeface="+mn-ea"/>
            </a:rPr>
            <a:t>１</a:t>
          </a:r>
          <a:r>
            <a:rPr kumimoji="1" lang="en-US" altLang="ja-JP" sz="1200" b="1" u="none" kern="1200" baseline="0">
              <a:solidFill>
                <a:schemeClr val="accent4"/>
              </a:solidFill>
              <a:latin typeface="+mn-ea"/>
              <a:ea typeface="+mn-ea"/>
            </a:rPr>
            <a:t>,</a:t>
          </a:r>
          <a:r>
            <a:rPr kumimoji="1" lang="ja-JP" altLang="en-US" sz="1200" b="1" u="none" kern="1200">
              <a:solidFill>
                <a:schemeClr val="accent4"/>
              </a:solidFill>
              <a:latin typeface="+mn-ea"/>
              <a:ea typeface="+mn-ea"/>
            </a:rPr>
            <a:t>男女間賃金差異</a:t>
          </a:r>
          <a:endParaRPr kumimoji="1" lang="en-US" altLang="ja-JP" sz="1200" b="1" u="none" kern="1200">
            <a:solidFill>
              <a:schemeClr val="accent4"/>
            </a:solidFill>
            <a:latin typeface="+mn-ea"/>
            <a:ea typeface="+mn-ea"/>
          </a:endParaRPr>
        </a:p>
        <a:p>
          <a:pPr algn="ctr"/>
          <a:r>
            <a:rPr kumimoji="1" lang="en-US" altLang="ja-JP" sz="1200" b="1" u="none" kern="1200">
              <a:solidFill>
                <a:schemeClr val="accent4"/>
              </a:solidFill>
              <a:latin typeface="+mn-ea"/>
              <a:ea typeface="+mn-ea"/>
            </a:rPr>
            <a:t>  </a:t>
          </a:r>
          <a:r>
            <a:rPr kumimoji="1" lang="ja-JP" altLang="en-US" sz="1200" b="1" u="none" kern="1200">
              <a:solidFill>
                <a:schemeClr val="accent4"/>
              </a:solidFill>
              <a:latin typeface="+mn-ea"/>
              <a:ea typeface="+mn-ea"/>
            </a:rPr>
            <a:t>２</a:t>
          </a:r>
          <a:r>
            <a:rPr kumimoji="1" lang="en-US" altLang="ja-JP" sz="1200" b="1" u="none" kern="1200">
              <a:solidFill>
                <a:schemeClr val="accent4"/>
              </a:solidFill>
              <a:latin typeface="+mn-ea"/>
              <a:ea typeface="+mn-ea"/>
            </a:rPr>
            <a:t>.</a:t>
          </a:r>
          <a:r>
            <a:rPr kumimoji="1" lang="ja-JP" altLang="en-US" sz="1200" b="1" u="none" kern="1200">
              <a:solidFill>
                <a:schemeClr val="accent4"/>
              </a:solidFill>
              <a:latin typeface="+mn-ea"/>
              <a:ea typeface="+mn-ea"/>
            </a:rPr>
            <a:t>男女間賃金菜が生じる要因</a:t>
          </a:r>
          <a:endParaRPr kumimoji="1" lang="en-US" altLang="ja-JP" sz="1200" b="1" u="none" kern="1200">
            <a:solidFill>
              <a:schemeClr val="accent4"/>
            </a:solidFill>
            <a:latin typeface="+mn-ea"/>
            <a:ea typeface="+mn-ea"/>
          </a:endParaRPr>
        </a:p>
      </xdr:txBody>
    </xdr:sp>
    <xdr:clientData/>
  </xdr:twoCellAnchor>
  <xdr:twoCellAnchor>
    <xdr:from>
      <xdr:col>41</xdr:col>
      <xdr:colOff>86266</xdr:colOff>
      <xdr:row>45</xdr:row>
      <xdr:rowOff>1841499</xdr:rowOff>
    </xdr:from>
    <xdr:to>
      <xdr:col>57</xdr:col>
      <xdr:colOff>137017</xdr:colOff>
      <xdr:row>46</xdr:row>
      <xdr:rowOff>73509</xdr:rowOff>
    </xdr:to>
    <xdr:grpSp>
      <xdr:nvGrpSpPr>
        <xdr:cNvPr id="13" name="グループ化 12">
          <a:extLst>
            <a:ext uri="{FF2B5EF4-FFF2-40B4-BE49-F238E27FC236}">
              <a16:creationId xmlns:a16="http://schemas.microsoft.com/office/drawing/2014/main" id="{DC731614-53EF-7644-699F-92463D7174F1}"/>
            </a:ext>
          </a:extLst>
        </xdr:cNvPr>
        <xdr:cNvGrpSpPr/>
      </xdr:nvGrpSpPr>
      <xdr:grpSpPr>
        <a:xfrm>
          <a:off x="6391816" y="28444824"/>
          <a:ext cx="2489151" cy="384660"/>
          <a:chOff x="6727826" y="28105099"/>
          <a:chExt cx="2482846" cy="391010"/>
        </a:xfrm>
      </xdr:grpSpPr>
      <xdr:cxnSp macro="">
        <xdr:nvCxnSpPr>
          <xdr:cNvPr id="28" name="直線コネクタ 27">
            <a:extLst>
              <a:ext uri="{FF2B5EF4-FFF2-40B4-BE49-F238E27FC236}">
                <a16:creationId xmlns:a16="http://schemas.microsoft.com/office/drawing/2014/main" id="{63D0DC71-8469-4283-A0E2-0D2ABD0521DD}"/>
              </a:ext>
            </a:extLst>
          </xdr:cNvPr>
          <xdr:cNvCxnSpPr/>
        </xdr:nvCxnSpPr>
        <xdr:spPr>
          <a:xfrm flipV="1">
            <a:off x="6727826" y="28320875"/>
            <a:ext cx="335098" cy="4368"/>
          </a:xfrm>
          <a:prstGeom prst="line">
            <a:avLst/>
          </a:prstGeom>
          <a:ln w="117475">
            <a:solidFill>
              <a:schemeClr val="accent2"/>
            </a:solidFill>
          </a:ln>
        </xdr:spPr>
        <xdr:style>
          <a:lnRef idx="2">
            <a:schemeClr val="accent1"/>
          </a:lnRef>
          <a:fillRef idx="0">
            <a:schemeClr val="accent1"/>
          </a:fillRef>
          <a:effectRef idx="1">
            <a:schemeClr val="accent1"/>
          </a:effectRef>
          <a:fontRef idx="minor">
            <a:schemeClr val="tx1"/>
          </a:fontRef>
        </xdr:style>
      </xdr:cxnSp>
      <xdr:sp macro="" textlink="">
        <xdr:nvSpPr>
          <xdr:cNvPr id="33" name="正方形/長方形 32">
            <a:extLst>
              <a:ext uri="{FF2B5EF4-FFF2-40B4-BE49-F238E27FC236}">
                <a16:creationId xmlns:a16="http://schemas.microsoft.com/office/drawing/2014/main" id="{7B664B2D-C734-4962-9669-F5E3E4727449}"/>
              </a:ext>
            </a:extLst>
          </xdr:cNvPr>
          <xdr:cNvSpPr/>
        </xdr:nvSpPr>
        <xdr:spPr>
          <a:xfrm>
            <a:off x="7061108" y="28105099"/>
            <a:ext cx="794601" cy="39101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2"/>
                </a:solidFill>
              </a:rPr>
              <a:t>貴社</a:t>
            </a:r>
          </a:p>
        </xdr:txBody>
      </xdr:sp>
      <xdr:sp macro="" textlink="">
        <xdr:nvSpPr>
          <xdr:cNvPr id="41" name="正方形/長方形 40">
            <a:extLst>
              <a:ext uri="{FF2B5EF4-FFF2-40B4-BE49-F238E27FC236}">
                <a16:creationId xmlns:a16="http://schemas.microsoft.com/office/drawing/2014/main" id="{6E1FADE2-A59F-4278-91DE-476E180CF9B7}"/>
              </a:ext>
            </a:extLst>
          </xdr:cNvPr>
          <xdr:cNvSpPr/>
        </xdr:nvSpPr>
        <xdr:spPr>
          <a:xfrm>
            <a:off x="8280396" y="28108585"/>
            <a:ext cx="930276" cy="37482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2"/>
                </a:solidFill>
              </a:rPr>
              <a:t>参考値</a:t>
            </a:r>
          </a:p>
        </xdr:txBody>
      </xdr:sp>
      <xdr:cxnSp macro="">
        <xdr:nvCxnSpPr>
          <xdr:cNvPr id="42" name="直線コネクタ 41">
            <a:extLst>
              <a:ext uri="{FF2B5EF4-FFF2-40B4-BE49-F238E27FC236}">
                <a16:creationId xmlns:a16="http://schemas.microsoft.com/office/drawing/2014/main" id="{723CB5C3-D2D6-4C10-BD14-1F2A000E27B4}"/>
              </a:ext>
            </a:extLst>
          </xdr:cNvPr>
          <xdr:cNvCxnSpPr/>
        </xdr:nvCxnSpPr>
        <xdr:spPr>
          <a:xfrm>
            <a:off x="7962900" y="28329464"/>
            <a:ext cx="277200" cy="4273"/>
          </a:xfrm>
          <a:prstGeom prst="line">
            <a:avLst/>
          </a:prstGeom>
          <a:ln w="117475">
            <a:solidFill>
              <a:schemeClr val="tx2">
                <a:lumMod val="50000"/>
                <a:lumOff val="50000"/>
              </a:schemeClr>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42</xdr:col>
      <xdr:colOff>105980</xdr:colOff>
      <xdr:row>27</xdr:row>
      <xdr:rowOff>63499</xdr:rowOff>
    </xdr:from>
    <xdr:to>
      <xdr:col>57</xdr:col>
      <xdr:colOff>138974</xdr:colOff>
      <xdr:row>27</xdr:row>
      <xdr:rowOff>454509</xdr:rowOff>
    </xdr:to>
    <xdr:grpSp>
      <xdr:nvGrpSpPr>
        <xdr:cNvPr id="8" name="グループ化 7">
          <a:extLst>
            <a:ext uri="{FF2B5EF4-FFF2-40B4-BE49-F238E27FC236}">
              <a16:creationId xmlns:a16="http://schemas.microsoft.com/office/drawing/2014/main" id="{0DAB94EB-16BD-6EB4-3C76-EF4C9204E134}"/>
            </a:ext>
          </a:extLst>
        </xdr:cNvPr>
        <xdr:cNvGrpSpPr/>
      </xdr:nvGrpSpPr>
      <xdr:grpSpPr>
        <a:xfrm>
          <a:off x="6563930" y="16075024"/>
          <a:ext cx="2318994" cy="391010"/>
          <a:chOff x="6806252" y="16179799"/>
          <a:chExt cx="2328220" cy="391010"/>
        </a:xfrm>
      </xdr:grpSpPr>
      <xdr:cxnSp macro="">
        <xdr:nvCxnSpPr>
          <xdr:cNvPr id="44" name="直線コネクタ 43">
            <a:extLst>
              <a:ext uri="{FF2B5EF4-FFF2-40B4-BE49-F238E27FC236}">
                <a16:creationId xmlns:a16="http://schemas.microsoft.com/office/drawing/2014/main" id="{70141A97-A871-4EA8-A60B-5C73CA8FCAAD}"/>
              </a:ext>
            </a:extLst>
          </xdr:cNvPr>
          <xdr:cNvCxnSpPr/>
        </xdr:nvCxnSpPr>
        <xdr:spPr>
          <a:xfrm flipV="1">
            <a:off x="6806252" y="16397031"/>
            <a:ext cx="277200" cy="2911"/>
          </a:xfrm>
          <a:prstGeom prst="line">
            <a:avLst/>
          </a:prstGeom>
          <a:ln w="117475">
            <a:solidFill>
              <a:schemeClr val="accent2"/>
            </a:solidFill>
          </a:ln>
        </xdr:spPr>
        <xdr:style>
          <a:lnRef idx="2">
            <a:schemeClr val="accent1"/>
          </a:lnRef>
          <a:fillRef idx="0">
            <a:schemeClr val="accent1"/>
          </a:fillRef>
          <a:effectRef idx="1">
            <a:schemeClr val="accent1"/>
          </a:effectRef>
          <a:fontRef idx="minor">
            <a:schemeClr val="tx1"/>
          </a:fontRef>
        </xdr:style>
      </xdr:cxnSp>
      <xdr:sp macro="" textlink="">
        <xdr:nvSpPr>
          <xdr:cNvPr id="60" name="正方形/長方形 59">
            <a:extLst>
              <a:ext uri="{FF2B5EF4-FFF2-40B4-BE49-F238E27FC236}">
                <a16:creationId xmlns:a16="http://schemas.microsoft.com/office/drawing/2014/main" id="{09284C1A-34FB-44DE-8F17-01AC70380117}"/>
              </a:ext>
            </a:extLst>
          </xdr:cNvPr>
          <xdr:cNvSpPr/>
        </xdr:nvSpPr>
        <xdr:spPr>
          <a:xfrm>
            <a:off x="7088739" y="16179799"/>
            <a:ext cx="756235" cy="39101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2"/>
                </a:solidFill>
              </a:rPr>
              <a:t>貴社</a:t>
            </a:r>
          </a:p>
        </xdr:txBody>
      </xdr:sp>
      <xdr:sp macro="" textlink="">
        <xdr:nvSpPr>
          <xdr:cNvPr id="61" name="正方形/長方形 60">
            <a:extLst>
              <a:ext uri="{FF2B5EF4-FFF2-40B4-BE49-F238E27FC236}">
                <a16:creationId xmlns:a16="http://schemas.microsoft.com/office/drawing/2014/main" id="{AD55518B-1E9E-48A2-A66C-585BE61C9949}"/>
              </a:ext>
            </a:extLst>
          </xdr:cNvPr>
          <xdr:cNvSpPr/>
        </xdr:nvSpPr>
        <xdr:spPr>
          <a:xfrm>
            <a:off x="8191496" y="16183285"/>
            <a:ext cx="942976" cy="37482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2"/>
                </a:solidFill>
              </a:rPr>
              <a:t>参考値</a:t>
            </a:r>
          </a:p>
        </xdr:txBody>
      </xdr:sp>
      <xdr:cxnSp macro="">
        <xdr:nvCxnSpPr>
          <xdr:cNvPr id="63" name="直線コネクタ 62">
            <a:extLst>
              <a:ext uri="{FF2B5EF4-FFF2-40B4-BE49-F238E27FC236}">
                <a16:creationId xmlns:a16="http://schemas.microsoft.com/office/drawing/2014/main" id="{BA31E4AF-9B73-4D63-9FE6-70D660EC54F0}"/>
              </a:ext>
            </a:extLst>
          </xdr:cNvPr>
          <xdr:cNvCxnSpPr/>
        </xdr:nvCxnSpPr>
        <xdr:spPr>
          <a:xfrm>
            <a:off x="7899400" y="16404164"/>
            <a:ext cx="277200" cy="4273"/>
          </a:xfrm>
          <a:prstGeom prst="line">
            <a:avLst/>
          </a:prstGeom>
          <a:ln w="117475">
            <a:solidFill>
              <a:schemeClr val="tx2">
                <a:lumMod val="50000"/>
                <a:lumOff val="50000"/>
              </a:schemeClr>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44</xdr:col>
      <xdr:colOff>2314</xdr:colOff>
      <xdr:row>10</xdr:row>
      <xdr:rowOff>315806</xdr:rowOff>
    </xdr:from>
    <xdr:to>
      <xdr:col>58</xdr:col>
      <xdr:colOff>182299</xdr:colOff>
      <xdr:row>11</xdr:row>
      <xdr:rowOff>204666</xdr:rowOff>
    </xdr:to>
    <xdr:grpSp>
      <xdr:nvGrpSpPr>
        <xdr:cNvPr id="4" name="グループ化 3">
          <a:extLst>
            <a:ext uri="{FF2B5EF4-FFF2-40B4-BE49-F238E27FC236}">
              <a16:creationId xmlns:a16="http://schemas.microsoft.com/office/drawing/2014/main" id="{57B3528B-B857-ED40-4F69-78CB8F300E13}"/>
            </a:ext>
          </a:extLst>
        </xdr:cNvPr>
        <xdr:cNvGrpSpPr>
          <a:grpSpLocks noChangeAspect="1"/>
        </xdr:cNvGrpSpPr>
      </xdr:nvGrpSpPr>
      <xdr:grpSpPr>
        <a:xfrm>
          <a:off x="6765064" y="10555181"/>
          <a:ext cx="2313585" cy="365110"/>
          <a:chOff x="6759803" y="10515599"/>
          <a:chExt cx="2451761" cy="391010"/>
        </a:xfrm>
      </xdr:grpSpPr>
      <xdr:cxnSp macro="">
        <xdr:nvCxnSpPr>
          <xdr:cNvPr id="64" name="直線コネクタ 63">
            <a:extLst>
              <a:ext uri="{FF2B5EF4-FFF2-40B4-BE49-F238E27FC236}">
                <a16:creationId xmlns:a16="http://schemas.microsoft.com/office/drawing/2014/main" id="{09A07D45-B74A-46B1-A726-75367C129EA8}"/>
              </a:ext>
            </a:extLst>
          </xdr:cNvPr>
          <xdr:cNvCxnSpPr/>
        </xdr:nvCxnSpPr>
        <xdr:spPr>
          <a:xfrm flipV="1">
            <a:off x="6759803" y="10732831"/>
            <a:ext cx="292099" cy="2911"/>
          </a:xfrm>
          <a:prstGeom prst="line">
            <a:avLst/>
          </a:prstGeom>
          <a:ln w="117475">
            <a:solidFill>
              <a:schemeClr val="accent2"/>
            </a:solidFill>
          </a:ln>
        </xdr:spPr>
        <xdr:style>
          <a:lnRef idx="2">
            <a:schemeClr val="accent1"/>
          </a:lnRef>
          <a:fillRef idx="0">
            <a:schemeClr val="accent1"/>
          </a:fillRef>
          <a:effectRef idx="1">
            <a:schemeClr val="accent1"/>
          </a:effectRef>
          <a:fontRef idx="minor">
            <a:schemeClr val="tx1"/>
          </a:fontRef>
        </xdr:style>
      </xdr:cxnSp>
      <xdr:sp macro="" textlink="">
        <xdr:nvSpPr>
          <xdr:cNvPr id="68" name="正方形/長方形 67">
            <a:extLst>
              <a:ext uri="{FF2B5EF4-FFF2-40B4-BE49-F238E27FC236}">
                <a16:creationId xmlns:a16="http://schemas.microsoft.com/office/drawing/2014/main" id="{484D9AD0-DA88-4EFD-9081-54A7977C542E}"/>
              </a:ext>
            </a:extLst>
          </xdr:cNvPr>
          <xdr:cNvSpPr/>
        </xdr:nvSpPr>
        <xdr:spPr>
          <a:xfrm>
            <a:off x="7079730" y="10515599"/>
            <a:ext cx="771856" cy="39101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2"/>
                </a:solidFill>
              </a:rPr>
              <a:t>貴社</a:t>
            </a:r>
          </a:p>
        </xdr:txBody>
      </xdr:sp>
      <xdr:sp macro="" textlink="">
        <xdr:nvSpPr>
          <xdr:cNvPr id="72" name="正方形/長方形 71">
            <a:extLst>
              <a:ext uri="{FF2B5EF4-FFF2-40B4-BE49-F238E27FC236}">
                <a16:creationId xmlns:a16="http://schemas.microsoft.com/office/drawing/2014/main" id="{477828E2-2DF0-42F7-9719-4D70744025C8}"/>
              </a:ext>
            </a:extLst>
          </xdr:cNvPr>
          <xdr:cNvSpPr/>
        </xdr:nvSpPr>
        <xdr:spPr>
          <a:xfrm>
            <a:off x="8277055" y="10519085"/>
            <a:ext cx="934509" cy="37482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2"/>
                </a:solidFill>
              </a:rPr>
              <a:t>参考値</a:t>
            </a:r>
          </a:p>
        </xdr:txBody>
      </xdr:sp>
      <xdr:cxnSp macro="">
        <xdr:nvCxnSpPr>
          <xdr:cNvPr id="86" name="直線コネクタ 85">
            <a:extLst>
              <a:ext uri="{FF2B5EF4-FFF2-40B4-BE49-F238E27FC236}">
                <a16:creationId xmlns:a16="http://schemas.microsoft.com/office/drawing/2014/main" id="{BC0A320C-5F75-4A1B-9C7D-85406DC2A5F2}"/>
              </a:ext>
            </a:extLst>
          </xdr:cNvPr>
          <xdr:cNvCxnSpPr/>
        </xdr:nvCxnSpPr>
        <xdr:spPr>
          <a:xfrm>
            <a:off x="7978943" y="10739964"/>
            <a:ext cx="291790" cy="4273"/>
          </a:xfrm>
          <a:prstGeom prst="line">
            <a:avLst/>
          </a:prstGeom>
          <a:ln w="117475">
            <a:solidFill>
              <a:schemeClr val="tx2">
                <a:lumMod val="50000"/>
                <a:lumOff val="50000"/>
              </a:schemeClr>
            </a:solidFill>
          </a:ln>
        </xdr:spPr>
        <xdr:style>
          <a:lnRef idx="2">
            <a:schemeClr val="accent1"/>
          </a:lnRef>
          <a:fillRef idx="0">
            <a:schemeClr val="accent1"/>
          </a:fillRef>
          <a:effectRef idx="1">
            <a:schemeClr val="accent1"/>
          </a:effectRef>
          <a:fontRef idx="minor">
            <a:schemeClr val="tx1"/>
          </a:fontRef>
        </xdr:style>
      </xdr:cxnSp>
    </xdr:grpSp>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0.98148</cdr:x>
      <cdr:y>1</cdr:y>
    </cdr:to>
    <cdr:grpSp>
      <cdr:nvGrpSpPr>
        <cdr:cNvPr id="5" name="グループ化 4">
          <a:extLst xmlns:a="http://schemas.openxmlformats.org/drawingml/2006/main">
            <a:ext uri="{FF2B5EF4-FFF2-40B4-BE49-F238E27FC236}">
              <a16:creationId xmlns:a16="http://schemas.microsoft.com/office/drawing/2014/main" id="{2F7C37F7-07BB-4B07-983D-7A37293412AA}"/>
            </a:ext>
          </a:extLst>
        </cdr:cNvPr>
        <cdr:cNvGrpSpPr/>
      </cdr:nvGrpSpPr>
      <cdr:grpSpPr>
        <a:xfrm xmlns:a="http://schemas.openxmlformats.org/drawingml/2006/main">
          <a:off x="0" y="0"/>
          <a:ext cx="2686164" cy="2371090"/>
          <a:chOff x="50800" y="0"/>
          <a:chExt cx="2692400" cy="2349500"/>
        </a:xfrm>
      </cdr:grpSpPr>
      <cdr:sp macro="" textlink="">
        <cdr:nvSpPr>
          <cdr:cNvPr id="2" name="正方形/長方形 1">
            <a:extLst xmlns:a="http://schemas.openxmlformats.org/drawingml/2006/main">
              <a:ext uri="{FF2B5EF4-FFF2-40B4-BE49-F238E27FC236}">
                <a16:creationId xmlns:a16="http://schemas.microsoft.com/office/drawing/2014/main" id="{08421136-0F61-544F-8E7D-3E7C28A08F03}"/>
              </a:ext>
            </a:extLst>
          </cdr:cNvPr>
          <cdr:cNvSpPr/>
        </cdr:nvSpPr>
        <cdr:spPr>
          <a:xfrm xmlns:a="http://schemas.openxmlformats.org/drawingml/2006/main">
            <a:off x="1058661" y="0"/>
            <a:ext cx="1208163" cy="34290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kumimoji="1" lang="ja-JP" altLang="en-US" sz="1100" b="1" kern="1200">
                <a:solidFill>
                  <a:schemeClr val="tx1"/>
                </a:solidFill>
              </a:rPr>
              <a:t>全労働者</a:t>
            </a:r>
          </a:p>
        </cdr:txBody>
      </cdr:sp>
      <cdr:sp macro="" textlink="">
        <cdr:nvSpPr>
          <cdr:cNvPr id="3" name="正方形/長方形 2">
            <a:extLst xmlns:a="http://schemas.openxmlformats.org/drawingml/2006/main">
              <a:ext uri="{FF2B5EF4-FFF2-40B4-BE49-F238E27FC236}">
                <a16:creationId xmlns:a16="http://schemas.microsoft.com/office/drawing/2014/main" id="{664B06D4-D728-A841-BAAA-338B18B58D5C}"/>
              </a:ext>
            </a:extLst>
          </cdr:cNvPr>
          <cdr:cNvSpPr/>
        </cdr:nvSpPr>
        <cdr:spPr>
          <a:xfrm xmlns:a="http://schemas.openxmlformats.org/drawingml/2006/main">
            <a:off x="50800" y="1681819"/>
            <a:ext cx="1273469" cy="66768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kumimoji="1" lang="ja-JP" altLang="en-US" sz="1100" b="1" kern="1200">
                <a:solidFill>
                  <a:schemeClr val="tx1"/>
                </a:solidFill>
              </a:rPr>
              <a:t>非正規雇用</a:t>
            </a:r>
          </a:p>
        </cdr:txBody>
      </cdr:sp>
      <cdr:sp macro="" textlink="">
        <cdr:nvSpPr>
          <cdr:cNvPr id="4" name="正方形/長方形 3">
            <a:extLst xmlns:a="http://schemas.openxmlformats.org/drawingml/2006/main">
              <a:ext uri="{FF2B5EF4-FFF2-40B4-BE49-F238E27FC236}">
                <a16:creationId xmlns:a16="http://schemas.microsoft.com/office/drawing/2014/main" id="{603B5DB0-444A-0449-BA5A-2B20ACF0C9F8}"/>
              </a:ext>
            </a:extLst>
          </cdr:cNvPr>
          <cdr:cNvSpPr/>
        </cdr:nvSpPr>
        <cdr:spPr>
          <a:xfrm xmlns:a="http://schemas.openxmlformats.org/drawingml/2006/main">
            <a:off x="1450510" y="1681819"/>
            <a:ext cx="1292690" cy="66768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kumimoji="1" lang="ja-JP" altLang="en-US" sz="1100" b="1" kern="1200">
                <a:solidFill>
                  <a:schemeClr val="tx1"/>
                </a:solidFill>
              </a:rPr>
              <a:t>正規雇用</a:t>
            </a:r>
          </a:p>
        </cdr:txBody>
      </cdr:sp>
    </cdr:grp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591C9-9E4C-FC4D-91A2-4E295042253A}">
  <dimension ref="A1:DK64"/>
  <sheetViews>
    <sheetView showGridLines="0" tabSelected="1" view="pageBreakPreview" zoomScaleNormal="100" zoomScaleSheetLayoutView="100" workbookViewId="0">
      <pane ySplit="1" topLeftCell="A26" activePane="bottomLeft" state="frozen"/>
      <selection pane="bottomLeft" activeCell="A2" sqref="A2:BG2"/>
    </sheetView>
  </sheetViews>
  <sheetFormatPr defaultColWidth="1.77734375" defaultRowHeight="19.5"/>
  <cols>
    <col min="1" max="2" width="2.77734375" style="22" customWidth="1"/>
    <col min="3" max="16" width="1.77734375" style="22" customWidth="1"/>
    <col min="17" max="17" width="1" style="22" customWidth="1"/>
    <col min="18" max="26" width="1.77734375" style="22" customWidth="1"/>
    <col min="27" max="27" width="1.5546875" style="22" customWidth="1"/>
    <col min="28" max="40" width="1.77734375" style="22" customWidth="1"/>
    <col min="41" max="41" width="1.44140625" style="22" customWidth="1"/>
    <col min="42" max="58" width="1.77734375" style="22" customWidth="1"/>
    <col min="59" max="59" width="3.5546875" style="22" customWidth="1"/>
    <col min="60" max="60" width="1.77734375" style="22" customWidth="1"/>
    <col min="61" max="61" width="1.5546875" style="22" customWidth="1"/>
    <col min="62" max="62" width="1.77734375" style="22" customWidth="1"/>
    <col min="63" max="63" width="34.21875" style="22" hidden="1" customWidth="1"/>
    <col min="64" max="75" width="1.77734375" style="22" customWidth="1"/>
    <col min="76" max="76" width="0.77734375" style="22" customWidth="1"/>
    <col min="77" max="77" width="8.21875" style="22" bestFit="1" customWidth="1"/>
    <col min="78" max="87" width="1.77734375" style="22" customWidth="1"/>
    <col min="88" max="88" width="1.21875" style="22" customWidth="1"/>
    <col min="89" max="93" width="1.77734375" style="22" customWidth="1"/>
    <col min="94" max="94" width="2.21875" style="22" customWidth="1"/>
    <col min="95" max="101" width="1.77734375" style="22" customWidth="1"/>
    <col min="102" max="102" width="4" style="22" customWidth="1"/>
    <col min="103" max="115" width="1.77734375" style="22" customWidth="1"/>
    <col min="116" max="16383" width="1.77734375" style="22"/>
    <col min="16384" max="16384" width="8" style="22" customWidth="1"/>
  </cols>
  <sheetData>
    <row r="1" spans="1:105" ht="58.15" customHeight="1" thickBot="1">
      <c r="A1" s="210" t="s">
        <v>122</v>
      </c>
      <c r="X1" s="211"/>
      <c r="BJ1" s="592" t="s">
        <v>34</v>
      </c>
      <c r="BK1" s="593"/>
      <c r="BL1" s="593"/>
      <c r="BM1" s="593"/>
      <c r="BN1" s="593"/>
      <c r="BO1" s="593"/>
      <c r="BP1" s="594"/>
      <c r="BQ1" s="589" t="str">
        <f>IF(入力シート!J9="","未選択",入力シート!J9)</f>
        <v>未選択</v>
      </c>
      <c r="BR1" s="590"/>
      <c r="BS1" s="590"/>
      <c r="BT1" s="590"/>
      <c r="BU1" s="590"/>
      <c r="BV1" s="590"/>
      <c r="BW1" s="591"/>
      <c r="BY1" s="592" t="s">
        <v>43</v>
      </c>
      <c r="BZ1" s="593"/>
      <c r="CA1" s="593"/>
      <c r="CB1" s="593"/>
      <c r="CC1" s="589" t="str">
        <f>IF(入力シート!$J$9&lt;&gt;入力リスト!$B$7,"-",IF(OR(入力シート!$J$9="",入力シート!$J$9&lt;&gt;入力リスト!$B$7),"-",IF(入力シート!J10="","未選択",入力シート!J10)))</f>
        <v>-</v>
      </c>
      <c r="CD1" s="590"/>
      <c r="CE1" s="590"/>
      <c r="CF1" s="590"/>
      <c r="CG1" s="590"/>
      <c r="CH1" s="590"/>
      <c r="CI1" s="591"/>
      <c r="CK1" s="592" t="s">
        <v>35</v>
      </c>
      <c r="CL1" s="593"/>
      <c r="CM1" s="593"/>
      <c r="CN1" s="593"/>
      <c r="CO1" s="593"/>
      <c r="CP1" s="589" t="str">
        <f>IF(入力シート!J11="","未選択",入力シート!J11)</f>
        <v>未選択</v>
      </c>
      <c r="CQ1" s="590"/>
      <c r="CR1" s="590"/>
      <c r="CS1" s="590"/>
      <c r="CT1" s="590"/>
      <c r="CU1" s="590"/>
      <c r="CV1" s="591"/>
    </row>
    <row r="2" spans="1:105" ht="121.9" customHeight="1">
      <c r="A2" s="598" t="s">
        <v>1355</v>
      </c>
      <c r="B2" s="599"/>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599"/>
      <c r="AH2" s="599"/>
      <c r="AI2" s="599"/>
      <c r="AJ2" s="599"/>
      <c r="AK2" s="599"/>
      <c r="AL2" s="599"/>
      <c r="AM2" s="599"/>
      <c r="AN2" s="599"/>
      <c r="AO2" s="599"/>
      <c r="AP2" s="599"/>
      <c r="AQ2" s="599"/>
      <c r="AR2" s="599"/>
      <c r="AS2" s="599"/>
      <c r="AT2" s="599"/>
      <c r="AU2" s="599"/>
      <c r="AV2" s="599"/>
      <c r="AW2" s="599"/>
      <c r="AX2" s="599"/>
      <c r="AY2" s="599"/>
      <c r="AZ2" s="599"/>
      <c r="BA2" s="599"/>
      <c r="BB2" s="599"/>
      <c r="BC2" s="599"/>
      <c r="BD2" s="599"/>
      <c r="BE2" s="599"/>
      <c r="BF2" s="599"/>
      <c r="BG2" s="599"/>
      <c r="BJ2" s="607" t="s">
        <v>1315</v>
      </c>
      <c r="BK2" s="608"/>
      <c r="BL2" s="608"/>
      <c r="BM2" s="608"/>
      <c r="BN2" s="608"/>
      <c r="BO2" s="608"/>
      <c r="BP2" s="608"/>
      <c r="BQ2" s="608"/>
      <c r="BR2" s="608"/>
      <c r="BS2" s="608"/>
      <c r="BT2" s="608"/>
      <c r="BU2" s="608"/>
      <c r="BV2" s="608"/>
      <c r="BW2" s="608"/>
      <c r="BX2" s="608"/>
      <c r="BY2" s="608"/>
      <c r="BZ2" s="608"/>
      <c r="CA2" s="608"/>
      <c r="CB2" s="608"/>
      <c r="CC2" s="608"/>
      <c r="CD2" s="608"/>
      <c r="CE2" s="608"/>
      <c r="CF2" s="608"/>
      <c r="CG2" s="608"/>
      <c r="CH2" s="608"/>
      <c r="CI2" s="608"/>
      <c r="CJ2" s="608"/>
      <c r="CK2" s="608"/>
      <c r="CL2" s="608"/>
      <c r="CM2" s="608"/>
      <c r="CN2" s="608"/>
      <c r="CO2" s="608"/>
      <c r="CP2" s="608"/>
      <c r="CQ2" s="608"/>
      <c r="CR2" s="608"/>
      <c r="CS2" s="608"/>
      <c r="CT2" s="608"/>
      <c r="CU2" s="608"/>
      <c r="CV2" s="608"/>
      <c r="CW2" s="608"/>
      <c r="CX2" s="23"/>
      <c r="CY2" s="23"/>
      <c r="CZ2" s="23"/>
      <c r="DA2" s="23"/>
    </row>
    <row r="3" spans="1:105" ht="409.5" customHeight="1" thickBot="1">
      <c r="A3" s="600" t="s">
        <v>462</v>
      </c>
      <c r="B3" s="600"/>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0"/>
      <c r="AG3" s="600"/>
      <c r="AH3" s="600"/>
      <c r="AI3" s="600"/>
      <c r="AJ3" s="600"/>
      <c r="AK3" s="600"/>
      <c r="AL3" s="600"/>
      <c r="AM3" s="600"/>
      <c r="AN3" s="600"/>
      <c r="AO3" s="600"/>
      <c r="AP3" s="600"/>
      <c r="AQ3" s="600"/>
      <c r="AR3" s="600"/>
      <c r="AS3" s="600"/>
      <c r="AT3" s="600"/>
      <c r="AU3" s="600"/>
      <c r="AV3" s="600"/>
      <c r="AW3" s="600"/>
      <c r="AX3" s="600"/>
      <c r="AY3" s="600"/>
      <c r="AZ3" s="600"/>
      <c r="BA3" s="600"/>
      <c r="BB3" s="600"/>
      <c r="BC3" s="600"/>
      <c r="BD3" s="600"/>
      <c r="BE3" s="600"/>
      <c r="BF3" s="600"/>
      <c r="BG3" s="212"/>
    </row>
    <row r="4" spans="1:105" ht="4.9000000000000004" customHeight="1" thickTop="1">
      <c r="A4" s="136"/>
      <c r="X4" s="211"/>
    </row>
    <row r="5" spans="1:105" ht="40.9" customHeight="1">
      <c r="B5" s="24" t="s">
        <v>89</v>
      </c>
      <c r="C5" s="213"/>
      <c r="D5" s="214"/>
      <c r="S5" s="25"/>
      <c r="Y5" s="215"/>
      <c r="Z5" s="216"/>
      <c r="AA5" s="216"/>
      <c r="AB5" s="216"/>
      <c r="AC5" s="216"/>
      <c r="AD5" s="216"/>
      <c r="AE5" s="216"/>
      <c r="AF5" s="216"/>
      <c r="AG5" s="216"/>
      <c r="AH5" s="216"/>
      <c r="AI5" s="215"/>
      <c r="AJ5" s="216"/>
      <c r="AK5" s="216"/>
      <c r="AL5" s="216"/>
      <c r="AM5" s="216"/>
      <c r="AN5" s="216"/>
      <c r="AO5" s="216"/>
      <c r="AP5" s="216"/>
      <c r="AQ5" s="216"/>
      <c r="AR5" s="216"/>
      <c r="AS5" s="216"/>
      <c r="AV5" s="556"/>
      <c r="AW5" s="556"/>
      <c r="AX5" s="556"/>
      <c r="AY5" s="556"/>
      <c r="AZ5" s="556"/>
      <c r="BA5" s="556"/>
      <c r="BB5" s="556"/>
      <c r="BC5" s="556"/>
      <c r="BD5" s="556"/>
      <c r="BE5" s="556"/>
      <c r="BF5" s="556"/>
      <c r="BG5" s="556"/>
      <c r="BS5" s="217"/>
    </row>
    <row r="6" spans="1:105" ht="33" customHeight="1" thickBot="1">
      <c r="B6" s="24"/>
      <c r="C6" s="218" t="s">
        <v>1218</v>
      </c>
      <c r="D6" s="214"/>
      <c r="S6" s="25"/>
      <c r="Y6" s="215"/>
      <c r="Z6" s="216"/>
      <c r="AA6" s="216"/>
      <c r="AB6" s="216"/>
      <c r="AC6" s="216"/>
      <c r="AD6" s="216"/>
      <c r="AE6" s="216"/>
      <c r="AF6" s="218" t="s">
        <v>178</v>
      </c>
      <c r="AG6" s="216"/>
      <c r="AH6" s="216"/>
      <c r="AI6" s="215"/>
      <c r="AJ6" s="216"/>
      <c r="AK6" s="216"/>
      <c r="AL6" s="216"/>
      <c r="AM6" s="216"/>
      <c r="AN6" s="216"/>
      <c r="AO6" s="216"/>
      <c r="AP6" s="216"/>
      <c r="AQ6" s="216"/>
      <c r="AR6" s="216"/>
      <c r="AS6" s="216"/>
      <c r="AV6" s="26"/>
      <c r="AW6" s="26"/>
      <c r="AX6" s="26"/>
      <c r="AY6" s="26"/>
      <c r="AZ6" s="26"/>
      <c r="BA6" s="26"/>
      <c r="BB6" s="26"/>
      <c r="BC6" s="26"/>
      <c r="BD6" s="26"/>
      <c r="BE6" s="26"/>
      <c r="BF6" s="26"/>
      <c r="BG6" s="26"/>
      <c r="BS6" s="217"/>
    </row>
    <row r="7" spans="1:105" ht="39" customHeight="1">
      <c r="C7" s="601" t="s">
        <v>100</v>
      </c>
      <c r="D7" s="602"/>
      <c r="E7" s="602"/>
      <c r="F7" s="602"/>
      <c r="G7" s="602"/>
      <c r="H7" s="602"/>
      <c r="I7" s="602"/>
      <c r="J7" s="602"/>
      <c r="K7" s="602"/>
      <c r="L7" s="602"/>
      <c r="M7" s="602"/>
      <c r="N7" s="602"/>
      <c r="O7" s="603"/>
      <c r="P7" s="612" t="s">
        <v>125</v>
      </c>
      <c r="Q7" s="613"/>
      <c r="R7" s="613"/>
      <c r="S7" s="613"/>
      <c r="T7" s="613"/>
      <c r="U7" s="613"/>
      <c r="V7" s="613"/>
      <c r="W7" s="613"/>
      <c r="X7" s="613"/>
      <c r="Y7" s="613"/>
      <c r="Z7" s="613"/>
      <c r="AA7" s="613"/>
      <c r="AB7" s="613"/>
      <c r="AC7" s="614"/>
      <c r="AF7" s="604" t="s">
        <v>100</v>
      </c>
      <c r="AG7" s="605"/>
      <c r="AH7" s="605"/>
      <c r="AI7" s="605"/>
      <c r="AJ7" s="605"/>
      <c r="AK7" s="605"/>
      <c r="AL7" s="605"/>
      <c r="AM7" s="605"/>
      <c r="AN7" s="605"/>
      <c r="AO7" s="605"/>
      <c r="AP7" s="605"/>
      <c r="AQ7" s="605"/>
      <c r="AR7" s="606"/>
      <c r="AS7" s="595" t="s">
        <v>1310</v>
      </c>
      <c r="AT7" s="596"/>
      <c r="AU7" s="596"/>
      <c r="AV7" s="596"/>
      <c r="AW7" s="596"/>
      <c r="AX7" s="596"/>
      <c r="AY7" s="596"/>
      <c r="AZ7" s="596"/>
      <c r="BA7" s="596"/>
      <c r="BB7" s="596"/>
      <c r="BC7" s="596"/>
      <c r="BD7" s="596"/>
      <c r="BE7" s="596"/>
      <c r="BF7" s="597"/>
    </row>
    <row r="8" spans="1:105" ht="30" customHeight="1" thickBot="1">
      <c r="C8" s="544" t="str">
        <f>IF(入力シート!$C$5=入力リスト!$N$5,"-",IF(計算!$B$3=入力リスト!$S$4,入力リスト!$S$4,IF(入力シート!$J$16=入力リスト!$K$5,入力シート!J33,IF(計算!E9=0,入力リスト!$R$4,IF(計算!E8=0,入力リスト!$R$4,IF(ISERROR(計算!D9/計算!E9),"-",計算!H9))))))</f>
        <v>データ未</v>
      </c>
      <c r="D8" s="545"/>
      <c r="E8" s="545"/>
      <c r="F8" s="545"/>
      <c r="G8" s="545"/>
      <c r="H8" s="545"/>
      <c r="I8" s="545"/>
      <c r="J8" s="545"/>
      <c r="K8" s="545"/>
      <c r="L8" s="545"/>
      <c r="M8" s="545"/>
      <c r="N8" s="545"/>
      <c r="O8" s="546"/>
      <c r="P8" s="550" t="str">
        <f>IF(入力シート!$C$5=入力リスト!$N$5,"-",IF(計算!$B$3=入力リスト!$S$4,入力リスト!$S$4,IF(入力シート!$J$16=入力リスト!$K$5,入力シート!J34,IF(計算!E10=0,入力リスト!$R$4,IF(計算!E10=0,入力リスト!$R$4,IF(ISERROR(計算!D10/計算!E10),"-",計算!H10))))))</f>
        <v>データ未</v>
      </c>
      <c r="Q8" s="551"/>
      <c r="R8" s="551"/>
      <c r="S8" s="551"/>
      <c r="T8" s="551"/>
      <c r="U8" s="551"/>
      <c r="V8" s="551"/>
      <c r="W8" s="551"/>
      <c r="X8" s="551"/>
      <c r="Y8" s="551"/>
      <c r="Z8" s="551"/>
      <c r="AA8" s="551"/>
      <c r="AB8" s="551"/>
      <c r="AC8" s="552"/>
      <c r="AF8" s="484">
        <f>IF(計算!G9=0,入力リスト!$R$4,IF(ISERROR(計算!I9),"-",計算!I9))</f>
        <v>0.55844621590657462</v>
      </c>
      <c r="AG8" s="485"/>
      <c r="AH8" s="485"/>
      <c r="AI8" s="485"/>
      <c r="AJ8" s="485"/>
      <c r="AK8" s="485"/>
      <c r="AL8" s="485"/>
      <c r="AM8" s="485"/>
      <c r="AN8" s="485"/>
      <c r="AO8" s="485"/>
      <c r="AP8" s="485"/>
      <c r="AQ8" s="485"/>
      <c r="AR8" s="486"/>
      <c r="AS8" s="557">
        <f>IF(計算!G10=0,入力リスト!$R$4,IF(ISERROR(計算!I10),"-",計算!I10))</f>
        <v>0.73106087917898432</v>
      </c>
      <c r="AT8" s="558"/>
      <c r="AU8" s="558"/>
      <c r="AV8" s="558"/>
      <c r="AW8" s="558"/>
      <c r="AX8" s="558"/>
      <c r="AY8" s="558"/>
      <c r="AZ8" s="558"/>
      <c r="BA8" s="558"/>
      <c r="BB8" s="558"/>
      <c r="BC8" s="558"/>
      <c r="BD8" s="558"/>
      <c r="BE8" s="558"/>
      <c r="BF8" s="559"/>
      <c r="BJ8" s="467" t="str">
        <f>IF(計算!B3="データ未",IF(OR(入力シート!$J$16=入力リスト!$K$4,入力シート!$J$18=入力リスト!$K$4,入力シート!$J$20=入力リスト!$K$4,入力シート!$J$22=入力リスト!$K$4),"［入力シート］［従業員情報(給与以外)］［従業員の給与情報］のいずれかで入力が未完了のため、グラフ表示ができていません。","［入力シート］の入力が未完了のため、グラフ表示ができていません。"),計算!J13&amp;計算!N13&amp;計算!O13&amp;計算!M13&amp;計算!P13&amp;計算!K13&amp;計算!L13)</f>
        <v>［入力シート］の入力が未完了のため、グラフ表示ができていません。</v>
      </c>
      <c r="BK8" s="468"/>
      <c r="BL8" s="468"/>
      <c r="BM8" s="468"/>
      <c r="BN8" s="468"/>
      <c r="BO8" s="468"/>
      <c r="BP8" s="468"/>
      <c r="BQ8" s="468"/>
      <c r="BR8" s="468"/>
      <c r="BS8" s="468"/>
      <c r="BT8" s="468"/>
      <c r="BU8" s="468"/>
      <c r="BV8" s="468"/>
      <c r="BW8" s="468"/>
      <c r="BX8" s="468"/>
      <c r="BY8" s="468"/>
      <c r="BZ8" s="468"/>
      <c r="CA8" s="468"/>
      <c r="CB8" s="468"/>
      <c r="CC8" s="468"/>
      <c r="CD8" s="468"/>
      <c r="CE8" s="468"/>
      <c r="CF8" s="468"/>
      <c r="CG8" s="468"/>
      <c r="CH8" s="468"/>
      <c r="CI8" s="468"/>
      <c r="CJ8" s="468"/>
      <c r="CK8" s="468"/>
      <c r="CL8" s="468"/>
      <c r="CM8" s="468"/>
      <c r="CN8" s="468"/>
      <c r="CO8" s="468"/>
      <c r="CP8" s="468"/>
      <c r="CQ8" s="468"/>
      <c r="CR8" s="468"/>
      <c r="CS8" s="468"/>
      <c r="CT8" s="468"/>
      <c r="CU8" s="468"/>
      <c r="CV8" s="469"/>
    </row>
    <row r="9" spans="1:105" ht="40.9" customHeight="1" thickTop="1">
      <c r="C9" s="544"/>
      <c r="D9" s="545"/>
      <c r="E9" s="545"/>
      <c r="F9" s="545"/>
      <c r="G9" s="545"/>
      <c r="H9" s="545"/>
      <c r="I9" s="545"/>
      <c r="J9" s="545"/>
      <c r="K9" s="545"/>
      <c r="L9" s="545"/>
      <c r="M9" s="545"/>
      <c r="N9" s="545"/>
      <c r="O9" s="546"/>
      <c r="P9" s="553" t="s">
        <v>129</v>
      </c>
      <c r="Q9" s="554"/>
      <c r="R9" s="554"/>
      <c r="S9" s="554"/>
      <c r="T9" s="554"/>
      <c r="U9" s="554"/>
      <c r="V9" s="554"/>
      <c r="W9" s="554"/>
      <c r="X9" s="554"/>
      <c r="Y9" s="554"/>
      <c r="Z9" s="554"/>
      <c r="AA9" s="554"/>
      <c r="AB9" s="554"/>
      <c r="AC9" s="555"/>
      <c r="AF9" s="484"/>
      <c r="AG9" s="485"/>
      <c r="AH9" s="485"/>
      <c r="AI9" s="485"/>
      <c r="AJ9" s="485"/>
      <c r="AK9" s="485"/>
      <c r="AL9" s="485"/>
      <c r="AM9" s="485"/>
      <c r="AN9" s="485"/>
      <c r="AO9" s="485"/>
      <c r="AP9" s="485"/>
      <c r="AQ9" s="485"/>
      <c r="AR9" s="486"/>
      <c r="AS9" s="560" t="s">
        <v>1311</v>
      </c>
      <c r="AT9" s="561"/>
      <c r="AU9" s="561"/>
      <c r="AV9" s="561"/>
      <c r="AW9" s="561"/>
      <c r="AX9" s="561"/>
      <c r="AY9" s="561"/>
      <c r="AZ9" s="561"/>
      <c r="BA9" s="561"/>
      <c r="BB9" s="561"/>
      <c r="BC9" s="561"/>
      <c r="BD9" s="561"/>
      <c r="BE9" s="561"/>
      <c r="BF9" s="562"/>
      <c r="BJ9" s="470"/>
      <c r="BK9" s="471"/>
      <c r="BL9" s="471"/>
      <c r="BM9" s="471"/>
      <c r="BN9" s="471"/>
      <c r="BO9" s="471"/>
      <c r="BP9" s="471"/>
      <c r="BQ9" s="471"/>
      <c r="BR9" s="471"/>
      <c r="BS9" s="471"/>
      <c r="BT9" s="471"/>
      <c r="BU9" s="471"/>
      <c r="BV9" s="471"/>
      <c r="BW9" s="471"/>
      <c r="BX9" s="471"/>
      <c r="BY9" s="471"/>
      <c r="BZ9" s="471"/>
      <c r="CA9" s="471"/>
      <c r="CB9" s="471"/>
      <c r="CC9" s="471"/>
      <c r="CD9" s="471"/>
      <c r="CE9" s="471"/>
      <c r="CF9" s="471"/>
      <c r="CG9" s="471"/>
      <c r="CH9" s="471"/>
      <c r="CI9" s="471"/>
      <c r="CJ9" s="471"/>
      <c r="CK9" s="471"/>
      <c r="CL9" s="471"/>
      <c r="CM9" s="471"/>
      <c r="CN9" s="471"/>
      <c r="CO9" s="471"/>
      <c r="CP9" s="471"/>
      <c r="CQ9" s="471"/>
      <c r="CR9" s="471"/>
      <c r="CS9" s="471"/>
      <c r="CT9" s="471"/>
      <c r="CU9" s="471"/>
      <c r="CV9" s="472"/>
    </row>
    <row r="10" spans="1:105" ht="30" customHeight="1" thickBot="1">
      <c r="C10" s="547"/>
      <c r="D10" s="548"/>
      <c r="E10" s="548"/>
      <c r="F10" s="548"/>
      <c r="G10" s="548"/>
      <c r="H10" s="548"/>
      <c r="I10" s="548"/>
      <c r="J10" s="548"/>
      <c r="K10" s="548"/>
      <c r="L10" s="548"/>
      <c r="M10" s="548"/>
      <c r="N10" s="548"/>
      <c r="O10" s="549"/>
      <c r="P10" s="540" t="str">
        <f>IF(入力シート!$C$5=入力リスト!$N$5,"-",IF(計算!$B$3=入力リスト!$S$4,入力リスト!$S$4,IF(入力シート!$J$16=入力リスト!$K$5,入力シート!J35,IF(計算!E11=0,入力リスト!$R$4,IF(計算!E11=0,入力リスト!$R$4,IF(ISERROR(計算!D11/計算!E11),"-",計算!H11))))))</f>
        <v>データ未</v>
      </c>
      <c r="Q10" s="541"/>
      <c r="R10" s="541"/>
      <c r="S10" s="541"/>
      <c r="T10" s="541"/>
      <c r="U10" s="541"/>
      <c r="V10" s="541"/>
      <c r="W10" s="541"/>
      <c r="X10" s="541"/>
      <c r="Y10" s="541"/>
      <c r="Z10" s="541"/>
      <c r="AA10" s="541"/>
      <c r="AB10" s="541"/>
      <c r="AC10" s="542"/>
      <c r="AF10" s="487"/>
      <c r="AG10" s="488"/>
      <c r="AH10" s="488"/>
      <c r="AI10" s="488"/>
      <c r="AJ10" s="488"/>
      <c r="AK10" s="488"/>
      <c r="AL10" s="488"/>
      <c r="AM10" s="488"/>
      <c r="AN10" s="488"/>
      <c r="AO10" s="488"/>
      <c r="AP10" s="488"/>
      <c r="AQ10" s="488"/>
      <c r="AR10" s="489"/>
      <c r="AS10" s="502">
        <f>IF(計算!G11=0,入力リスト!$R$4,IF(ISERROR(計算!I11),"-",計算!I11))</f>
        <v>0.69120164327285172</v>
      </c>
      <c r="AT10" s="503"/>
      <c r="AU10" s="503"/>
      <c r="AV10" s="503"/>
      <c r="AW10" s="503"/>
      <c r="AX10" s="503"/>
      <c r="AY10" s="503"/>
      <c r="AZ10" s="503"/>
      <c r="BA10" s="503"/>
      <c r="BB10" s="503"/>
      <c r="BC10" s="503"/>
      <c r="BD10" s="503"/>
      <c r="BE10" s="503"/>
      <c r="BF10" s="504"/>
      <c r="BJ10" s="473"/>
      <c r="BK10" s="474"/>
      <c r="BL10" s="474"/>
      <c r="BM10" s="474"/>
      <c r="BN10" s="474"/>
      <c r="BO10" s="474"/>
      <c r="BP10" s="474"/>
      <c r="BQ10" s="474"/>
      <c r="BR10" s="474"/>
      <c r="BS10" s="474"/>
      <c r="BT10" s="474"/>
      <c r="BU10" s="474"/>
      <c r="BV10" s="474"/>
      <c r="BW10" s="474"/>
      <c r="BX10" s="474"/>
      <c r="BY10" s="474"/>
      <c r="BZ10" s="474"/>
      <c r="CA10" s="474"/>
      <c r="CB10" s="474"/>
      <c r="CC10" s="474"/>
      <c r="CD10" s="474"/>
      <c r="CE10" s="474"/>
      <c r="CF10" s="474"/>
      <c r="CG10" s="474"/>
      <c r="CH10" s="474"/>
      <c r="CI10" s="474"/>
      <c r="CJ10" s="474"/>
      <c r="CK10" s="474"/>
      <c r="CL10" s="474"/>
      <c r="CM10" s="474"/>
      <c r="CN10" s="474"/>
      <c r="CO10" s="474"/>
      <c r="CP10" s="474"/>
      <c r="CQ10" s="474"/>
      <c r="CR10" s="474"/>
      <c r="CS10" s="474"/>
      <c r="CT10" s="474"/>
      <c r="CU10" s="474"/>
      <c r="CV10" s="475"/>
    </row>
    <row r="11" spans="1:105" ht="37.9" customHeight="1">
      <c r="C11" s="27"/>
      <c r="D11" s="27"/>
      <c r="E11" s="27"/>
      <c r="F11" s="27"/>
      <c r="G11" s="27"/>
      <c r="H11" s="27"/>
      <c r="I11" s="27"/>
      <c r="J11" s="27"/>
      <c r="K11" s="27"/>
      <c r="L11" s="27"/>
      <c r="M11" s="27"/>
      <c r="N11" s="27"/>
      <c r="O11" s="27"/>
      <c r="P11" s="28"/>
      <c r="Q11" s="28"/>
      <c r="R11" s="28"/>
      <c r="S11" s="28"/>
      <c r="T11" s="28"/>
      <c r="U11" s="28"/>
      <c r="V11" s="28"/>
      <c r="W11" s="28"/>
      <c r="X11" s="28"/>
      <c r="Y11" s="28"/>
      <c r="Z11" s="28"/>
      <c r="AA11" s="28"/>
      <c r="AB11" s="28"/>
      <c r="AC11" s="28"/>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19"/>
      <c r="BD11" s="219"/>
      <c r="BE11" s="219"/>
      <c r="BF11" s="219"/>
    </row>
    <row r="12" spans="1:105" ht="40.9" customHeight="1">
      <c r="C12" s="543" t="s">
        <v>40</v>
      </c>
      <c r="D12" s="543"/>
      <c r="E12" s="543"/>
      <c r="F12" s="543"/>
      <c r="G12" s="543"/>
      <c r="H12" s="543"/>
      <c r="I12" s="543"/>
      <c r="J12" s="543"/>
      <c r="K12" s="543"/>
      <c r="L12" s="543"/>
      <c r="M12" s="543"/>
      <c r="N12" s="543"/>
      <c r="O12" s="543"/>
      <c r="P12" s="543"/>
      <c r="Q12" s="543"/>
      <c r="R12" s="543"/>
      <c r="S12" s="543"/>
      <c r="T12" s="543"/>
      <c r="U12" s="29" t="s">
        <v>1351</v>
      </c>
      <c r="V12" s="29"/>
      <c r="X12" s="30"/>
      <c r="Z12" s="30"/>
      <c r="AA12" s="30"/>
      <c r="AB12" s="30"/>
      <c r="AC12" s="30"/>
      <c r="AD12" s="216"/>
      <c r="AE12" s="216"/>
      <c r="AF12" s="31"/>
      <c r="AG12" s="31"/>
      <c r="AH12" s="31"/>
      <c r="AI12" s="31"/>
      <c r="AJ12" s="31"/>
      <c r="AK12" s="31"/>
      <c r="AL12" s="31"/>
      <c r="AM12" s="31"/>
      <c r="AN12" s="32" t="s">
        <v>1352</v>
      </c>
      <c r="AO12" s="32"/>
      <c r="AQ12" s="33"/>
      <c r="AR12" s="33"/>
      <c r="AS12" s="34"/>
      <c r="AT12" s="34"/>
      <c r="AU12" s="34"/>
      <c r="AV12" s="34"/>
      <c r="AW12" s="34"/>
      <c r="AX12" s="34"/>
      <c r="AY12" s="34"/>
      <c r="AZ12" s="34"/>
      <c r="BA12" s="34"/>
      <c r="BB12" s="34"/>
      <c r="BC12" s="34"/>
      <c r="BD12" s="34"/>
      <c r="BE12" s="34"/>
      <c r="BF12" s="34"/>
    </row>
    <row r="13" spans="1:105" s="35" customFormat="1" ht="9" customHeight="1">
      <c r="Q13" s="36"/>
      <c r="R13" s="36"/>
      <c r="S13" s="36"/>
      <c r="T13" s="36"/>
      <c r="U13" s="36"/>
      <c r="W13" s="36"/>
      <c r="AA13" s="37"/>
      <c r="AB13" s="37"/>
      <c r="AJ13" s="36"/>
      <c r="AK13" s="36"/>
      <c r="AL13" s="36"/>
      <c r="AM13" s="36"/>
      <c r="AN13" s="36"/>
      <c r="AW13" s="37"/>
      <c r="AX13" s="37"/>
      <c r="AY13" s="37"/>
      <c r="AZ13" s="37"/>
      <c r="BA13" s="37"/>
      <c r="BB13" s="36"/>
      <c r="BC13" s="36"/>
      <c r="BD13" s="36"/>
      <c r="BE13" s="36"/>
      <c r="BF13" s="36"/>
      <c r="BJ13" s="467" t="str">
        <f>IF(計算!B3="データ未",IF(OR(入力シート!$J$16=入力リスト!$K$4,入力シート!$J$18=入力リスト!$K$4,入力シート!$J$20=入力リスト!$K$4,入力シート!$J$22=入力リスト!$K$4),"シート［入力シート］［従業員情報(給与以外)］［従業員の給与情報］のいずれかで入力が未完了のため、グラフ表示ができていません。","［入力シート］の入力が未完了のため、グラフ表示ができていません。"),計算!J23&amp;計算!N23&amp;計算!O23&amp;計算!M23&amp;計算!P23&amp;計算!K23&amp;計算!L23)</f>
        <v>［入力シート］の入力が未完了のため、グラフ表示ができていません。</v>
      </c>
      <c r="BK13" s="468"/>
      <c r="BL13" s="468"/>
      <c r="BM13" s="468"/>
      <c r="BN13" s="468"/>
      <c r="BO13" s="468"/>
      <c r="BP13" s="468"/>
      <c r="BQ13" s="468"/>
      <c r="BR13" s="468"/>
      <c r="BS13" s="468"/>
      <c r="BT13" s="468"/>
      <c r="BU13" s="468"/>
      <c r="BV13" s="468"/>
      <c r="BW13" s="468"/>
      <c r="BX13" s="468"/>
      <c r="BY13" s="468"/>
      <c r="BZ13" s="468"/>
      <c r="CA13" s="468"/>
      <c r="CB13" s="468"/>
      <c r="CC13" s="468"/>
      <c r="CD13" s="468"/>
      <c r="CE13" s="468"/>
      <c r="CF13" s="468"/>
      <c r="CG13" s="468"/>
      <c r="CH13" s="468"/>
      <c r="CI13" s="468"/>
      <c r="CJ13" s="468"/>
      <c r="CK13" s="468"/>
      <c r="CL13" s="468"/>
      <c r="CM13" s="468"/>
      <c r="CN13" s="468"/>
      <c r="CO13" s="468"/>
      <c r="CP13" s="468"/>
      <c r="CQ13" s="468"/>
      <c r="CR13" s="468"/>
      <c r="CS13" s="468"/>
      <c r="CT13" s="468"/>
      <c r="CU13" s="468"/>
      <c r="CV13" s="468"/>
      <c r="CW13" s="469"/>
    </row>
    <row r="14" spans="1:105" s="35" customFormat="1" ht="9" customHeight="1">
      <c r="Q14" s="36"/>
      <c r="R14" s="36"/>
      <c r="S14" s="36"/>
      <c r="T14" s="36"/>
      <c r="U14" s="36"/>
      <c r="W14" s="36"/>
      <c r="AA14" s="37"/>
      <c r="AB14" s="37"/>
      <c r="AJ14" s="36"/>
      <c r="AK14" s="36"/>
      <c r="AL14" s="36"/>
      <c r="AM14" s="36"/>
      <c r="AN14" s="36"/>
      <c r="AW14" s="37"/>
      <c r="AX14" s="37"/>
      <c r="AY14" s="37"/>
      <c r="AZ14" s="37"/>
      <c r="BA14" s="37"/>
      <c r="BB14" s="36"/>
      <c r="BC14" s="36"/>
      <c r="BD14" s="36"/>
      <c r="BE14" s="36"/>
      <c r="BF14" s="36"/>
      <c r="BJ14" s="470"/>
      <c r="BK14" s="471"/>
      <c r="BL14" s="471"/>
      <c r="BM14" s="471"/>
      <c r="BN14" s="471"/>
      <c r="BO14" s="471"/>
      <c r="BP14" s="471"/>
      <c r="BQ14" s="471"/>
      <c r="BR14" s="471"/>
      <c r="BS14" s="471"/>
      <c r="BT14" s="471"/>
      <c r="BU14" s="471"/>
      <c r="BV14" s="471"/>
      <c r="BW14" s="471"/>
      <c r="BX14" s="471"/>
      <c r="BY14" s="471"/>
      <c r="BZ14" s="471"/>
      <c r="CA14" s="471"/>
      <c r="CB14" s="471"/>
      <c r="CC14" s="471"/>
      <c r="CD14" s="471"/>
      <c r="CE14" s="471"/>
      <c r="CF14" s="471"/>
      <c r="CG14" s="471"/>
      <c r="CH14" s="471"/>
      <c r="CI14" s="471"/>
      <c r="CJ14" s="471"/>
      <c r="CK14" s="471"/>
      <c r="CL14" s="471"/>
      <c r="CM14" s="471"/>
      <c r="CN14" s="471"/>
      <c r="CO14" s="471"/>
      <c r="CP14" s="471"/>
      <c r="CQ14" s="471"/>
      <c r="CR14" s="471"/>
      <c r="CS14" s="471"/>
      <c r="CT14" s="471"/>
      <c r="CU14" s="471"/>
      <c r="CV14" s="471"/>
      <c r="CW14" s="472"/>
    </row>
    <row r="15" spans="1:105" s="35" customFormat="1" ht="9" customHeight="1">
      <c r="Q15" s="38"/>
      <c r="R15" s="38"/>
      <c r="S15" s="39"/>
      <c r="T15" s="39"/>
      <c r="U15" s="39"/>
      <c r="AA15" s="40"/>
      <c r="AB15" s="40"/>
      <c r="AJ15" s="38"/>
      <c r="AK15" s="38"/>
      <c r="AL15" s="39"/>
      <c r="AM15" s="39"/>
      <c r="AN15" s="39"/>
      <c r="AW15" s="37"/>
      <c r="AX15" s="37"/>
      <c r="AY15" s="37"/>
      <c r="AZ15" s="37"/>
      <c r="BA15" s="37"/>
      <c r="BB15" s="38"/>
      <c r="BC15" s="38"/>
      <c r="BD15" s="39"/>
      <c r="BE15" s="39"/>
      <c r="BF15" s="39"/>
      <c r="BJ15" s="470"/>
      <c r="BK15" s="471"/>
      <c r="BL15" s="471"/>
      <c r="BM15" s="471"/>
      <c r="BN15" s="471"/>
      <c r="BO15" s="471"/>
      <c r="BP15" s="471"/>
      <c r="BQ15" s="471"/>
      <c r="BR15" s="471"/>
      <c r="BS15" s="471"/>
      <c r="BT15" s="471"/>
      <c r="BU15" s="471"/>
      <c r="BV15" s="471"/>
      <c r="BW15" s="471"/>
      <c r="BX15" s="471"/>
      <c r="BY15" s="471"/>
      <c r="BZ15" s="471"/>
      <c r="CA15" s="471"/>
      <c r="CB15" s="471"/>
      <c r="CC15" s="471"/>
      <c r="CD15" s="471"/>
      <c r="CE15" s="471"/>
      <c r="CF15" s="471"/>
      <c r="CG15" s="471"/>
      <c r="CH15" s="471"/>
      <c r="CI15" s="471"/>
      <c r="CJ15" s="471"/>
      <c r="CK15" s="471"/>
      <c r="CL15" s="471"/>
      <c r="CM15" s="471"/>
      <c r="CN15" s="471"/>
      <c r="CO15" s="471"/>
      <c r="CP15" s="471"/>
      <c r="CQ15" s="471"/>
      <c r="CR15" s="471"/>
      <c r="CS15" s="471"/>
      <c r="CT15" s="471"/>
      <c r="CU15" s="471"/>
      <c r="CV15" s="471"/>
      <c r="CW15" s="472"/>
    </row>
    <row r="16" spans="1:105" s="35" customFormat="1" ht="9" customHeight="1">
      <c r="Q16" s="38"/>
      <c r="R16" s="38"/>
      <c r="S16" s="39"/>
      <c r="T16" s="39"/>
      <c r="U16" s="39"/>
      <c r="AA16" s="40"/>
      <c r="AB16" s="40"/>
      <c r="AJ16" s="38"/>
      <c r="AK16" s="38"/>
      <c r="AL16" s="39"/>
      <c r="AM16" s="39"/>
      <c r="AN16" s="39"/>
      <c r="AW16" s="37"/>
      <c r="AX16" s="37"/>
      <c r="AY16" s="37"/>
      <c r="AZ16" s="37"/>
      <c r="BA16" s="37"/>
      <c r="BB16" s="38"/>
      <c r="BC16" s="38"/>
      <c r="BD16" s="39"/>
      <c r="BE16" s="39"/>
      <c r="BF16" s="39"/>
      <c r="BJ16" s="470"/>
      <c r="BK16" s="471"/>
      <c r="BL16" s="471"/>
      <c r="BM16" s="471"/>
      <c r="BN16" s="471"/>
      <c r="BO16" s="471"/>
      <c r="BP16" s="471"/>
      <c r="BQ16" s="471"/>
      <c r="BR16" s="471"/>
      <c r="BS16" s="471"/>
      <c r="BT16" s="471"/>
      <c r="BU16" s="471"/>
      <c r="BV16" s="471"/>
      <c r="BW16" s="471"/>
      <c r="BX16" s="471"/>
      <c r="BY16" s="471"/>
      <c r="BZ16" s="471"/>
      <c r="CA16" s="471"/>
      <c r="CB16" s="471"/>
      <c r="CC16" s="471"/>
      <c r="CD16" s="471"/>
      <c r="CE16" s="471"/>
      <c r="CF16" s="471"/>
      <c r="CG16" s="471"/>
      <c r="CH16" s="471"/>
      <c r="CI16" s="471"/>
      <c r="CJ16" s="471"/>
      <c r="CK16" s="471"/>
      <c r="CL16" s="471"/>
      <c r="CM16" s="471"/>
      <c r="CN16" s="471"/>
      <c r="CO16" s="471"/>
      <c r="CP16" s="471"/>
      <c r="CQ16" s="471"/>
      <c r="CR16" s="471"/>
      <c r="CS16" s="471"/>
      <c r="CT16" s="471"/>
      <c r="CU16" s="471"/>
      <c r="CV16" s="471"/>
      <c r="CW16" s="472"/>
    </row>
    <row r="17" spans="1:101" s="35" customFormat="1" ht="9" customHeight="1">
      <c r="Q17" s="38"/>
      <c r="R17" s="38"/>
      <c r="S17" s="39"/>
      <c r="T17" s="39"/>
      <c r="U17" s="39"/>
      <c r="AB17" s="40"/>
      <c r="AJ17" s="38"/>
      <c r="AK17" s="38"/>
      <c r="AL17" s="39"/>
      <c r="AM17" s="39"/>
      <c r="AN17" s="39"/>
      <c r="AW17" s="37"/>
      <c r="AX17" s="37"/>
      <c r="AY17" s="37"/>
      <c r="AZ17" s="37"/>
      <c r="BA17" s="37"/>
      <c r="BB17" s="38"/>
      <c r="BC17" s="38"/>
      <c r="BD17" s="39"/>
      <c r="BE17" s="39"/>
      <c r="BF17" s="39"/>
      <c r="BJ17" s="470"/>
      <c r="BK17" s="471"/>
      <c r="BL17" s="471"/>
      <c r="BM17" s="471"/>
      <c r="BN17" s="471"/>
      <c r="BO17" s="471"/>
      <c r="BP17" s="471"/>
      <c r="BQ17" s="471"/>
      <c r="BR17" s="471"/>
      <c r="BS17" s="471"/>
      <c r="BT17" s="471"/>
      <c r="BU17" s="471"/>
      <c r="BV17" s="471"/>
      <c r="BW17" s="471"/>
      <c r="BX17" s="471"/>
      <c r="BY17" s="471"/>
      <c r="BZ17" s="471"/>
      <c r="CA17" s="471"/>
      <c r="CB17" s="471"/>
      <c r="CC17" s="471"/>
      <c r="CD17" s="471"/>
      <c r="CE17" s="471"/>
      <c r="CF17" s="471"/>
      <c r="CG17" s="471"/>
      <c r="CH17" s="471"/>
      <c r="CI17" s="471"/>
      <c r="CJ17" s="471"/>
      <c r="CK17" s="471"/>
      <c r="CL17" s="471"/>
      <c r="CM17" s="471"/>
      <c r="CN17" s="471"/>
      <c r="CO17" s="471"/>
      <c r="CP17" s="471"/>
      <c r="CQ17" s="471"/>
      <c r="CR17" s="471"/>
      <c r="CS17" s="471"/>
      <c r="CT17" s="471"/>
      <c r="CU17" s="471"/>
      <c r="CV17" s="471"/>
      <c r="CW17" s="472"/>
    </row>
    <row r="18" spans="1:101" s="35" customFormat="1" ht="9" customHeight="1">
      <c r="Q18" s="38"/>
      <c r="R18" s="38"/>
      <c r="S18" s="39"/>
      <c r="T18" s="39"/>
      <c r="U18" s="39"/>
      <c r="AB18" s="40"/>
      <c r="AJ18" s="38"/>
      <c r="AK18" s="38"/>
      <c r="AL18" s="39"/>
      <c r="AM18" s="39"/>
      <c r="AN18" s="39"/>
      <c r="AW18" s="37"/>
      <c r="AX18" s="37"/>
      <c r="AY18" s="37"/>
      <c r="AZ18" s="37"/>
      <c r="BA18" s="37"/>
      <c r="BB18" s="38"/>
      <c r="BC18" s="38"/>
      <c r="BD18" s="39"/>
      <c r="BE18" s="39"/>
      <c r="BF18" s="39"/>
      <c r="BJ18" s="470"/>
      <c r="BK18" s="471"/>
      <c r="BL18" s="471"/>
      <c r="BM18" s="471"/>
      <c r="BN18" s="471"/>
      <c r="BO18" s="471"/>
      <c r="BP18" s="471"/>
      <c r="BQ18" s="471"/>
      <c r="BR18" s="471"/>
      <c r="BS18" s="471"/>
      <c r="BT18" s="471"/>
      <c r="BU18" s="471"/>
      <c r="BV18" s="471"/>
      <c r="BW18" s="471"/>
      <c r="BX18" s="471"/>
      <c r="BY18" s="471"/>
      <c r="BZ18" s="471"/>
      <c r="CA18" s="471"/>
      <c r="CB18" s="471"/>
      <c r="CC18" s="471"/>
      <c r="CD18" s="471"/>
      <c r="CE18" s="471"/>
      <c r="CF18" s="471"/>
      <c r="CG18" s="471"/>
      <c r="CH18" s="471"/>
      <c r="CI18" s="471"/>
      <c r="CJ18" s="471"/>
      <c r="CK18" s="471"/>
      <c r="CL18" s="471"/>
      <c r="CM18" s="471"/>
      <c r="CN18" s="471"/>
      <c r="CO18" s="471"/>
      <c r="CP18" s="471"/>
      <c r="CQ18" s="471"/>
      <c r="CR18" s="471"/>
      <c r="CS18" s="471"/>
      <c r="CT18" s="471"/>
      <c r="CU18" s="471"/>
      <c r="CV18" s="471"/>
      <c r="CW18" s="472"/>
    </row>
    <row r="19" spans="1:101" s="35" customFormat="1" ht="9" customHeight="1">
      <c r="Q19" s="38"/>
      <c r="R19" s="38"/>
      <c r="S19" s="39"/>
      <c r="T19" s="39"/>
      <c r="U19" s="39"/>
      <c r="AB19" s="40"/>
      <c r="AJ19" s="38"/>
      <c r="AK19" s="38"/>
      <c r="AL19" s="39"/>
      <c r="AM19" s="39"/>
      <c r="AN19" s="39"/>
      <c r="AW19" s="37"/>
      <c r="AX19" s="37"/>
      <c r="AY19" s="37"/>
      <c r="AZ19" s="37"/>
      <c r="BA19" s="37"/>
      <c r="BB19" s="38"/>
      <c r="BC19" s="38"/>
      <c r="BD19" s="39"/>
      <c r="BE19" s="39"/>
      <c r="BF19" s="39"/>
      <c r="BJ19" s="470"/>
      <c r="BK19" s="471"/>
      <c r="BL19" s="471"/>
      <c r="BM19" s="471"/>
      <c r="BN19" s="471"/>
      <c r="BO19" s="471"/>
      <c r="BP19" s="471"/>
      <c r="BQ19" s="471"/>
      <c r="BR19" s="471"/>
      <c r="BS19" s="471"/>
      <c r="BT19" s="471"/>
      <c r="BU19" s="471"/>
      <c r="BV19" s="471"/>
      <c r="BW19" s="471"/>
      <c r="BX19" s="471"/>
      <c r="BY19" s="471"/>
      <c r="BZ19" s="471"/>
      <c r="CA19" s="471"/>
      <c r="CB19" s="471"/>
      <c r="CC19" s="471"/>
      <c r="CD19" s="471"/>
      <c r="CE19" s="471"/>
      <c r="CF19" s="471"/>
      <c r="CG19" s="471"/>
      <c r="CH19" s="471"/>
      <c r="CI19" s="471"/>
      <c r="CJ19" s="471"/>
      <c r="CK19" s="471"/>
      <c r="CL19" s="471"/>
      <c r="CM19" s="471"/>
      <c r="CN19" s="471"/>
      <c r="CO19" s="471"/>
      <c r="CP19" s="471"/>
      <c r="CQ19" s="471"/>
      <c r="CR19" s="471"/>
      <c r="CS19" s="471"/>
      <c r="CT19" s="471"/>
      <c r="CU19" s="471"/>
      <c r="CV19" s="471"/>
      <c r="CW19" s="472"/>
    </row>
    <row r="20" spans="1:101" s="35" customFormat="1" ht="9" customHeight="1">
      <c r="Q20" s="38"/>
      <c r="R20" s="38"/>
      <c r="S20" s="39"/>
      <c r="T20" s="39"/>
      <c r="U20" s="39"/>
      <c r="AB20" s="40"/>
      <c r="AJ20" s="38"/>
      <c r="AK20" s="38"/>
      <c r="AL20" s="39"/>
      <c r="AM20" s="39"/>
      <c r="AN20" s="39"/>
      <c r="AW20" s="37"/>
      <c r="AX20" s="37"/>
      <c r="AY20" s="37"/>
      <c r="AZ20" s="37"/>
      <c r="BA20" s="37"/>
      <c r="BB20" s="38"/>
      <c r="BC20" s="38"/>
      <c r="BD20" s="39"/>
      <c r="BE20" s="39"/>
      <c r="BF20" s="39"/>
      <c r="BJ20" s="470"/>
      <c r="BK20" s="471"/>
      <c r="BL20" s="471"/>
      <c r="BM20" s="471"/>
      <c r="BN20" s="471"/>
      <c r="BO20" s="471"/>
      <c r="BP20" s="471"/>
      <c r="BQ20" s="471"/>
      <c r="BR20" s="471"/>
      <c r="BS20" s="471"/>
      <c r="BT20" s="471"/>
      <c r="BU20" s="471"/>
      <c r="BV20" s="471"/>
      <c r="BW20" s="471"/>
      <c r="BX20" s="471"/>
      <c r="BY20" s="471"/>
      <c r="BZ20" s="471"/>
      <c r="CA20" s="471"/>
      <c r="CB20" s="471"/>
      <c r="CC20" s="471"/>
      <c r="CD20" s="471"/>
      <c r="CE20" s="471"/>
      <c r="CF20" s="471"/>
      <c r="CG20" s="471"/>
      <c r="CH20" s="471"/>
      <c r="CI20" s="471"/>
      <c r="CJ20" s="471"/>
      <c r="CK20" s="471"/>
      <c r="CL20" s="471"/>
      <c r="CM20" s="471"/>
      <c r="CN20" s="471"/>
      <c r="CO20" s="471"/>
      <c r="CP20" s="471"/>
      <c r="CQ20" s="471"/>
      <c r="CR20" s="471"/>
      <c r="CS20" s="471"/>
      <c r="CT20" s="471"/>
      <c r="CU20" s="471"/>
      <c r="CV20" s="471"/>
      <c r="CW20" s="472"/>
    </row>
    <row r="21" spans="1:101" s="35" customFormat="1" ht="9" customHeight="1">
      <c r="Q21" s="38"/>
      <c r="R21" s="38"/>
      <c r="S21" s="39"/>
      <c r="T21" s="39"/>
      <c r="U21" s="39"/>
      <c r="AB21" s="40"/>
      <c r="AJ21" s="38"/>
      <c r="AK21" s="38"/>
      <c r="AL21" s="39"/>
      <c r="AM21" s="39"/>
      <c r="AN21" s="39"/>
      <c r="AW21" s="37"/>
      <c r="AX21" s="37"/>
      <c r="AY21" s="37"/>
      <c r="AZ21" s="37"/>
      <c r="BA21" s="37"/>
      <c r="BB21" s="38"/>
      <c r="BC21" s="38"/>
      <c r="BD21" s="39"/>
      <c r="BE21" s="39"/>
      <c r="BF21" s="39"/>
      <c r="BJ21" s="470"/>
      <c r="BK21" s="471"/>
      <c r="BL21" s="471"/>
      <c r="BM21" s="471"/>
      <c r="BN21" s="471"/>
      <c r="BO21" s="471"/>
      <c r="BP21" s="471"/>
      <c r="BQ21" s="471"/>
      <c r="BR21" s="471"/>
      <c r="BS21" s="471"/>
      <c r="BT21" s="471"/>
      <c r="BU21" s="471"/>
      <c r="BV21" s="471"/>
      <c r="BW21" s="471"/>
      <c r="BX21" s="471"/>
      <c r="BY21" s="471"/>
      <c r="BZ21" s="471"/>
      <c r="CA21" s="471"/>
      <c r="CB21" s="471"/>
      <c r="CC21" s="471"/>
      <c r="CD21" s="471"/>
      <c r="CE21" s="471"/>
      <c r="CF21" s="471"/>
      <c r="CG21" s="471"/>
      <c r="CH21" s="471"/>
      <c r="CI21" s="471"/>
      <c r="CJ21" s="471"/>
      <c r="CK21" s="471"/>
      <c r="CL21" s="471"/>
      <c r="CM21" s="471"/>
      <c r="CN21" s="471"/>
      <c r="CO21" s="471"/>
      <c r="CP21" s="471"/>
      <c r="CQ21" s="471"/>
      <c r="CR21" s="471"/>
      <c r="CS21" s="471"/>
      <c r="CT21" s="471"/>
      <c r="CU21" s="471"/>
      <c r="CV21" s="471"/>
      <c r="CW21" s="472"/>
    </row>
    <row r="22" spans="1:101" s="35" customFormat="1" ht="9" customHeight="1">
      <c r="Q22" s="38"/>
      <c r="R22" s="38"/>
      <c r="S22" s="39"/>
      <c r="T22" s="39"/>
      <c r="U22" s="39"/>
      <c r="AB22" s="40"/>
      <c r="AJ22" s="38"/>
      <c r="AK22" s="38"/>
      <c r="AL22" s="39"/>
      <c r="AM22" s="39"/>
      <c r="AN22" s="39"/>
      <c r="AW22" s="37"/>
      <c r="AX22" s="37"/>
      <c r="AY22" s="37"/>
      <c r="AZ22" s="37"/>
      <c r="BA22" s="37"/>
      <c r="BB22" s="38"/>
      <c r="BC22" s="38"/>
      <c r="BD22" s="39"/>
      <c r="BE22" s="39"/>
      <c r="BF22" s="39"/>
      <c r="BJ22" s="470"/>
      <c r="BK22" s="471"/>
      <c r="BL22" s="471"/>
      <c r="BM22" s="471"/>
      <c r="BN22" s="471"/>
      <c r="BO22" s="471"/>
      <c r="BP22" s="471"/>
      <c r="BQ22" s="471"/>
      <c r="BR22" s="471"/>
      <c r="BS22" s="471"/>
      <c r="BT22" s="471"/>
      <c r="BU22" s="471"/>
      <c r="BV22" s="471"/>
      <c r="BW22" s="471"/>
      <c r="BX22" s="471"/>
      <c r="BY22" s="471"/>
      <c r="BZ22" s="471"/>
      <c r="CA22" s="471"/>
      <c r="CB22" s="471"/>
      <c r="CC22" s="471"/>
      <c r="CD22" s="471"/>
      <c r="CE22" s="471"/>
      <c r="CF22" s="471"/>
      <c r="CG22" s="471"/>
      <c r="CH22" s="471"/>
      <c r="CI22" s="471"/>
      <c r="CJ22" s="471"/>
      <c r="CK22" s="471"/>
      <c r="CL22" s="471"/>
      <c r="CM22" s="471"/>
      <c r="CN22" s="471"/>
      <c r="CO22" s="471"/>
      <c r="CP22" s="471"/>
      <c r="CQ22" s="471"/>
      <c r="CR22" s="471"/>
      <c r="CS22" s="471"/>
      <c r="CT22" s="471"/>
      <c r="CU22" s="471"/>
      <c r="CV22" s="471"/>
      <c r="CW22" s="472"/>
    </row>
    <row r="23" spans="1:101" s="35" customFormat="1" ht="9" customHeight="1">
      <c r="I23" s="41"/>
      <c r="J23" s="41"/>
      <c r="K23" s="41"/>
      <c r="L23" s="41"/>
      <c r="M23" s="41"/>
      <c r="N23" s="42"/>
      <c r="O23" s="43"/>
      <c r="Q23" s="38"/>
      <c r="R23" s="38"/>
      <c r="S23" s="44"/>
      <c r="T23" s="44"/>
      <c r="U23" s="44"/>
      <c r="AJ23" s="38"/>
      <c r="AK23" s="38"/>
      <c r="AL23" s="44"/>
      <c r="AM23" s="44"/>
      <c r="AN23" s="44"/>
      <c r="AW23" s="37"/>
      <c r="AX23" s="37"/>
      <c r="AY23" s="37"/>
      <c r="AZ23" s="37"/>
      <c r="BA23" s="37"/>
      <c r="BB23" s="38"/>
      <c r="BC23" s="38"/>
      <c r="BD23" s="44"/>
      <c r="BE23" s="44"/>
      <c r="BF23" s="44"/>
      <c r="BJ23" s="470"/>
      <c r="BK23" s="471"/>
      <c r="BL23" s="471"/>
      <c r="BM23" s="471"/>
      <c r="BN23" s="471"/>
      <c r="BO23" s="471"/>
      <c r="BP23" s="471"/>
      <c r="BQ23" s="471"/>
      <c r="BR23" s="471"/>
      <c r="BS23" s="471"/>
      <c r="BT23" s="471"/>
      <c r="BU23" s="471"/>
      <c r="BV23" s="471"/>
      <c r="BW23" s="471"/>
      <c r="BX23" s="471"/>
      <c r="BY23" s="471"/>
      <c r="BZ23" s="471"/>
      <c r="CA23" s="471"/>
      <c r="CB23" s="471"/>
      <c r="CC23" s="471"/>
      <c r="CD23" s="471"/>
      <c r="CE23" s="471"/>
      <c r="CF23" s="471"/>
      <c r="CG23" s="471"/>
      <c r="CH23" s="471"/>
      <c r="CI23" s="471"/>
      <c r="CJ23" s="471"/>
      <c r="CK23" s="471"/>
      <c r="CL23" s="471"/>
      <c r="CM23" s="471"/>
      <c r="CN23" s="471"/>
      <c r="CO23" s="471"/>
      <c r="CP23" s="471"/>
      <c r="CQ23" s="471"/>
      <c r="CR23" s="471"/>
      <c r="CS23" s="471"/>
      <c r="CT23" s="471"/>
      <c r="CU23" s="471"/>
      <c r="CV23" s="471"/>
      <c r="CW23" s="472"/>
    </row>
    <row r="24" spans="1:101" ht="33" customHeight="1">
      <c r="C24" s="563"/>
      <c r="D24" s="563"/>
      <c r="E24" s="563"/>
      <c r="F24" s="563"/>
      <c r="G24" s="563"/>
      <c r="H24" s="563"/>
      <c r="I24" s="45"/>
      <c r="J24" s="45"/>
      <c r="K24" s="45"/>
      <c r="L24" s="45"/>
      <c r="M24" s="45"/>
      <c r="N24" s="46"/>
      <c r="O24" s="47"/>
      <c r="Q24" s="38"/>
      <c r="R24" s="38"/>
      <c r="S24" s="44"/>
      <c r="T24" s="44"/>
      <c r="U24" s="44"/>
      <c r="AJ24" s="38"/>
      <c r="AK24" s="38"/>
      <c r="AL24" s="44"/>
      <c r="AM24" s="44"/>
      <c r="AN24" s="44"/>
      <c r="AP24" s="140"/>
      <c r="AQ24" s="140"/>
      <c r="AR24" s="140"/>
      <c r="AS24" s="140"/>
      <c r="AT24" s="140"/>
      <c r="AU24" s="140"/>
      <c r="AV24" s="140"/>
      <c r="AW24" s="140"/>
      <c r="AX24" s="140"/>
      <c r="AY24" s="140"/>
      <c r="AZ24" s="140"/>
      <c r="BA24" s="140"/>
      <c r="BB24" s="38"/>
      <c r="BC24" s="38"/>
      <c r="BD24" s="44"/>
      <c r="BE24" s="44"/>
      <c r="BF24" s="44"/>
      <c r="BJ24" s="470"/>
      <c r="BK24" s="471"/>
      <c r="BL24" s="471"/>
      <c r="BM24" s="471"/>
      <c r="BN24" s="471"/>
      <c r="BO24" s="471"/>
      <c r="BP24" s="471"/>
      <c r="BQ24" s="471"/>
      <c r="BR24" s="471"/>
      <c r="BS24" s="471"/>
      <c r="BT24" s="471"/>
      <c r="BU24" s="471"/>
      <c r="BV24" s="471"/>
      <c r="BW24" s="471"/>
      <c r="BX24" s="471"/>
      <c r="BY24" s="471"/>
      <c r="BZ24" s="471"/>
      <c r="CA24" s="471"/>
      <c r="CB24" s="471"/>
      <c r="CC24" s="471"/>
      <c r="CD24" s="471"/>
      <c r="CE24" s="471"/>
      <c r="CF24" s="471"/>
      <c r="CG24" s="471"/>
      <c r="CH24" s="471"/>
      <c r="CI24" s="471"/>
      <c r="CJ24" s="471"/>
      <c r="CK24" s="471"/>
      <c r="CL24" s="471"/>
      <c r="CM24" s="471"/>
      <c r="CN24" s="471"/>
      <c r="CO24" s="471"/>
      <c r="CP24" s="471"/>
      <c r="CQ24" s="471"/>
      <c r="CR24" s="471"/>
      <c r="CS24" s="471"/>
      <c r="CT24" s="471"/>
      <c r="CU24" s="471"/>
      <c r="CV24" s="471"/>
      <c r="CW24" s="472"/>
    </row>
    <row r="25" spans="1:101" ht="30" customHeight="1">
      <c r="P25" s="38"/>
      <c r="AI25" s="38"/>
      <c r="BB25" s="38"/>
      <c r="BC25" s="38"/>
      <c r="BD25" s="44"/>
      <c r="BE25" s="44"/>
      <c r="BF25" s="44"/>
      <c r="BJ25" s="470"/>
      <c r="BK25" s="471"/>
      <c r="BL25" s="471"/>
      <c r="BM25" s="471"/>
      <c r="BN25" s="471"/>
      <c r="BO25" s="471"/>
      <c r="BP25" s="471"/>
      <c r="BQ25" s="471"/>
      <c r="BR25" s="471"/>
      <c r="BS25" s="471"/>
      <c r="BT25" s="471"/>
      <c r="BU25" s="471"/>
      <c r="BV25" s="471"/>
      <c r="BW25" s="471"/>
      <c r="BX25" s="471"/>
      <c r="BY25" s="471"/>
      <c r="BZ25" s="471"/>
      <c r="CA25" s="471"/>
      <c r="CB25" s="471"/>
      <c r="CC25" s="471"/>
      <c r="CD25" s="471"/>
      <c r="CE25" s="471"/>
      <c r="CF25" s="471"/>
      <c r="CG25" s="471"/>
      <c r="CH25" s="471"/>
      <c r="CI25" s="471"/>
      <c r="CJ25" s="471"/>
      <c r="CK25" s="471"/>
      <c r="CL25" s="471"/>
      <c r="CM25" s="471"/>
      <c r="CN25" s="471"/>
      <c r="CO25" s="471"/>
      <c r="CP25" s="471"/>
      <c r="CQ25" s="471"/>
      <c r="CR25" s="471"/>
      <c r="CS25" s="471"/>
      <c r="CT25" s="471"/>
      <c r="CU25" s="471"/>
      <c r="CV25" s="471"/>
      <c r="CW25" s="472"/>
    </row>
    <row r="26" spans="1:101" ht="25.9" customHeight="1">
      <c r="BJ26" s="473"/>
      <c r="BK26" s="474"/>
      <c r="BL26" s="474"/>
      <c r="BM26" s="474"/>
      <c r="BN26" s="474"/>
      <c r="BO26" s="474"/>
      <c r="BP26" s="474"/>
      <c r="BQ26" s="474"/>
      <c r="BR26" s="474"/>
      <c r="BS26" s="474"/>
      <c r="BT26" s="474"/>
      <c r="BU26" s="474"/>
      <c r="BV26" s="474"/>
      <c r="BW26" s="474"/>
      <c r="BX26" s="474"/>
      <c r="BY26" s="474"/>
      <c r="BZ26" s="474"/>
      <c r="CA26" s="474"/>
      <c r="CB26" s="474"/>
      <c r="CC26" s="474"/>
      <c r="CD26" s="474"/>
      <c r="CE26" s="474"/>
      <c r="CF26" s="474"/>
      <c r="CG26" s="474"/>
      <c r="CH26" s="474"/>
      <c r="CI26" s="474"/>
      <c r="CJ26" s="474"/>
      <c r="CK26" s="474"/>
      <c r="CL26" s="474"/>
      <c r="CM26" s="474"/>
      <c r="CN26" s="474"/>
      <c r="CO26" s="474"/>
      <c r="CP26" s="474"/>
      <c r="CQ26" s="474"/>
      <c r="CR26" s="474"/>
      <c r="CS26" s="474"/>
      <c r="CT26" s="474"/>
      <c r="CU26" s="474"/>
      <c r="CV26" s="474"/>
      <c r="CW26" s="475"/>
    </row>
    <row r="27" spans="1:101" ht="189" customHeight="1">
      <c r="C27" s="220" t="s">
        <v>1354</v>
      </c>
      <c r="D27" s="48"/>
      <c r="E27" s="48"/>
      <c r="F27" s="48"/>
      <c r="G27" s="48"/>
      <c r="H27" s="48"/>
      <c r="I27" s="48"/>
      <c r="J27" s="48"/>
      <c r="K27" s="48"/>
      <c r="L27" s="221"/>
      <c r="M27" s="221"/>
      <c r="N27" s="221"/>
      <c r="O27" s="221"/>
      <c r="P27" s="221"/>
      <c r="Q27" s="221"/>
      <c r="R27" s="221"/>
      <c r="S27" s="221"/>
      <c r="T27" s="221"/>
      <c r="U27" s="221"/>
      <c r="V27" s="221"/>
      <c r="W27" s="49"/>
      <c r="X27" s="49"/>
      <c r="Y27" s="49"/>
      <c r="Z27" s="49"/>
      <c r="AA27" s="49"/>
      <c r="AB27" s="49"/>
      <c r="AC27" s="49"/>
      <c r="AD27" s="49"/>
      <c r="AE27" s="221"/>
      <c r="AF27" s="222" t="s">
        <v>1353</v>
      </c>
      <c r="AG27" s="221"/>
      <c r="AH27" s="221"/>
      <c r="AI27" s="221"/>
      <c r="AJ27" s="221"/>
      <c r="AK27" s="221"/>
      <c r="AL27" s="221"/>
      <c r="AM27" s="221"/>
      <c r="AN27" s="221"/>
      <c r="AO27" s="221"/>
      <c r="AP27" s="49"/>
      <c r="AQ27" s="49"/>
      <c r="AR27" s="49"/>
      <c r="AS27" s="49"/>
      <c r="AT27" s="49"/>
      <c r="AU27" s="49"/>
      <c r="AV27" s="49"/>
      <c r="AW27" s="49"/>
      <c r="AX27" s="49"/>
      <c r="AY27" s="49"/>
      <c r="AZ27" s="49"/>
      <c r="BA27" s="49"/>
      <c r="BB27" s="49"/>
      <c r="BC27" s="49"/>
      <c r="BD27" s="49"/>
      <c r="BE27" s="49"/>
      <c r="BF27" s="49"/>
      <c r="BJ27" s="476" t="str">
        <f>IF(計算!B3="データ未",IF(OR(入力シート!$J$16=入力リスト!$K$4,入力シート!$J$18=入力リスト!$K$4,入力シート!$J$20=入力リスト!$K$4,入力シート!$J$22=入力リスト!$K$4),"シート［入力シート］［従業員情報(給与以外)］［従業員の給与情報］のいずれかで入力が未完了のため、グラフ表示ができていません。","［入力シート］の入力が未完了のため、グラフ表示ができていません。"),計算!J38&amp;計算!N38&amp;計算!O38&amp;計算!P38&amp;計算!M38&amp;計算!K38&amp;計算!L38)</f>
        <v>［入力シート］の入力が未完了のため、グラフ表示ができていません。</v>
      </c>
      <c r="BK27" s="477"/>
      <c r="BL27" s="477"/>
      <c r="BM27" s="477"/>
      <c r="BN27" s="477"/>
      <c r="BO27" s="477"/>
      <c r="BP27" s="477"/>
      <c r="BQ27" s="477"/>
      <c r="BR27" s="477"/>
      <c r="BS27" s="477"/>
      <c r="BT27" s="477"/>
      <c r="BU27" s="477"/>
      <c r="BV27" s="477"/>
      <c r="BW27" s="477"/>
      <c r="BX27" s="477"/>
      <c r="BY27" s="477"/>
      <c r="BZ27" s="477"/>
      <c r="CA27" s="477"/>
      <c r="CB27" s="477"/>
      <c r="CC27" s="477"/>
      <c r="CD27" s="477"/>
      <c r="CE27" s="477"/>
      <c r="CF27" s="477"/>
      <c r="CG27" s="477"/>
      <c r="CH27" s="477"/>
      <c r="CI27" s="477"/>
      <c r="CJ27" s="477"/>
      <c r="CK27" s="477"/>
      <c r="CL27" s="477"/>
      <c r="CM27" s="477"/>
      <c r="CN27" s="477"/>
      <c r="CO27" s="477"/>
      <c r="CP27" s="477"/>
      <c r="CQ27" s="477"/>
      <c r="CR27" s="477"/>
      <c r="CS27" s="477"/>
      <c r="CT27" s="477"/>
      <c r="CU27" s="477"/>
      <c r="CV27" s="477"/>
      <c r="CW27" s="478"/>
    </row>
    <row r="28" spans="1:101" ht="40.9" customHeight="1" thickBot="1">
      <c r="C28" s="223" t="s">
        <v>117</v>
      </c>
      <c r="D28" s="224"/>
      <c r="E28" s="224"/>
      <c r="F28" s="224"/>
      <c r="G28" s="224"/>
      <c r="H28" s="224"/>
      <c r="I28" s="224"/>
      <c r="J28" s="224"/>
      <c r="K28" s="224"/>
      <c r="L28" s="224"/>
      <c r="M28" s="224"/>
      <c r="N28" s="224"/>
      <c r="O28" s="224"/>
      <c r="P28" s="224"/>
      <c r="Q28" s="224"/>
      <c r="R28" s="224"/>
      <c r="S28" s="224"/>
      <c r="T28" s="224"/>
      <c r="U28" s="619"/>
      <c r="V28" s="619"/>
      <c r="W28" s="619"/>
      <c r="X28" s="619"/>
      <c r="Y28" s="225"/>
      <c r="Z28" s="225"/>
      <c r="AA28" s="225"/>
      <c r="AB28" s="225"/>
      <c r="AC28" s="225"/>
      <c r="AD28" s="225"/>
      <c r="AG28" s="225"/>
      <c r="AH28" s="225"/>
      <c r="AP28" s="50"/>
      <c r="AQ28" s="50"/>
      <c r="AR28" s="50"/>
      <c r="AS28" s="51"/>
      <c r="AT28" s="51"/>
      <c r="AU28" s="51"/>
      <c r="AV28" s="51"/>
      <c r="AW28" s="51"/>
      <c r="AX28" s="51"/>
      <c r="AY28" s="37"/>
      <c r="AZ28" s="37"/>
      <c r="BA28" s="37"/>
      <c r="BB28" s="37"/>
      <c r="BC28" s="37"/>
      <c r="BD28" s="37"/>
      <c r="BE28" s="37"/>
      <c r="BF28" s="37"/>
    </row>
    <row r="29" spans="1:101" ht="250.15" customHeight="1" thickBot="1">
      <c r="A29" s="508"/>
      <c r="B29" s="509"/>
      <c r="C29" s="566" t="str">
        <f>IF(入力シート!$C$5=入力リスト!$N$5,"",IF(計算!B3="データ未","貴社のデータ入力が未完了です。",計算!C77))</f>
        <v>貴社のデータ入力が未完了です。</v>
      </c>
      <c r="D29" s="567"/>
      <c r="E29" s="567"/>
      <c r="F29" s="567"/>
      <c r="G29" s="567"/>
      <c r="H29" s="567"/>
      <c r="I29" s="567"/>
      <c r="J29" s="567"/>
      <c r="K29" s="567"/>
      <c r="L29" s="567"/>
      <c r="M29" s="567"/>
      <c r="N29" s="567"/>
      <c r="O29" s="567"/>
      <c r="P29" s="567"/>
      <c r="Q29" s="567"/>
      <c r="R29" s="567"/>
      <c r="S29" s="567"/>
      <c r="T29" s="567"/>
      <c r="U29" s="567"/>
      <c r="V29" s="567"/>
      <c r="W29" s="567"/>
      <c r="X29" s="567"/>
      <c r="Y29" s="567"/>
      <c r="Z29" s="567"/>
      <c r="AA29" s="567"/>
      <c r="AB29" s="567"/>
      <c r="AC29" s="567"/>
      <c r="AD29" s="567"/>
      <c r="AE29" s="567"/>
      <c r="AF29" s="567"/>
      <c r="AG29" s="567"/>
      <c r="AH29" s="567"/>
      <c r="AI29" s="567"/>
      <c r="AJ29" s="567"/>
      <c r="AK29" s="567"/>
      <c r="AL29" s="567"/>
      <c r="AM29" s="567"/>
      <c r="AN29" s="567"/>
      <c r="AO29" s="567"/>
      <c r="AP29" s="567"/>
      <c r="AQ29" s="567"/>
      <c r="AR29" s="567"/>
      <c r="AS29" s="567"/>
      <c r="AT29" s="567"/>
      <c r="AU29" s="567"/>
      <c r="AV29" s="567"/>
      <c r="AW29" s="567"/>
      <c r="AX29" s="567"/>
      <c r="AY29" s="567"/>
      <c r="AZ29" s="567"/>
      <c r="BA29" s="567"/>
      <c r="BB29" s="567"/>
      <c r="BC29" s="567"/>
      <c r="BD29" s="567"/>
      <c r="BE29" s="567"/>
      <c r="BF29" s="568"/>
      <c r="BK29" s="140"/>
      <c r="BY29" s="216"/>
    </row>
    <row r="30" spans="1:101" ht="73.900000000000006" customHeight="1">
      <c r="C30" s="620" t="str">
        <f>IF(入力シート!$C$5=入力リスト!$N$5,"",IF(計算!B3="データ未","",計算!B97))</f>
        <v/>
      </c>
      <c r="D30" s="620"/>
      <c r="E30" s="620"/>
      <c r="F30" s="620"/>
      <c r="G30" s="620"/>
      <c r="H30" s="620"/>
      <c r="I30" s="620"/>
      <c r="J30" s="620"/>
      <c r="K30" s="620"/>
      <c r="L30" s="620"/>
      <c r="M30" s="620"/>
      <c r="N30" s="620"/>
      <c r="O30" s="620"/>
      <c r="P30" s="620"/>
      <c r="Q30" s="620"/>
      <c r="R30" s="620"/>
      <c r="S30" s="620"/>
      <c r="T30" s="620"/>
      <c r="U30" s="620"/>
      <c r="V30" s="620"/>
      <c r="W30" s="620"/>
      <c r="X30" s="620"/>
      <c r="Y30" s="620"/>
      <c r="Z30" s="620"/>
      <c r="AA30" s="620"/>
      <c r="AB30" s="620"/>
      <c r="AC30" s="620"/>
      <c r="AD30" s="620"/>
      <c r="AE30" s="620"/>
      <c r="AF30" s="620"/>
      <c r="AG30" s="620"/>
      <c r="AH30" s="620"/>
      <c r="AI30" s="620"/>
      <c r="AJ30" s="620"/>
      <c r="AK30" s="620"/>
      <c r="AL30" s="620"/>
      <c r="AM30" s="620"/>
      <c r="AN30" s="620"/>
      <c r="AO30" s="620"/>
      <c r="AP30" s="620"/>
      <c r="AQ30" s="620"/>
      <c r="AR30" s="620"/>
      <c r="AS30" s="620"/>
      <c r="AT30" s="620"/>
      <c r="AU30" s="620"/>
      <c r="AV30" s="620"/>
      <c r="AW30" s="620"/>
      <c r="AX30" s="620"/>
      <c r="AY30" s="620"/>
      <c r="AZ30" s="620"/>
      <c r="BA30" s="620"/>
      <c r="BB30" s="620"/>
      <c r="BC30" s="620"/>
      <c r="BD30" s="620"/>
      <c r="BE30" s="620"/>
      <c r="BF30" s="620"/>
    </row>
    <row r="31" spans="1:101" ht="42" customHeight="1" thickBot="1">
      <c r="B31" s="52" t="s">
        <v>119</v>
      </c>
      <c r="C31" s="214"/>
      <c r="D31" s="214"/>
      <c r="T31" s="53"/>
      <c r="U31" s="53"/>
      <c r="V31" s="53"/>
      <c r="W31" s="53"/>
      <c r="X31" s="53"/>
      <c r="Y31" s="53"/>
      <c r="Z31" s="53"/>
      <c r="AA31" s="53"/>
      <c r="AB31" s="53"/>
      <c r="AC31" s="53"/>
      <c r="AD31" s="53"/>
      <c r="AE31" s="53"/>
      <c r="AF31" s="53"/>
      <c r="AG31" s="53"/>
      <c r="AH31" s="53"/>
      <c r="AI31" s="53"/>
      <c r="AJ31" s="53"/>
      <c r="AK31" s="53"/>
      <c r="AL31" s="53"/>
      <c r="AM31" s="53"/>
      <c r="AN31" s="53"/>
    </row>
    <row r="32" spans="1:101" ht="43.15" customHeight="1">
      <c r="M32" s="569" t="s">
        <v>3</v>
      </c>
      <c r="N32" s="570"/>
      <c r="O32" s="570"/>
      <c r="P32" s="570"/>
      <c r="Q32" s="570"/>
      <c r="R32" s="570"/>
      <c r="S32" s="570"/>
      <c r="T32" s="479" t="s">
        <v>1312</v>
      </c>
      <c r="U32" s="581"/>
      <c r="V32" s="581"/>
      <c r="W32" s="581"/>
      <c r="X32" s="581"/>
      <c r="Y32" s="581"/>
      <c r="Z32" s="581"/>
      <c r="AA32" s="581"/>
      <c r="AB32" s="581"/>
      <c r="AC32" s="581"/>
      <c r="AD32" s="581"/>
      <c r="AE32" s="581"/>
      <c r="AF32" s="581"/>
      <c r="AG32" s="581"/>
      <c r="AH32" s="581"/>
      <c r="AI32" s="581"/>
      <c r="AJ32" s="581"/>
      <c r="AK32" s="581"/>
      <c r="AL32" s="581"/>
      <c r="AM32" s="581"/>
      <c r="AN32" s="581"/>
      <c r="AO32" s="581"/>
      <c r="AP32" s="479" t="s">
        <v>1224</v>
      </c>
      <c r="AQ32" s="480"/>
      <c r="AR32" s="480"/>
      <c r="AS32" s="480"/>
      <c r="AT32" s="480"/>
      <c r="AU32" s="480"/>
      <c r="AV32" s="480"/>
      <c r="AW32" s="480"/>
      <c r="AX32" s="480"/>
      <c r="AY32" s="573" t="s">
        <v>1225</v>
      </c>
      <c r="AZ32" s="574"/>
      <c r="BA32" s="574"/>
      <c r="BB32" s="574"/>
      <c r="BC32" s="574"/>
      <c r="BD32" s="574"/>
      <c r="BE32" s="574"/>
      <c r="BF32" s="575"/>
      <c r="BJ32" s="467" t="str">
        <f>IF(計算!B3="データ未",IF(OR(入力シート!$J$16=入力リスト!$K$4,入力シート!$J$18=入力リスト!$K$4,入力シート!$J$20=入力リスト!$K$4,入力シート!$J$22=入力リスト!$K$4),"シート［入力シート］［従業員情報(給与以外)］［従業員の給与情報］のいずれかで入力が未完了のため、グラフ表示ができていません。","［入力シート］の入力が未完了のため、グラフ表示ができていません。"),計算!J51&amp;計算!N51&amp;計算!O51&amp;計算!P51&amp;計算!K51&amp;計算!L51)</f>
        <v>［入力シート］の入力が未完了のため、グラフ表示ができていません。</v>
      </c>
      <c r="BK32" s="468"/>
      <c r="BL32" s="468"/>
      <c r="BM32" s="468"/>
      <c r="BN32" s="468"/>
      <c r="BO32" s="468"/>
      <c r="BP32" s="468"/>
      <c r="BQ32" s="468"/>
      <c r="BR32" s="468"/>
      <c r="BS32" s="468"/>
      <c r="BT32" s="468"/>
      <c r="BU32" s="468"/>
      <c r="BV32" s="468"/>
      <c r="BW32" s="468"/>
      <c r="BX32" s="468"/>
      <c r="BY32" s="468"/>
      <c r="BZ32" s="468"/>
      <c r="CA32" s="468"/>
      <c r="CB32" s="468"/>
      <c r="CC32" s="468"/>
      <c r="CD32" s="468"/>
      <c r="CE32" s="468"/>
      <c r="CF32" s="468"/>
      <c r="CG32" s="468"/>
      <c r="CH32" s="468"/>
      <c r="CI32" s="468"/>
      <c r="CJ32" s="468"/>
      <c r="CK32" s="468"/>
      <c r="CL32" s="468"/>
      <c r="CM32" s="468"/>
      <c r="CN32" s="468"/>
      <c r="CO32" s="468"/>
      <c r="CP32" s="468"/>
      <c r="CQ32" s="468"/>
      <c r="CR32" s="468"/>
      <c r="CS32" s="468"/>
      <c r="CT32" s="469"/>
    </row>
    <row r="33" spans="1:115" ht="16.899999999999999" customHeight="1" thickBot="1">
      <c r="K33" s="54"/>
      <c r="L33" s="54"/>
      <c r="M33" s="571"/>
      <c r="N33" s="572"/>
      <c r="O33" s="572"/>
      <c r="P33" s="572"/>
      <c r="Q33" s="572"/>
      <c r="R33" s="572"/>
      <c r="S33" s="572"/>
      <c r="T33" s="625" t="s">
        <v>1313</v>
      </c>
      <c r="U33" s="626"/>
      <c r="V33" s="626"/>
      <c r="W33" s="626"/>
      <c r="X33" s="626"/>
      <c r="Y33" s="626"/>
      <c r="Z33" s="626"/>
      <c r="AA33" s="626"/>
      <c r="AB33" s="626"/>
      <c r="AC33" s="626"/>
      <c r="AD33" s="627"/>
      <c r="AE33" s="578" t="s">
        <v>1314</v>
      </c>
      <c r="AF33" s="579"/>
      <c r="AG33" s="579"/>
      <c r="AH33" s="579"/>
      <c r="AI33" s="579"/>
      <c r="AJ33" s="579"/>
      <c r="AK33" s="579"/>
      <c r="AL33" s="579"/>
      <c r="AM33" s="579"/>
      <c r="AN33" s="579"/>
      <c r="AO33" s="580"/>
      <c r="AP33" s="533" t="s">
        <v>1226</v>
      </c>
      <c r="AQ33" s="534"/>
      <c r="AR33" s="534"/>
      <c r="AS33" s="534"/>
      <c r="AT33" s="534"/>
      <c r="AU33" s="534"/>
      <c r="AV33" s="534"/>
      <c r="AW33" s="534"/>
      <c r="AX33" s="535"/>
      <c r="AY33" s="481" t="s">
        <v>1226</v>
      </c>
      <c r="AZ33" s="482"/>
      <c r="BA33" s="482"/>
      <c r="BB33" s="482"/>
      <c r="BC33" s="482"/>
      <c r="BD33" s="482"/>
      <c r="BE33" s="482"/>
      <c r="BF33" s="483"/>
      <c r="BG33" s="103"/>
      <c r="BJ33" s="470"/>
      <c r="BK33" s="471"/>
      <c r="BL33" s="471"/>
      <c r="BM33" s="471"/>
      <c r="BN33" s="471"/>
      <c r="BO33" s="471"/>
      <c r="BP33" s="471"/>
      <c r="BQ33" s="471"/>
      <c r="BR33" s="471"/>
      <c r="BS33" s="471"/>
      <c r="BT33" s="471"/>
      <c r="BU33" s="471"/>
      <c r="BV33" s="471"/>
      <c r="BW33" s="471"/>
      <c r="BX33" s="471"/>
      <c r="BY33" s="471"/>
      <c r="BZ33" s="471"/>
      <c r="CA33" s="471"/>
      <c r="CB33" s="471"/>
      <c r="CC33" s="471"/>
      <c r="CD33" s="471"/>
      <c r="CE33" s="471"/>
      <c r="CF33" s="471"/>
      <c r="CG33" s="471"/>
      <c r="CH33" s="471"/>
      <c r="CI33" s="471"/>
      <c r="CJ33" s="471"/>
      <c r="CK33" s="471"/>
      <c r="CL33" s="471"/>
      <c r="CM33" s="471"/>
      <c r="CN33" s="471"/>
      <c r="CO33" s="471"/>
      <c r="CP33" s="471"/>
      <c r="CQ33" s="471"/>
      <c r="CR33" s="471"/>
      <c r="CS33" s="471"/>
      <c r="CT33" s="472"/>
    </row>
    <row r="34" spans="1:115" ht="19.899999999999999" customHeight="1" thickTop="1">
      <c r="D34" s="516" t="str">
        <f>IF(入力シート!$J$26&lt;&gt;入力リスト!$P$4,LEFT(入力シート!C54,6)&amp;CHAR(10)&amp;MID(入力シート!C54,7,100),入力リスト!$O$5)</f>
        <v>直近1年間の
採用者数</v>
      </c>
      <c r="E34" s="517"/>
      <c r="F34" s="517"/>
      <c r="G34" s="517"/>
      <c r="H34" s="517"/>
      <c r="I34" s="517"/>
      <c r="J34" s="517"/>
      <c r="K34" s="517"/>
      <c r="L34" s="518"/>
      <c r="M34" s="564" t="s">
        <v>126</v>
      </c>
      <c r="N34" s="565"/>
      <c r="O34" s="565"/>
      <c r="P34" s="565"/>
      <c r="Q34" s="565"/>
      <c r="R34" s="565"/>
      <c r="S34" s="565"/>
      <c r="T34" s="628" t="str">
        <f>IF(入力シート!$C$5=入力リスト!$N$5,"-",IF(計算!B3="データ未","データ未",IF(ISERROR(計算!D43),"-",計算!D43)))</f>
        <v>データ未</v>
      </c>
      <c r="U34" s="629"/>
      <c r="V34" s="629"/>
      <c r="W34" s="629"/>
      <c r="X34" s="629"/>
      <c r="Y34" s="629"/>
      <c r="Z34" s="629"/>
      <c r="AA34" s="629"/>
      <c r="AB34" s="629"/>
      <c r="AC34" s="629"/>
      <c r="AD34" s="630"/>
      <c r="AE34" s="576" t="str">
        <f>IF(入力シート!$C$5=入力リスト!$N$5,"-",IF(計算!B3="データ未","データ未",IF(ISERROR(計算!E43),"-",計算!E43)))</f>
        <v>データ未</v>
      </c>
      <c r="AF34" s="576"/>
      <c r="AG34" s="576"/>
      <c r="AH34" s="576"/>
      <c r="AI34" s="576"/>
      <c r="AJ34" s="576"/>
      <c r="AK34" s="576"/>
      <c r="AL34" s="576"/>
      <c r="AM34" s="576"/>
      <c r="AN34" s="576"/>
      <c r="AO34" s="577"/>
      <c r="AP34" s="640" t="str">
        <f>IF(入力シート!$C$5=入力リスト!$N$5,"-",IF(計算!$B$3=入力リスト!$S$4,入力リスト!$S$4,IF(計算!E43=0,入力リスト!$R$4,IF(ISERROR(計算!D43/計算!E43),"-",計算!H43))))</f>
        <v>データ未</v>
      </c>
      <c r="AQ34" s="641"/>
      <c r="AR34" s="641"/>
      <c r="AS34" s="641"/>
      <c r="AT34" s="641"/>
      <c r="AU34" s="641"/>
      <c r="AV34" s="641"/>
      <c r="AW34" s="641"/>
      <c r="AX34" s="642"/>
      <c r="AY34" s="493">
        <f>IF(計算!$G$43=0,入力リスト!$R$4,IF(ISERROR(計算!I43),"-",計算!I43))</f>
        <v>0.8097466960352423</v>
      </c>
      <c r="AZ34" s="494"/>
      <c r="BA34" s="494"/>
      <c r="BB34" s="494"/>
      <c r="BC34" s="494"/>
      <c r="BD34" s="494"/>
      <c r="BE34" s="494"/>
      <c r="BF34" s="495"/>
      <c r="BG34" s="226"/>
      <c r="BJ34" s="470"/>
      <c r="BK34" s="471"/>
      <c r="BL34" s="471"/>
      <c r="BM34" s="471"/>
      <c r="BN34" s="471"/>
      <c r="BO34" s="471"/>
      <c r="BP34" s="471"/>
      <c r="BQ34" s="471"/>
      <c r="BR34" s="471"/>
      <c r="BS34" s="471"/>
      <c r="BT34" s="471"/>
      <c r="BU34" s="471"/>
      <c r="BV34" s="471"/>
      <c r="BW34" s="471"/>
      <c r="BX34" s="471"/>
      <c r="BY34" s="471"/>
      <c r="BZ34" s="471"/>
      <c r="CA34" s="471"/>
      <c r="CB34" s="471"/>
      <c r="CC34" s="471"/>
      <c r="CD34" s="471"/>
      <c r="CE34" s="471"/>
      <c r="CF34" s="471"/>
      <c r="CG34" s="471"/>
      <c r="CH34" s="471"/>
      <c r="CI34" s="471"/>
      <c r="CJ34" s="471"/>
      <c r="CK34" s="471"/>
      <c r="CL34" s="471"/>
      <c r="CM34" s="471"/>
      <c r="CN34" s="471"/>
      <c r="CO34" s="471"/>
      <c r="CP34" s="471"/>
      <c r="CQ34" s="471"/>
      <c r="CR34" s="471"/>
      <c r="CS34" s="471"/>
      <c r="CT34" s="472"/>
    </row>
    <row r="35" spans="1:115" ht="19.899999999999999" customHeight="1">
      <c r="D35" s="519"/>
      <c r="E35" s="520"/>
      <c r="F35" s="520"/>
      <c r="G35" s="520"/>
      <c r="H35" s="520"/>
      <c r="I35" s="520"/>
      <c r="J35" s="520"/>
      <c r="K35" s="520"/>
      <c r="L35" s="521"/>
      <c r="M35" s="536" t="s">
        <v>127</v>
      </c>
      <c r="N35" s="537"/>
      <c r="O35" s="537"/>
      <c r="P35" s="537"/>
      <c r="Q35" s="537"/>
      <c r="R35" s="537"/>
      <c r="S35" s="537"/>
      <c r="T35" s="631" t="str">
        <f>IF(入力シート!$C$5=入力リスト!$N$5,"-",IF(計算!B3="データ未","データ未",IF(ISERROR(計算!D47),"-",計算!D47)))</f>
        <v>データ未</v>
      </c>
      <c r="U35" s="632"/>
      <c r="V35" s="632"/>
      <c r="W35" s="632"/>
      <c r="X35" s="632"/>
      <c r="Y35" s="632"/>
      <c r="Z35" s="632"/>
      <c r="AA35" s="632"/>
      <c r="AB35" s="632"/>
      <c r="AC35" s="632"/>
      <c r="AD35" s="633"/>
      <c r="AE35" s="531" t="str">
        <f>IF(入力シート!$C$5=入力リスト!$N$5,"-",IF(計算!B3="データ未","データ未",IF(ISERROR(計算!E47),"-",計算!E47)))</f>
        <v>データ未</v>
      </c>
      <c r="AF35" s="531"/>
      <c r="AG35" s="531"/>
      <c r="AH35" s="531"/>
      <c r="AI35" s="531"/>
      <c r="AJ35" s="531"/>
      <c r="AK35" s="531"/>
      <c r="AL35" s="531"/>
      <c r="AM35" s="531"/>
      <c r="AN35" s="531"/>
      <c r="AO35" s="532"/>
      <c r="AP35" s="499" t="str">
        <f>IF(入力シート!$C$5=入力リスト!$N$5,"-",IF(入力シート!$C$5=入力リスト!$N$5,"-",IF(計算!$B$3=入力リスト!$S$4,入力リスト!$S$4,IF(計算!E47=0,入力リスト!$R$4,IF(ISERROR(計算!D47/計算!E47),"-",計算!H47)))))</f>
        <v>データ未</v>
      </c>
      <c r="AQ35" s="500"/>
      <c r="AR35" s="500"/>
      <c r="AS35" s="500"/>
      <c r="AT35" s="500"/>
      <c r="AU35" s="500"/>
      <c r="AV35" s="500"/>
      <c r="AW35" s="500"/>
      <c r="AX35" s="501"/>
      <c r="AY35" s="490">
        <f>IF(計算!$G$49=0,入力リスト!$R$4,IF(ISERROR(計算!I47),"-",計算!I47))</f>
        <v>1</v>
      </c>
      <c r="AZ35" s="491"/>
      <c r="BA35" s="491"/>
      <c r="BB35" s="491"/>
      <c r="BC35" s="491"/>
      <c r="BD35" s="491"/>
      <c r="BE35" s="491"/>
      <c r="BF35" s="492"/>
      <c r="BG35" s="226"/>
      <c r="BJ35" s="470"/>
      <c r="BK35" s="471"/>
      <c r="BL35" s="471"/>
      <c r="BM35" s="471"/>
      <c r="BN35" s="471"/>
      <c r="BO35" s="471"/>
      <c r="BP35" s="471"/>
      <c r="BQ35" s="471"/>
      <c r="BR35" s="471"/>
      <c r="BS35" s="471"/>
      <c r="BT35" s="471"/>
      <c r="BU35" s="471"/>
      <c r="BV35" s="471"/>
      <c r="BW35" s="471"/>
      <c r="BX35" s="471"/>
      <c r="BY35" s="471"/>
      <c r="BZ35" s="471"/>
      <c r="CA35" s="471"/>
      <c r="CB35" s="471"/>
      <c r="CC35" s="471"/>
      <c r="CD35" s="471"/>
      <c r="CE35" s="471"/>
      <c r="CF35" s="471"/>
      <c r="CG35" s="471"/>
      <c r="CH35" s="471"/>
      <c r="CI35" s="471"/>
      <c r="CJ35" s="471"/>
      <c r="CK35" s="471"/>
      <c r="CL35" s="471"/>
      <c r="CM35" s="471"/>
      <c r="CN35" s="471"/>
      <c r="CO35" s="471"/>
      <c r="CP35" s="471"/>
      <c r="CQ35" s="471"/>
      <c r="CR35" s="471"/>
      <c r="CS35" s="471"/>
      <c r="CT35" s="472"/>
    </row>
    <row r="36" spans="1:115" ht="19.899999999999999" customHeight="1">
      <c r="D36" s="510" t="str">
        <f>入力シート!C55</f>
        <v>平均勤続年数</v>
      </c>
      <c r="E36" s="511"/>
      <c r="F36" s="511"/>
      <c r="G36" s="511"/>
      <c r="H36" s="511"/>
      <c r="I36" s="511"/>
      <c r="J36" s="511"/>
      <c r="K36" s="511"/>
      <c r="L36" s="512"/>
      <c r="M36" s="522" t="s">
        <v>128</v>
      </c>
      <c r="N36" s="523"/>
      <c r="O36" s="523"/>
      <c r="P36" s="523"/>
      <c r="Q36" s="523"/>
      <c r="R36" s="523"/>
      <c r="S36" s="523"/>
      <c r="T36" s="634" t="str">
        <f>IF(入力シート!$C$5=入力リスト!$N$5,"",IF(計算!B3="データ未","データ未",TEXT(ROUND(IF(ISERROR(計算!D44),"-",計算!D44),1),"0.0")&amp;"年"))&amp;"("&amp;TEXT(IF(ISERROR(計算!F44),"-",計算!F44),"0.0")&amp;"年)"</f>
        <v>データ未(10.0年)</v>
      </c>
      <c r="U36" s="635"/>
      <c r="V36" s="635"/>
      <c r="W36" s="635"/>
      <c r="X36" s="635"/>
      <c r="Y36" s="635"/>
      <c r="Z36" s="635"/>
      <c r="AA36" s="635"/>
      <c r="AB36" s="635"/>
      <c r="AC36" s="635"/>
      <c r="AD36" s="636"/>
      <c r="AE36" s="538" t="str">
        <f>IF(入力シート!$C$5=入力リスト!$N$5,"",IF(計算!B3="データ未","データ未",TEXT(ROUND(IF(ISERROR(計算!E44),"-",計算!E44),1),"0.0")&amp;"年"))&amp;"("&amp;TEXT(IF(ISERROR(計算!G44),"-",計算!G44),"0.0")&amp;"年)"</f>
        <v>データ未(13.7年)</v>
      </c>
      <c r="AF36" s="538"/>
      <c r="AG36" s="538"/>
      <c r="AH36" s="538"/>
      <c r="AI36" s="538"/>
      <c r="AJ36" s="538"/>
      <c r="AK36" s="538"/>
      <c r="AL36" s="538"/>
      <c r="AM36" s="538"/>
      <c r="AN36" s="538"/>
      <c r="AO36" s="539"/>
      <c r="AP36" s="499" t="str">
        <f>IF(入力シート!$C$5=入力リスト!$N$5,"-",IF(計算!$B$3=入力リスト!$S$4,入力リスト!$S$4,IF(計算!E44=0,入力リスト!$R$4,IF(ISERROR(計算!D44/計算!E44),"-",計算!H44))))</f>
        <v>データ未</v>
      </c>
      <c r="AQ36" s="500"/>
      <c r="AR36" s="500"/>
      <c r="AS36" s="500"/>
      <c r="AT36" s="500"/>
      <c r="AU36" s="500"/>
      <c r="AV36" s="500"/>
      <c r="AW36" s="500"/>
      <c r="AX36" s="501"/>
      <c r="AY36" s="490">
        <f>IF(計算!$G$49=0,入力リスト!$R$4,IF(ISERROR(計算!I44),"-",計算!I44))</f>
        <v>0.72992700729927007</v>
      </c>
      <c r="AZ36" s="491"/>
      <c r="BA36" s="491"/>
      <c r="BB36" s="491"/>
      <c r="BC36" s="491"/>
      <c r="BD36" s="491"/>
      <c r="BE36" s="491"/>
      <c r="BF36" s="492"/>
      <c r="BG36" s="226"/>
      <c r="BJ36" s="470"/>
      <c r="BK36" s="471"/>
      <c r="BL36" s="471"/>
      <c r="BM36" s="471"/>
      <c r="BN36" s="471"/>
      <c r="BO36" s="471"/>
      <c r="BP36" s="471"/>
      <c r="BQ36" s="471"/>
      <c r="BR36" s="471"/>
      <c r="BS36" s="471"/>
      <c r="BT36" s="471"/>
      <c r="BU36" s="471"/>
      <c r="BV36" s="471"/>
      <c r="BW36" s="471"/>
      <c r="BX36" s="471"/>
      <c r="BY36" s="471"/>
      <c r="BZ36" s="471"/>
      <c r="CA36" s="471"/>
      <c r="CB36" s="471"/>
      <c r="CC36" s="471"/>
      <c r="CD36" s="471"/>
      <c r="CE36" s="471"/>
      <c r="CF36" s="471"/>
      <c r="CG36" s="471"/>
      <c r="CH36" s="471"/>
      <c r="CI36" s="471"/>
      <c r="CJ36" s="471"/>
      <c r="CK36" s="471"/>
      <c r="CL36" s="471"/>
      <c r="CM36" s="471"/>
      <c r="CN36" s="471"/>
      <c r="CO36" s="471"/>
      <c r="CP36" s="471"/>
      <c r="CQ36" s="471"/>
      <c r="CR36" s="471"/>
      <c r="CS36" s="471"/>
      <c r="CT36" s="472"/>
    </row>
    <row r="37" spans="1:115" ht="19.899999999999999" customHeight="1">
      <c r="D37" s="519"/>
      <c r="E37" s="520"/>
      <c r="F37" s="520"/>
      <c r="G37" s="520"/>
      <c r="H37" s="520"/>
      <c r="I37" s="520"/>
      <c r="J37" s="520"/>
      <c r="K37" s="520"/>
      <c r="L37" s="521"/>
      <c r="M37" s="536" t="s">
        <v>127</v>
      </c>
      <c r="N37" s="537"/>
      <c r="O37" s="537"/>
      <c r="P37" s="537"/>
      <c r="Q37" s="537"/>
      <c r="R37" s="537"/>
      <c r="S37" s="537"/>
      <c r="T37" s="634" t="str">
        <f>IF(入力シート!$C$5=入力リスト!$N$5,"",IF(計算!B3="データ未","データ未",TEXT(ROUND(IF(ISERROR(計算!D48),"-",計算!D48),1),"0.0")&amp;"年"))&amp;"("&amp;TEXT(IF(ISERROR(計算!F48),"-",計算!F48),"0.0")&amp;"年)"</f>
        <v>データ未(6.5年)</v>
      </c>
      <c r="U37" s="635"/>
      <c r="V37" s="635"/>
      <c r="W37" s="635"/>
      <c r="X37" s="635"/>
      <c r="Y37" s="635"/>
      <c r="Z37" s="635"/>
      <c r="AA37" s="635"/>
      <c r="AB37" s="635"/>
      <c r="AC37" s="635"/>
      <c r="AD37" s="636"/>
      <c r="AE37" s="538" t="str">
        <f>IF(入力シート!$C$5=入力リスト!$N$5,"",IF(計算!B3="データ未","データ未",TEXT(ROUND(IF(ISERROR(計算!E48),"-",計算!E48),1),"0.0")&amp;"年"))&amp;"("&amp;TEXT(IF(ISERROR(計算!G48),"-",計算!G48),"0.0")&amp;"年)"</f>
        <v>データ未(7.3年)</v>
      </c>
      <c r="AF37" s="538"/>
      <c r="AG37" s="538"/>
      <c r="AH37" s="538"/>
      <c r="AI37" s="538"/>
      <c r="AJ37" s="538"/>
      <c r="AK37" s="538"/>
      <c r="AL37" s="538"/>
      <c r="AM37" s="538"/>
      <c r="AN37" s="538"/>
      <c r="AO37" s="539"/>
      <c r="AP37" s="499" t="str">
        <f>IF(入力シート!$C$5=入力リスト!$N$5,"-",IF(計算!$B$3=入力リスト!$S$4,入力リスト!$S$4,IF(計算!E48=0,入力リスト!$R$4,IF(ISERROR(計算!D48/計算!E48),"-",計算!H48))))</f>
        <v>データ未</v>
      </c>
      <c r="AQ37" s="500"/>
      <c r="AR37" s="500"/>
      <c r="AS37" s="500"/>
      <c r="AT37" s="500"/>
      <c r="AU37" s="500"/>
      <c r="AV37" s="500"/>
      <c r="AW37" s="500"/>
      <c r="AX37" s="501"/>
      <c r="AY37" s="490">
        <f>IF(計算!$G$48=0,入力リスト!$R$4,IF(ISERROR(計算!I48),"-",計算!I48))</f>
        <v>0.8904109589041096</v>
      </c>
      <c r="AZ37" s="491"/>
      <c r="BA37" s="491"/>
      <c r="BB37" s="491"/>
      <c r="BC37" s="491"/>
      <c r="BD37" s="491"/>
      <c r="BE37" s="491"/>
      <c r="BF37" s="492"/>
      <c r="BG37" s="226"/>
      <c r="BJ37" s="470"/>
      <c r="BK37" s="471"/>
      <c r="BL37" s="471"/>
      <c r="BM37" s="471"/>
      <c r="BN37" s="471"/>
      <c r="BO37" s="471"/>
      <c r="BP37" s="471"/>
      <c r="BQ37" s="471"/>
      <c r="BR37" s="471"/>
      <c r="BS37" s="471"/>
      <c r="BT37" s="471"/>
      <c r="BU37" s="471"/>
      <c r="BV37" s="471"/>
      <c r="BW37" s="471"/>
      <c r="BX37" s="471"/>
      <c r="BY37" s="471"/>
      <c r="BZ37" s="471"/>
      <c r="CA37" s="471"/>
      <c r="CB37" s="471"/>
      <c r="CC37" s="471"/>
      <c r="CD37" s="471"/>
      <c r="CE37" s="471"/>
      <c r="CF37" s="471"/>
      <c r="CG37" s="471"/>
      <c r="CH37" s="471"/>
      <c r="CI37" s="471"/>
      <c r="CJ37" s="471"/>
      <c r="CK37" s="471"/>
      <c r="CL37" s="471"/>
      <c r="CM37" s="471"/>
      <c r="CN37" s="471"/>
      <c r="CO37" s="471"/>
      <c r="CP37" s="471"/>
      <c r="CQ37" s="471"/>
      <c r="CR37" s="471"/>
      <c r="CS37" s="471"/>
      <c r="CT37" s="472"/>
    </row>
    <row r="38" spans="1:115" ht="19.899999999999999" customHeight="1">
      <c r="D38" s="510" t="str">
        <f>入力シート!C56</f>
        <v>管理職数</v>
      </c>
      <c r="E38" s="511"/>
      <c r="F38" s="511"/>
      <c r="G38" s="511"/>
      <c r="H38" s="511"/>
      <c r="I38" s="511"/>
      <c r="J38" s="511"/>
      <c r="K38" s="511"/>
      <c r="L38" s="512"/>
      <c r="M38" s="522" t="s">
        <v>128</v>
      </c>
      <c r="N38" s="523"/>
      <c r="O38" s="523"/>
      <c r="P38" s="523"/>
      <c r="Q38" s="523"/>
      <c r="R38" s="523"/>
      <c r="S38" s="523"/>
      <c r="T38" s="631" t="str">
        <f>IF(入力シート!$C$5=入力リスト!$N$5,"-",IF(計算!B3="データ未","データ未",IF(ISERROR(計算!D45),"-",計算!D45)))</f>
        <v>データ未</v>
      </c>
      <c r="U38" s="632"/>
      <c r="V38" s="632"/>
      <c r="W38" s="632"/>
      <c r="X38" s="632"/>
      <c r="Y38" s="632"/>
      <c r="Z38" s="632"/>
      <c r="AA38" s="632"/>
      <c r="AB38" s="632"/>
      <c r="AC38" s="632"/>
      <c r="AD38" s="633"/>
      <c r="AE38" s="531" t="str">
        <f>IF(入力シート!$C$5=入力リスト!$N$5,"-",IF(計算!B3="データ未","データ未",IF(ISERROR(計算!E45),"-",計算!E45)))</f>
        <v>データ未</v>
      </c>
      <c r="AF38" s="531"/>
      <c r="AG38" s="531"/>
      <c r="AH38" s="531"/>
      <c r="AI38" s="531"/>
      <c r="AJ38" s="531"/>
      <c r="AK38" s="531"/>
      <c r="AL38" s="531"/>
      <c r="AM38" s="531"/>
      <c r="AN38" s="531"/>
      <c r="AO38" s="532"/>
      <c r="AP38" s="499" t="str">
        <f>IF(入力シート!$C$5=入力リスト!$N$5,"-",IF(計算!$B$3=入力リスト!$S$4,入力リスト!$S$4,IF(計算!E45=0,入力リスト!$R$4,IF(ISERROR(計算!D45/計算!E45),"-",計算!H45))))</f>
        <v>データ未</v>
      </c>
      <c r="AQ38" s="500"/>
      <c r="AR38" s="500"/>
      <c r="AS38" s="500"/>
      <c r="AT38" s="500"/>
      <c r="AU38" s="500"/>
      <c r="AV38" s="500"/>
      <c r="AW38" s="500"/>
      <c r="AX38" s="501"/>
      <c r="AY38" s="490">
        <f>IF(計算!$G$45=0,入力リスト!$R$4,IF(ISERROR(計算!I45),"-",計算!I45))</f>
        <v>0.14618585924982538</v>
      </c>
      <c r="AZ38" s="491"/>
      <c r="BA38" s="491"/>
      <c r="BB38" s="491"/>
      <c r="BC38" s="491"/>
      <c r="BD38" s="491"/>
      <c r="BE38" s="491"/>
      <c r="BF38" s="492"/>
      <c r="BG38" s="226"/>
      <c r="BJ38" s="470"/>
      <c r="BK38" s="471"/>
      <c r="BL38" s="471"/>
      <c r="BM38" s="471"/>
      <c r="BN38" s="471"/>
      <c r="BO38" s="471"/>
      <c r="BP38" s="471"/>
      <c r="BQ38" s="471"/>
      <c r="BR38" s="471"/>
      <c r="BS38" s="471"/>
      <c r="BT38" s="471"/>
      <c r="BU38" s="471"/>
      <c r="BV38" s="471"/>
      <c r="BW38" s="471"/>
      <c r="BX38" s="471"/>
      <c r="BY38" s="471"/>
      <c r="BZ38" s="471"/>
      <c r="CA38" s="471"/>
      <c r="CB38" s="471"/>
      <c r="CC38" s="471"/>
      <c r="CD38" s="471"/>
      <c r="CE38" s="471"/>
      <c r="CF38" s="471"/>
      <c r="CG38" s="471"/>
      <c r="CH38" s="471"/>
      <c r="CI38" s="471"/>
      <c r="CJ38" s="471"/>
      <c r="CK38" s="471"/>
      <c r="CL38" s="471"/>
      <c r="CM38" s="471"/>
      <c r="CN38" s="471"/>
      <c r="CO38" s="471"/>
      <c r="CP38" s="471"/>
      <c r="CQ38" s="471"/>
      <c r="CR38" s="471"/>
      <c r="CS38" s="471"/>
      <c r="CT38" s="472"/>
    </row>
    <row r="39" spans="1:115" ht="19.899999999999999" customHeight="1">
      <c r="D39" s="510" t="s">
        <v>1247</v>
      </c>
      <c r="E39" s="511"/>
      <c r="F39" s="511"/>
      <c r="G39" s="511"/>
      <c r="H39" s="511"/>
      <c r="I39" s="511"/>
      <c r="J39" s="511"/>
      <c r="K39" s="511"/>
      <c r="L39" s="512"/>
      <c r="M39" s="522" t="s">
        <v>128</v>
      </c>
      <c r="N39" s="523"/>
      <c r="O39" s="523"/>
      <c r="P39" s="523"/>
      <c r="Q39" s="523"/>
      <c r="R39" s="523"/>
      <c r="S39" s="523"/>
      <c r="T39" s="637" t="str">
        <f>IF(入力シート!$C$5=入力リスト!$N$5,"",IF(計算!B3="データ未","データ未",TEXT(ROUND(IF(ISERROR(計算!D46),"-",計算!D46),1),"0.0")&amp;"時間"))&amp;"("&amp;TEXT(IF(ISERROR(計算!F46),"-",計算!F46),"0.0")&amp;"時間)"</f>
        <v>データ未(7.7時間)</v>
      </c>
      <c r="U39" s="638"/>
      <c r="V39" s="638"/>
      <c r="W39" s="638"/>
      <c r="X39" s="638"/>
      <c r="Y39" s="638"/>
      <c r="Z39" s="638"/>
      <c r="AA39" s="638"/>
      <c r="AB39" s="638"/>
      <c r="AC39" s="638"/>
      <c r="AD39" s="639"/>
      <c r="AE39" s="529" t="str">
        <f>IF(入力シート!$C$5=入力リスト!$N$5,"",IF(計算!B3="データ未","データ未",TEXT(ROUND(IF(ISERROR(計算!E46),"-",計算!E46),1),"0.0")&amp;"時間"))&amp;"("&amp;TEXT(IF(ISERROR(計算!G46),"-",計算!G46),"0.0")&amp;"時間)"</f>
        <v>データ未(14.2時間)</v>
      </c>
      <c r="AF39" s="529"/>
      <c r="AG39" s="529"/>
      <c r="AH39" s="529"/>
      <c r="AI39" s="529"/>
      <c r="AJ39" s="529"/>
      <c r="AK39" s="529"/>
      <c r="AL39" s="529"/>
      <c r="AM39" s="529"/>
      <c r="AN39" s="529"/>
      <c r="AO39" s="530"/>
      <c r="AP39" s="499" t="str">
        <f>IF(入力シート!$C$5=入力リスト!$N$5,"-",IF(計算!$B$3=入力リスト!$S$4,入力リスト!$S$4,IF(計算!E46=0,入力リスト!$R$4,IF(ISERROR(計算!D46/計算!E46),"-",計算!H46))))</f>
        <v>データ未</v>
      </c>
      <c r="AQ39" s="500"/>
      <c r="AR39" s="500"/>
      <c r="AS39" s="500"/>
      <c r="AT39" s="500"/>
      <c r="AU39" s="500"/>
      <c r="AV39" s="500"/>
      <c r="AW39" s="500"/>
      <c r="AX39" s="501"/>
      <c r="AY39" s="490">
        <f>IF(計算!$G$46=0,入力リスト!$R$4,IF(ISERROR(計算!I46),"-",計算!I46))</f>
        <v>0.54225352112676062</v>
      </c>
      <c r="AZ39" s="491"/>
      <c r="BA39" s="491"/>
      <c r="BB39" s="491"/>
      <c r="BC39" s="491"/>
      <c r="BD39" s="491"/>
      <c r="BE39" s="491"/>
      <c r="BF39" s="492"/>
      <c r="BG39" s="226"/>
      <c r="BJ39" s="470"/>
      <c r="BK39" s="471"/>
      <c r="BL39" s="471"/>
      <c r="BM39" s="471"/>
      <c r="BN39" s="471"/>
      <c r="BO39" s="471"/>
      <c r="BP39" s="471"/>
      <c r="BQ39" s="471"/>
      <c r="BR39" s="471"/>
      <c r="BS39" s="471"/>
      <c r="BT39" s="471"/>
      <c r="BU39" s="471"/>
      <c r="BV39" s="471"/>
      <c r="BW39" s="471"/>
      <c r="BX39" s="471"/>
      <c r="BY39" s="471"/>
      <c r="BZ39" s="471"/>
      <c r="CA39" s="471"/>
      <c r="CB39" s="471"/>
      <c r="CC39" s="471"/>
      <c r="CD39" s="471"/>
      <c r="CE39" s="471"/>
      <c r="CF39" s="471"/>
      <c r="CG39" s="471"/>
      <c r="CH39" s="471"/>
      <c r="CI39" s="471"/>
      <c r="CJ39" s="471"/>
      <c r="CK39" s="471"/>
      <c r="CL39" s="471"/>
      <c r="CM39" s="471"/>
      <c r="CN39" s="471"/>
      <c r="CO39" s="471"/>
      <c r="CP39" s="471"/>
      <c r="CQ39" s="471"/>
      <c r="CR39" s="471"/>
      <c r="CS39" s="471"/>
      <c r="CT39" s="472"/>
    </row>
    <row r="40" spans="1:115" ht="19.899999999999999" customHeight="1" thickBot="1">
      <c r="D40" s="513"/>
      <c r="E40" s="514"/>
      <c r="F40" s="514"/>
      <c r="G40" s="514"/>
      <c r="H40" s="514"/>
      <c r="I40" s="514"/>
      <c r="J40" s="514"/>
      <c r="K40" s="514"/>
      <c r="L40" s="515"/>
      <c r="M40" s="524" t="s">
        <v>127</v>
      </c>
      <c r="N40" s="525"/>
      <c r="O40" s="525"/>
      <c r="P40" s="525"/>
      <c r="Q40" s="525"/>
      <c r="R40" s="525"/>
      <c r="S40" s="525"/>
      <c r="T40" s="622" t="str">
        <f>IF(入力シート!$C$5=入力リスト!$N$5,"",IF(計算!B3="データ未","データ未",TEXT(ROUND(IF(ISERROR(計算!D49),"-",計算!D49),1),"0.0"&amp;"時間")))&amp;"("&amp;TEXT(IF(ISERROR(計算!F49),"-",計算!F49),"0.0")&amp;"時間)"</f>
        <v>データ未(2.6時間)</v>
      </c>
      <c r="U40" s="623"/>
      <c r="V40" s="623"/>
      <c r="W40" s="623"/>
      <c r="X40" s="623"/>
      <c r="Y40" s="623"/>
      <c r="Z40" s="623"/>
      <c r="AA40" s="623"/>
      <c r="AB40" s="623"/>
      <c r="AC40" s="623"/>
      <c r="AD40" s="624"/>
      <c r="AE40" s="527" t="str">
        <f>IF(入力シート!$C$5=入力リスト!$N$5,"",IF(計算!B3="データ未","データ未",TEXT(ROUND(IF(ISERROR(計算!E49),"-",計算!E49),1),"0.0")&amp;"時間"))&amp;"("&amp;TEXT(IF(ISERROR(計算!G49),"-",計算!G49),"0.0")&amp;"時間)"</f>
        <v>データ未(5.4時間)</v>
      </c>
      <c r="AF40" s="527"/>
      <c r="AG40" s="527"/>
      <c r="AH40" s="527"/>
      <c r="AI40" s="527"/>
      <c r="AJ40" s="527"/>
      <c r="AK40" s="527"/>
      <c r="AL40" s="527"/>
      <c r="AM40" s="527"/>
      <c r="AN40" s="527"/>
      <c r="AO40" s="528"/>
      <c r="AP40" s="496" t="str">
        <f>IF(入力シート!$C$5=入力リスト!$N$5,"-",IF(計算!$B$3=入力リスト!$S$4,入力リスト!$S$4,IF(計算!E49=0,入力リスト!$R$4,IF(ISERROR(計算!D49/計算!E49),"-",計算!H49))))</f>
        <v>データ未</v>
      </c>
      <c r="AQ40" s="497"/>
      <c r="AR40" s="497"/>
      <c r="AS40" s="497"/>
      <c r="AT40" s="497"/>
      <c r="AU40" s="497"/>
      <c r="AV40" s="497"/>
      <c r="AW40" s="497"/>
      <c r="AX40" s="498"/>
      <c r="AY40" s="586">
        <f>IF(計算!$G$49=0,入力リスト!$R$4,IF(ISERROR(計算!I49),"-",計算!I49))</f>
        <v>0.48148148148148145</v>
      </c>
      <c r="AZ40" s="587"/>
      <c r="BA40" s="587"/>
      <c r="BB40" s="587"/>
      <c r="BC40" s="587"/>
      <c r="BD40" s="587"/>
      <c r="BE40" s="587"/>
      <c r="BF40" s="588"/>
      <c r="BG40" s="226"/>
      <c r="BJ40" s="473"/>
      <c r="BK40" s="474"/>
      <c r="BL40" s="474"/>
      <c r="BM40" s="474"/>
      <c r="BN40" s="474"/>
      <c r="BO40" s="474"/>
      <c r="BP40" s="474"/>
      <c r="BQ40" s="474"/>
      <c r="BR40" s="474"/>
      <c r="BS40" s="474"/>
      <c r="BT40" s="474"/>
      <c r="BU40" s="474"/>
      <c r="BV40" s="474"/>
      <c r="BW40" s="474"/>
      <c r="BX40" s="474"/>
      <c r="BY40" s="474"/>
      <c r="BZ40" s="474"/>
      <c r="CA40" s="474"/>
      <c r="CB40" s="474"/>
      <c r="CC40" s="474"/>
      <c r="CD40" s="474"/>
      <c r="CE40" s="474"/>
      <c r="CF40" s="474"/>
      <c r="CG40" s="474"/>
      <c r="CH40" s="474"/>
      <c r="CI40" s="474"/>
      <c r="CJ40" s="474"/>
      <c r="CK40" s="474"/>
      <c r="CL40" s="474"/>
      <c r="CM40" s="474"/>
      <c r="CN40" s="474"/>
      <c r="CO40" s="474"/>
      <c r="CP40" s="474"/>
      <c r="CQ40" s="474"/>
      <c r="CR40" s="474"/>
      <c r="CS40" s="474"/>
      <c r="CT40" s="475"/>
    </row>
    <row r="41" spans="1:115" ht="141" customHeight="1">
      <c r="D41" s="526" t="str">
        <f>IF(入力シート!$J$26=入力リスト!$P$4,"",IF(OR(入力シート!$J$10=入力リスト!$D$4,入力シート!$J$10=入力リスト!$D$5),"※直近1年間の採用者数は産業中分類「"&amp;入力リスト!$D$4&amp;"」と「"&amp;入力リスト!$D$5&amp;"」の合計が表示されています。"&amp;CHAR(10),IF(OR(入力シート!$J$10=入力リスト!$D$11,入力シート!$J$10=入力リスト!$D$12),"※直近1年間の採用者数は産業中分類「"&amp;入力リスト!$D$11&amp;"」と「"&amp;入力リスト!$D$12&amp;"」の合計が表示されています。"&amp;CHAR(10),"")))&amp;IF(OR(入力シート!$J$10=入力リスト!$D$15,入力シート!$J$10=入力リスト!$D$27),"※直近1年間の採用者数は産業中分類「"&amp;入力リスト!$D$15&amp;"」と「"&amp;入力リスト!$D$27&amp;"」の合計が表示されています。"&amp;CHAR(10),"")&amp;"※「平均勤続年数」および「一月当たりの平均残業時間」の参考値は、該当の産業分類・企業規模の
　企業に属する労働者の平均値であり、１事業所ごとの平均値ではありません。
※「一月当たりの平均残業時間」に表示されている値はあくまで「女性値÷男性値」です。
　残業時間数についても参考値(カッコ内)と比較してみましょう。"</f>
        <v>※「平均勤続年数」および「一月当たりの平均残業時間」の参考値は、該当の産業分類・企業規模の
　企業に属する労働者の平均値であり、１事業所ごとの平均値ではありません。
※「一月当たりの平均残業時間」に表示されている値はあくまで「女性値÷男性値」です。
　残業時間数についても参考値(カッコ内)と比較してみましょう。</v>
      </c>
      <c r="E41" s="526"/>
      <c r="F41" s="526"/>
      <c r="G41" s="526"/>
      <c r="H41" s="526"/>
      <c r="I41" s="526"/>
      <c r="J41" s="526"/>
      <c r="K41" s="526"/>
      <c r="L41" s="526"/>
      <c r="M41" s="526"/>
      <c r="N41" s="526"/>
      <c r="O41" s="526"/>
      <c r="P41" s="526"/>
      <c r="Q41" s="526"/>
      <c r="R41" s="526"/>
      <c r="S41" s="526"/>
      <c r="T41" s="526"/>
      <c r="U41" s="526"/>
      <c r="V41" s="526"/>
      <c r="W41" s="526"/>
      <c r="X41" s="526"/>
      <c r="Y41" s="526"/>
      <c r="Z41" s="526"/>
      <c r="AA41" s="526"/>
      <c r="AB41" s="526"/>
      <c r="AC41" s="526"/>
      <c r="AD41" s="526"/>
      <c r="AE41" s="526"/>
      <c r="AF41" s="526"/>
      <c r="AG41" s="526"/>
      <c r="AH41" s="526"/>
      <c r="AI41" s="526"/>
      <c r="AJ41" s="526"/>
      <c r="AK41" s="526"/>
      <c r="AL41" s="526"/>
      <c r="AM41" s="526"/>
      <c r="AN41" s="526"/>
      <c r="AO41" s="526"/>
      <c r="AP41" s="526"/>
      <c r="AQ41" s="526"/>
      <c r="AR41" s="526"/>
      <c r="AS41" s="526"/>
      <c r="AT41" s="526"/>
      <c r="AU41" s="526"/>
      <c r="AV41" s="526"/>
      <c r="AW41" s="526"/>
      <c r="AX41" s="526"/>
      <c r="AY41" s="526"/>
      <c r="AZ41" s="526"/>
      <c r="BA41" s="526"/>
      <c r="BB41" s="526"/>
      <c r="BC41" s="526"/>
      <c r="BD41" s="526"/>
      <c r="BE41" s="526"/>
      <c r="BF41" s="526"/>
      <c r="BG41" s="226"/>
      <c r="BJ41" s="356"/>
      <c r="BK41" s="356"/>
      <c r="BL41" s="356"/>
      <c r="BM41" s="356"/>
      <c r="BN41" s="356"/>
      <c r="BO41" s="356"/>
      <c r="BP41" s="356"/>
      <c r="BQ41" s="356"/>
      <c r="BR41" s="356"/>
      <c r="BS41" s="356"/>
      <c r="BT41" s="356"/>
      <c r="BU41" s="356"/>
      <c r="BV41" s="356"/>
      <c r="BW41" s="356"/>
      <c r="BX41" s="356"/>
      <c r="BY41" s="356"/>
      <c r="BZ41" s="356"/>
      <c r="CA41" s="356"/>
      <c r="CB41" s="356"/>
      <c r="CC41" s="356"/>
      <c r="CD41" s="356"/>
      <c r="CE41" s="356"/>
      <c r="CF41" s="356"/>
      <c r="CG41" s="356"/>
      <c r="CH41" s="356"/>
      <c r="CI41" s="356"/>
      <c r="CJ41" s="356"/>
      <c r="CK41" s="356"/>
      <c r="CL41" s="356"/>
      <c r="CM41" s="356"/>
      <c r="CN41" s="356"/>
      <c r="CO41" s="356"/>
      <c r="CP41" s="356"/>
      <c r="CQ41" s="356"/>
      <c r="CR41" s="356"/>
      <c r="CS41" s="356"/>
      <c r="CT41" s="356"/>
    </row>
    <row r="42" spans="1:115" ht="22.9" customHeight="1">
      <c r="C42" s="55"/>
      <c r="D42" s="55"/>
      <c r="E42" s="55"/>
      <c r="F42" s="55"/>
      <c r="G42" s="55"/>
      <c r="H42" s="55"/>
      <c r="I42" s="55"/>
      <c r="J42" s="55"/>
      <c r="K42" s="56"/>
      <c r="L42" s="56"/>
      <c r="M42" s="56"/>
      <c r="N42" s="56"/>
      <c r="O42" s="56"/>
      <c r="P42" s="56"/>
      <c r="Q42" s="56"/>
      <c r="R42" s="56"/>
      <c r="S42" s="56"/>
      <c r="T42" s="57"/>
      <c r="U42" s="55"/>
      <c r="V42" s="55"/>
      <c r="W42" s="55"/>
      <c r="X42" s="55"/>
      <c r="Y42" s="55"/>
      <c r="Z42" s="55"/>
      <c r="AA42" s="55"/>
      <c r="AB42" s="55"/>
      <c r="AC42" s="56"/>
      <c r="AD42" s="56"/>
      <c r="AE42" s="56"/>
      <c r="AF42" s="56"/>
      <c r="AG42" s="56"/>
      <c r="AH42" s="56"/>
      <c r="AI42" s="56"/>
      <c r="AJ42" s="56"/>
      <c r="AK42" s="56"/>
      <c r="BK42" s="227"/>
      <c r="BL42" s="227"/>
      <c r="BM42" s="227"/>
    </row>
    <row r="43" spans="1:115" ht="19.899999999999999" customHeight="1">
      <c r="C43" s="55"/>
      <c r="D43" s="55"/>
      <c r="E43" s="55"/>
      <c r="F43" s="55"/>
      <c r="G43" s="55"/>
      <c r="H43" s="55"/>
      <c r="I43" s="55"/>
      <c r="J43" s="55"/>
      <c r="K43" s="58"/>
      <c r="L43" s="58"/>
      <c r="M43" s="58"/>
      <c r="N43" s="58"/>
      <c r="O43" s="58"/>
      <c r="P43" s="58"/>
      <c r="Q43" s="58"/>
      <c r="R43" s="58"/>
      <c r="S43" s="58"/>
      <c r="T43" s="57"/>
      <c r="U43" s="55"/>
      <c r="V43" s="55"/>
      <c r="W43" s="55"/>
      <c r="X43" s="55"/>
      <c r="Y43" s="55"/>
      <c r="Z43" s="55"/>
      <c r="AA43" s="55"/>
      <c r="AB43" s="55"/>
      <c r="AC43" s="58"/>
      <c r="AD43" s="58"/>
      <c r="AE43" s="58"/>
      <c r="AF43" s="58"/>
      <c r="AG43" s="58"/>
      <c r="AH43" s="58"/>
      <c r="AI43" s="58"/>
      <c r="AJ43" s="58"/>
      <c r="AK43" s="58"/>
      <c r="BK43" s="227"/>
      <c r="BL43" s="227"/>
      <c r="BM43" s="227"/>
      <c r="BN43" s="227"/>
      <c r="BO43" s="227"/>
      <c r="BP43" s="227"/>
      <c r="BQ43" s="227"/>
      <c r="BR43" s="227"/>
    </row>
    <row r="44" spans="1:115" ht="19.899999999999999" customHeight="1">
      <c r="C44" s="55"/>
      <c r="D44" s="55"/>
      <c r="E44" s="55"/>
      <c r="F44" s="55"/>
      <c r="G44" s="55"/>
      <c r="H44" s="55"/>
      <c r="I44" s="55"/>
      <c r="J44" s="55"/>
      <c r="K44" s="59"/>
      <c r="L44" s="59"/>
      <c r="M44" s="59"/>
      <c r="N44" s="59"/>
      <c r="O44" s="59"/>
      <c r="P44" s="59"/>
      <c r="Q44" s="59"/>
      <c r="R44" s="59"/>
      <c r="S44" s="59"/>
      <c r="T44" s="57"/>
      <c r="U44" s="55"/>
      <c r="V44" s="55"/>
      <c r="W44" s="55"/>
      <c r="X44" s="55"/>
      <c r="Y44" s="55"/>
      <c r="Z44" s="55"/>
      <c r="AA44" s="55"/>
      <c r="AB44" s="55"/>
      <c r="AC44" s="59"/>
      <c r="AD44" s="59"/>
      <c r="AE44" s="59"/>
      <c r="AF44" s="59"/>
      <c r="AG44" s="59"/>
      <c r="AH44" s="59"/>
      <c r="AI44" s="59"/>
      <c r="AJ44" s="59"/>
      <c r="AK44" s="59"/>
      <c r="BK44" s="60"/>
      <c r="BL44" s="60"/>
      <c r="BM44" s="60"/>
      <c r="BN44" s="60"/>
      <c r="BO44" s="60"/>
      <c r="BP44" s="60"/>
      <c r="BQ44" s="60"/>
      <c r="BR44" s="60"/>
    </row>
    <row r="45" spans="1:115" ht="30" customHeight="1">
      <c r="C45" s="55"/>
      <c r="D45" s="55"/>
      <c r="E45" s="55"/>
      <c r="F45" s="55"/>
      <c r="G45" s="55"/>
      <c r="H45" s="55"/>
      <c r="I45" s="55"/>
      <c r="J45" s="55"/>
      <c r="K45" s="59"/>
      <c r="L45" s="59"/>
      <c r="M45" s="59"/>
      <c r="N45" s="59"/>
      <c r="O45" s="59"/>
      <c r="P45" s="59"/>
      <c r="Q45" s="59"/>
      <c r="R45" s="59"/>
      <c r="S45" s="59"/>
      <c r="T45" s="57"/>
      <c r="U45" s="55"/>
      <c r="V45" s="55"/>
      <c r="W45" s="55"/>
      <c r="X45" s="55"/>
      <c r="Y45" s="55"/>
      <c r="Z45" s="55"/>
      <c r="AA45" s="55"/>
      <c r="AB45" s="55"/>
      <c r="AC45" s="59"/>
      <c r="AD45" s="59"/>
      <c r="AE45" s="59"/>
      <c r="AF45" s="59"/>
      <c r="AG45" s="59"/>
      <c r="AH45" s="59"/>
      <c r="AI45" s="59"/>
      <c r="AJ45" s="59"/>
      <c r="AK45" s="59"/>
      <c r="AL45" s="57"/>
      <c r="AM45" s="57"/>
      <c r="AN45" s="57"/>
      <c r="AO45" s="57"/>
      <c r="BK45" s="61"/>
      <c r="BL45" s="61"/>
      <c r="BM45" s="61"/>
      <c r="BN45" s="61"/>
      <c r="BO45" s="61"/>
      <c r="BP45" s="61"/>
      <c r="BQ45" s="61"/>
      <c r="BR45" s="61"/>
    </row>
    <row r="46" spans="1:115" ht="169.9" customHeight="1">
      <c r="C46" s="223"/>
      <c r="D46" s="228"/>
      <c r="E46" s="228"/>
      <c r="F46" s="228"/>
      <c r="G46" s="228"/>
      <c r="H46" s="228"/>
      <c r="I46" s="228"/>
      <c r="J46" s="228"/>
      <c r="K46" s="228"/>
      <c r="L46" s="228"/>
      <c r="M46" s="228"/>
      <c r="N46" s="228"/>
      <c r="O46" s="228"/>
      <c r="P46" s="228"/>
      <c r="Q46" s="228"/>
      <c r="R46" s="228"/>
      <c r="AL46" s="62"/>
      <c r="AM46" s="62"/>
      <c r="AN46" s="62"/>
      <c r="AO46" s="62"/>
      <c r="AP46" s="62"/>
      <c r="AQ46" s="62"/>
      <c r="AR46" s="62"/>
      <c r="AS46" s="62"/>
      <c r="AT46" s="62"/>
      <c r="AU46" s="62"/>
      <c r="AV46" s="62"/>
      <c r="AW46" s="62"/>
      <c r="AX46" s="62"/>
      <c r="AY46" s="62"/>
      <c r="AZ46" s="62"/>
      <c r="BA46" s="62"/>
      <c r="BB46" s="62"/>
      <c r="BC46" s="62"/>
      <c r="BD46" s="62"/>
      <c r="BE46" s="62"/>
      <c r="BF46" s="62"/>
    </row>
    <row r="47" spans="1:115" ht="28.15" customHeight="1">
      <c r="C47" s="223" t="s">
        <v>120</v>
      </c>
      <c r="D47" s="228"/>
      <c r="E47" s="228"/>
      <c r="F47" s="228"/>
      <c r="G47" s="228"/>
      <c r="H47" s="228"/>
      <c r="I47" s="228"/>
      <c r="J47" s="228"/>
      <c r="K47" s="228"/>
      <c r="L47" s="228"/>
      <c r="M47" s="228"/>
      <c r="N47" s="228"/>
      <c r="O47" s="228"/>
      <c r="P47" s="228"/>
      <c r="Q47" s="228"/>
      <c r="R47" s="228"/>
      <c r="AL47" s="62"/>
      <c r="AM47" s="62"/>
      <c r="AN47" s="62"/>
      <c r="AO47" s="62"/>
      <c r="AP47" s="62"/>
      <c r="AQ47" s="62"/>
      <c r="AR47" s="62"/>
      <c r="AS47" s="62"/>
      <c r="AT47" s="62"/>
      <c r="AU47" s="62"/>
      <c r="AV47" s="62"/>
      <c r="AW47" s="62"/>
      <c r="AX47" s="62"/>
      <c r="AY47" s="62"/>
      <c r="AZ47" s="62"/>
      <c r="BA47" s="62"/>
      <c r="BB47" s="62"/>
      <c r="BC47" s="62"/>
      <c r="BD47" s="62"/>
      <c r="BE47" s="62"/>
      <c r="BF47" s="62"/>
    </row>
    <row r="48" spans="1:115" ht="105.6" customHeight="1" thickBot="1">
      <c r="A48" s="508"/>
      <c r="B48" s="508"/>
      <c r="C48" s="621" t="str">
        <f>IF(入力シート!$C$5=入力リスト!$N$5,"",IF(計算!B3="データ未","貴社のデータ入力が未完了です。",計算!C88))</f>
        <v>貴社のデータ入力が未完了です。</v>
      </c>
      <c r="D48" s="621"/>
      <c r="E48" s="621"/>
      <c r="F48" s="621"/>
      <c r="G48" s="621"/>
      <c r="H48" s="621"/>
      <c r="I48" s="621"/>
      <c r="J48" s="621"/>
      <c r="K48" s="621"/>
      <c r="L48" s="621"/>
      <c r="M48" s="621"/>
      <c r="N48" s="621"/>
      <c r="O48" s="621"/>
      <c r="P48" s="621"/>
      <c r="Q48" s="621"/>
      <c r="R48" s="621"/>
      <c r="S48" s="621"/>
      <c r="T48" s="621"/>
      <c r="U48" s="621"/>
      <c r="V48" s="621"/>
      <c r="W48" s="621"/>
      <c r="X48" s="621"/>
      <c r="Y48" s="621"/>
      <c r="Z48" s="621"/>
      <c r="AA48" s="621"/>
      <c r="AB48" s="621"/>
      <c r="AC48" s="621"/>
      <c r="AD48" s="621"/>
      <c r="AE48" s="621"/>
      <c r="AF48" s="621"/>
      <c r="AG48" s="621"/>
      <c r="AH48" s="621"/>
      <c r="AI48" s="621"/>
      <c r="AJ48" s="621"/>
      <c r="AK48" s="621"/>
      <c r="AL48" s="621"/>
      <c r="AM48" s="621"/>
      <c r="AN48" s="621"/>
      <c r="AO48" s="621"/>
      <c r="AP48" s="621"/>
      <c r="AQ48" s="621"/>
      <c r="AR48" s="621"/>
      <c r="AS48" s="621"/>
      <c r="AT48" s="621"/>
      <c r="AU48" s="621"/>
      <c r="AV48" s="621"/>
      <c r="AW48" s="621"/>
      <c r="AX48" s="621"/>
      <c r="AY48" s="621"/>
      <c r="AZ48" s="621"/>
      <c r="BA48" s="621"/>
      <c r="BB48" s="621"/>
      <c r="BC48" s="621"/>
      <c r="BD48" s="621"/>
      <c r="BE48" s="621"/>
      <c r="BF48" s="621"/>
      <c r="BL48" s="60"/>
      <c r="BM48" s="60"/>
      <c r="BN48" s="60"/>
      <c r="BO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60"/>
      <c r="DI48" s="60"/>
      <c r="DJ48" s="60"/>
      <c r="DK48" s="60"/>
    </row>
    <row r="49" spans="1:115" ht="34.9" customHeight="1" thickBot="1">
      <c r="C49" s="505" t="str">
        <f>IF(入力シート!$C$5=入力リスト!$N$5,"-",IF(計算!B3="データ未","",VLOOKUP(TRUE,課題タイプ!$P:$S,2,0)))</f>
        <v/>
      </c>
      <c r="D49" s="506"/>
      <c r="E49" s="506"/>
      <c r="F49" s="506"/>
      <c r="G49" s="506"/>
      <c r="H49" s="506"/>
      <c r="I49" s="506"/>
      <c r="J49" s="506"/>
      <c r="K49" s="506"/>
      <c r="L49" s="506"/>
      <c r="M49" s="506"/>
      <c r="N49" s="507"/>
      <c r="O49" s="615" t="str">
        <f>IF(計算!B3="データ未","",IF(VLOOKUP(TRUE,課題タイプ!$P:$S,3,0)="","","及び"))</f>
        <v/>
      </c>
      <c r="P49" s="616"/>
      <c r="Q49" s="617"/>
      <c r="R49" s="505" t="str">
        <f>IF(入力シート!$C$5=入力リスト!$N$5,"-",IF(計算!B3="データ未","",IF(VLOOKUP(TRUE,課題タイプ!$P:$S,3,0)="","-",VLOOKUP(TRUE,課題タイプ!$P:$S,3,0))))</f>
        <v/>
      </c>
      <c r="S49" s="506"/>
      <c r="T49" s="506"/>
      <c r="U49" s="506"/>
      <c r="V49" s="506"/>
      <c r="W49" s="506"/>
      <c r="X49" s="506"/>
      <c r="Y49" s="506"/>
      <c r="Z49" s="506"/>
      <c r="AA49" s="506"/>
      <c r="AB49" s="506"/>
      <c r="AC49" s="507"/>
      <c r="AD49" s="585" t="str">
        <f>IF(C49="","","※優先的に取り組むと効果的と思われる項目を
 「課題タイプ」として表示しています。)")</f>
        <v/>
      </c>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row>
    <row r="50" spans="1:115" ht="4.9000000000000004" customHeight="1" thickBot="1">
      <c r="C50" s="185"/>
      <c r="D50" s="185"/>
      <c r="E50" s="185"/>
      <c r="F50" s="185"/>
      <c r="G50" s="185"/>
      <c r="H50" s="185"/>
      <c r="I50" s="185"/>
      <c r="J50" s="185"/>
      <c r="K50" s="185"/>
      <c r="L50" s="185"/>
      <c r="M50" s="185"/>
      <c r="N50" s="185"/>
      <c r="O50" s="185"/>
      <c r="P50" s="185"/>
      <c r="Q50" s="185"/>
      <c r="R50" s="185"/>
      <c r="AL50" s="62"/>
      <c r="AM50" s="62"/>
      <c r="AN50" s="62"/>
      <c r="AO50" s="62"/>
      <c r="AP50" s="62"/>
      <c r="AQ50" s="62"/>
      <c r="AR50" s="62"/>
      <c r="AS50" s="62"/>
      <c r="AT50" s="62"/>
      <c r="AU50" s="62"/>
      <c r="AV50" s="62"/>
      <c r="AW50" s="62"/>
      <c r="AX50" s="62"/>
      <c r="AY50" s="62"/>
      <c r="AZ50" s="62"/>
      <c r="BA50" s="62"/>
      <c r="BB50" s="62"/>
      <c r="BC50" s="62"/>
      <c r="BD50" s="62"/>
      <c r="BE50" s="62"/>
      <c r="BF50" s="62"/>
    </row>
    <row r="51" spans="1:115" ht="61.15" customHeight="1">
      <c r="A51" s="126"/>
      <c r="B51" s="126"/>
      <c r="C51" s="609" t="str">
        <f>IF(入力シート!$C$5=入力リスト!$N$5,"",IF(計算!B3="データ未","",計算!C89))</f>
        <v/>
      </c>
      <c r="D51" s="610"/>
      <c r="E51" s="610"/>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1"/>
      <c r="BL51" s="60"/>
      <c r="BM51" s="60"/>
      <c r="BN51" s="60"/>
      <c r="BO51" s="60"/>
      <c r="CE51" s="60"/>
      <c r="CF51" s="60"/>
      <c r="CG51" s="60"/>
      <c r="CH51" s="60"/>
      <c r="CI51" s="60"/>
      <c r="CJ51" s="60"/>
      <c r="CK51" s="60"/>
      <c r="CL51" s="60"/>
      <c r="CM51" s="60"/>
      <c r="CN51" s="60"/>
      <c r="CO51" s="60"/>
      <c r="CP51" s="60"/>
      <c r="CQ51" s="60"/>
      <c r="CR51" s="60"/>
      <c r="CS51" s="60"/>
      <c r="CT51" s="60"/>
      <c r="CU51" s="60"/>
      <c r="CV51" s="60"/>
      <c r="CW51" s="60"/>
      <c r="CX51" s="60"/>
      <c r="CY51" s="60"/>
      <c r="CZ51" s="60"/>
      <c r="DA51" s="60"/>
      <c r="DB51" s="60"/>
      <c r="DC51" s="60"/>
      <c r="DD51" s="60"/>
      <c r="DE51" s="60"/>
      <c r="DF51" s="60"/>
      <c r="DG51" s="60"/>
      <c r="DH51" s="60"/>
      <c r="DI51" s="60"/>
      <c r="DJ51" s="60"/>
      <c r="DK51" s="60"/>
    </row>
    <row r="52" spans="1:115" ht="160.15" customHeight="1" thickBot="1">
      <c r="A52" s="126"/>
      <c r="B52" s="126"/>
      <c r="C52" s="582" t="str">
        <f>IF(入力シート!$C$5=入力リスト!$N$5,"",IF(計算!B3="データ未","",計算!C90))</f>
        <v/>
      </c>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c r="AE52" s="583"/>
      <c r="AF52" s="583"/>
      <c r="AG52" s="583"/>
      <c r="AH52" s="583"/>
      <c r="AI52" s="583"/>
      <c r="AJ52" s="583"/>
      <c r="AK52" s="583"/>
      <c r="AL52" s="583"/>
      <c r="AM52" s="583"/>
      <c r="AN52" s="583"/>
      <c r="AO52" s="583"/>
      <c r="AP52" s="583"/>
      <c r="AQ52" s="583"/>
      <c r="AR52" s="583"/>
      <c r="AS52" s="583"/>
      <c r="AT52" s="583"/>
      <c r="AU52" s="583"/>
      <c r="AV52" s="583"/>
      <c r="AW52" s="583"/>
      <c r="AX52" s="583"/>
      <c r="AY52" s="583"/>
      <c r="AZ52" s="583"/>
      <c r="BA52" s="583"/>
      <c r="BB52" s="583"/>
      <c r="BC52" s="583"/>
      <c r="BD52" s="583"/>
      <c r="BE52" s="583"/>
      <c r="BF52" s="584"/>
      <c r="BL52" s="60"/>
      <c r="BM52" s="60"/>
      <c r="BN52" s="60"/>
      <c r="BO52" s="60"/>
      <c r="CE52" s="60"/>
      <c r="CF52" s="60"/>
      <c r="CG52" s="60"/>
      <c r="CH52" s="60"/>
      <c r="CI52" s="60"/>
      <c r="CJ52" s="60"/>
      <c r="CK52" s="60"/>
      <c r="CL52" s="60"/>
      <c r="CM52" s="60"/>
      <c r="CN52" s="60"/>
      <c r="CO52" s="60"/>
      <c r="CP52" s="60"/>
      <c r="CQ52" s="60"/>
      <c r="CR52" s="60"/>
      <c r="CS52" s="60"/>
      <c r="CT52" s="60"/>
      <c r="CU52" s="60"/>
      <c r="CV52" s="60"/>
      <c r="CW52" s="60"/>
      <c r="CX52" s="60"/>
      <c r="CY52" s="60"/>
      <c r="CZ52" s="60"/>
      <c r="DA52" s="60"/>
      <c r="DB52" s="60"/>
      <c r="DC52" s="60"/>
      <c r="DD52" s="60"/>
      <c r="DE52" s="60"/>
      <c r="DF52" s="60"/>
      <c r="DG52" s="60"/>
      <c r="DH52" s="60"/>
      <c r="DI52" s="60"/>
      <c r="DJ52" s="60"/>
      <c r="DK52" s="60"/>
    </row>
    <row r="53" spans="1:115" ht="25.15" customHeight="1">
      <c r="C53" s="618" t="str">
        <f>IF(AND(COUNTIF(C48,"*上*")=0,COUNTIF(C48,"*下*")=0),"","※男女間賃金差異の詳細な課題については、「男女間賃金差異分析ツール活用パンフレット」を確認ください。")</f>
        <v/>
      </c>
      <c r="D53" s="618"/>
      <c r="E53" s="618"/>
      <c r="F53" s="618"/>
      <c r="G53" s="618"/>
      <c r="H53" s="618"/>
      <c r="I53" s="618"/>
      <c r="J53" s="618"/>
      <c r="K53" s="618"/>
      <c r="L53" s="618"/>
      <c r="M53" s="618"/>
      <c r="N53" s="618"/>
      <c r="O53" s="618"/>
      <c r="P53" s="618"/>
      <c r="Q53" s="618"/>
      <c r="R53" s="618"/>
      <c r="S53" s="618"/>
      <c r="T53" s="618"/>
      <c r="U53" s="618"/>
      <c r="V53" s="618"/>
      <c r="W53" s="618"/>
      <c r="X53" s="618"/>
      <c r="Y53" s="618"/>
      <c r="Z53" s="618"/>
      <c r="AA53" s="618"/>
      <c r="AB53" s="618"/>
      <c r="AC53" s="618"/>
      <c r="AD53" s="618"/>
      <c r="AE53" s="618"/>
      <c r="AF53" s="618"/>
      <c r="AG53" s="618"/>
      <c r="AH53" s="618"/>
      <c r="AI53" s="618"/>
      <c r="AJ53" s="618"/>
      <c r="AK53" s="618"/>
      <c r="AL53" s="618"/>
      <c r="AM53" s="618"/>
      <c r="AN53" s="618"/>
      <c r="AO53" s="618"/>
      <c r="AP53" s="618"/>
      <c r="AQ53" s="618"/>
      <c r="AR53" s="618"/>
      <c r="AS53" s="618"/>
      <c r="AT53" s="618"/>
      <c r="AU53" s="618"/>
      <c r="AV53" s="618"/>
      <c r="AW53" s="618"/>
      <c r="AX53" s="618"/>
      <c r="AY53" s="618"/>
      <c r="AZ53" s="618"/>
      <c r="BA53" s="618"/>
      <c r="BB53" s="618"/>
      <c r="BC53" s="618"/>
      <c r="BD53" s="618"/>
      <c r="BE53" s="618"/>
      <c r="BF53" s="618"/>
      <c r="BG53" s="618"/>
      <c r="CI53" s="60"/>
      <c r="CJ53" s="60"/>
      <c r="CK53" s="60"/>
      <c r="CL53" s="60"/>
      <c r="CM53" s="60"/>
      <c r="CN53" s="60"/>
      <c r="CO53" s="60"/>
      <c r="CP53" s="60"/>
      <c r="CQ53" s="60"/>
      <c r="CR53" s="60"/>
      <c r="CS53" s="60"/>
      <c r="CT53" s="60"/>
      <c r="CU53" s="60"/>
      <c r="CV53" s="60"/>
      <c r="CW53" s="60"/>
      <c r="CX53" s="60"/>
      <c r="CY53" s="60"/>
      <c r="CZ53" s="60"/>
      <c r="DA53" s="60"/>
      <c r="DB53" s="60"/>
      <c r="DC53" s="60"/>
      <c r="DD53" s="60"/>
      <c r="DE53" s="60"/>
      <c r="DF53" s="60"/>
      <c r="DG53" s="60"/>
      <c r="DH53" s="60"/>
      <c r="DI53" s="60"/>
      <c r="DJ53" s="60"/>
      <c r="DK53" s="60"/>
    </row>
    <row r="54" spans="1:115">
      <c r="A54" s="211"/>
      <c r="C54" s="618"/>
      <c r="D54" s="618"/>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618"/>
      <c r="AC54" s="618"/>
      <c r="AD54" s="618"/>
      <c r="AE54" s="618"/>
      <c r="AF54" s="618"/>
      <c r="AG54" s="618"/>
      <c r="AH54" s="618"/>
      <c r="AI54" s="618"/>
      <c r="AJ54" s="618"/>
      <c r="AK54" s="618"/>
      <c r="AL54" s="618"/>
      <c r="AM54" s="618"/>
      <c r="AN54" s="618"/>
      <c r="AO54" s="618"/>
      <c r="AP54" s="618"/>
      <c r="AQ54" s="618"/>
      <c r="AR54" s="618"/>
      <c r="AS54" s="618"/>
      <c r="AT54" s="618"/>
      <c r="AU54" s="618"/>
      <c r="AV54" s="618"/>
      <c r="AW54" s="618"/>
      <c r="AX54" s="618"/>
      <c r="AY54" s="618"/>
      <c r="AZ54" s="618"/>
      <c r="BA54" s="618"/>
      <c r="BB54" s="618"/>
      <c r="BC54" s="618"/>
      <c r="BD54" s="618"/>
      <c r="BE54" s="618"/>
      <c r="BF54" s="618"/>
      <c r="BG54" s="618"/>
      <c r="CI54" s="60"/>
      <c r="CJ54" s="60"/>
      <c r="CK54" s="60"/>
      <c r="CL54" s="60"/>
      <c r="CM54" s="60"/>
      <c r="CN54" s="60"/>
      <c r="CO54" s="60"/>
      <c r="CP54" s="60"/>
      <c r="CQ54" s="60"/>
      <c r="CR54" s="60"/>
      <c r="CS54" s="60"/>
      <c r="CT54" s="60"/>
      <c r="CU54" s="60"/>
      <c r="CV54" s="60"/>
      <c r="CW54" s="60"/>
      <c r="CX54" s="60"/>
      <c r="CY54" s="60"/>
      <c r="CZ54" s="60"/>
      <c r="DA54" s="60"/>
      <c r="DB54" s="60"/>
      <c r="DC54" s="60"/>
      <c r="DD54" s="60"/>
      <c r="DE54" s="60"/>
      <c r="DF54" s="60"/>
      <c r="DG54" s="60"/>
      <c r="DH54" s="60"/>
      <c r="DI54" s="60"/>
      <c r="DJ54" s="60"/>
      <c r="DK54" s="60"/>
    </row>
    <row r="55" spans="1:115">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row>
    <row r="56" spans="1:115">
      <c r="CI56" s="60"/>
      <c r="CJ56" s="60"/>
      <c r="CK56" s="60"/>
      <c r="CL56" s="60"/>
      <c r="CM56" s="60"/>
      <c r="CN56" s="60"/>
      <c r="CO56" s="60"/>
      <c r="CP56" s="60"/>
      <c r="CQ56" s="60"/>
      <c r="CR56" s="60"/>
      <c r="CS56" s="60"/>
      <c r="CT56" s="60"/>
      <c r="CU56" s="60"/>
      <c r="CV56" s="60"/>
      <c r="CW56" s="60"/>
      <c r="CX56" s="60"/>
      <c r="CY56" s="60"/>
      <c r="CZ56" s="60"/>
      <c r="DA56" s="60"/>
      <c r="DB56" s="60"/>
      <c r="DC56" s="60"/>
      <c r="DD56" s="60"/>
      <c r="DE56" s="60"/>
      <c r="DF56" s="60"/>
      <c r="DG56" s="60"/>
      <c r="DH56" s="60"/>
      <c r="DI56" s="60"/>
      <c r="DJ56" s="60"/>
      <c r="DK56" s="60"/>
    </row>
    <row r="57" spans="1:115">
      <c r="CI57" s="60"/>
      <c r="CJ57" s="60"/>
      <c r="CK57" s="60"/>
      <c r="CL57" s="60"/>
      <c r="CM57" s="60"/>
      <c r="CN57" s="60"/>
      <c r="CO57" s="60"/>
      <c r="CP57" s="60"/>
      <c r="CQ57" s="60"/>
      <c r="CR57" s="60"/>
      <c r="CS57" s="60"/>
      <c r="CT57" s="60"/>
      <c r="CU57" s="60"/>
      <c r="CV57" s="60"/>
      <c r="CW57" s="60"/>
      <c r="CX57" s="60"/>
      <c r="CY57" s="60"/>
      <c r="CZ57" s="60"/>
      <c r="DA57" s="60"/>
      <c r="DB57" s="60"/>
      <c r="DC57" s="60"/>
      <c r="DD57" s="60"/>
      <c r="DE57" s="60"/>
      <c r="DF57" s="60"/>
      <c r="DG57" s="60"/>
      <c r="DH57" s="60"/>
      <c r="DI57" s="60"/>
      <c r="DJ57" s="60"/>
      <c r="DK57" s="60"/>
    </row>
    <row r="58" spans="1:115">
      <c r="BN58" s="63"/>
      <c r="BO58" s="63"/>
      <c r="CI58" s="60"/>
      <c r="CJ58" s="60"/>
      <c r="CK58" s="60"/>
      <c r="CL58" s="60"/>
      <c r="CM58" s="60"/>
      <c r="CN58" s="60"/>
      <c r="CO58" s="60"/>
      <c r="CP58" s="60"/>
      <c r="CQ58" s="60"/>
      <c r="CR58" s="60"/>
      <c r="CS58" s="60"/>
      <c r="CT58" s="60"/>
      <c r="CU58" s="60"/>
      <c r="CV58" s="60"/>
      <c r="CW58" s="60"/>
      <c r="CX58" s="60"/>
      <c r="CY58" s="60"/>
      <c r="CZ58" s="60"/>
      <c r="DA58" s="60"/>
      <c r="DB58" s="60"/>
      <c r="DC58" s="60"/>
      <c r="DD58" s="60"/>
      <c r="DE58" s="60"/>
      <c r="DF58" s="60"/>
      <c r="DG58" s="60"/>
      <c r="DH58" s="60"/>
      <c r="DI58" s="60"/>
      <c r="DJ58" s="60"/>
      <c r="DK58" s="60"/>
    </row>
    <row r="59" spans="1:115">
      <c r="BN59" s="63"/>
      <c r="BO59" s="63"/>
      <c r="CI59" s="60"/>
      <c r="CJ59" s="60"/>
      <c r="CK59" s="60"/>
      <c r="CL59" s="60"/>
      <c r="CM59" s="60"/>
      <c r="CN59" s="60"/>
      <c r="CO59" s="60"/>
      <c r="CP59" s="60"/>
      <c r="CQ59" s="60"/>
      <c r="CR59" s="60"/>
      <c r="CS59" s="60"/>
      <c r="CT59" s="60"/>
      <c r="CU59" s="60"/>
      <c r="CV59" s="60"/>
      <c r="CW59" s="60"/>
      <c r="CX59" s="60"/>
      <c r="CY59" s="60"/>
      <c r="CZ59" s="60"/>
      <c r="DA59" s="60"/>
      <c r="DB59" s="60"/>
      <c r="DC59" s="60"/>
      <c r="DD59" s="60"/>
      <c r="DE59" s="60"/>
      <c r="DF59" s="60"/>
      <c r="DG59" s="60"/>
      <c r="DH59" s="60"/>
      <c r="DI59" s="60"/>
      <c r="DJ59" s="60"/>
      <c r="DK59" s="60"/>
    </row>
    <row r="60" spans="1:115">
      <c r="BN60" s="63"/>
      <c r="BO60" s="63"/>
      <c r="CI60" s="60"/>
      <c r="CJ60" s="60"/>
      <c r="CK60" s="60"/>
      <c r="CL60" s="60"/>
      <c r="CM60" s="60"/>
      <c r="CN60" s="60"/>
      <c r="CO60" s="60"/>
      <c r="CP60" s="60"/>
      <c r="CQ60" s="60"/>
      <c r="CR60" s="60"/>
      <c r="CS60" s="60"/>
      <c r="CT60" s="60"/>
      <c r="CU60" s="60"/>
      <c r="CV60" s="60"/>
      <c r="CW60" s="60"/>
      <c r="CX60" s="60"/>
      <c r="CY60" s="60"/>
      <c r="CZ60" s="60"/>
      <c r="DA60" s="60"/>
      <c r="DB60" s="60"/>
      <c r="DC60" s="60"/>
      <c r="DD60" s="60"/>
      <c r="DE60" s="60"/>
      <c r="DF60" s="60"/>
      <c r="DG60" s="60"/>
      <c r="DH60" s="60"/>
      <c r="DI60" s="60"/>
      <c r="DJ60" s="60"/>
      <c r="DK60" s="60"/>
    </row>
    <row r="61" spans="1:115">
      <c r="BN61" s="63"/>
      <c r="BO61" s="63"/>
      <c r="CI61" s="60"/>
      <c r="CJ61" s="60"/>
      <c r="CK61" s="60"/>
      <c r="CL61" s="60"/>
      <c r="CM61" s="60"/>
      <c r="CN61" s="60"/>
      <c r="CO61" s="60"/>
      <c r="CP61" s="60"/>
      <c r="CQ61" s="60"/>
      <c r="CR61" s="60"/>
      <c r="CS61" s="60"/>
      <c r="CT61" s="60"/>
      <c r="CU61" s="60"/>
      <c r="CV61" s="60"/>
      <c r="CW61" s="60"/>
      <c r="CX61" s="60"/>
      <c r="CY61" s="60"/>
      <c r="CZ61" s="60"/>
      <c r="DA61" s="60"/>
      <c r="DB61" s="60"/>
      <c r="DC61" s="60"/>
      <c r="DD61" s="60"/>
      <c r="DE61" s="60"/>
      <c r="DF61" s="60"/>
      <c r="DG61" s="60"/>
      <c r="DH61" s="60"/>
      <c r="DI61" s="60"/>
      <c r="DJ61" s="60"/>
      <c r="DK61" s="60"/>
    </row>
    <row r="62" spans="1:115">
      <c r="CI62" s="60"/>
      <c r="CJ62" s="60"/>
      <c r="CK62" s="60"/>
      <c r="CL62" s="60"/>
      <c r="CM62" s="60"/>
      <c r="CN62" s="60"/>
      <c r="CO62" s="60"/>
      <c r="CP62" s="60"/>
      <c r="CQ62" s="60"/>
      <c r="CR62" s="60"/>
      <c r="CS62" s="60"/>
      <c r="CT62" s="60"/>
      <c r="CU62" s="60"/>
      <c r="CV62" s="60"/>
      <c r="CW62" s="60"/>
      <c r="CX62" s="60"/>
      <c r="CY62" s="60"/>
      <c r="CZ62" s="60"/>
      <c r="DA62" s="60"/>
      <c r="DB62" s="60"/>
      <c r="DC62" s="60"/>
      <c r="DD62" s="60"/>
      <c r="DE62" s="60"/>
      <c r="DF62" s="60"/>
      <c r="DG62" s="60"/>
      <c r="DH62" s="60"/>
      <c r="DI62" s="60"/>
      <c r="DJ62" s="60"/>
      <c r="DK62" s="60"/>
    </row>
    <row r="63" spans="1:115">
      <c r="CI63" s="60"/>
      <c r="CJ63" s="60"/>
      <c r="CK63" s="60"/>
      <c r="CL63" s="60"/>
      <c r="CM63" s="60"/>
      <c r="CN63" s="60"/>
      <c r="CO63" s="60"/>
      <c r="CP63" s="60"/>
      <c r="CQ63" s="60"/>
      <c r="CR63" s="60"/>
      <c r="CS63" s="60"/>
      <c r="CT63" s="60"/>
      <c r="CU63" s="60"/>
      <c r="CV63" s="60"/>
      <c r="CW63" s="60"/>
      <c r="CX63" s="60"/>
      <c r="CY63" s="60"/>
      <c r="CZ63" s="60"/>
      <c r="DA63" s="60"/>
      <c r="DB63" s="60"/>
      <c r="DC63" s="60"/>
      <c r="DD63" s="60"/>
      <c r="DE63" s="60"/>
      <c r="DF63" s="60"/>
      <c r="DG63" s="60"/>
      <c r="DH63" s="60"/>
      <c r="DI63" s="60"/>
      <c r="DJ63" s="60"/>
      <c r="DK63" s="60"/>
    </row>
    <row r="64" spans="1:115">
      <c r="CI64" s="60"/>
      <c r="CJ64" s="60"/>
      <c r="CK64" s="60"/>
      <c r="CL64" s="60"/>
      <c r="CM64" s="60"/>
      <c r="CN64" s="60"/>
      <c r="CO64" s="60"/>
      <c r="CP64" s="60"/>
      <c r="CQ64" s="60"/>
      <c r="CR64" s="60"/>
      <c r="CS64" s="60"/>
      <c r="CT64" s="60"/>
      <c r="CU64" s="60"/>
      <c r="CV64" s="60"/>
      <c r="CW64" s="60"/>
      <c r="CX64" s="60"/>
      <c r="CY64" s="60"/>
      <c r="CZ64" s="60"/>
      <c r="DA64" s="60"/>
      <c r="DB64" s="60"/>
      <c r="DC64" s="60"/>
      <c r="DD64" s="60"/>
      <c r="DE64" s="60"/>
      <c r="DF64" s="60"/>
      <c r="DG64" s="60"/>
      <c r="DH64" s="60"/>
      <c r="DI64" s="60"/>
      <c r="DJ64" s="60"/>
      <c r="DK64" s="60"/>
    </row>
  </sheetData>
  <sheetProtection algorithmName="SHA-512" hashValue="Kv7j2/zlPqM8aRK5qjXwrmFFFRQcwcP0fCar/8FaCAcNXsiQQnUlb40K0KS5KxDGc7HBKG9gGyzJk1NJh3tDYw==" saltValue="InCwJKdfRVfWEqDhN4XsTg==" spinCount="100000" sheet="1" objects="1" scenarios="1"/>
  <mergeCells count="89">
    <mergeCell ref="C51:BF51"/>
    <mergeCell ref="P7:AC7"/>
    <mergeCell ref="O49:Q49"/>
    <mergeCell ref="C53:BG54"/>
    <mergeCell ref="U28:X28"/>
    <mergeCell ref="C30:BF30"/>
    <mergeCell ref="C48:BF48"/>
    <mergeCell ref="T40:AD40"/>
    <mergeCell ref="T33:AD33"/>
    <mergeCell ref="T34:AD34"/>
    <mergeCell ref="T35:AD35"/>
    <mergeCell ref="T36:AD36"/>
    <mergeCell ref="T37:AD37"/>
    <mergeCell ref="T38:AD38"/>
    <mergeCell ref="T39:AD39"/>
    <mergeCell ref="AP34:AX34"/>
    <mergeCell ref="C52:BF52"/>
    <mergeCell ref="AD49:BA49"/>
    <mergeCell ref="AY40:BF40"/>
    <mergeCell ref="AE36:AO36"/>
    <mergeCell ref="CP1:CV1"/>
    <mergeCell ref="BJ1:BP1"/>
    <mergeCell ref="BQ1:BW1"/>
    <mergeCell ref="CC1:CI1"/>
    <mergeCell ref="AS7:BF7"/>
    <mergeCell ref="BY1:CB1"/>
    <mergeCell ref="CK1:CO1"/>
    <mergeCell ref="A2:BG2"/>
    <mergeCell ref="A3:BF3"/>
    <mergeCell ref="C7:O7"/>
    <mergeCell ref="AF7:AR7"/>
    <mergeCell ref="BJ2:CW2"/>
    <mergeCell ref="AV5:BG5"/>
    <mergeCell ref="AS8:BF8"/>
    <mergeCell ref="AS9:BF9"/>
    <mergeCell ref="M36:S36"/>
    <mergeCell ref="C49:N49"/>
    <mergeCell ref="C24:H24"/>
    <mergeCell ref="M34:S34"/>
    <mergeCell ref="M35:S35"/>
    <mergeCell ref="D36:L37"/>
    <mergeCell ref="C29:BF29"/>
    <mergeCell ref="M32:S33"/>
    <mergeCell ref="AY32:BF32"/>
    <mergeCell ref="AE34:AO34"/>
    <mergeCell ref="AE33:AO33"/>
    <mergeCell ref="T32:AO32"/>
    <mergeCell ref="AE35:AO35"/>
    <mergeCell ref="AP33:AX33"/>
    <mergeCell ref="M37:S37"/>
    <mergeCell ref="M38:S38"/>
    <mergeCell ref="AE37:AO37"/>
    <mergeCell ref="P10:AC10"/>
    <mergeCell ref="C12:T12"/>
    <mergeCell ref="C8:O10"/>
    <mergeCell ref="P8:AC8"/>
    <mergeCell ref="P9:AC9"/>
    <mergeCell ref="R49:AC49"/>
    <mergeCell ref="A29:B29"/>
    <mergeCell ref="A48:B48"/>
    <mergeCell ref="D39:L40"/>
    <mergeCell ref="D34:L35"/>
    <mergeCell ref="M39:S39"/>
    <mergeCell ref="M40:S40"/>
    <mergeCell ref="D41:BF41"/>
    <mergeCell ref="AY38:BF38"/>
    <mergeCell ref="AY37:BF37"/>
    <mergeCell ref="AY36:BF36"/>
    <mergeCell ref="AE40:AO40"/>
    <mergeCell ref="AE39:AO39"/>
    <mergeCell ref="AE38:AO38"/>
    <mergeCell ref="AY39:BF39"/>
    <mergeCell ref="D38:L38"/>
    <mergeCell ref="BJ13:CW26"/>
    <mergeCell ref="BJ27:CW27"/>
    <mergeCell ref="BJ8:CV10"/>
    <mergeCell ref="AP32:AX32"/>
    <mergeCell ref="AY33:BF33"/>
    <mergeCell ref="BJ32:CT40"/>
    <mergeCell ref="AF8:AR10"/>
    <mergeCell ref="AY35:BF35"/>
    <mergeCell ref="AY34:BF34"/>
    <mergeCell ref="AP40:AX40"/>
    <mergeCell ref="AP39:AX39"/>
    <mergeCell ref="AP38:AX38"/>
    <mergeCell ref="AP37:AX37"/>
    <mergeCell ref="AP36:AX36"/>
    <mergeCell ref="AP35:AX35"/>
    <mergeCell ref="AS10:BF10"/>
  </mergeCells>
  <phoneticPr fontId="3"/>
  <conditionalFormatting sqref="C51">
    <cfRule type="expression" dxfId="42" priority="1">
      <formula>$C$51="貴社のデータ入力が未完了です。"</formula>
    </cfRule>
  </conditionalFormatting>
  <pageMargins left="0.78740157480314965" right="0.39370078740157483" top="0.6692913385826772" bottom="0.47244094488188981" header="0.31496062992125984" footer="0.31496062992125984"/>
  <pageSetup paperSize="9" scale="68" orientation="portrait" r:id="rId1"/>
  <rowBreaks count="2" manualBreakCount="2">
    <brk id="3" max="58" man="1"/>
    <brk id="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1458C-CF0C-624E-96D1-F72D5972FA6C}">
  <dimension ref="B1:BU143"/>
  <sheetViews>
    <sheetView showGridLines="0" view="pageBreakPreview" zoomScale="88" zoomScaleNormal="93" zoomScaleSheetLayoutView="70" workbookViewId="0">
      <pane ySplit="3" topLeftCell="A4" activePane="bottomLeft" state="frozen"/>
      <selection pane="bottomLeft" activeCell="C5" sqref="C5:S5"/>
    </sheetView>
  </sheetViews>
  <sheetFormatPr defaultColWidth="10.77734375" defaultRowHeight="19.5"/>
  <cols>
    <col min="1" max="1" width="1" style="22" customWidth="1"/>
    <col min="2" max="2" width="4.21875" style="138" customWidth="1"/>
    <col min="3" max="9" width="2.77734375" style="22" customWidth="1"/>
    <col min="10" max="17" width="2.44140625" style="22" customWidth="1"/>
    <col min="18" max="18" width="1.21875" style="22" customWidth="1"/>
    <col min="19" max="23" width="2.44140625" style="22" customWidth="1"/>
    <col min="24" max="24" width="2.21875" style="22" customWidth="1"/>
    <col min="25" max="31" width="2.44140625" style="22" customWidth="1"/>
    <col min="32" max="32" width="1.44140625" style="22" customWidth="1"/>
    <col min="33" max="33" width="0.5546875" style="22" customWidth="1"/>
    <col min="34" max="34" width="2.44140625" style="22" customWidth="1"/>
    <col min="35" max="35" width="2.21875" style="22" customWidth="1"/>
    <col min="36" max="46" width="2.44140625" style="22" customWidth="1"/>
    <col min="47" max="47" width="1.44140625" style="22" customWidth="1"/>
    <col min="48" max="48" width="0.44140625" style="22" customWidth="1"/>
    <col min="49" max="59" width="2.44140625" style="22" customWidth="1"/>
    <col min="60" max="60" width="0.77734375" style="22" customWidth="1"/>
    <col min="61" max="61" width="0.44140625" style="22" customWidth="1"/>
    <col min="62" max="62" width="1.21875" style="22" customWidth="1"/>
    <col min="63" max="63" width="0.5546875" style="22" customWidth="1"/>
    <col min="64" max="64" width="13.5546875" style="22" customWidth="1"/>
    <col min="65" max="66" width="10.77734375" style="22" customWidth="1"/>
    <col min="67" max="67" width="13.21875" style="22" customWidth="1"/>
    <col min="68" max="68" width="11.77734375" style="22" customWidth="1"/>
    <col min="69" max="69" width="2" style="22" customWidth="1"/>
    <col min="70" max="70" width="6.21875" style="22" customWidth="1"/>
    <col min="71" max="71" width="12.21875" style="22" customWidth="1"/>
    <col min="72" max="16384" width="10.77734375" style="22"/>
  </cols>
  <sheetData>
    <row r="1" spans="2:71" ht="4.9000000000000004" customHeight="1" thickBot="1"/>
    <row r="2" spans="2:71" ht="51" customHeight="1">
      <c r="B2" s="142" t="s">
        <v>123</v>
      </c>
      <c r="C2" s="74"/>
      <c r="D2" s="74"/>
      <c r="E2" s="74"/>
      <c r="F2" s="74"/>
      <c r="G2" s="74"/>
      <c r="H2" s="74"/>
      <c r="I2" s="74"/>
      <c r="J2" s="74"/>
      <c r="K2" s="74"/>
      <c r="L2" s="74"/>
      <c r="M2" s="74"/>
      <c r="N2" s="74"/>
      <c r="O2" s="74"/>
      <c r="P2" s="74"/>
      <c r="Q2" s="74"/>
      <c r="R2" s="74"/>
      <c r="S2" s="143"/>
      <c r="T2" s="143"/>
      <c r="U2" s="143"/>
      <c r="V2" s="143"/>
      <c r="W2" s="143"/>
      <c r="X2" s="143"/>
      <c r="Y2" s="143"/>
      <c r="Z2" s="143"/>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144"/>
      <c r="BL2" s="893" t="str">
        <f>エラー_入シ全体!M1</f>
        <v>(1)で「使用用途」を選択してください。</v>
      </c>
      <c r="BM2" s="894"/>
      <c r="BN2" s="894"/>
      <c r="BO2" s="894"/>
      <c r="BP2" s="894"/>
      <c r="BQ2" s="894"/>
      <c r="BR2" s="894"/>
      <c r="BS2" s="895"/>
    </row>
    <row r="3" spans="2:71" ht="46.9" customHeight="1" thickBot="1">
      <c r="B3" s="145" t="s">
        <v>463</v>
      </c>
      <c r="C3" s="75"/>
      <c r="D3" s="76"/>
      <c r="E3" s="76"/>
      <c r="F3" s="76"/>
      <c r="G3" s="76"/>
      <c r="H3" s="76"/>
      <c r="I3" s="76"/>
      <c r="J3" s="76"/>
      <c r="K3" s="76"/>
      <c r="L3" s="76"/>
      <c r="M3" s="76"/>
      <c r="N3" s="76"/>
      <c r="O3" s="76"/>
      <c r="P3" s="76"/>
      <c r="Q3" s="76"/>
      <c r="R3" s="76"/>
      <c r="S3" s="146"/>
      <c r="T3" s="146"/>
      <c r="U3" s="146"/>
      <c r="V3" s="146"/>
      <c r="W3" s="146"/>
      <c r="X3" s="146"/>
      <c r="Y3" s="146"/>
      <c r="Z3" s="14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147"/>
      <c r="BL3" s="896"/>
      <c r="BM3" s="897"/>
      <c r="BN3" s="897"/>
      <c r="BO3" s="897"/>
      <c r="BP3" s="897"/>
      <c r="BQ3" s="897"/>
      <c r="BR3" s="897"/>
      <c r="BS3" s="898"/>
    </row>
    <row r="4" spans="2:71" ht="36" customHeight="1" thickTop="1" thickBot="1">
      <c r="B4" s="342" t="s">
        <v>90</v>
      </c>
      <c r="C4" s="77" t="s">
        <v>104</v>
      </c>
      <c r="D4" s="78"/>
      <c r="E4" s="78"/>
      <c r="F4" s="78"/>
      <c r="G4" s="78"/>
      <c r="H4" s="78"/>
      <c r="I4" s="78"/>
      <c r="J4" s="78"/>
      <c r="K4" s="78"/>
      <c r="L4" s="78"/>
      <c r="M4" s="78"/>
      <c r="N4" s="78"/>
      <c r="O4" s="78"/>
      <c r="P4" s="78"/>
      <c r="Q4" s="78"/>
      <c r="R4" s="78"/>
      <c r="S4" s="148"/>
      <c r="T4" s="148"/>
      <c r="U4" s="149"/>
      <c r="V4" s="149"/>
      <c r="W4" s="149"/>
      <c r="BH4" s="150"/>
      <c r="BL4" s="810" t="str">
        <f>エラー_入シ全体!N1</f>
        <v>※本ツールの使用用途は以下の２つです。
　・『自社の男女間賃金差異と参考値を比較する』
　・『産業分類と企業規模の参考値を確認する』
※参考値には「令和5年度 賃金構造基本統計調査」と
  「令和5年度 雇用動向調査」を再集計したデータを使用しています。</v>
      </c>
      <c r="BM4" s="811"/>
      <c r="BN4" s="811"/>
      <c r="BO4" s="811"/>
      <c r="BP4" s="811"/>
      <c r="BQ4" s="811"/>
      <c r="BR4" s="811"/>
      <c r="BS4" s="812"/>
    </row>
    <row r="5" spans="2:71" ht="28.15" customHeight="1" thickBot="1">
      <c r="B5" s="151"/>
      <c r="C5" s="793"/>
      <c r="D5" s="794"/>
      <c r="E5" s="794"/>
      <c r="F5" s="794"/>
      <c r="G5" s="794"/>
      <c r="H5" s="794"/>
      <c r="I5" s="794"/>
      <c r="J5" s="794"/>
      <c r="K5" s="794"/>
      <c r="L5" s="794"/>
      <c r="M5" s="794"/>
      <c r="N5" s="794"/>
      <c r="O5" s="794"/>
      <c r="P5" s="794"/>
      <c r="Q5" s="794"/>
      <c r="R5" s="794"/>
      <c r="S5" s="794"/>
      <c r="T5" s="152"/>
      <c r="U5" s="792" t="str">
        <f>IF(C5=""," ←使用用途を選択してください。","")</f>
        <v xml:space="preserve"> ←使用用途を選択してください。</v>
      </c>
      <c r="V5" s="792"/>
      <c r="W5" s="792"/>
      <c r="X5" s="792"/>
      <c r="Y5" s="792"/>
      <c r="Z5" s="792"/>
      <c r="AA5" s="792"/>
      <c r="AB5" s="792"/>
      <c r="AC5" s="792"/>
      <c r="AD5" s="792"/>
      <c r="AE5" s="792"/>
      <c r="AF5" s="792"/>
      <c r="AG5" s="792"/>
      <c r="AH5" s="792"/>
      <c r="AI5" s="792"/>
      <c r="AJ5" s="792"/>
      <c r="AK5" s="792"/>
      <c r="AL5" s="792"/>
      <c r="AM5" s="792"/>
      <c r="AN5" s="792"/>
      <c r="AO5" s="792"/>
      <c r="AP5" s="792"/>
      <c r="AQ5" s="792"/>
      <c r="AR5" s="792"/>
      <c r="AS5" s="792"/>
      <c r="AT5" s="792"/>
      <c r="AU5" s="792"/>
      <c r="AV5" s="792"/>
      <c r="AW5" s="792"/>
      <c r="AX5" s="792"/>
      <c r="AY5" s="792"/>
      <c r="AZ5" s="792"/>
      <c r="BA5" s="792"/>
      <c r="BB5" s="792"/>
      <c r="BC5" s="792"/>
      <c r="BD5" s="792"/>
      <c r="BH5" s="150"/>
      <c r="BL5" s="813"/>
      <c r="BM5" s="814"/>
      <c r="BN5" s="814"/>
      <c r="BO5" s="814"/>
      <c r="BP5" s="814"/>
      <c r="BQ5" s="814"/>
      <c r="BR5" s="814"/>
      <c r="BS5" s="815"/>
    </row>
    <row r="6" spans="2:71" ht="4.9000000000000004" customHeight="1" thickBot="1">
      <c r="B6" s="141"/>
      <c r="C6" s="795"/>
      <c r="D6" s="795"/>
      <c r="E6" s="76"/>
      <c r="F6" s="76"/>
      <c r="G6" s="76"/>
      <c r="H6" s="76"/>
      <c r="I6" s="76"/>
      <c r="J6" s="76"/>
      <c r="K6" s="76"/>
      <c r="L6" s="76"/>
      <c r="M6" s="76"/>
      <c r="N6" s="76"/>
      <c r="O6" s="76"/>
      <c r="P6" s="76"/>
      <c r="Q6" s="76"/>
      <c r="R6" s="76"/>
      <c r="S6" s="153"/>
      <c r="T6" s="153"/>
      <c r="U6" s="153"/>
      <c r="V6" s="153"/>
      <c r="W6" s="153"/>
      <c r="X6" s="153"/>
      <c r="Y6" s="153"/>
      <c r="Z6" s="153"/>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147"/>
      <c r="BL6" s="813"/>
      <c r="BM6" s="814"/>
      <c r="BN6" s="814"/>
      <c r="BO6" s="814"/>
      <c r="BP6" s="814"/>
      <c r="BQ6" s="814"/>
      <c r="BR6" s="814"/>
      <c r="BS6" s="815"/>
    </row>
    <row r="7" spans="2:71" ht="10.9" customHeight="1" thickTop="1">
      <c r="B7" s="154"/>
      <c r="C7" s="80"/>
      <c r="D7" s="80"/>
      <c r="S7" s="155"/>
      <c r="T7" s="155"/>
      <c r="U7" s="155"/>
      <c r="V7" s="155"/>
      <c r="W7" s="155"/>
      <c r="X7" s="155"/>
      <c r="Y7" s="155"/>
      <c r="Z7" s="155"/>
      <c r="BH7" s="150"/>
      <c r="BL7" s="813"/>
      <c r="BM7" s="814"/>
      <c r="BN7" s="814"/>
      <c r="BO7" s="814"/>
      <c r="BP7" s="814"/>
      <c r="BQ7" s="814"/>
      <c r="BR7" s="814"/>
      <c r="BS7" s="815"/>
    </row>
    <row r="8" spans="2:71" ht="25.9" customHeight="1" thickBot="1">
      <c r="B8" s="343" t="s">
        <v>91</v>
      </c>
      <c r="C8" s="90" t="s">
        <v>102</v>
      </c>
      <c r="D8" s="78"/>
      <c r="E8" s="78"/>
      <c r="S8" s="155"/>
      <c r="T8" s="139"/>
      <c r="U8" s="155"/>
      <c r="V8" s="155"/>
      <c r="W8" s="155"/>
      <c r="X8" s="155"/>
      <c r="Y8" s="155"/>
      <c r="Z8" s="155"/>
      <c r="BH8" s="150"/>
      <c r="BL8" s="813"/>
      <c r="BM8" s="814"/>
      <c r="BN8" s="814"/>
      <c r="BO8" s="814"/>
      <c r="BP8" s="814"/>
      <c r="BQ8" s="814"/>
      <c r="BR8" s="814"/>
      <c r="BS8" s="815"/>
    </row>
    <row r="9" spans="2:71" ht="25.5" customHeight="1">
      <c r="B9" s="156"/>
      <c r="C9" s="798" t="s">
        <v>22</v>
      </c>
      <c r="D9" s="799"/>
      <c r="E9" s="799"/>
      <c r="F9" s="799"/>
      <c r="G9" s="799"/>
      <c r="H9" s="799"/>
      <c r="I9" s="799"/>
      <c r="J9" s="906"/>
      <c r="K9" s="907"/>
      <c r="L9" s="907"/>
      <c r="M9" s="907"/>
      <c r="N9" s="907"/>
      <c r="O9" s="907"/>
      <c r="P9" s="907"/>
      <c r="Q9" s="907"/>
      <c r="R9" s="907"/>
      <c r="S9" s="908"/>
      <c r="T9" s="873" t="str">
        <f>IF(J9=""," ←産業分類を選択してください。空白の場合は、『産業大分類計』で集計された参考値が表示されます。","")</f>
        <v xml:space="preserve"> ←産業分類を選択してください。空白の場合は、『産業大分類計』で集計された参考値が表示されます。</v>
      </c>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4"/>
      <c r="AY9" s="874"/>
      <c r="AZ9" s="874"/>
      <c r="BA9" s="874"/>
      <c r="BB9" s="874"/>
      <c r="BC9" s="874"/>
      <c r="BD9" s="874"/>
      <c r="BE9" s="874"/>
      <c r="BF9" s="874"/>
      <c r="BG9" s="874"/>
      <c r="BH9" s="157"/>
      <c r="BI9" s="158"/>
      <c r="BJ9" s="158"/>
      <c r="BK9" s="158"/>
      <c r="BL9" s="813"/>
      <c r="BM9" s="814"/>
      <c r="BN9" s="814"/>
      <c r="BO9" s="814"/>
      <c r="BP9" s="814"/>
      <c r="BQ9" s="814"/>
      <c r="BR9" s="814"/>
      <c r="BS9" s="815"/>
    </row>
    <row r="10" spans="2:71" ht="25.5" customHeight="1">
      <c r="B10" s="156"/>
      <c r="C10" s="926" t="s">
        <v>199</v>
      </c>
      <c r="D10" s="927"/>
      <c r="E10" s="927"/>
      <c r="F10" s="927"/>
      <c r="G10" s="927"/>
      <c r="H10" s="927"/>
      <c r="I10" s="927"/>
      <c r="J10" s="905"/>
      <c r="K10" s="702"/>
      <c r="L10" s="702"/>
      <c r="M10" s="702"/>
      <c r="N10" s="702"/>
      <c r="O10" s="702"/>
      <c r="P10" s="702"/>
      <c r="Q10" s="702"/>
      <c r="R10" s="702"/>
      <c r="S10" s="703"/>
      <c r="T10" s="802" t="str">
        <f>IF(J9="","",IF(AND(J10="",J9="製造業")," ←選択してください。未選択（空白）の場合は、『製造業（産業大分類）』で集計された参考値が表示されます。",IF(J9="製造業",""," ←産業大分類で『製造業』を選択した場合のみ、産業中分類の選択ができます。その他の業種では選択できません。")))</f>
        <v/>
      </c>
      <c r="U10" s="803"/>
      <c r="V10" s="803"/>
      <c r="W10" s="803"/>
      <c r="X10" s="803"/>
      <c r="Y10" s="803"/>
      <c r="Z10" s="803"/>
      <c r="AA10" s="803"/>
      <c r="AB10" s="803"/>
      <c r="AC10" s="803"/>
      <c r="AD10" s="803"/>
      <c r="AE10" s="803"/>
      <c r="AF10" s="803"/>
      <c r="AG10" s="803"/>
      <c r="AH10" s="803"/>
      <c r="AI10" s="803"/>
      <c r="AJ10" s="803"/>
      <c r="AK10" s="803"/>
      <c r="AL10" s="803"/>
      <c r="AM10" s="803"/>
      <c r="AN10" s="803"/>
      <c r="AO10" s="803"/>
      <c r="AP10" s="803"/>
      <c r="AQ10" s="803"/>
      <c r="AR10" s="803"/>
      <c r="AS10" s="803"/>
      <c r="AT10" s="803"/>
      <c r="AU10" s="803"/>
      <c r="AV10" s="803"/>
      <c r="AW10" s="803"/>
      <c r="AX10" s="803"/>
      <c r="AY10" s="803"/>
      <c r="AZ10" s="803"/>
      <c r="BA10" s="803"/>
      <c r="BB10" s="803"/>
      <c r="BC10" s="803"/>
      <c r="BD10" s="803"/>
      <c r="BE10" s="803"/>
      <c r="BF10" s="803"/>
      <c r="BG10" s="803"/>
      <c r="BH10" s="157"/>
      <c r="BI10" s="158"/>
      <c r="BJ10" s="158"/>
      <c r="BK10" s="158"/>
      <c r="BL10" s="813"/>
      <c r="BM10" s="814"/>
      <c r="BN10" s="814"/>
      <c r="BO10" s="814"/>
      <c r="BP10" s="814"/>
      <c r="BQ10" s="814"/>
      <c r="BR10" s="814"/>
      <c r="BS10" s="815"/>
    </row>
    <row r="11" spans="2:71" ht="25.5" customHeight="1" thickBot="1">
      <c r="B11" s="156"/>
      <c r="C11" s="800" t="s">
        <v>101</v>
      </c>
      <c r="D11" s="801"/>
      <c r="E11" s="801"/>
      <c r="F11" s="801"/>
      <c r="G11" s="801"/>
      <c r="H11" s="801"/>
      <c r="I11" s="801"/>
      <c r="J11" s="902"/>
      <c r="K11" s="903"/>
      <c r="L11" s="903"/>
      <c r="M11" s="903"/>
      <c r="N11" s="903"/>
      <c r="O11" s="903"/>
      <c r="P11" s="903"/>
      <c r="Q11" s="903"/>
      <c r="R11" s="903"/>
      <c r="S11" s="904"/>
      <c r="T11" s="873" t="str">
        <f>IF(J11=""," ←企業規模を選択してください。空白の場合は、『企業規模計（10人以上）』で集計された参考値が表示されます。","")</f>
        <v xml:space="preserve"> ←企業規模を選択してください。空白の場合は、『企業規模計（10人以上）』で集計された参考値が表示されます。</v>
      </c>
      <c r="U11" s="874"/>
      <c r="V11" s="874"/>
      <c r="W11" s="874"/>
      <c r="X11" s="874"/>
      <c r="Y11" s="874"/>
      <c r="Z11" s="874"/>
      <c r="AA11" s="874"/>
      <c r="AB11" s="874"/>
      <c r="AC11" s="874"/>
      <c r="AD11" s="874"/>
      <c r="AE11" s="874"/>
      <c r="AF11" s="874"/>
      <c r="AG11" s="874"/>
      <c r="AH11" s="874"/>
      <c r="AI11" s="874"/>
      <c r="AJ11" s="874"/>
      <c r="AK11" s="874"/>
      <c r="AL11" s="874"/>
      <c r="AM11" s="874"/>
      <c r="AN11" s="874"/>
      <c r="AO11" s="874"/>
      <c r="AP11" s="874"/>
      <c r="AQ11" s="874"/>
      <c r="AR11" s="874"/>
      <c r="AS11" s="874"/>
      <c r="AT11" s="874"/>
      <c r="AU11" s="874"/>
      <c r="AV11" s="874"/>
      <c r="AW11" s="874"/>
      <c r="AX11" s="874"/>
      <c r="AY11" s="874"/>
      <c r="AZ11" s="874"/>
      <c r="BA11" s="874"/>
      <c r="BB11" s="874"/>
      <c r="BC11" s="874"/>
      <c r="BD11" s="874"/>
      <c r="BE11" s="874"/>
      <c r="BF11" s="874"/>
      <c r="BG11" s="874"/>
      <c r="BH11" s="157"/>
      <c r="BI11" s="158"/>
      <c r="BJ11" s="158"/>
      <c r="BK11" s="158"/>
      <c r="BL11" s="816"/>
      <c r="BM11" s="817"/>
      <c r="BN11" s="817"/>
      <c r="BO11" s="817"/>
      <c r="BP11" s="817"/>
      <c r="BQ11" s="817"/>
      <c r="BR11" s="817"/>
      <c r="BS11" s="818"/>
    </row>
    <row r="12" spans="2:71" ht="4.1500000000000004" customHeight="1" thickBot="1">
      <c r="B12" s="159"/>
      <c r="C12" s="81"/>
      <c r="D12" s="82"/>
      <c r="E12" s="82"/>
      <c r="F12" s="83"/>
      <c r="G12" s="83"/>
      <c r="H12" s="83"/>
      <c r="I12" s="83"/>
      <c r="J12" s="83"/>
      <c r="K12" s="83"/>
      <c r="L12" s="83"/>
      <c r="M12" s="83"/>
      <c r="N12" s="83"/>
      <c r="O12" s="83"/>
      <c r="P12" s="83"/>
      <c r="Q12" s="160"/>
      <c r="R12" s="160"/>
      <c r="S12" s="160"/>
      <c r="T12" s="161"/>
      <c r="U12" s="161"/>
      <c r="V12" s="161"/>
      <c r="W12" s="161"/>
      <c r="X12" s="84"/>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2"/>
      <c r="BC12" s="160"/>
      <c r="BD12" s="160"/>
      <c r="BE12" s="76"/>
      <c r="BF12" s="76"/>
      <c r="BG12" s="76"/>
      <c r="BH12" s="147"/>
    </row>
    <row r="13" spans="2:71" ht="4.1500000000000004" customHeight="1" thickTop="1">
      <c r="B13" s="156"/>
      <c r="C13" s="85"/>
      <c r="D13" s="86"/>
      <c r="E13" s="86"/>
      <c r="F13" s="87"/>
      <c r="G13" s="87"/>
      <c r="H13" s="87"/>
      <c r="I13" s="87"/>
      <c r="J13" s="87"/>
      <c r="K13" s="87"/>
      <c r="L13" s="87"/>
      <c r="M13" s="87"/>
      <c r="N13" s="87"/>
      <c r="O13" s="87"/>
      <c r="P13" s="87"/>
      <c r="Q13" s="163"/>
      <c r="R13" s="163"/>
      <c r="S13" s="163"/>
      <c r="T13" s="164"/>
      <c r="U13" s="164"/>
      <c r="V13" s="164"/>
      <c r="W13" s="164"/>
      <c r="X13" s="88"/>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5"/>
      <c r="BC13" s="163"/>
      <c r="BD13" s="163"/>
      <c r="BH13" s="150"/>
    </row>
    <row r="14" spans="2:71" ht="28.9" customHeight="1">
      <c r="B14" s="343" t="s">
        <v>92</v>
      </c>
      <c r="C14" s="90" t="s">
        <v>464</v>
      </c>
      <c r="D14" s="78"/>
      <c r="E14" s="78"/>
      <c r="BH14" s="150"/>
      <c r="BR14" s="79"/>
    </row>
    <row r="15" spans="2:71" ht="27" customHeight="1" thickBot="1">
      <c r="B15" s="89"/>
      <c r="C15" s="599" t="s">
        <v>1221</v>
      </c>
      <c r="D15" s="599"/>
      <c r="E15" s="599"/>
      <c r="F15" s="599"/>
      <c r="G15" s="599"/>
      <c r="H15" s="599"/>
      <c r="I15" s="599"/>
      <c r="J15" s="599"/>
      <c r="K15" s="599"/>
      <c r="L15" s="599"/>
      <c r="M15" s="599"/>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599"/>
      <c r="AL15" s="599"/>
      <c r="AM15" s="599"/>
      <c r="AN15" s="599"/>
      <c r="AO15" s="599"/>
      <c r="AP15" s="599"/>
      <c r="AQ15" s="599"/>
      <c r="AR15" s="599"/>
      <c r="AS15" s="599"/>
      <c r="AT15" s="599"/>
      <c r="AU15" s="599"/>
      <c r="AV15" s="599"/>
      <c r="AW15" s="599"/>
      <c r="AX15" s="599"/>
      <c r="AY15" s="599"/>
      <c r="AZ15" s="599"/>
      <c r="BA15" s="599"/>
      <c r="BB15" s="599"/>
      <c r="BC15" s="599"/>
      <c r="BD15" s="599"/>
      <c r="BE15" s="599"/>
      <c r="BF15" s="599"/>
      <c r="BG15" s="599"/>
      <c r="BH15" s="819"/>
      <c r="BI15" s="128"/>
      <c r="BR15" s="79"/>
    </row>
    <row r="16" spans="2:71" ht="22.15" customHeight="1">
      <c r="B16" s="156"/>
      <c r="C16" s="804" t="s">
        <v>87</v>
      </c>
      <c r="D16" s="805"/>
      <c r="E16" s="805"/>
      <c r="F16" s="805"/>
      <c r="G16" s="805"/>
      <c r="H16" s="805"/>
      <c r="I16" s="806"/>
      <c r="J16" s="823"/>
      <c r="K16" s="824"/>
      <c r="L16" s="824"/>
      <c r="M16" s="824"/>
      <c r="N16" s="824"/>
      <c r="O16" s="824"/>
      <c r="P16" s="824"/>
      <c r="Q16" s="824"/>
      <c r="R16" s="824"/>
      <c r="S16" s="825"/>
      <c r="T16" s="875" t="str">
        <f>'エラー_入シ(3)'!B5</f>
        <v/>
      </c>
      <c r="U16" s="876"/>
      <c r="V16" s="876"/>
      <c r="W16" s="876"/>
      <c r="X16" s="876"/>
      <c r="Y16" s="876"/>
      <c r="Z16" s="876"/>
      <c r="AA16" s="876"/>
      <c r="AB16" s="876"/>
      <c r="AC16" s="876"/>
      <c r="AD16" s="876"/>
      <c r="AE16" s="876"/>
      <c r="AF16" s="876"/>
      <c r="AG16" s="876"/>
      <c r="AH16" s="876"/>
      <c r="AI16" s="876"/>
      <c r="AJ16" s="876"/>
      <c r="AK16" s="876"/>
      <c r="AL16" s="876"/>
      <c r="AM16" s="876"/>
      <c r="AN16" s="876"/>
      <c r="AO16" s="876"/>
      <c r="AP16" s="876"/>
      <c r="AQ16" s="876"/>
      <c r="AR16" s="876"/>
      <c r="AS16" s="876"/>
      <c r="AT16" s="876"/>
      <c r="AU16" s="876"/>
      <c r="AV16" s="876"/>
      <c r="AW16" s="876"/>
      <c r="AX16" s="876"/>
      <c r="AY16" s="876"/>
      <c r="AZ16" s="876"/>
      <c r="BA16" s="876"/>
      <c r="BB16" s="876"/>
      <c r="BC16" s="876"/>
      <c r="BD16" s="876"/>
      <c r="BE16" s="876"/>
      <c r="BF16" s="876"/>
      <c r="BG16" s="876"/>
      <c r="BH16" s="92"/>
      <c r="BI16" s="91"/>
      <c r="BJ16" s="91"/>
      <c r="BK16" s="91"/>
    </row>
    <row r="17" spans="2:73" ht="19.899999999999999" customHeight="1" thickBot="1">
      <c r="B17" s="156"/>
      <c r="C17" s="807"/>
      <c r="D17" s="808"/>
      <c r="E17" s="808"/>
      <c r="F17" s="808"/>
      <c r="G17" s="808"/>
      <c r="H17" s="808"/>
      <c r="I17" s="809"/>
      <c r="J17" s="826"/>
      <c r="K17" s="827"/>
      <c r="L17" s="827"/>
      <c r="M17" s="827"/>
      <c r="N17" s="827"/>
      <c r="O17" s="827"/>
      <c r="P17" s="827"/>
      <c r="Q17" s="827"/>
      <c r="R17" s="827"/>
      <c r="S17" s="828"/>
      <c r="T17" s="877" t="str">
        <f>IF('エラー_入シ(3)'!C4=0,"",'エラー_入シ(3)'!C4)</f>
        <v/>
      </c>
      <c r="U17" s="878"/>
      <c r="V17" s="878"/>
      <c r="W17" s="878"/>
      <c r="X17" s="878"/>
      <c r="Y17" s="878"/>
      <c r="Z17" s="878"/>
      <c r="AA17" s="878"/>
      <c r="AB17" s="878"/>
      <c r="AC17" s="878"/>
      <c r="AD17" s="878"/>
      <c r="AE17" s="878"/>
      <c r="AF17" s="878"/>
      <c r="AG17" s="878"/>
      <c r="AH17" s="878"/>
      <c r="AI17" s="878"/>
      <c r="AJ17" s="878"/>
      <c r="AK17" s="878"/>
      <c r="AL17" s="878"/>
      <c r="AM17" s="878"/>
      <c r="AN17" s="878"/>
      <c r="AO17" s="878"/>
      <c r="AP17" s="878"/>
      <c r="AQ17" s="878"/>
      <c r="AR17" s="878"/>
      <c r="AS17" s="878"/>
      <c r="AT17" s="878"/>
      <c r="AU17" s="878"/>
      <c r="AV17" s="878"/>
      <c r="AW17" s="878"/>
      <c r="AX17" s="878"/>
      <c r="AY17" s="878"/>
      <c r="AZ17" s="878"/>
      <c r="BA17" s="878"/>
      <c r="BB17" s="878"/>
      <c r="BC17" s="878"/>
      <c r="BD17" s="878"/>
      <c r="BE17" s="878"/>
      <c r="BF17" s="878"/>
      <c r="BG17" s="878"/>
      <c r="BH17" s="93"/>
      <c r="BI17" s="94"/>
      <c r="BJ17" s="91"/>
      <c r="BK17" s="91"/>
    </row>
    <row r="18" spans="2:73" ht="22.9" customHeight="1">
      <c r="B18" s="156"/>
      <c r="C18" s="829" t="s">
        <v>109</v>
      </c>
      <c r="D18" s="830"/>
      <c r="E18" s="830"/>
      <c r="F18" s="830"/>
      <c r="G18" s="830"/>
      <c r="H18" s="830"/>
      <c r="I18" s="831"/>
      <c r="J18" s="823"/>
      <c r="K18" s="824"/>
      <c r="L18" s="824"/>
      <c r="M18" s="824"/>
      <c r="N18" s="824"/>
      <c r="O18" s="824"/>
      <c r="P18" s="824"/>
      <c r="Q18" s="824"/>
      <c r="R18" s="824"/>
      <c r="S18" s="825"/>
      <c r="T18" s="879" t="str">
        <f>'エラー_入シ(3)'!D5</f>
        <v/>
      </c>
      <c r="U18" s="880"/>
      <c r="V18" s="880"/>
      <c r="W18" s="880"/>
      <c r="X18" s="880"/>
      <c r="Y18" s="880"/>
      <c r="Z18" s="880"/>
      <c r="AA18" s="880"/>
      <c r="AB18" s="880"/>
      <c r="AC18" s="880"/>
      <c r="AD18" s="880"/>
      <c r="AE18" s="880"/>
      <c r="AF18" s="880"/>
      <c r="AG18" s="880"/>
      <c r="AH18" s="880"/>
      <c r="AI18" s="880"/>
      <c r="AJ18" s="880"/>
      <c r="AK18" s="880"/>
      <c r="AL18" s="880"/>
      <c r="AM18" s="880"/>
      <c r="AN18" s="880"/>
      <c r="AO18" s="880"/>
      <c r="AP18" s="880"/>
      <c r="AQ18" s="880"/>
      <c r="AR18" s="880"/>
      <c r="AS18" s="880"/>
      <c r="AT18" s="880"/>
      <c r="AU18" s="880"/>
      <c r="AV18" s="880"/>
      <c r="AW18" s="880"/>
      <c r="AX18" s="880"/>
      <c r="AY18" s="880"/>
      <c r="AZ18" s="880"/>
      <c r="BA18" s="880"/>
      <c r="BB18" s="880"/>
      <c r="BC18" s="880"/>
      <c r="BD18" s="880"/>
      <c r="BE18" s="880"/>
      <c r="BF18" s="880"/>
      <c r="BG18" s="880"/>
      <c r="BH18" s="95"/>
      <c r="BI18" s="91"/>
      <c r="BJ18" s="91"/>
      <c r="BK18" s="91"/>
    </row>
    <row r="19" spans="2:73" ht="16.149999999999999" customHeight="1" thickBot="1">
      <c r="B19" s="156"/>
      <c r="C19" s="807"/>
      <c r="D19" s="808"/>
      <c r="E19" s="808"/>
      <c r="F19" s="808"/>
      <c r="G19" s="808"/>
      <c r="H19" s="808"/>
      <c r="I19" s="809"/>
      <c r="J19" s="826"/>
      <c r="K19" s="827"/>
      <c r="L19" s="827"/>
      <c r="M19" s="827"/>
      <c r="N19" s="827"/>
      <c r="O19" s="827"/>
      <c r="P19" s="827"/>
      <c r="Q19" s="827"/>
      <c r="R19" s="827"/>
      <c r="S19" s="828"/>
      <c r="T19" s="877" t="str">
        <f>'エラー_入シ(3)'!E4</f>
        <v/>
      </c>
      <c r="U19" s="878"/>
      <c r="V19" s="878"/>
      <c r="W19" s="878"/>
      <c r="X19" s="878"/>
      <c r="Y19" s="878"/>
      <c r="Z19" s="878"/>
      <c r="AA19" s="878"/>
      <c r="AB19" s="878"/>
      <c r="AC19" s="878"/>
      <c r="AD19" s="878"/>
      <c r="AE19" s="878"/>
      <c r="AF19" s="878"/>
      <c r="AG19" s="878"/>
      <c r="AH19" s="878"/>
      <c r="AI19" s="878"/>
      <c r="AJ19" s="878"/>
      <c r="AK19" s="878"/>
      <c r="AL19" s="878"/>
      <c r="AM19" s="878"/>
      <c r="AN19" s="878"/>
      <c r="AO19" s="878"/>
      <c r="AP19" s="878"/>
      <c r="AQ19" s="878"/>
      <c r="AR19" s="878"/>
      <c r="AS19" s="878"/>
      <c r="AT19" s="878"/>
      <c r="AU19" s="878"/>
      <c r="AV19" s="878"/>
      <c r="AW19" s="878"/>
      <c r="AX19" s="878"/>
      <c r="AY19" s="878"/>
      <c r="AZ19" s="878"/>
      <c r="BA19" s="878"/>
      <c r="BB19" s="878"/>
      <c r="BC19" s="878"/>
      <c r="BD19" s="878"/>
      <c r="BE19" s="878"/>
      <c r="BF19" s="878"/>
      <c r="BG19" s="878"/>
      <c r="BH19" s="93"/>
      <c r="BI19" s="94"/>
      <c r="BJ19" s="91"/>
      <c r="BK19" s="91"/>
    </row>
    <row r="20" spans="2:73" ht="22.15" customHeight="1">
      <c r="B20" s="156"/>
      <c r="C20" s="829" t="s">
        <v>88</v>
      </c>
      <c r="D20" s="830"/>
      <c r="E20" s="830"/>
      <c r="F20" s="830"/>
      <c r="G20" s="830"/>
      <c r="H20" s="830"/>
      <c r="I20" s="831"/>
      <c r="J20" s="823"/>
      <c r="K20" s="824"/>
      <c r="L20" s="824"/>
      <c r="M20" s="824"/>
      <c r="N20" s="824"/>
      <c r="O20" s="824"/>
      <c r="P20" s="824"/>
      <c r="Q20" s="824"/>
      <c r="R20" s="824"/>
      <c r="S20" s="825"/>
      <c r="T20" s="879" t="str">
        <f>'エラー_入シ(3)'!F5</f>
        <v/>
      </c>
      <c r="U20" s="880"/>
      <c r="V20" s="880"/>
      <c r="W20" s="880"/>
      <c r="X20" s="880"/>
      <c r="Y20" s="880"/>
      <c r="Z20" s="880"/>
      <c r="AA20" s="880"/>
      <c r="AB20" s="880"/>
      <c r="AC20" s="880"/>
      <c r="AD20" s="880"/>
      <c r="AE20" s="880"/>
      <c r="AF20" s="880"/>
      <c r="AG20" s="880"/>
      <c r="AH20" s="880"/>
      <c r="AI20" s="880"/>
      <c r="AJ20" s="880"/>
      <c r="AK20" s="880"/>
      <c r="AL20" s="880"/>
      <c r="AM20" s="880"/>
      <c r="AN20" s="880"/>
      <c r="AO20" s="880"/>
      <c r="AP20" s="880"/>
      <c r="AQ20" s="880"/>
      <c r="AR20" s="880"/>
      <c r="AS20" s="880"/>
      <c r="AT20" s="880"/>
      <c r="AU20" s="880"/>
      <c r="AV20" s="880"/>
      <c r="AW20" s="880"/>
      <c r="AX20" s="880"/>
      <c r="AY20" s="880"/>
      <c r="AZ20" s="880"/>
      <c r="BA20" s="880"/>
      <c r="BB20" s="880"/>
      <c r="BC20" s="880"/>
      <c r="BD20" s="880"/>
      <c r="BE20" s="880"/>
      <c r="BF20" s="880"/>
      <c r="BG20" s="880"/>
      <c r="BH20" s="95"/>
      <c r="BI20" s="91"/>
      <c r="BJ20" s="91"/>
      <c r="BK20" s="91"/>
    </row>
    <row r="21" spans="2:73" ht="19.899999999999999" customHeight="1" thickBot="1">
      <c r="B21" s="156"/>
      <c r="C21" s="807"/>
      <c r="D21" s="808"/>
      <c r="E21" s="808"/>
      <c r="F21" s="808"/>
      <c r="G21" s="808"/>
      <c r="H21" s="808"/>
      <c r="I21" s="809"/>
      <c r="J21" s="826"/>
      <c r="K21" s="827"/>
      <c r="L21" s="827"/>
      <c r="M21" s="827"/>
      <c r="N21" s="827"/>
      <c r="O21" s="827"/>
      <c r="P21" s="827"/>
      <c r="Q21" s="827"/>
      <c r="R21" s="827"/>
      <c r="S21" s="828"/>
      <c r="T21" s="877" t="str">
        <f>'エラー_入シ(3)'!G4</f>
        <v/>
      </c>
      <c r="U21" s="878"/>
      <c r="V21" s="878"/>
      <c r="W21" s="878"/>
      <c r="X21" s="878"/>
      <c r="Y21" s="878"/>
      <c r="Z21" s="878"/>
      <c r="AA21" s="878"/>
      <c r="AB21" s="878"/>
      <c r="AC21" s="878"/>
      <c r="AD21" s="878"/>
      <c r="AE21" s="878"/>
      <c r="AF21" s="878"/>
      <c r="AG21" s="878"/>
      <c r="AH21" s="878"/>
      <c r="AI21" s="878"/>
      <c r="AJ21" s="878"/>
      <c r="AK21" s="878"/>
      <c r="AL21" s="878"/>
      <c r="AM21" s="878"/>
      <c r="AN21" s="878"/>
      <c r="AO21" s="878"/>
      <c r="AP21" s="878"/>
      <c r="AQ21" s="878"/>
      <c r="AR21" s="878"/>
      <c r="AS21" s="878"/>
      <c r="AT21" s="878"/>
      <c r="AU21" s="878"/>
      <c r="AV21" s="878"/>
      <c r="AW21" s="878"/>
      <c r="AX21" s="878"/>
      <c r="AY21" s="878"/>
      <c r="AZ21" s="878"/>
      <c r="BA21" s="878"/>
      <c r="BB21" s="878"/>
      <c r="BC21" s="878"/>
      <c r="BD21" s="878"/>
      <c r="BE21" s="878"/>
      <c r="BF21" s="878"/>
      <c r="BG21" s="878"/>
      <c r="BH21" s="93"/>
      <c r="BI21" s="94"/>
      <c r="BJ21" s="91"/>
      <c r="BK21" s="91"/>
    </row>
    <row r="22" spans="2:73" ht="22.9" customHeight="1">
      <c r="B22" s="156"/>
      <c r="C22" s="909" t="s">
        <v>470</v>
      </c>
      <c r="D22" s="910"/>
      <c r="E22" s="910"/>
      <c r="F22" s="910"/>
      <c r="G22" s="910"/>
      <c r="H22" s="910"/>
      <c r="I22" s="911"/>
      <c r="J22" s="823"/>
      <c r="K22" s="824"/>
      <c r="L22" s="824"/>
      <c r="M22" s="824"/>
      <c r="N22" s="824"/>
      <c r="O22" s="824"/>
      <c r="P22" s="824"/>
      <c r="Q22" s="824"/>
      <c r="R22" s="824"/>
      <c r="S22" s="825"/>
      <c r="T22" s="887" t="str">
        <f>'エラー_入シ(3)'!H5</f>
        <v/>
      </c>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96"/>
      <c r="BI22" s="97"/>
      <c r="BJ22" s="97"/>
      <c r="BK22" s="97"/>
    </row>
    <row r="23" spans="2:73" ht="19.899999999999999" customHeight="1">
      <c r="B23" s="156"/>
      <c r="C23" s="912"/>
      <c r="D23" s="913"/>
      <c r="E23" s="913"/>
      <c r="F23" s="913"/>
      <c r="G23" s="913"/>
      <c r="H23" s="913"/>
      <c r="I23" s="914"/>
      <c r="J23" s="826"/>
      <c r="K23" s="827"/>
      <c r="L23" s="827"/>
      <c r="M23" s="827"/>
      <c r="N23" s="827"/>
      <c r="O23" s="827"/>
      <c r="P23" s="827"/>
      <c r="Q23" s="827"/>
      <c r="R23" s="827"/>
      <c r="S23" s="828"/>
      <c r="T23" s="877" t="str">
        <f>'エラー_入シ(3)'!L4</f>
        <v/>
      </c>
      <c r="U23" s="878"/>
      <c r="V23" s="878"/>
      <c r="W23" s="878"/>
      <c r="X23" s="878"/>
      <c r="Y23" s="878"/>
      <c r="Z23" s="878"/>
      <c r="AA23" s="878"/>
      <c r="AB23" s="878"/>
      <c r="AC23" s="878"/>
      <c r="AD23" s="878"/>
      <c r="AE23" s="878"/>
      <c r="AF23" s="878"/>
      <c r="AG23" s="878"/>
      <c r="AH23" s="878"/>
      <c r="AI23" s="878"/>
      <c r="AJ23" s="878"/>
      <c r="AK23" s="878"/>
      <c r="AL23" s="878"/>
      <c r="AM23" s="878"/>
      <c r="AN23" s="878"/>
      <c r="AO23" s="878"/>
      <c r="AP23" s="878"/>
      <c r="AQ23" s="878"/>
      <c r="AR23" s="878"/>
      <c r="AS23" s="878"/>
      <c r="AT23" s="878"/>
      <c r="AU23" s="878"/>
      <c r="AV23" s="878"/>
      <c r="AW23" s="878"/>
      <c r="AX23" s="878"/>
      <c r="AY23" s="878"/>
      <c r="AZ23" s="878"/>
      <c r="BA23" s="878"/>
      <c r="BB23" s="878"/>
      <c r="BC23" s="878"/>
      <c r="BD23" s="878"/>
      <c r="BE23" s="878"/>
      <c r="BF23" s="878"/>
      <c r="BG23" s="878"/>
      <c r="BH23" s="93"/>
      <c r="BI23" s="94"/>
      <c r="BJ23" s="97"/>
      <c r="BK23" s="97"/>
    </row>
    <row r="24" spans="2:73" ht="22.15" customHeight="1">
      <c r="B24" s="156"/>
      <c r="C24" s="829" t="s">
        <v>138</v>
      </c>
      <c r="D24" s="830"/>
      <c r="E24" s="830"/>
      <c r="F24" s="830"/>
      <c r="G24" s="830"/>
      <c r="H24" s="830"/>
      <c r="I24" s="831"/>
      <c r="J24" s="915"/>
      <c r="K24" s="916"/>
      <c r="L24" s="916"/>
      <c r="M24" s="916"/>
      <c r="N24" s="916"/>
      <c r="O24" s="916"/>
      <c r="P24" s="916"/>
      <c r="Q24" s="916"/>
      <c r="R24" s="916"/>
      <c r="S24" s="917"/>
      <c r="T24" s="885" t="str">
        <f>IF(AND(J18="",J22=""),"",IF(AND(J18&lt;&gt;入力リスト!K4,J22&lt;&gt;入力リスト!K4),'エラー_入シ(3)'!$M$21,IF(J24&lt;&gt;"",'エラー_入シ(3)'!$M$18,'エラー_入シ(3)'!$M$22)))</f>
        <v/>
      </c>
      <c r="U24" s="886"/>
      <c r="V24" s="886"/>
      <c r="W24" s="886"/>
      <c r="X24" s="886"/>
      <c r="Y24" s="886"/>
      <c r="Z24" s="886"/>
      <c r="AA24" s="886"/>
      <c r="AB24" s="886"/>
      <c r="AC24" s="886"/>
      <c r="AD24" s="886"/>
      <c r="AE24" s="886"/>
      <c r="AF24" s="886"/>
      <c r="AG24" s="886"/>
      <c r="AH24" s="886"/>
      <c r="AI24" s="886"/>
      <c r="AJ24" s="886"/>
      <c r="AK24" s="886"/>
      <c r="AL24" s="886"/>
      <c r="AM24" s="886"/>
      <c r="AN24" s="886"/>
      <c r="AO24" s="886"/>
      <c r="AP24" s="886"/>
      <c r="AQ24" s="886"/>
      <c r="AR24" s="886"/>
      <c r="AS24" s="886"/>
      <c r="AT24" s="886"/>
      <c r="AU24" s="886"/>
      <c r="AV24" s="886"/>
      <c r="AW24" s="886"/>
      <c r="AX24" s="886"/>
      <c r="AY24" s="886"/>
      <c r="AZ24" s="886"/>
      <c r="BA24" s="886"/>
      <c r="BB24" s="886"/>
      <c r="BC24" s="886"/>
      <c r="BD24" s="886"/>
      <c r="BE24" s="886"/>
      <c r="BF24" s="886"/>
      <c r="BG24" s="886"/>
      <c r="BH24" s="166"/>
      <c r="BI24" s="167"/>
      <c r="BJ24" s="168"/>
      <c r="BK24" s="168"/>
    </row>
    <row r="25" spans="2:73" ht="19.899999999999999" customHeight="1">
      <c r="B25" s="156"/>
      <c r="C25" s="807"/>
      <c r="D25" s="808"/>
      <c r="E25" s="808"/>
      <c r="F25" s="808"/>
      <c r="G25" s="808"/>
      <c r="H25" s="808"/>
      <c r="I25" s="809"/>
      <c r="J25" s="918"/>
      <c r="K25" s="919"/>
      <c r="L25" s="919"/>
      <c r="M25" s="919"/>
      <c r="N25" s="919"/>
      <c r="O25" s="919"/>
      <c r="P25" s="919"/>
      <c r="Q25" s="919"/>
      <c r="R25" s="919"/>
      <c r="S25" s="920"/>
      <c r="T25" s="883" t="str">
        <f>IF(AND($T$24='エラー_入シ(3)'!$M$18,OR(DAY(J24)=1,DAY(J24)=16,DAY(J24)=21)),"「基準日」は、前年度末日、つまり年度開始日の「前日」です。ご注意ください。",IF(OR($J$18=入力リスト!$K$4,$J$22=入力リスト!$K$4),"  ※「基準日」とは、採用者数・一月当たりの平均残業時間（直近1年間）・労働者数・平均勤続年数・管理職数を算出する際の基準となる日のこと。",""))</f>
        <v/>
      </c>
      <c r="U25" s="884"/>
      <c r="V25" s="884"/>
      <c r="W25" s="884"/>
      <c r="X25" s="884"/>
      <c r="Y25" s="884"/>
      <c r="Z25" s="884"/>
      <c r="AA25" s="884"/>
      <c r="AB25" s="884"/>
      <c r="AC25" s="884"/>
      <c r="AD25" s="884"/>
      <c r="AE25" s="884"/>
      <c r="AF25" s="884"/>
      <c r="AG25" s="884"/>
      <c r="AH25" s="884"/>
      <c r="AI25" s="884"/>
      <c r="AJ25" s="884"/>
      <c r="AK25" s="884"/>
      <c r="AL25" s="884"/>
      <c r="AM25" s="884"/>
      <c r="AN25" s="884"/>
      <c r="AO25" s="884"/>
      <c r="AP25" s="884"/>
      <c r="AQ25" s="884"/>
      <c r="AR25" s="884"/>
      <c r="AS25" s="884"/>
      <c r="AT25" s="884"/>
      <c r="AU25" s="884"/>
      <c r="AV25" s="884"/>
      <c r="AW25" s="884"/>
      <c r="AX25" s="884"/>
      <c r="AY25" s="884"/>
      <c r="AZ25" s="884"/>
      <c r="BA25" s="884"/>
      <c r="BB25" s="884"/>
      <c r="BC25" s="884"/>
      <c r="BD25" s="884"/>
      <c r="BE25" s="884"/>
      <c r="BF25" s="884"/>
      <c r="BG25" s="884"/>
      <c r="BH25" s="98"/>
      <c r="BI25" s="99"/>
      <c r="BJ25" s="168"/>
      <c r="BK25" s="168"/>
    </row>
    <row r="26" spans="2:73" ht="42" customHeight="1" thickBot="1">
      <c r="B26" s="156"/>
      <c r="C26" s="921" t="s">
        <v>198</v>
      </c>
      <c r="D26" s="922"/>
      <c r="E26" s="922"/>
      <c r="F26" s="922"/>
      <c r="G26" s="922"/>
      <c r="H26" s="922"/>
      <c r="I26" s="922"/>
      <c r="J26" s="820"/>
      <c r="K26" s="821"/>
      <c r="L26" s="821"/>
      <c r="M26" s="821"/>
      <c r="N26" s="821"/>
      <c r="O26" s="821"/>
      <c r="P26" s="821"/>
      <c r="Q26" s="821"/>
      <c r="R26" s="821"/>
      <c r="S26" s="822"/>
      <c r="T26" s="881" t="str">
        <f>IF(OR(J26="",J26="いいえ"),"←（任意）"&amp;C24&amp;"から直近1年間の採用者数の算出が困難な場合、男女別労働者割合で代替が可能です。"&amp;CHAR(10)&amp;"　『使用する』を選択してください。","")</f>
        <v>←（任意）基準日から直近1年間の採用者数の算出が困難な場合、男女別労働者割合で代替が可能です。
　『使用する』を選択してください。</v>
      </c>
      <c r="U26" s="882"/>
      <c r="V26" s="882"/>
      <c r="W26" s="882"/>
      <c r="X26" s="882"/>
      <c r="Y26" s="882"/>
      <c r="Z26" s="882"/>
      <c r="AA26" s="882"/>
      <c r="AB26" s="882"/>
      <c r="AC26" s="882"/>
      <c r="AD26" s="882"/>
      <c r="AE26" s="882"/>
      <c r="AF26" s="882"/>
      <c r="AG26" s="882"/>
      <c r="AH26" s="882"/>
      <c r="AI26" s="882"/>
      <c r="AJ26" s="882"/>
      <c r="AK26" s="882"/>
      <c r="AL26" s="882"/>
      <c r="AM26" s="882"/>
      <c r="AN26" s="882"/>
      <c r="AO26" s="882"/>
      <c r="AP26" s="882"/>
      <c r="AQ26" s="882"/>
      <c r="AR26" s="882"/>
      <c r="AS26" s="882"/>
      <c r="AT26" s="882"/>
      <c r="AU26" s="882"/>
      <c r="AV26" s="882"/>
      <c r="AW26" s="882"/>
      <c r="AX26" s="882"/>
      <c r="AY26" s="882"/>
      <c r="AZ26" s="882"/>
      <c r="BA26" s="882"/>
      <c r="BB26" s="882"/>
      <c r="BC26" s="882"/>
      <c r="BD26" s="882"/>
      <c r="BE26" s="882"/>
      <c r="BF26" s="882"/>
      <c r="BG26" s="882"/>
      <c r="BH26" s="100"/>
      <c r="BI26" s="101"/>
      <c r="BJ26" s="97"/>
      <c r="BK26" s="97"/>
      <c r="BL26" s="169"/>
      <c r="BM26" s="169"/>
      <c r="BN26" s="169"/>
      <c r="BO26" s="169"/>
      <c r="BP26" s="169"/>
      <c r="BQ26" s="169"/>
    </row>
    <row r="27" spans="2:73" ht="4.1500000000000004" customHeight="1" thickBot="1">
      <c r="B27" s="159"/>
      <c r="C27" s="102"/>
      <c r="D27" s="170"/>
      <c r="E27" s="170"/>
      <c r="F27" s="171"/>
      <c r="G27" s="171"/>
      <c r="H27" s="925"/>
      <c r="I27" s="925"/>
      <c r="J27" s="172"/>
      <c r="K27" s="172"/>
      <c r="L27" s="172"/>
      <c r="M27" s="172"/>
      <c r="N27" s="172"/>
      <c r="O27" s="172"/>
      <c r="P27" s="172"/>
      <c r="Q27" s="172"/>
      <c r="R27" s="172"/>
      <c r="S27" s="171"/>
      <c r="T27" s="171"/>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147"/>
      <c r="BL27" s="173"/>
      <c r="BM27" s="173"/>
      <c r="BN27" s="173"/>
      <c r="BO27" s="173"/>
      <c r="BP27" s="173"/>
      <c r="BQ27" s="173"/>
    </row>
    <row r="28" spans="2:73" ht="4.9000000000000004" customHeight="1" thickTop="1">
      <c r="B28" s="156"/>
      <c r="C28" s="103"/>
      <c r="D28" s="174"/>
      <c r="E28" s="174"/>
      <c r="F28" s="175"/>
      <c r="G28" s="175"/>
      <c r="H28" s="176"/>
      <c r="I28" s="176"/>
      <c r="J28" s="177"/>
      <c r="K28" s="177"/>
      <c r="L28" s="177"/>
      <c r="M28" s="177"/>
      <c r="N28" s="177"/>
      <c r="O28" s="177"/>
      <c r="P28" s="177"/>
      <c r="Q28" s="177"/>
      <c r="R28" s="177"/>
      <c r="S28" s="175"/>
      <c r="T28" s="175"/>
      <c r="BH28" s="150"/>
      <c r="BL28" s="173"/>
      <c r="BM28" s="173"/>
      <c r="BN28" s="173"/>
      <c r="BO28" s="173"/>
      <c r="BP28" s="173"/>
      <c r="BQ28" s="173"/>
    </row>
    <row r="29" spans="2:73" ht="25.9" customHeight="1" thickBot="1">
      <c r="B29" s="343" t="s">
        <v>103</v>
      </c>
      <c r="C29" s="90" t="s">
        <v>130</v>
      </c>
      <c r="D29" s="174"/>
      <c r="E29" s="174"/>
      <c r="F29" s="175"/>
      <c r="G29" s="175"/>
      <c r="H29" s="176"/>
      <c r="I29" s="176"/>
      <c r="J29" s="177"/>
      <c r="K29" s="177"/>
      <c r="L29" s="177"/>
      <c r="M29" s="177"/>
      <c r="N29" s="177"/>
      <c r="O29" s="177"/>
      <c r="P29" s="177"/>
      <c r="Q29" s="177"/>
      <c r="R29" s="177"/>
      <c r="S29" s="175"/>
      <c r="T29" s="175"/>
      <c r="BH29" s="150"/>
      <c r="BL29" s="785"/>
      <c r="BM29" s="785"/>
      <c r="BN29" s="785"/>
      <c r="BO29" s="785"/>
      <c r="BP29" s="785"/>
      <c r="BQ29" s="785"/>
    </row>
    <row r="30" spans="2:73" ht="139.15" customHeight="1" thickBot="1">
      <c r="B30" s="89"/>
      <c r="C30" s="832" t="str">
        <f>IF($C$5=入力リスト!$N$5,"",IF(COUNTIF($J$16:$S$23,入力リスト!$K$5)=4,入力リスト!$L$4,IF(COUNTIF($J$16:$S$23,入力リスト!$K$4)=4,入力リスト!$L$5,"①"&amp;入力リスト!$L$4&amp;CHAR(10)&amp;"②"&amp;入力リスト!$L$5)))</f>
        <v>①男女間賃金差異(%)の入力欄に、貴社で算出した数値を入力してください。
②「貴社」・「調整」欄には、参考値との比較にあたり、以下の分類を行いながら、入力又は選択してください。
　・貴社の雇用形態 ：「正規雇用」「非正規雇用」に分類
　・貴社の役職          ：「部長級」「課長級」「係長級」「非役職」に分類　
      ※（３）「基準日（例: 2025年2月15日）」から遡って1年間のうちに該当者がいない役職名については、入力しないでください。
　・貴社の性別表記 ：「男」「女」
（例…貴社の雇用形態に「無期雇用社員」がある場合：「貴社」欄に「無期雇用社員」と入力。「変換後」欄から該当する雇用形態（「非正規雇用」）を選択。）</v>
      </c>
      <c r="D30" s="833"/>
      <c r="E30" s="833"/>
      <c r="F30" s="833"/>
      <c r="G30" s="833"/>
      <c r="H30" s="833"/>
      <c r="I30" s="833"/>
      <c r="J30" s="833"/>
      <c r="K30" s="833"/>
      <c r="L30" s="833"/>
      <c r="M30" s="833"/>
      <c r="N30" s="833"/>
      <c r="O30" s="833"/>
      <c r="P30" s="833"/>
      <c r="Q30" s="833"/>
      <c r="R30" s="833"/>
      <c r="S30" s="833"/>
      <c r="T30" s="833"/>
      <c r="U30" s="833"/>
      <c r="V30" s="833"/>
      <c r="W30" s="833"/>
      <c r="X30" s="833"/>
      <c r="Y30" s="833"/>
      <c r="Z30" s="833"/>
      <c r="AA30" s="833"/>
      <c r="AB30" s="833"/>
      <c r="AC30" s="833"/>
      <c r="AD30" s="833"/>
      <c r="AE30" s="833"/>
      <c r="AF30" s="833"/>
      <c r="AG30" s="833"/>
      <c r="AH30" s="833"/>
      <c r="AI30" s="833"/>
      <c r="AJ30" s="833"/>
      <c r="AK30" s="833"/>
      <c r="AL30" s="833"/>
      <c r="AM30" s="833"/>
      <c r="AN30" s="833"/>
      <c r="AO30" s="833"/>
      <c r="AP30" s="833"/>
      <c r="AQ30" s="833"/>
      <c r="AR30" s="833"/>
      <c r="AS30" s="833"/>
      <c r="AT30" s="833"/>
      <c r="AU30" s="833"/>
      <c r="AV30" s="833"/>
      <c r="AW30" s="833"/>
      <c r="AX30" s="833"/>
      <c r="AY30" s="833"/>
      <c r="AZ30" s="833"/>
      <c r="BA30" s="833"/>
      <c r="BB30" s="833"/>
      <c r="BC30" s="833"/>
      <c r="BD30" s="833"/>
      <c r="BE30" s="834"/>
      <c r="BF30" s="136"/>
      <c r="BG30" s="136"/>
      <c r="BH30" s="150"/>
      <c r="BK30" s="655" t="str">
        <f>IF(AND(C5=入力リスト!$N$4,COUNTIF($J$16:$S$22,入力リスト!$K$5)&gt;0),"男女間賃金差異の算出方法（計算式）について","")</f>
        <v/>
      </c>
      <c r="BL30" s="655"/>
      <c r="BM30" s="655"/>
      <c r="BN30" s="655"/>
      <c r="BO30" s="655"/>
      <c r="BP30" s="655"/>
      <c r="BQ30" s="655"/>
      <c r="BR30" s="655"/>
      <c r="BS30" s="655"/>
    </row>
    <row r="31" spans="2:73" ht="34.9" customHeight="1" thickBot="1">
      <c r="B31" s="178"/>
      <c r="C31" s="669" t="s">
        <v>1190</v>
      </c>
      <c r="D31" s="670"/>
      <c r="E31" s="670"/>
      <c r="F31" s="670"/>
      <c r="G31" s="670"/>
      <c r="H31" s="670"/>
      <c r="I31" s="670"/>
      <c r="J31" s="670"/>
      <c r="K31" s="670"/>
      <c r="L31" s="670"/>
      <c r="M31" s="670"/>
      <c r="N31" s="670"/>
      <c r="O31" s="670"/>
      <c r="P31" s="670"/>
      <c r="R31" s="177"/>
      <c r="S31" s="790" t="s">
        <v>134</v>
      </c>
      <c r="T31" s="790"/>
      <c r="U31" s="790"/>
      <c r="V31" s="790"/>
      <c r="W31" s="790"/>
      <c r="X31" s="790"/>
      <c r="Y31" s="790"/>
      <c r="Z31" s="790"/>
      <c r="AA31" s="790"/>
      <c r="AB31" s="790"/>
      <c r="AC31" s="790"/>
      <c r="AD31" s="790"/>
      <c r="AE31" s="790"/>
      <c r="AF31" s="179"/>
      <c r="AG31" s="179"/>
      <c r="AH31" s="180" t="s">
        <v>135</v>
      </c>
      <c r="AI31" s="179"/>
      <c r="AJ31" s="179"/>
      <c r="AK31" s="179"/>
      <c r="AL31" s="179"/>
      <c r="AM31" s="179"/>
      <c r="AN31" s="179"/>
      <c r="AO31" s="179"/>
      <c r="AP31" s="179"/>
      <c r="AQ31" s="179"/>
      <c r="AR31" s="179"/>
      <c r="AS31" s="179"/>
      <c r="AT31" s="179"/>
      <c r="AU31" s="179"/>
      <c r="AV31" s="179"/>
      <c r="AW31" s="180" t="s">
        <v>136</v>
      </c>
      <c r="AX31" s="179"/>
      <c r="AY31" s="179"/>
      <c r="AZ31" s="179"/>
      <c r="BA31" s="179"/>
      <c r="BH31" s="150"/>
      <c r="BK31" s="344"/>
      <c r="BL31" s="646" t="str">
        <f>IF(AND(C5=入力リスト!$N$4,COUNTIF($J$16:$S$22,入力リスト!$K$5)&gt;0),"「以下の手順で雇用形態別に「男女間賃金差異」を算出します。
　１.　男女別に「平均年間賃金」を算出する（直近一事業年度の賃金総額 ÷ 人員数）
　２.　女性の平均年間賃金 ÷ 男性の平均年間賃金× 100％
詳しくは、厚生労働省の女性活躍推進法特集ページ内「男女の賃金の差異の情報公表について」に掲載された「解説資料：女性活躍推進法に基づく男女の賃金の差異の情報公表について」をご覧ください。","")</f>
        <v/>
      </c>
      <c r="BM31" s="647"/>
      <c r="BN31" s="647"/>
      <c r="BO31" s="647"/>
      <c r="BP31" s="647"/>
      <c r="BQ31" s="647"/>
      <c r="BR31" s="647"/>
      <c r="BS31" s="648"/>
      <c r="BU31" s="359"/>
    </row>
    <row r="32" spans="2:73" ht="19.5" customHeight="1" thickBot="1">
      <c r="B32" s="694" t="s">
        <v>137</v>
      </c>
      <c r="C32" s="695" t="s">
        <v>132</v>
      </c>
      <c r="D32" s="696"/>
      <c r="E32" s="696"/>
      <c r="F32" s="696"/>
      <c r="G32" s="696"/>
      <c r="H32" s="696"/>
      <c r="I32" s="696"/>
      <c r="J32" s="696"/>
      <c r="K32" s="696"/>
      <c r="L32" s="696"/>
      <c r="M32" s="696"/>
      <c r="N32" s="696"/>
      <c r="O32" s="696"/>
      <c r="P32" s="697"/>
      <c r="Q32" s="181"/>
      <c r="S32" s="852" t="s">
        <v>131</v>
      </c>
      <c r="T32" s="853"/>
      <c r="U32" s="853"/>
      <c r="V32" s="853"/>
      <c r="W32" s="853" t="s">
        <v>42</v>
      </c>
      <c r="X32" s="853"/>
      <c r="Y32" s="853"/>
      <c r="Z32" s="862"/>
      <c r="AA32" s="182"/>
      <c r="AB32" s="182"/>
      <c r="AC32" s="182"/>
      <c r="AD32" s="182"/>
      <c r="AE32" s="182"/>
      <c r="AF32" s="182"/>
      <c r="AG32" s="182"/>
      <c r="AH32" s="667" t="s">
        <v>131</v>
      </c>
      <c r="AI32" s="668"/>
      <c r="AJ32" s="668"/>
      <c r="AK32" s="668"/>
      <c r="AL32" s="668" t="s">
        <v>42</v>
      </c>
      <c r="AM32" s="668"/>
      <c r="AN32" s="668"/>
      <c r="AO32" s="671"/>
      <c r="AP32" s="182"/>
      <c r="AQ32" s="105"/>
      <c r="AR32" s="105"/>
      <c r="AS32" s="105"/>
      <c r="AT32" s="106"/>
      <c r="AU32" s="182"/>
      <c r="AV32" s="182"/>
      <c r="AW32" s="861" t="s">
        <v>131</v>
      </c>
      <c r="AX32" s="840"/>
      <c r="AY32" s="840"/>
      <c r="AZ32" s="840" t="s">
        <v>42</v>
      </c>
      <c r="BA32" s="840"/>
      <c r="BB32" s="841"/>
      <c r="BC32" s="182"/>
      <c r="BD32" s="182"/>
      <c r="BE32" s="182"/>
      <c r="BF32" s="182"/>
      <c r="BG32" s="182"/>
      <c r="BH32" s="150"/>
      <c r="BL32" s="649"/>
      <c r="BM32" s="650"/>
      <c r="BN32" s="650"/>
      <c r="BO32" s="650"/>
      <c r="BP32" s="650"/>
      <c r="BQ32" s="650"/>
      <c r="BR32" s="650"/>
      <c r="BS32" s="651"/>
    </row>
    <row r="33" spans="2:71" ht="19.5" customHeight="1" thickTop="1">
      <c r="B33" s="694"/>
      <c r="C33" s="923" t="s">
        <v>33</v>
      </c>
      <c r="D33" s="924"/>
      <c r="E33" s="924"/>
      <c r="F33" s="924"/>
      <c r="G33" s="924"/>
      <c r="H33" s="924"/>
      <c r="I33" s="924"/>
      <c r="J33" s="658"/>
      <c r="K33" s="659"/>
      <c r="L33" s="659"/>
      <c r="M33" s="659"/>
      <c r="N33" s="659"/>
      <c r="O33" s="659"/>
      <c r="P33" s="660"/>
      <c r="Q33" s="183"/>
      <c r="R33" s="184"/>
      <c r="S33" s="847" t="s">
        <v>30</v>
      </c>
      <c r="T33" s="848"/>
      <c r="U33" s="848"/>
      <c r="V33" s="848"/>
      <c r="W33" s="848"/>
      <c r="X33" s="848"/>
      <c r="Y33" s="848"/>
      <c r="Z33" s="849"/>
      <c r="AA33" s="784" t="str">
        <f>IF(J16="","",IF(J16=入力リスト!K5,"",IF(AND(T92="",T93="",T94="",T95=""),"","←")&amp;T92&amp;IF(T93="","",IF(T92="",T93,CHAR(10)&amp;CHAR(10)&amp;T93))&amp;IF(T94="","",IF(AND(T92="",T93=""),T94,CHAR(10)&amp;CHAR(10)&amp;T94))&amp;IF(T95="","",IF(AND(T92="",T93="",T94=""),T95,CHAR(10)&amp;CHAR(10)&amp;T95))))</f>
        <v/>
      </c>
      <c r="AB33" s="784"/>
      <c r="AC33" s="784"/>
      <c r="AD33" s="784"/>
      <c r="AE33" s="784"/>
      <c r="AF33" s="184"/>
      <c r="AG33" s="184"/>
      <c r="AH33" s="847" t="s">
        <v>30</v>
      </c>
      <c r="AI33" s="848"/>
      <c r="AJ33" s="848"/>
      <c r="AK33" s="848"/>
      <c r="AL33" s="848"/>
      <c r="AM33" s="848"/>
      <c r="AN33" s="848"/>
      <c r="AO33" s="849"/>
      <c r="AP33" s="770" t="str">
        <f>IF(J20="","",IF(OR(J20="",J20=入力リスト!K5),"",IF(AND(AH92="",AH93="",AH94="",AH95=""),"","←")&amp;IF(AH92="","",AH92)&amp;IF(AH93="","",IF(AH92="",AH93,CHAR(10)&amp;CHAR(10)&amp;AH93))&amp;IF(AH94="","",IF(AND(AH92="",AH93=""),AH94,CHAR(10)&amp;CHAR(10)&amp;AH94))&amp;IF(AH95="","",IF(AND(AH92="",AH93="",AH94=""),AH95,CHAR(10)&amp;CHAR(10)&amp;AH95))))</f>
        <v/>
      </c>
      <c r="AQ33" s="770"/>
      <c r="AR33" s="770"/>
      <c r="AS33" s="770"/>
      <c r="AT33" s="770"/>
      <c r="AU33" s="184"/>
      <c r="AV33" s="184"/>
      <c r="AW33" s="858" t="s">
        <v>30</v>
      </c>
      <c r="AX33" s="859"/>
      <c r="AY33" s="859"/>
      <c r="AZ33" s="859"/>
      <c r="BA33" s="859"/>
      <c r="BB33" s="860"/>
      <c r="BC33" s="607" t="str">
        <f>IF(AND(J16="",J20="",J22="",J18=""),"",IF(AND(OR(J16="",J16=入力リスト!K5),OR(J20="",J20=入力リスト!K5),OR(J22="",J22=入力リスト!K5),OR(J18="",J18=入力リスト!K5)),"",IF(AND(AX92="",AX93="",AX94="",AX95=""),"","←")&amp;IF(AX92="","",AX92)&amp;IF(AX93="","",IF(AX92="",AX93,CHAR(10)&amp;CHAR(10)&amp;AX93))&amp;IF(AX94="","",IF(AND(AX92="",AX93=""),AX94,CHAR(10)&amp;CHAR(10)&amp;AX94))&amp;IF(AX95="","",IF(AND(AX92="",AX93="",AX94=""),AX95,CHAR(10)&amp;CHAR(10)&amp;AX95))))</f>
        <v/>
      </c>
      <c r="BD33" s="607"/>
      <c r="BE33" s="607"/>
      <c r="BF33" s="607"/>
      <c r="BG33" s="607"/>
      <c r="BH33" s="107"/>
      <c r="BI33" s="108"/>
      <c r="BJ33" s="108"/>
      <c r="BK33" s="108"/>
      <c r="BL33" s="649"/>
      <c r="BM33" s="650"/>
      <c r="BN33" s="650"/>
      <c r="BO33" s="650"/>
      <c r="BP33" s="650"/>
      <c r="BQ33" s="650"/>
      <c r="BR33" s="650"/>
      <c r="BS33" s="651"/>
    </row>
    <row r="34" spans="2:71" s="186" customFormat="1" ht="19.5" customHeight="1">
      <c r="B34" s="694"/>
      <c r="C34" s="715" t="s">
        <v>1304</v>
      </c>
      <c r="D34" s="716"/>
      <c r="E34" s="716"/>
      <c r="F34" s="716"/>
      <c r="G34" s="716"/>
      <c r="H34" s="716"/>
      <c r="I34" s="716"/>
      <c r="J34" s="658"/>
      <c r="K34" s="659"/>
      <c r="L34" s="659"/>
      <c r="M34" s="659"/>
      <c r="N34" s="659"/>
      <c r="O34" s="659"/>
      <c r="P34" s="660"/>
      <c r="Q34" s="109"/>
      <c r="R34" s="110"/>
      <c r="S34" s="855" t="s">
        <v>28</v>
      </c>
      <c r="T34" s="856"/>
      <c r="U34" s="856"/>
      <c r="V34" s="856"/>
      <c r="W34" s="856" t="s">
        <v>14</v>
      </c>
      <c r="X34" s="856"/>
      <c r="Y34" s="856"/>
      <c r="Z34" s="891"/>
      <c r="AA34" s="784"/>
      <c r="AB34" s="784"/>
      <c r="AC34" s="784"/>
      <c r="AD34" s="784"/>
      <c r="AE34" s="784"/>
      <c r="AF34" s="185"/>
      <c r="AG34" s="185"/>
      <c r="AH34" s="855" t="s">
        <v>29</v>
      </c>
      <c r="AI34" s="856"/>
      <c r="AJ34" s="856"/>
      <c r="AK34" s="856"/>
      <c r="AL34" s="856" t="s">
        <v>6</v>
      </c>
      <c r="AM34" s="856"/>
      <c r="AN34" s="856"/>
      <c r="AO34" s="891"/>
      <c r="AP34" s="770"/>
      <c r="AQ34" s="770"/>
      <c r="AR34" s="770"/>
      <c r="AS34" s="770"/>
      <c r="AT34" s="770"/>
      <c r="AU34" s="185"/>
      <c r="AV34" s="185"/>
      <c r="AW34" s="857">
        <v>1</v>
      </c>
      <c r="AX34" s="786"/>
      <c r="AY34" s="786"/>
      <c r="AZ34" s="786" t="s">
        <v>24</v>
      </c>
      <c r="BA34" s="786"/>
      <c r="BB34" s="787"/>
      <c r="BC34" s="607"/>
      <c r="BD34" s="607"/>
      <c r="BE34" s="607"/>
      <c r="BF34" s="607"/>
      <c r="BG34" s="607"/>
      <c r="BH34" s="107"/>
      <c r="BI34" s="108"/>
      <c r="BJ34" s="108"/>
      <c r="BK34" s="108"/>
      <c r="BL34" s="649"/>
      <c r="BM34" s="650"/>
      <c r="BN34" s="650"/>
      <c r="BO34" s="650"/>
      <c r="BP34" s="650"/>
      <c r="BQ34" s="650"/>
      <c r="BR34" s="650"/>
      <c r="BS34" s="651"/>
    </row>
    <row r="35" spans="2:71" s="186" customFormat="1" ht="19.5" customHeight="1" thickBot="1">
      <c r="B35" s="694"/>
      <c r="C35" s="796" t="s">
        <v>1305</v>
      </c>
      <c r="D35" s="797"/>
      <c r="E35" s="797"/>
      <c r="F35" s="797"/>
      <c r="G35" s="797"/>
      <c r="H35" s="797"/>
      <c r="I35" s="797"/>
      <c r="J35" s="762"/>
      <c r="K35" s="763"/>
      <c r="L35" s="763"/>
      <c r="M35" s="763"/>
      <c r="N35" s="763"/>
      <c r="O35" s="763"/>
      <c r="P35" s="764"/>
      <c r="Q35" s="109"/>
      <c r="R35" s="110"/>
      <c r="S35" s="892" t="s">
        <v>12</v>
      </c>
      <c r="T35" s="889"/>
      <c r="U35" s="889"/>
      <c r="V35" s="889"/>
      <c r="W35" s="889" t="s">
        <v>15</v>
      </c>
      <c r="X35" s="889"/>
      <c r="Y35" s="889"/>
      <c r="Z35" s="890"/>
      <c r="AA35" s="784"/>
      <c r="AB35" s="784"/>
      <c r="AC35" s="784"/>
      <c r="AD35" s="784"/>
      <c r="AE35" s="784"/>
      <c r="AF35" s="185"/>
      <c r="AG35" s="185"/>
      <c r="AH35" s="892" t="s">
        <v>32</v>
      </c>
      <c r="AI35" s="889"/>
      <c r="AJ35" s="889"/>
      <c r="AK35" s="889"/>
      <c r="AL35" s="889" t="s">
        <v>7</v>
      </c>
      <c r="AM35" s="889"/>
      <c r="AN35" s="889"/>
      <c r="AO35" s="890"/>
      <c r="AP35" s="770"/>
      <c r="AQ35" s="770"/>
      <c r="AR35" s="770"/>
      <c r="AS35" s="770"/>
      <c r="AT35" s="770"/>
      <c r="AU35" s="185"/>
      <c r="AV35" s="185"/>
      <c r="AW35" s="855">
        <v>2</v>
      </c>
      <c r="AX35" s="856"/>
      <c r="AY35" s="856"/>
      <c r="AZ35" s="786" t="s">
        <v>25</v>
      </c>
      <c r="BA35" s="786"/>
      <c r="BB35" s="787"/>
      <c r="BC35" s="607"/>
      <c r="BD35" s="607"/>
      <c r="BE35" s="607"/>
      <c r="BF35" s="607"/>
      <c r="BG35" s="607"/>
      <c r="BH35" s="107"/>
      <c r="BI35" s="108"/>
      <c r="BJ35" s="108"/>
      <c r="BK35" s="108"/>
      <c r="BL35" s="649"/>
      <c r="BM35" s="650"/>
      <c r="BN35" s="650"/>
      <c r="BO35" s="650"/>
      <c r="BP35" s="650"/>
      <c r="BQ35" s="650"/>
      <c r="BR35" s="650"/>
      <c r="BS35" s="651"/>
    </row>
    <row r="36" spans="2:71" s="186" customFormat="1" ht="19.5" customHeight="1" thickTop="1" thickBot="1">
      <c r="B36" s="694"/>
      <c r="C36" s="899" t="s">
        <v>1306</v>
      </c>
      <c r="D36" s="900"/>
      <c r="E36" s="900"/>
      <c r="F36" s="900"/>
      <c r="G36" s="900"/>
      <c r="H36" s="900"/>
      <c r="I36" s="900"/>
      <c r="J36" s="900"/>
      <c r="K36" s="900"/>
      <c r="L36" s="900"/>
      <c r="M36" s="900"/>
      <c r="N36" s="900"/>
      <c r="O36" s="900"/>
      <c r="P36" s="901"/>
      <c r="Q36" s="109"/>
      <c r="R36" s="110"/>
      <c r="S36" s="710" t="s">
        <v>16</v>
      </c>
      <c r="T36" s="711"/>
      <c r="U36" s="711"/>
      <c r="V36" s="711"/>
      <c r="W36" s="711" t="s">
        <v>15</v>
      </c>
      <c r="X36" s="711"/>
      <c r="Y36" s="711"/>
      <c r="Z36" s="791"/>
      <c r="AA36" s="784"/>
      <c r="AB36" s="784"/>
      <c r="AC36" s="784"/>
      <c r="AD36" s="784"/>
      <c r="AE36" s="784"/>
      <c r="AF36" s="185"/>
      <c r="AG36" s="185"/>
      <c r="AH36" s="710" t="s">
        <v>31</v>
      </c>
      <c r="AI36" s="711"/>
      <c r="AJ36" s="711"/>
      <c r="AK36" s="711"/>
      <c r="AL36" s="711" t="s">
        <v>7</v>
      </c>
      <c r="AM36" s="711"/>
      <c r="AN36" s="711"/>
      <c r="AO36" s="791"/>
      <c r="AP36" s="770"/>
      <c r="AQ36" s="770"/>
      <c r="AR36" s="770"/>
      <c r="AS36" s="770"/>
      <c r="AT36" s="770"/>
      <c r="AU36" s="185"/>
      <c r="AV36" s="185"/>
      <c r="AW36" s="854" t="s">
        <v>180</v>
      </c>
      <c r="AX36" s="788"/>
      <c r="AY36" s="788"/>
      <c r="AZ36" s="788" t="s">
        <v>24</v>
      </c>
      <c r="BA36" s="788"/>
      <c r="BB36" s="789"/>
      <c r="BC36" s="607"/>
      <c r="BD36" s="607"/>
      <c r="BE36" s="607"/>
      <c r="BF36" s="607"/>
      <c r="BG36" s="607"/>
      <c r="BH36" s="107"/>
      <c r="BI36" s="108"/>
      <c r="BJ36" s="108"/>
      <c r="BK36" s="108"/>
      <c r="BL36" s="649"/>
      <c r="BM36" s="650"/>
      <c r="BN36" s="650"/>
      <c r="BO36" s="650"/>
      <c r="BP36" s="650"/>
      <c r="BQ36" s="650"/>
      <c r="BR36" s="650"/>
      <c r="BS36" s="651"/>
    </row>
    <row r="37" spans="2:71" s="186" customFormat="1" ht="19.5" customHeight="1" thickTop="1">
      <c r="B37" s="694"/>
      <c r="C37" s="664" t="s">
        <v>26</v>
      </c>
      <c r="D37" s="665"/>
      <c r="E37" s="665"/>
      <c r="F37" s="665"/>
      <c r="G37" s="665"/>
      <c r="H37" s="665"/>
      <c r="I37" s="666"/>
      <c r="J37" s="733"/>
      <c r="K37" s="734"/>
      <c r="L37" s="734"/>
      <c r="M37" s="734"/>
      <c r="N37" s="734"/>
      <c r="O37" s="734"/>
      <c r="P37" s="735"/>
      <c r="Q37" s="109"/>
      <c r="R37" s="110"/>
      <c r="S37" s="863"/>
      <c r="T37" s="864"/>
      <c r="U37" s="864"/>
      <c r="V37" s="864"/>
      <c r="W37" s="701"/>
      <c r="X37" s="702"/>
      <c r="Y37" s="702"/>
      <c r="Z37" s="703"/>
      <c r="AA37" s="784"/>
      <c r="AB37" s="784"/>
      <c r="AC37" s="784"/>
      <c r="AD37" s="784"/>
      <c r="AE37" s="784"/>
      <c r="AF37" s="185"/>
      <c r="AG37" s="185"/>
      <c r="AH37" s="773"/>
      <c r="AI37" s="774"/>
      <c r="AJ37" s="774"/>
      <c r="AK37" s="774"/>
      <c r="AL37" s="672"/>
      <c r="AM37" s="672"/>
      <c r="AN37" s="672"/>
      <c r="AO37" s="673"/>
      <c r="AP37" s="770"/>
      <c r="AQ37" s="770"/>
      <c r="AR37" s="770"/>
      <c r="AS37" s="770"/>
      <c r="AT37" s="770"/>
      <c r="AU37" s="111"/>
      <c r="AV37" s="111"/>
      <c r="AW37" s="844"/>
      <c r="AX37" s="845"/>
      <c r="AY37" s="846"/>
      <c r="AZ37" s="838"/>
      <c r="BA37" s="838"/>
      <c r="BB37" s="839"/>
      <c r="BC37" s="607"/>
      <c r="BD37" s="607"/>
      <c r="BE37" s="607"/>
      <c r="BF37" s="607"/>
      <c r="BG37" s="607"/>
      <c r="BH37" s="107"/>
      <c r="BI37" s="108"/>
      <c r="BJ37" s="108"/>
      <c r="BK37" s="108"/>
      <c r="BL37" s="652" t="str">
        <f>IF(AND(C5=入力リスト!$N$4,COUNTIF($J$16:$S$22,入力リスト!$K$5)&gt;0),HYPERLINK("https://www.mhlw.go.jp/content/11900000/000970983.pdf"),"")</f>
        <v/>
      </c>
      <c r="BM37" s="653"/>
      <c r="BN37" s="653"/>
      <c r="BO37" s="653"/>
      <c r="BP37" s="653"/>
      <c r="BQ37" s="653"/>
      <c r="BR37" s="653"/>
      <c r="BS37" s="654"/>
    </row>
    <row r="38" spans="2:71" s="186" customFormat="1" ht="19.5" customHeight="1" thickBot="1">
      <c r="B38" s="694"/>
      <c r="C38" s="661" t="s">
        <v>4656</v>
      </c>
      <c r="D38" s="662"/>
      <c r="E38" s="662"/>
      <c r="F38" s="662"/>
      <c r="G38" s="662"/>
      <c r="H38" s="662"/>
      <c r="I38" s="663"/>
      <c r="J38" s="658"/>
      <c r="K38" s="659"/>
      <c r="L38" s="659"/>
      <c r="M38" s="659"/>
      <c r="N38" s="659"/>
      <c r="O38" s="659"/>
      <c r="P38" s="660"/>
      <c r="Q38" s="109"/>
      <c r="R38" s="110"/>
      <c r="S38" s="674"/>
      <c r="T38" s="675"/>
      <c r="U38" s="675"/>
      <c r="V38" s="675"/>
      <c r="W38" s="701"/>
      <c r="X38" s="702"/>
      <c r="Y38" s="702"/>
      <c r="Z38" s="703"/>
      <c r="AA38" s="784"/>
      <c r="AB38" s="784"/>
      <c r="AC38" s="784"/>
      <c r="AD38" s="784"/>
      <c r="AE38" s="784"/>
      <c r="AF38" s="185"/>
      <c r="AG38" s="185"/>
      <c r="AH38" s="727"/>
      <c r="AI38" s="728"/>
      <c r="AJ38" s="728"/>
      <c r="AK38" s="728"/>
      <c r="AL38" s="672"/>
      <c r="AM38" s="672"/>
      <c r="AN38" s="672"/>
      <c r="AO38" s="673"/>
      <c r="AP38" s="770"/>
      <c r="AQ38" s="770"/>
      <c r="AR38" s="770"/>
      <c r="AS38" s="770"/>
      <c r="AT38" s="770"/>
      <c r="AU38" s="111"/>
      <c r="AV38" s="111"/>
      <c r="AW38" s="842"/>
      <c r="AX38" s="843"/>
      <c r="AY38" s="843"/>
      <c r="AZ38" s="850"/>
      <c r="BA38" s="850"/>
      <c r="BB38" s="851"/>
      <c r="BC38" s="607"/>
      <c r="BD38" s="607"/>
      <c r="BE38" s="607"/>
      <c r="BF38" s="607"/>
      <c r="BG38" s="607"/>
      <c r="BH38" s="107"/>
      <c r="BI38" s="108"/>
      <c r="BJ38" s="108"/>
      <c r="BK38" s="108"/>
      <c r="BL38" s="644" t="str">
        <f>IF(C5&lt;&gt;入力リスト!N4,"","「役職の定義」について")</f>
        <v/>
      </c>
      <c r="BM38" s="644"/>
      <c r="BN38" s="644"/>
      <c r="BO38" s="644"/>
      <c r="BP38" s="644"/>
      <c r="BQ38" s="644"/>
      <c r="BR38" s="644"/>
      <c r="BS38" s="644"/>
    </row>
    <row r="39" spans="2:71" s="186" customFormat="1" ht="19.5" customHeight="1" thickBot="1">
      <c r="B39" s="694"/>
      <c r="C39" s="661" t="s">
        <v>4657</v>
      </c>
      <c r="D39" s="662"/>
      <c r="E39" s="662"/>
      <c r="F39" s="662"/>
      <c r="G39" s="662"/>
      <c r="H39" s="662"/>
      <c r="I39" s="663"/>
      <c r="J39" s="658"/>
      <c r="K39" s="659"/>
      <c r="L39" s="659"/>
      <c r="M39" s="659"/>
      <c r="N39" s="659"/>
      <c r="O39" s="659"/>
      <c r="P39" s="660"/>
      <c r="Q39" s="109"/>
      <c r="R39" s="110"/>
      <c r="S39" s="674"/>
      <c r="T39" s="675"/>
      <c r="U39" s="675"/>
      <c r="V39" s="675"/>
      <c r="W39" s="701"/>
      <c r="X39" s="702"/>
      <c r="Y39" s="702"/>
      <c r="Z39" s="703"/>
      <c r="AA39" s="784"/>
      <c r="AB39" s="784"/>
      <c r="AC39" s="784"/>
      <c r="AD39" s="784"/>
      <c r="AE39" s="784"/>
      <c r="AF39" s="185"/>
      <c r="AG39" s="185"/>
      <c r="AH39" s="727"/>
      <c r="AI39" s="728"/>
      <c r="AJ39" s="728"/>
      <c r="AK39" s="728"/>
      <c r="AL39" s="672"/>
      <c r="AM39" s="672"/>
      <c r="AN39" s="672"/>
      <c r="AO39" s="673"/>
      <c r="AP39" s="770"/>
      <c r="AQ39" s="770"/>
      <c r="AR39" s="770"/>
      <c r="AS39" s="770"/>
      <c r="AT39" s="770"/>
      <c r="AU39" s="111"/>
      <c r="AV39" s="111"/>
      <c r="AW39" s="185"/>
      <c r="AX39" s="112"/>
      <c r="AY39" s="112"/>
      <c r="AZ39" s="112"/>
      <c r="BA39" s="112"/>
      <c r="BB39" s="112"/>
      <c r="BC39" s="607"/>
      <c r="BD39" s="607"/>
      <c r="BE39" s="607"/>
      <c r="BF39" s="607"/>
      <c r="BG39" s="607"/>
      <c r="BH39" s="107"/>
      <c r="BI39" s="108"/>
      <c r="BJ39" s="108"/>
      <c r="BK39" s="108"/>
      <c r="BL39" s="645"/>
      <c r="BM39" s="645"/>
      <c r="BN39" s="645"/>
      <c r="BO39" s="645"/>
      <c r="BP39" s="645"/>
      <c r="BQ39" s="645"/>
      <c r="BR39" s="645"/>
      <c r="BS39" s="645"/>
    </row>
    <row r="40" spans="2:71" s="186" customFormat="1" ht="19.5" customHeight="1" thickBot="1">
      <c r="B40" s="694"/>
      <c r="C40" s="661" t="s">
        <v>4658</v>
      </c>
      <c r="D40" s="662"/>
      <c r="E40" s="662"/>
      <c r="F40" s="662"/>
      <c r="G40" s="662"/>
      <c r="H40" s="662"/>
      <c r="I40" s="663"/>
      <c r="J40" s="658"/>
      <c r="K40" s="659"/>
      <c r="L40" s="659"/>
      <c r="M40" s="659"/>
      <c r="N40" s="659"/>
      <c r="O40" s="659"/>
      <c r="P40" s="660"/>
      <c r="Q40" s="109"/>
      <c r="R40" s="110"/>
      <c r="S40" s="704"/>
      <c r="T40" s="705"/>
      <c r="U40" s="705"/>
      <c r="V40" s="706"/>
      <c r="W40" s="701"/>
      <c r="X40" s="702"/>
      <c r="Y40" s="702"/>
      <c r="Z40" s="703"/>
      <c r="AA40" s="784"/>
      <c r="AB40" s="784"/>
      <c r="AC40" s="784"/>
      <c r="AD40" s="784"/>
      <c r="AE40" s="784"/>
      <c r="AF40" s="185"/>
      <c r="AG40" s="185"/>
      <c r="AH40" s="771"/>
      <c r="AI40" s="772"/>
      <c r="AJ40" s="772"/>
      <c r="AK40" s="772"/>
      <c r="AL40" s="672"/>
      <c r="AM40" s="672"/>
      <c r="AN40" s="672"/>
      <c r="AO40" s="673"/>
      <c r="AP40" s="770"/>
      <c r="AQ40" s="770"/>
      <c r="AR40" s="770"/>
      <c r="AS40" s="770"/>
      <c r="AT40" s="770"/>
      <c r="AU40" s="111"/>
      <c r="AV40" s="111"/>
      <c r="AW40" s="185"/>
      <c r="AX40" s="185"/>
      <c r="AY40" s="185"/>
      <c r="AZ40" s="185"/>
      <c r="BA40" s="111"/>
      <c r="BB40" s="185"/>
      <c r="BC40" s="607"/>
      <c r="BD40" s="607"/>
      <c r="BE40" s="607"/>
      <c r="BF40" s="607"/>
      <c r="BG40" s="607"/>
      <c r="BH40" s="107"/>
      <c r="BI40" s="108"/>
      <c r="BJ40" s="108"/>
      <c r="BK40" s="108"/>
      <c r="BL40" s="345"/>
      <c r="BM40" s="22" t="str">
        <f>IF(C5&lt;&gt;入力リスト!N4,"","　←「役職の定義」を確認する場合、選択してください。")</f>
        <v/>
      </c>
      <c r="BN40" s="22"/>
      <c r="BO40" s="104"/>
      <c r="BP40" s="104"/>
      <c r="BQ40" s="104"/>
      <c r="BR40" s="22"/>
      <c r="BS40" s="22"/>
    </row>
    <row r="41" spans="2:71" s="186" customFormat="1" ht="19.5" customHeight="1">
      <c r="B41" s="694"/>
      <c r="C41" s="661" t="s">
        <v>4659</v>
      </c>
      <c r="D41" s="662"/>
      <c r="E41" s="662"/>
      <c r="F41" s="662"/>
      <c r="G41" s="662"/>
      <c r="H41" s="662"/>
      <c r="I41" s="663"/>
      <c r="J41" s="658"/>
      <c r="K41" s="659"/>
      <c r="L41" s="659"/>
      <c r="M41" s="659"/>
      <c r="N41" s="659"/>
      <c r="O41" s="659"/>
      <c r="P41" s="660"/>
      <c r="Q41" s="187"/>
      <c r="R41" s="110"/>
      <c r="S41" s="704"/>
      <c r="T41" s="705"/>
      <c r="U41" s="705"/>
      <c r="V41" s="706"/>
      <c r="W41" s="701"/>
      <c r="X41" s="702"/>
      <c r="Y41" s="702"/>
      <c r="Z41" s="703"/>
      <c r="AA41" s="784"/>
      <c r="AB41" s="784"/>
      <c r="AC41" s="784"/>
      <c r="AD41" s="784"/>
      <c r="AE41" s="784"/>
      <c r="AF41" s="185"/>
      <c r="AG41" s="185"/>
      <c r="AH41" s="727"/>
      <c r="AI41" s="728"/>
      <c r="AJ41" s="728"/>
      <c r="AK41" s="728"/>
      <c r="AL41" s="672"/>
      <c r="AM41" s="672"/>
      <c r="AN41" s="672"/>
      <c r="AO41" s="673"/>
      <c r="AP41" s="770"/>
      <c r="AQ41" s="770"/>
      <c r="AR41" s="770"/>
      <c r="AS41" s="770"/>
      <c r="AT41" s="770"/>
      <c r="AU41" s="111"/>
      <c r="AV41" s="111"/>
      <c r="AW41" s="185"/>
      <c r="AX41" s="185"/>
      <c r="AY41" s="185"/>
      <c r="AZ41" s="185"/>
      <c r="BA41" s="111"/>
      <c r="BB41" s="184"/>
      <c r="BC41" s="607"/>
      <c r="BD41" s="607"/>
      <c r="BE41" s="607"/>
      <c r="BF41" s="607"/>
      <c r="BG41" s="607"/>
      <c r="BH41" s="107"/>
      <c r="BI41" s="108"/>
      <c r="BJ41" s="108"/>
      <c r="BK41" s="108"/>
      <c r="BL41" s="649" t="str">
        <f>IF(C5&lt;&gt;入力リスト!N4,"",IF(BL40="","",IF(BL40=入力リスト!J4,計算!C94,IF(BL40=入力リスト!J5,計算!C95,計算!C96))))</f>
        <v/>
      </c>
      <c r="BM41" s="647"/>
      <c r="BN41" s="647"/>
      <c r="BO41" s="647"/>
      <c r="BP41" s="647"/>
      <c r="BQ41" s="647"/>
      <c r="BR41" s="647"/>
      <c r="BS41" s="648"/>
    </row>
    <row r="42" spans="2:71" s="186" customFormat="1" ht="19.5" customHeight="1">
      <c r="B42" s="694"/>
      <c r="C42" s="661" t="s">
        <v>4660</v>
      </c>
      <c r="D42" s="662"/>
      <c r="E42" s="662"/>
      <c r="F42" s="662"/>
      <c r="G42" s="662"/>
      <c r="H42" s="662"/>
      <c r="I42" s="663"/>
      <c r="J42" s="658"/>
      <c r="K42" s="659"/>
      <c r="L42" s="659"/>
      <c r="M42" s="659"/>
      <c r="N42" s="659"/>
      <c r="O42" s="659"/>
      <c r="P42" s="660"/>
      <c r="Q42" s="188"/>
      <c r="R42" s="189"/>
      <c r="S42" s="674"/>
      <c r="T42" s="675"/>
      <c r="U42" s="675"/>
      <c r="V42" s="675"/>
      <c r="W42" s="701"/>
      <c r="X42" s="702"/>
      <c r="Y42" s="702"/>
      <c r="Z42" s="703"/>
      <c r="AA42" s="784"/>
      <c r="AB42" s="784"/>
      <c r="AC42" s="784"/>
      <c r="AD42" s="784"/>
      <c r="AE42" s="784"/>
      <c r="AF42" s="185"/>
      <c r="AG42" s="185"/>
      <c r="AH42" s="727"/>
      <c r="AI42" s="728"/>
      <c r="AJ42" s="728"/>
      <c r="AK42" s="728"/>
      <c r="AL42" s="672"/>
      <c r="AM42" s="672"/>
      <c r="AN42" s="672"/>
      <c r="AO42" s="673"/>
      <c r="AP42" s="770"/>
      <c r="AQ42" s="770"/>
      <c r="AR42" s="770"/>
      <c r="AS42" s="770"/>
      <c r="AT42" s="770"/>
      <c r="AU42" s="111"/>
      <c r="AV42" s="111"/>
      <c r="AW42" s="185"/>
      <c r="AX42" s="185"/>
      <c r="AY42" s="185"/>
      <c r="AZ42" s="185"/>
      <c r="BA42" s="111"/>
      <c r="BB42" s="184"/>
      <c r="BC42" s="607"/>
      <c r="BD42" s="607"/>
      <c r="BE42" s="607"/>
      <c r="BF42" s="607"/>
      <c r="BG42" s="607"/>
      <c r="BH42" s="107"/>
      <c r="BI42" s="108"/>
      <c r="BJ42" s="108"/>
      <c r="BK42" s="108"/>
      <c r="BL42" s="649"/>
      <c r="BM42" s="650"/>
      <c r="BN42" s="650"/>
      <c r="BO42" s="650"/>
      <c r="BP42" s="650"/>
      <c r="BQ42" s="650"/>
      <c r="BR42" s="650"/>
      <c r="BS42" s="651"/>
    </row>
    <row r="43" spans="2:71" s="186" customFormat="1" ht="19.5" customHeight="1">
      <c r="B43" s="694"/>
      <c r="C43" s="661" t="s">
        <v>4661</v>
      </c>
      <c r="D43" s="662"/>
      <c r="E43" s="662"/>
      <c r="F43" s="662"/>
      <c r="G43" s="662"/>
      <c r="H43" s="662"/>
      <c r="I43" s="663"/>
      <c r="J43" s="658"/>
      <c r="K43" s="659"/>
      <c r="L43" s="659"/>
      <c r="M43" s="659"/>
      <c r="N43" s="659"/>
      <c r="O43" s="659"/>
      <c r="P43" s="660"/>
      <c r="Q43" s="183"/>
      <c r="R43" s="190"/>
      <c r="S43" s="674"/>
      <c r="T43" s="675"/>
      <c r="U43" s="675"/>
      <c r="V43" s="675"/>
      <c r="W43" s="701"/>
      <c r="X43" s="702"/>
      <c r="Y43" s="702"/>
      <c r="Z43" s="703"/>
      <c r="AA43" s="784"/>
      <c r="AB43" s="784"/>
      <c r="AC43" s="784"/>
      <c r="AD43" s="784"/>
      <c r="AE43" s="784"/>
      <c r="AF43" s="185"/>
      <c r="AG43" s="185"/>
      <c r="AH43" s="727"/>
      <c r="AI43" s="728"/>
      <c r="AJ43" s="728"/>
      <c r="AK43" s="728"/>
      <c r="AL43" s="672"/>
      <c r="AM43" s="672"/>
      <c r="AN43" s="672"/>
      <c r="AO43" s="673"/>
      <c r="AP43" s="770"/>
      <c r="AQ43" s="770"/>
      <c r="AR43" s="770"/>
      <c r="AS43" s="770"/>
      <c r="AT43" s="770"/>
      <c r="AU43" s="111"/>
      <c r="AV43" s="111"/>
      <c r="AW43" s="185"/>
      <c r="AX43" s="185"/>
      <c r="AY43" s="185"/>
      <c r="AZ43" s="185"/>
      <c r="BA43" s="111"/>
      <c r="BB43" s="184"/>
      <c r="BC43" s="607"/>
      <c r="BD43" s="607"/>
      <c r="BE43" s="607"/>
      <c r="BF43" s="607"/>
      <c r="BG43" s="607"/>
      <c r="BH43" s="107"/>
      <c r="BI43" s="108"/>
      <c r="BJ43" s="108"/>
      <c r="BK43" s="108"/>
      <c r="BL43" s="649"/>
      <c r="BM43" s="650"/>
      <c r="BN43" s="650"/>
      <c r="BO43" s="650"/>
      <c r="BP43" s="650"/>
      <c r="BQ43" s="650"/>
      <c r="BR43" s="650"/>
      <c r="BS43" s="651"/>
    </row>
    <row r="44" spans="2:71" s="186" customFormat="1" ht="19.5" customHeight="1">
      <c r="B44" s="694"/>
      <c r="C44" s="661" t="s">
        <v>4662</v>
      </c>
      <c r="D44" s="662"/>
      <c r="E44" s="662"/>
      <c r="F44" s="662"/>
      <c r="G44" s="662"/>
      <c r="H44" s="662"/>
      <c r="I44" s="663"/>
      <c r="J44" s="658"/>
      <c r="K44" s="659"/>
      <c r="L44" s="659"/>
      <c r="M44" s="659"/>
      <c r="N44" s="659"/>
      <c r="O44" s="659"/>
      <c r="P44" s="660"/>
      <c r="Q44" s="183"/>
      <c r="R44" s="185"/>
      <c r="S44" s="674"/>
      <c r="T44" s="675"/>
      <c r="U44" s="675"/>
      <c r="V44" s="675"/>
      <c r="W44" s="701"/>
      <c r="X44" s="702"/>
      <c r="Y44" s="702"/>
      <c r="Z44" s="703"/>
      <c r="AA44" s="784"/>
      <c r="AB44" s="784"/>
      <c r="AC44" s="784"/>
      <c r="AD44" s="784"/>
      <c r="AE44" s="784"/>
      <c r="AF44" s="185"/>
      <c r="AG44" s="185"/>
      <c r="AH44" s="727"/>
      <c r="AI44" s="728"/>
      <c r="AJ44" s="728"/>
      <c r="AK44" s="728"/>
      <c r="AL44" s="672"/>
      <c r="AM44" s="672"/>
      <c r="AN44" s="672"/>
      <c r="AO44" s="673"/>
      <c r="AP44" s="770"/>
      <c r="AQ44" s="770"/>
      <c r="AR44" s="770"/>
      <c r="AS44" s="770"/>
      <c r="AT44" s="770"/>
      <c r="AU44" s="111"/>
      <c r="AV44" s="111"/>
      <c r="AW44" s="185"/>
      <c r="AX44" s="185"/>
      <c r="AY44" s="185"/>
      <c r="AZ44" s="185"/>
      <c r="BA44" s="111"/>
      <c r="BB44" s="184"/>
      <c r="BC44" s="607"/>
      <c r="BD44" s="607"/>
      <c r="BE44" s="607"/>
      <c r="BF44" s="607"/>
      <c r="BG44" s="607"/>
      <c r="BH44" s="107"/>
      <c r="BI44" s="108"/>
      <c r="BJ44" s="108"/>
      <c r="BK44" s="108"/>
      <c r="BL44" s="649"/>
      <c r="BM44" s="650"/>
      <c r="BN44" s="650"/>
      <c r="BO44" s="650"/>
      <c r="BP44" s="650"/>
      <c r="BQ44" s="650"/>
      <c r="BR44" s="650"/>
      <c r="BS44" s="651"/>
    </row>
    <row r="45" spans="2:71" s="186" customFormat="1" ht="19.5" customHeight="1" thickBot="1">
      <c r="B45" s="694"/>
      <c r="C45" s="712" t="s">
        <v>1</v>
      </c>
      <c r="D45" s="713"/>
      <c r="E45" s="713"/>
      <c r="F45" s="713"/>
      <c r="G45" s="713"/>
      <c r="H45" s="713"/>
      <c r="I45" s="714"/>
      <c r="J45" s="762"/>
      <c r="K45" s="763"/>
      <c r="L45" s="763"/>
      <c r="M45" s="763"/>
      <c r="N45" s="763"/>
      <c r="O45" s="763"/>
      <c r="P45" s="764"/>
      <c r="Q45" s="183"/>
      <c r="R45" s="191"/>
      <c r="S45" s="674"/>
      <c r="T45" s="675"/>
      <c r="U45" s="675"/>
      <c r="V45" s="675"/>
      <c r="W45" s="701"/>
      <c r="X45" s="702"/>
      <c r="Y45" s="702"/>
      <c r="Z45" s="703"/>
      <c r="AA45" s="784"/>
      <c r="AB45" s="784"/>
      <c r="AC45" s="784"/>
      <c r="AD45" s="784"/>
      <c r="AE45" s="784"/>
      <c r="AF45" s="185"/>
      <c r="AG45" s="185"/>
      <c r="AH45" s="727"/>
      <c r="AI45" s="728"/>
      <c r="AJ45" s="728"/>
      <c r="AK45" s="728"/>
      <c r="AL45" s="672"/>
      <c r="AM45" s="672"/>
      <c r="AN45" s="672"/>
      <c r="AO45" s="673"/>
      <c r="AP45" s="770"/>
      <c r="AQ45" s="770"/>
      <c r="AR45" s="770"/>
      <c r="AS45" s="770"/>
      <c r="AT45" s="770"/>
      <c r="AU45" s="111"/>
      <c r="AV45" s="111"/>
      <c r="AW45" s="185"/>
      <c r="AX45" s="185"/>
      <c r="AY45" s="185"/>
      <c r="AZ45" s="185"/>
      <c r="BA45" s="111"/>
      <c r="BB45" s="184"/>
      <c r="BC45" s="607"/>
      <c r="BD45" s="607"/>
      <c r="BE45" s="607"/>
      <c r="BF45" s="607"/>
      <c r="BG45" s="607"/>
      <c r="BH45" s="107"/>
      <c r="BI45" s="108"/>
      <c r="BJ45" s="108"/>
      <c r="BK45" s="108"/>
      <c r="BL45" s="649"/>
      <c r="BM45" s="650"/>
      <c r="BN45" s="650"/>
      <c r="BO45" s="650"/>
      <c r="BP45" s="650"/>
      <c r="BQ45" s="650"/>
      <c r="BR45" s="650"/>
      <c r="BS45" s="651"/>
    </row>
    <row r="46" spans="2:71" s="186" customFormat="1" ht="19.5" customHeight="1" thickTop="1" thickBot="1">
      <c r="B46" s="694"/>
      <c r="C46" s="698" t="s">
        <v>1307</v>
      </c>
      <c r="D46" s="699"/>
      <c r="E46" s="699"/>
      <c r="F46" s="699"/>
      <c r="G46" s="699"/>
      <c r="H46" s="699"/>
      <c r="I46" s="699"/>
      <c r="J46" s="699"/>
      <c r="K46" s="699"/>
      <c r="L46" s="699"/>
      <c r="M46" s="699"/>
      <c r="N46" s="699"/>
      <c r="O46" s="699"/>
      <c r="P46" s="700"/>
      <c r="Q46" s="183"/>
      <c r="R46" s="191"/>
      <c r="S46" s="674"/>
      <c r="T46" s="675"/>
      <c r="U46" s="675"/>
      <c r="V46" s="675"/>
      <c r="W46" s="701"/>
      <c r="X46" s="702"/>
      <c r="Y46" s="702"/>
      <c r="Z46" s="703"/>
      <c r="AA46" s="784"/>
      <c r="AB46" s="784"/>
      <c r="AC46" s="784"/>
      <c r="AD46" s="784"/>
      <c r="AE46" s="784"/>
      <c r="AF46" s="185"/>
      <c r="AG46" s="185"/>
      <c r="AH46" s="727"/>
      <c r="AI46" s="728"/>
      <c r="AJ46" s="728"/>
      <c r="AK46" s="728"/>
      <c r="AL46" s="672"/>
      <c r="AM46" s="672"/>
      <c r="AN46" s="672"/>
      <c r="AO46" s="673"/>
      <c r="AP46" s="770"/>
      <c r="AQ46" s="770"/>
      <c r="AR46" s="770"/>
      <c r="AS46" s="770"/>
      <c r="AT46" s="770"/>
      <c r="AU46" s="111"/>
      <c r="AV46" s="111"/>
      <c r="AW46" s="185"/>
      <c r="AX46" s="185"/>
      <c r="AY46" s="185"/>
      <c r="AZ46" s="185"/>
      <c r="BA46" s="111"/>
      <c r="BB46" s="184"/>
      <c r="BC46" s="607"/>
      <c r="BD46" s="607"/>
      <c r="BE46" s="607"/>
      <c r="BF46" s="607"/>
      <c r="BG46" s="607"/>
      <c r="BH46" s="192"/>
      <c r="BL46" s="649"/>
      <c r="BM46" s="650"/>
      <c r="BN46" s="650"/>
      <c r="BO46" s="650"/>
      <c r="BP46" s="650"/>
      <c r="BQ46" s="650"/>
      <c r="BR46" s="650"/>
      <c r="BS46" s="651"/>
    </row>
    <row r="47" spans="2:71" s="186" customFormat="1" ht="19.5" customHeight="1" thickTop="1">
      <c r="B47" s="694"/>
      <c r="C47" s="765" t="str">
        <f>計算!B18</f>
        <v>非役職</v>
      </c>
      <c r="D47" s="766"/>
      <c r="E47" s="766"/>
      <c r="F47" s="766"/>
      <c r="G47" s="766"/>
      <c r="H47" s="766"/>
      <c r="I47" s="767"/>
      <c r="J47" s="733"/>
      <c r="K47" s="734"/>
      <c r="L47" s="734"/>
      <c r="M47" s="734"/>
      <c r="N47" s="734"/>
      <c r="O47" s="734"/>
      <c r="P47" s="735"/>
      <c r="Q47" s="183"/>
      <c r="R47" s="191"/>
      <c r="S47" s="674"/>
      <c r="T47" s="675"/>
      <c r="U47" s="675"/>
      <c r="V47" s="675"/>
      <c r="W47" s="701"/>
      <c r="X47" s="702"/>
      <c r="Y47" s="702"/>
      <c r="Z47" s="703"/>
      <c r="AA47" s="784"/>
      <c r="AB47" s="784"/>
      <c r="AC47" s="784"/>
      <c r="AD47" s="784"/>
      <c r="AE47" s="784"/>
      <c r="AF47" s="185"/>
      <c r="AG47" s="185"/>
      <c r="AH47" s="727"/>
      <c r="AI47" s="728"/>
      <c r="AJ47" s="728"/>
      <c r="AK47" s="728"/>
      <c r="AL47" s="672"/>
      <c r="AM47" s="672"/>
      <c r="AN47" s="672"/>
      <c r="AO47" s="673"/>
      <c r="AP47" s="770"/>
      <c r="AQ47" s="770"/>
      <c r="AR47" s="770"/>
      <c r="AS47" s="770"/>
      <c r="AT47" s="770"/>
      <c r="AU47" s="111"/>
      <c r="AV47" s="111"/>
      <c r="AW47" s="185"/>
      <c r="AX47" s="185"/>
      <c r="AY47" s="185"/>
      <c r="AZ47" s="185"/>
      <c r="BA47" s="111"/>
      <c r="BB47" s="184"/>
      <c r="BC47" s="607"/>
      <c r="BD47" s="607"/>
      <c r="BE47" s="607"/>
      <c r="BF47" s="607"/>
      <c r="BG47" s="607"/>
      <c r="BH47" s="192"/>
      <c r="BL47" s="835"/>
      <c r="BM47" s="836"/>
      <c r="BN47" s="836"/>
      <c r="BO47" s="836"/>
      <c r="BP47" s="836"/>
      <c r="BQ47" s="836"/>
      <c r="BR47" s="836"/>
      <c r="BS47" s="837"/>
    </row>
    <row r="48" spans="2:71" s="186" customFormat="1" ht="19.5" customHeight="1">
      <c r="B48" s="694"/>
      <c r="C48" s="707" t="str">
        <f>計算!B19</f>
        <v>係長級</v>
      </c>
      <c r="D48" s="708"/>
      <c r="E48" s="708"/>
      <c r="F48" s="708"/>
      <c r="G48" s="708"/>
      <c r="H48" s="708"/>
      <c r="I48" s="709"/>
      <c r="J48" s="658"/>
      <c r="K48" s="659"/>
      <c r="L48" s="659"/>
      <c r="M48" s="659"/>
      <c r="N48" s="659"/>
      <c r="O48" s="659"/>
      <c r="P48" s="660"/>
      <c r="Q48" s="183"/>
      <c r="R48" s="191"/>
      <c r="S48" s="674"/>
      <c r="T48" s="675"/>
      <c r="U48" s="675"/>
      <c r="V48" s="675"/>
      <c r="W48" s="701"/>
      <c r="X48" s="702"/>
      <c r="Y48" s="702"/>
      <c r="Z48" s="703"/>
      <c r="AA48" s="784"/>
      <c r="AB48" s="784"/>
      <c r="AC48" s="784"/>
      <c r="AD48" s="784"/>
      <c r="AE48" s="784"/>
      <c r="AF48" s="185"/>
      <c r="AG48" s="185"/>
      <c r="AH48" s="727"/>
      <c r="AI48" s="728"/>
      <c r="AJ48" s="728"/>
      <c r="AK48" s="728"/>
      <c r="AL48" s="672"/>
      <c r="AM48" s="672"/>
      <c r="AN48" s="672"/>
      <c r="AO48" s="673"/>
      <c r="AP48" s="770"/>
      <c r="AQ48" s="770"/>
      <c r="AR48" s="770"/>
      <c r="AS48" s="770"/>
      <c r="AT48" s="770"/>
      <c r="AU48" s="111"/>
      <c r="AV48" s="111"/>
      <c r="AW48" s="185"/>
      <c r="AX48" s="185"/>
      <c r="AY48" s="185"/>
      <c r="AZ48" s="185"/>
      <c r="BA48" s="111"/>
      <c r="BB48" s="184"/>
      <c r="BC48" s="607"/>
      <c r="BD48" s="607"/>
      <c r="BE48" s="607"/>
      <c r="BF48" s="607"/>
      <c r="BG48" s="607"/>
      <c r="BH48" s="192"/>
    </row>
    <row r="49" spans="2:71" s="186" customFormat="1" ht="19.5" customHeight="1">
      <c r="B49" s="694"/>
      <c r="C49" s="707" t="str">
        <f>計算!B20</f>
        <v>課長級</v>
      </c>
      <c r="D49" s="708"/>
      <c r="E49" s="708"/>
      <c r="F49" s="708"/>
      <c r="G49" s="708"/>
      <c r="H49" s="708"/>
      <c r="I49" s="709"/>
      <c r="J49" s="658"/>
      <c r="K49" s="659"/>
      <c r="L49" s="659"/>
      <c r="M49" s="659"/>
      <c r="N49" s="659"/>
      <c r="O49" s="659"/>
      <c r="P49" s="660"/>
      <c r="Q49" s="183"/>
      <c r="R49" s="191"/>
      <c r="S49" s="674"/>
      <c r="T49" s="675"/>
      <c r="U49" s="675"/>
      <c r="V49" s="675"/>
      <c r="W49" s="701"/>
      <c r="X49" s="702"/>
      <c r="Y49" s="702"/>
      <c r="Z49" s="703"/>
      <c r="AA49" s="784"/>
      <c r="AB49" s="784"/>
      <c r="AC49" s="784"/>
      <c r="AD49" s="784"/>
      <c r="AE49" s="784"/>
      <c r="AF49" s="185"/>
      <c r="AG49" s="185"/>
      <c r="AH49" s="727"/>
      <c r="AI49" s="728"/>
      <c r="AJ49" s="728"/>
      <c r="AK49" s="728"/>
      <c r="AL49" s="672"/>
      <c r="AM49" s="672"/>
      <c r="AN49" s="672"/>
      <c r="AO49" s="673"/>
      <c r="AP49" s="770"/>
      <c r="AQ49" s="770"/>
      <c r="AR49" s="770"/>
      <c r="AS49" s="770"/>
      <c r="AT49" s="770"/>
      <c r="AU49" s="111"/>
      <c r="AV49" s="111"/>
      <c r="AW49" s="185"/>
      <c r="AX49" s="185"/>
      <c r="AY49" s="185"/>
      <c r="AZ49" s="185"/>
      <c r="BA49" s="111"/>
      <c r="BB49" s="184"/>
      <c r="BC49" s="607"/>
      <c r="BD49" s="607"/>
      <c r="BE49" s="607"/>
      <c r="BF49" s="607"/>
      <c r="BG49" s="607"/>
      <c r="BH49" s="192"/>
    </row>
    <row r="50" spans="2:71" s="186" customFormat="1" ht="19.5" customHeight="1" thickBot="1">
      <c r="B50" s="694"/>
      <c r="C50" s="749" t="str">
        <f>計算!B21</f>
        <v>部長級</v>
      </c>
      <c r="D50" s="750"/>
      <c r="E50" s="750"/>
      <c r="F50" s="750"/>
      <c r="G50" s="750"/>
      <c r="H50" s="750"/>
      <c r="I50" s="750"/>
      <c r="J50" s="865"/>
      <c r="K50" s="866"/>
      <c r="L50" s="866"/>
      <c r="M50" s="866"/>
      <c r="N50" s="866"/>
      <c r="O50" s="866"/>
      <c r="P50" s="867"/>
      <c r="Q50" s="193"/>
      <c r="R50" s="191"/>
      <c r="S50" s="869"/>
      <c r="T50" s="870"/>
      <c r="U50" s="870"/>
      <c r="V50" s="870"/>
      <c r="W50" s="701"/>
      <c r="X50" s="702"/>
      <c r="Y50" s="702"/>
      <c r="Z50" s="703"/>
      <c r="AA50" s="784"/>
      <c r="AB50" s="784"/>
      <c r="AC50" s="784"/>
      <c r="AD50" s="784"/>
      <c r="AE50" s="784"/>
      <c r="AF50" s="185"/>
      <c r="AG50" s="185"/>
      <c r="AH50" s="727"/>
      <c r="AI50" s="728"/>
      <c r="AJ50" s="728"/>
      <c r="AK50" s="728"/>
      <c r="AL50" s="672"/>
      <c r="AM50" s="672"/>
      <c r="AN50" s="672"/>
      <c r="AO50" s="673"/>
      <c r="AP50" s="770"/>
      <c r="AQ50" s="770"/>
      <c r="AR50" s="770"/>
      <c r="AS50" s="770"/>
      <c r="AT50" s="770"/>
      <c r="AU50" s="111"/>
      <c r="AV50" s="111"/>
      <c r="AW50" s="185"/>
      <c r="AX50" s="185"/>
      <c r="AY50" s="185"/>
      <c r="AZ50" s="185"/>
      <c r="BA50" s="111"/>
      <c r="BB50" s="184"/>
      <c r="BC50" s="607"/>
      <c r="BD50" s="607"/>
      <c r="BE50" s="607"/>
      <c r="BF50" s="607"/>
      <c r="BG50" s="607"/>
      <c r="BH50" s="192"/>
    </row>
    <row r="51" spans="2:71" s="186" customFormat="1" ht="19.5" customHeight="1" thickBot="1">
      <c r="B51" s="194"/>
      <c r="C51" s="754" t="s">
        <v>1308</v>
      </c>
      <c r="D51" s="754"/>
      <c r="E51" s="754"/>
      <c r="F51" s="754"/>
      <c r="G51" s="754"/>
      <c r="H51" s="754"/>
      <c r="I51" s="755"/>
      <c r="J51" s="868">
        <v>10</v>
      </c>
      <c r="K51" s="751"/>
      <c r="L51" s="871">
        <v>111</v>
      </c>
      <c r="M51" s="872"/>
      <c r="N51" s="751">
        <v>31</v>
      </c>
      <c r="O51" s="752"/>
      <c r="P51" s="752">
        <v>0.31</v>
      </c>
      <c r="Q51" s="753"/>
      <c r="R51" s="191"/>
      <c r="S51" s="869"/>
      <c r="T51" s="870"/>
      <c r="U51" s="870"/>
      <c r="V51" s="870"/>
      <c r="W51" s="701"/>
      <c r="X51" s="702"/>
      <c r="Y51" s="702"/>
      <c r="Z51" s="703"/>
      <c r="AA51" s="784"/>
      <c r="AB51" s="784"/>
      <c r="AC51" s="784"/>
      <c r="AD51" s="784"/>
      <c r="AE51" s="784"/>
      <c r="AF51" s="185"/>
      <c r="AG51" s="185"/>
      <c r="AH51" s="727"/>
      <c r="AI51" s="728"/>
      <c r="AJ51" s="728"/>
      <c r="AK51" s="728"/>
      <c r="AL51" s="672"/>
      <c r="AM51" s="672"/>
      <c r="AN51" s="672"/>
      <c r="AO51" s="673"/>
      <c r="AP51" s="770"/>
      <c r="AQ51" s="770"/>
      <c r="AR51" s="770"/>
      <c r="AS51" s="770"/>
      <c r="AT51" s="770"/>
      <c r="AU51" s="111"/>
      <c r="AV51" s="111"/>
      <c r="AW51" s="185"/>
      <c r="AX51" s="185"/>
      <c r="AY51" s="185"/>
      <c r="AZ51" s="185"/>
      <c r="BA51" s="111"/>
      <c r="BB51" s="184"/>
      <c r="BC51" s="607"/>
      <c r="BD51" s="607"/>
      <c r="BE51" s="607"/>
      <c r="BF51" s="607"/>
      <c r="BG51" s="607"/>
      <c r="BH51" s="192"/>
      <c r="BL51" s="118"/>
      <c r="BM51" s="118"/>
      <c r="BN51" s="118"/>
      <c r="BO51" s="118"/>
      <c r="BP51" s="118"/>
      <c r="BQ51" s="118"/>
      <c r="BR51" s="118"/>
      <c r="BS51" s="118"/>
    </row>
    <row r="52" spans="2:71" s="186" customFormat="1" ht="19.5" customHeight="1" thickTop="1" thickBot="1">
      <c r="B52" s="194"/>
      <c r="C52" s="756" t="s">
        <v>133</v>
      </c>
      <c r="D52" s="757"/>
      <c r="E52" s="757"/>
      <c r="F52" s="757"/>
      <c r="G52" s="757"/>
      <c r="H52" s="757"/>
      <c r="I52" s="758"/>
      <c r="J52" s="729" t="s">
        <v>60</v>
      </c>
      <c r="K52" s="730"/>
      <c r="L52" s="730"/>
      <c r="M52" s="731"/>
      <c r="N52" s="729" t="s">
        <v>20</v>
      </c>
      <c r="O52" s="730"/>
      <c r="P52" s="730"/>
      <c r="Q52" s="732"/>
      <c r="R52" s="191"/>
      <c r="S52" s="674"/>
      <c r="T52" s="675"/>
      <c r="U52" s="675"/>
      <c r="V52" s="675"/>
      <c r="W52" s="701"/>
      <c r="X52" s="702"/>
      <c r="Y52" s="702"/>
      <c r="Z52" s="703"/>
      <c r="AA52" s="784"/>
      <c r="AB52" s="784"/>
      <c r="AC52" s="784"/>
      <c r="AD52" s="784"/>
      <c r="AE52" s="784"/>
      <c r="AF52" s="185"/>
      <c r="AG52" s="185"/>
      <c r="AH52" s="727"/>
      <c r="AI52" s="728"/>
      <c r="AJ52" s="728"/>
      <c r="AK52" s="728"/>
      <c r="AL52" s="672"/>
      <c r="AM52" s="672"/>
      <c r="AN52" s="672"/>
      <c r="AO52" s="673"/>
      <c r="AP52" s="770"/>
      <c r="AQ52" s="770"/>
      <c r="AR52" s="770"/>
      <c r="AS52" s="770"/>
      <c r="AT52" s="770"/>
      <c r="AU52" s="111"/>
      <c r="AV52" s="111"/>
      <c r="AW52" s="185"/>
      <c r="AX52" s="185"/>
      <c r="AY52" s="185"/>
      <c r="AZ52" s="185"/>
      <c r="BA52" s="111"/>
      <c r="BB52" s="184"/>
      <c r="BC52" s="607"/>
      <c r="BD52" s="607"/>
      <c r="BE52" s="607"/>
      <c r="BF52" s="607"/>
      <c r="BG52" s="607"/>
      <c r="BH52" s="192"/>
    </row>
    <row r="53" spans="2:71" s="186" customFormat="1" ht="19.5" customHeight="1" thickTop="1" thickBot="1">
      <c r="B53" s="194"/>
      <c r="C53" s="759"/>
      <c r="D53" s="760"/>
      <c r="E53" s="760"/>
      <c r="F53" s="760"/>
      <c r="G53" s="760"/>
      <c r="H53" s="760"/>
      <c r="I53" s="761"/>
      <c r="J53" s="745" t="s">
        <v>25</v>
      </c>
      <c r="K53" s="746"/>
      <c r="L53" s="743" t="s">
        <v>24</v>
      </c>
      <c r="M53" s="744"/>
      <c r="N53" s="746" t="s">
        <v>25</v>
      </c>
      <c r="O53" s="747"/>
      <c r="P53" s="747" t="s">
        <v>24</v>
      </c>
      <c r="Q53" s="748"/>
      <c r="R53" s="191"/>
      <c r="S53" s="674"/>
      <c r="T53" s="675"/>
      <c r="U53" s="675"/>
      <c r="V53" s="675"/>
      <c r="W53" s="701"/>
      <c r="X53" s="702"/>
      <c r="Y53" s="702"/>
      <c r="Z53" s="703"/>
      <c r="AA53" s="784"/>
      <c r="AB53" s="784"/>
      <c r="AC53" s="784"/>
      <c r="AD53" s="784"/>
      <c r="AE53" s="784"/>
      <c r="AF53" s="185"/>
      <c r="AG53" s="185"/>
      <c r="AH53" s="727"/>
      <c r="AI53" s="728"/>
      <c r="AJ53" s="728"/>
      <c r="AK53" s="728"/>
      <c r="AL53" s="672"/>
      <c r="AM53" s="672"/>
      <c r="AN53" s="672"/>
      <c r="AO53" s="673"/>
      <c r="AP53" s="770"/>
      <c r="AQ53" s="770"/>
      <c r="AR53" s="770"/>
      <c r="AS53" s="770"/>
      <c r="AT53" s="770"/>
      <c r="AU53" s="111"/>
      <c r="AV53" s="111"/>
      <c r="AW53" s="185"/>
      <c r="AX53" s="185"/>
      <c r="AY53" s="185"/>
      <c r="AZ53" s="185"/>
      <c r="BA53" s="111"/>
      <c r="BB53" s="184"/>
      <c r="BC53" s="607"/>
      <c r="BD53" s="607"/>
      <c r="BE53" s="607"/>
      <c r="BF53" s="607"/>
      <c r="BG53" s="607"/>
      <c r="BH53" s="192"/>
    </row>
    <row r="54" spans="2:71" s="186" customFormat="1" ht="19.5" customHeight="1" thickTop="1">
      <c r="B54" s="195"/>
      <c r="C54" s="736" t="str">
        <f>IF(J26="使用する","労働者数","直近1年間の採用者数")</f>
        <v>直近1年間の採用者数</v>
      </c>
      <c r="D54" s="737"/>
      <c r="E54" s="737"/>
      <c r="F54" s="737"/>
      <c r="G54" s="737"/>
      <c r="H54" s="737"/>
      <c r="I54" s="738"/>
      <c r="J54" s="741"/>
      <c r="K54" s="742"/>
      <c r="L54" s="683"/>
      <c r="M54" s="684"/>
      <c r="N54" s="741"/>
      <c r="O54" s="742"/>
      <c r="P54" s="683"/>
      <c r="Q54" s="691"/>
      <c r="R54" s="191"/>
      <c r="S54" s="674"/>
      <c r="T54" s="675"/>
      <c r="U54" s="675"/>
      <c r="V54" s="675"/>
      <c r="W54" s="701"/>
      <c r="X54" s="702"/>
      <c r="Y54" s="702"/>
      <c r="Z54" s="703"/>
      <c r="AA54" s="784"/>
      <c r="AB54" s="784"/>
      <c r="AC54" s="784"/>
      <c r="AD54" s="784"/>
      <c r="AE54" s="784"/>
      <c r="AF54" s="185"/>
      <c r="AG54" s="185"/>
      <c r="AH54" s="727"/>
      <c r="AI54" s="728"/>
      <c r="AJ54" s="728"/>
      <c r="AK54" s="728"/>
      <c r="AL54" s="672"/>
      <c r="AM54" s="672"/>
      <c r="AN54" s="672"/>
      <c r="AO54" s="673"/>
      <c r="AP54" s="770"/>
      <c r="AQ54" s="770"/>
      <c r="AR54" s="770"/>
      <c r="AS54" s="770"/>
      <c r="AT54" s="770"/>
      <c r="AU54" s="111"/>
      <c r="AV54" s="111"/>
      <c r="AW54" s="185"/>
      <c r="AX54" s="185"/>
      <c r="AY54" s="185"/>
      <c r="AZ54" s="185"/>
      <c r="BA54" s="111"/>
      <c r="BB54" s="184"/>
      <c r="BC54" s="607"/>
      <c r="BD54" s="607"/>
      <c r="BE54" s="607"/>
      <c r="BF54" s="607"/>
      <c r="BG54" s="607"/>
      <c r="BH54" s="192"/>
    </row>
    <row r="55" spans="2:71" s="186" customFormat="1" ht="19.5" customHeight="1" thickBot="1">
      <c r="B55" s="196"/>
      <c r="C55" s="678" t="s">
        <v>1189</v>
      </c>
      <c r="D55" s="679"/>
      <c r="E55" s="679"/>
      <c r="F55" s="679"/>
      <c r="G55" s="679"/>
      <c r="H55" s="679"/>
      <c r="I55" s="680"/>
      <c r="J55" s="723"/>
      <c r="K55" s="724"/>
      <c r="L55" s="739"/>
      <c r="M55" s="740"/>
      <c r="N55" s="720"/>
      <c r="O55" s="721"/>
      <c r="P55" s="689"/>
      <c r="Q55" s="690"/>
      <c r="R55" s="191"/>
      <c r="S55" s="674"/>
      <c r="T55" s="675"/>
      <c r="U55" s="675"/>
      <c r="V55" s="675"/>
      <c r="W55" s="701"/>
      <c r="X55" s="702"/>
      <c r="Y55" s="702"/>
      <c r="Z55" s="703"/>
      <c r="AA55" s="784"/>
      <c r="AB55" s="784"/>
      <c r="AC55" s="784"/>
      <c r="AD55" s="784"/>
      <c r="AE55" s="784"/>
      <c r="AF55" s="185"/>
      <c r="AG55" s="185"/>
      <c r="AH55" s="727"/>
      <c r="AI55" s="728"/>
      <c r="AJ55" s="728"/>
      <c r="AK55" s="728"/>
      <c r="AL55" s="672"/>
      <c r="AM55" s="672"/>
      <c r="AN55" s="672"/>
      <c r="AO55" s="673"/>
      <c r="AP55" s="770"/>
      <c r="AQ55" s="770"/>
      <c r="AR55" s="770"/>
      <c r="AS55" s="770"/>
      <c r="AT55" s="770"/>
      <c r="AU55" s="111"/>
      <c r="AV55" s="111"/>
      <c r="AW55" s="185"/>
      <c r="AX55" s="185"/>
      <c r="AY55" s="185"/>
      <c r="AZ55" s="185"/>
      <c r="BA55" s="111"/>
      <c r="BB55" s="184"/>
      <c r="BC55" s="607"/>
      <c r="BD55" s="607"/>
      <c r="BE55" s="607"/>
      <c r="BF55" s="607"/>
      <c r="BG55" s="607"/>
      <c r="BH55" s="192"/>
    </row>
    <row r="56" spans="2:71" s="186" customFormat="1" ht="19.5" customHeight="1" thickBot="1">
      <c r="B56" s="196"/>
      <c r="C56" s="678" t="s">
        <v>116</v>
      </c>
      <c r="D56" s="679"/>
      <c r="E56" s="679"/>
      <c r="F56" s="679"/>
      <c r="G56" s="679"/>
      <c r="H56" s="679"/>
      <c r="I56" s="680"/>
      <c r="J56" s="718"/>
      <c r="K56" s="719"/>
      <c r="L56" s="725"/>
      <c r="M56" s="726"/>
      <c r="N56" s="722"/>
      <c r="O56" s="717"/>
      <c r="P56" s="717"/>
      <c r="Q56" s="717"/>
      <c r="R56" s="191"/>
      <c r="S56" s="674"/>
      <c r="T56" s="675"/>
      <c r="U56" s="675"/>
      <c r="V56" s="675"/>
      <c r="W56" s="672"/>
      <c r="X56" s="672"/>
      <c r="Y56" s="672"/>
      <c r="Z56" s="673"/>
      <c r="AA56" s="784"/>
      <c r="AB56" s="784"/>
      <c r="AC56" s="784"/>
      <c r="AD56" s="784"/>
      <c r="AE56" s="784"/>
      <c r="AF56" s="185"/>
      <c r="AG56" s="185"/>
      <c r="AH56" s="727"/>
      <c r="AI56" s="728"/>
      <c r="AJ56" s="728"/>
      <c r="AK56" s="728"/>
      <c r="AL56" s="672"/>
      <c r="AM56" s="672"/>
      <c r="AN56" s="672"/>
      <c r="AO56" s="673"/>
      <c r="AP56" s="770"/>
      <c r="AQ56" s="770"/>
      <c r="AR56" s="770"/>
      <c r="AS56" s="770"/>
      <c r="AT56" s="770"/>
      <c r="AU56" s="111"/>
      <c r="AV56" s="111"/>
      <c r="AW56" s="185"/>
      <c r="AX56" s="185"/>
      <c r="AY56" s="185"/>
      <c r="AZ56" s="185"/>
      <c r="BA56" s="111"/>
      <c r="BB56" s="184"/>
      <c r="BC56" s="607"/>
      <c r="BD56" s="607"/>
      <c r="BE56" s="607"/>
      <c r="BF56" s="607"/>
      <c r="BG56" s="607"/>
      <c r="BH56" s="192"/>
    </row>
    <row r="57" spans="2:71" s="87" customFormat="1" ht="19.5" customHeight="1" thickBot="1">
      <c r="B57" s="196"/>
      <c r="C57" s="676" t="s">
        <v>1309</v>
      </c>
      <c r="D57" s="677"/>
      <c r="E57" s="677"/>
      <c r="F57" s="677"/>
      <c r="G57" s="677"/>
      <c r="H57" s="677"/>
      <c r="I57" s="677"/>
      <c r="J57" s="687"/>
      <c r="K57" s="688"/>
      <c r="L57" s="681"/>
      <c r="M57" s="682"/>
      <c r="N57" s="685"/>
      <c r="O57" s="686"/>
      <c r="P57" s="692"/>
      <c r="Q57" s="693"/>
      <c r="R57" s="197"/>
      <c r="S57" s="674"/>
      <c r="T57" s="675"/>
      <c r="U57" s="675"/>
      <c r="V57" s="675"/>
      <c r="W57" s="672"/>
      <c r="X57" s="672"/>
      <c r="Y57" s="672"/>
      <c r="Z57" s="673"/>
      <c r="AA57" s="784"/>
      <c r="AB57" s="784"/>
      <c r="AC57" s="784"/>
      <c r="AD57" s="784"/>
      <c r="AE57" s="784"/>
      <c r="AF57" s="184"/>
      <c r="AG57" s="184"/>
      <c r="AH57" s="727"/>
      <c r="AI57" s="728"/>
      <c r="AJ57" s="728"/>
      <c r="AK57" s="728"/>
      <c r="AL57" s="672"/>
      <c r="AM57" s="672"/>
      <c r="AN57" s="672"/>
      <c r="AO57" s="673"/>
      <c r="AP57" s="770"/>
      <c r="AQ57" s="770"/>
      <c r="AR57" s="770"/>
      <c r="AS57" s="770"/>
      <c r="AT57" s="770"/>
      <c r="AU57" s="111"/>
      <c r="AV57" s="111"/>
      <c r="AW57" s="184"/>
      <c r="AX57" s="184"/>
      <c r="AY57" s="184"/>
      <c r="AZ57" s="184"/>
      <c r="BA57" s="111"/>
      <c r="BB57" s="184"/>
      <c r="BC57" s="607"/>
      <c r="BD57" s="607"/>
      <c r="BE57" s="607"/>
      <c r="BF57" s="607"/>
      <c r="BG57" s="607"/>
      <c r="BH57" s="198"/>
    </row>
    <row r="58" spans="2:71" s="87" customFormat="1" ht="19.5" customHeight="1">
      <c r="B58" s="196"/>
      <c r="C58" s="643"/>
      <c r="D58" s="643"/>
      <c r="E58" s="643"/>
      <c r="F58" s="643"/>
      <c r="G58" s="643"/>
      <c r="H58" s="643"/>
      <c r="I58" s="643"/>
      <c r="J58" s="643"/>
      <c r="K58" s="643"/>
      <c r="L58" s="643"/>
      <c r="M58" s="643"/>
      <c r="N58" s="643"/>
      <c r="O58" s="643"/>
      <c r="P58" s="643"/>
      <c r="Q58" s="643"/>
      <c r="R58" s="197"/>
      <c r="S58" s="674"/>
      <c r="T58" s="675"/>
      <c r="U58" s="675"/>
      <c r="V58" s="675"/>
      <c r="W58" s="672"/>
      <c r="X58" s="672"/>
      <c r="Y58" s="672"/>
      <c r="Z58" s="673"/>
      <c r="AA58" s="784"/>
      <c r="AB58" s="784"/>
      <c r="AC58" s="784"/>
      <c r="AD58" s="784"/>
      <c r="AE58" s="784"/>
      <c r="AF58" s="184"/>
      <c r="AG58" s="184"/>
      <c r="AH58" s="727"/>
      <c r="AI58" s="728"/>
      <c r="AJ58" s="728"/>
      <c r="AK58" s="728"/>
      <c r="AL58" s="672"/>
      <c r="AM58" s="672"/>
      <c r="AN58" s="672"/>
      <c r="AO58" s="673"/>
      <c r="AP58" s="770"/>
      <c r="AQ58" s="770"/>
      <c r="AR58" s="770"/>
      <c r="AS58" s="770"/>
      <c r="AT58" s="770"/>
      <c r="AU58" s="111"/>
      <c r="AV58" s="111"/>
      <c r="AW58" s="184"/>
      <c r="AX58" s="184"/>
      <c r="AY58" s="184"/>
      <c r="AZ58" s="184"/>
      <c r="BA58" s="111"/>
      <c r="BB58" s="184"/>
      <c r="BC58" s="607"/>
      <c r="BD58" s="607"/>
      <c r="BE58" s="607"/>
      <c r="BF58" s="607"/>
      <c r="BG58" s="607"/>
      <c r="BH58" s="198"/>
      <c r="BL58" s="104"/>
      <c r="BM58" s="104"/>
      <c r="BN58" s="104"/>
      <c r="BO58" s="104"/>
      <c r="BP58" s="104"/>
      <c r="BQ58" s="104"/>
      <c r="BR58" s="104"/>
      <c r="BS58" s="104"/>
    </row>
    <row r="59" spans="2:71" ht="19.5" customHeight="1">
      <c r="B59" s="196"/>
      <c r="C59" s="656" t="s">
        <v>1193</v>
      </c>
      <c r="D59" s="618"/>
      <c r="E59" s="618"/>
      <c r="F59" s="618"/>
      <c r="G59" s="618"/>
      <c r="H59" s="618"/>
      <c r="I59" s="618"/>
      <c r="J59" s="618"/>
      <c r="K59" s="618"/>
      <c r="L59" s="618"/>
      <c r="M59" s="618"/>
      <c r="N59" s="618"/>
      <c r="O59" s="618"/>
      <c r="P59" s="618"/>
      <c r="Q59" s="618"/>
      <c r="R59" s="199"/>
      <c r="S59" s="674"/>
      <c r="T59" s="675"/>
      <c r="U59" s="675"/>
      <c r="V59" s="675"/>
      <c r="W59" s="672"/>
      <c r="X59" s="672"/>
      <c r="Y59" s="672"/>
      <c r="Z59" s="673"/>
      <c r="AA59" s="784"/>
      <c r="AB59" s="784"/>
      <c r="AC59" s="784"/>
      <c r="AD59" s="784"/>
      <c r="AE59" s="784"/>
      <c r="AF59" s="184"/>
      <c r="AG59" s="184"/>
      <c r="AH59" s="727"/>
      <c r="AI59" s="728"/>
      <c r="AJ59" s="728"/>
      <c r="AK59" s="728"/>
      <c r="AL59" s="672"/>
      <c r="AM59" s="672"/>
      <c r="AN59" s="672"/>
      <c r="AO59" s="673"/>
      <c r="AP59" s="770"/>
      <c r="AQ59" s="770"/>
      <c r="AR59" s="770"/>
      <c r="AS59" s="770"/>
      <c r="AT59" s="770"/>
      <c r="AU59" s="111"/>
      <c r="AV59" s="111"/>
      <c r="AW59" s="184"/>
      <c r="AX59" s="184"/>
      <c r="AY59" s="184"/>
      <c r="AZ59" s="184"/>
      <c r="BA59" s="111"/>
      <c r="BB59" s="184"/>
      <c r="BC59" s="607"/>
      <c r="BD59" s="607"/>
      <c r="BE59" s="607"/>
      <c r="BF59" s="607"/>
      <c r="BG59" s="607"/>
      <c r="BH59" s="150"/>
      <c r="BL59" s="104"/>
      <c r="BM59" s="104"/>
      <c r="BN59" s="104"/>
      <c r="BO59" s="104"/>
      <c r="BP59" s="104"/>
      <c r="BQ59" s="104"/>
      <c r="BR59" s="104"/>
      <c r="BS59" s="104"/>
    </row>
    <row r="60" spans="2:71" ht="19.5" customHeight="1">
      <c r="B60" s="196"/>
      <c r="C60" s="618"/>
      <c r="D60" s="618"/>
      <c r="E60" s="618"/>
      <c r="F60" s="618"/>
      <c r="G60" s="618"/>
      <c r="H60" s="618"/>
      <c r="I60" s="618"/>
      <c r="J60" s="618"/>
      <c r="K60" s="618"/>
      <c r="L60" s="618"/>
      <c r="M60" s="618"/>
      <c r="N60" s="618"/>
      <c r="O60" s="618"/>
      <c r="P60" s="618"/>
      <c r="Q60" s="618"/>
      <c r="R60" s="199"/>
      <c r="S60" s="674"/>
      <c r="T60" s="675"/>
      <c r="U60" s="675"/>
      <c r="V60" s="675"/>
      <c r="W60" s="672"/>
      <c r="X60" s="672"/>
      <c r="Y60" s="672"/>
      <c r="Z60" s="673"/>
      <c r="AA60" s="784"/>
      <c r="AB60" s="784"/>
      <c r="AC60" s="784"/>
      <c r="AD60" s="784"/>
      <c r="AE60" s="784"/>
      <c r="AF60" s="184"/>
      <c r="AG60" s="184"/>
      <c r="AH60" s="727"/>
      <c r="AI60" s="728"/>
      <c r="AJ60" s="728"/>
      <c r="AK60" s="728"/>
      <c r="AL60" s="672"/>
      <c r="AM60" s="672"/>
      <c r="AN60" s="672"/>
      <c r="AO60" s="673"/>
      <c r="AP60" s="770"/>
      <c r="AQ60" s="770"/>
      <c r="AR60" s="770"/>
      <c r="AS60" s="770"/>
      <c r="AT60" s="770"/>
      <c r="AU60" s="111"/>
      <c r="AV60" s="111"/>
      <c r="AW60" s="184"/>
      <c r="AX60" s="184"/>
      <c r="AY60" s="184"/>
      <c r="AZ60" s="184"/>
      <c r="BA60" s="111"/>
      <c r="BB60" s="184"/>
      <c r="BC60" s="607"/>
      <c r="BD60" s="607"/>
      <c r="BE60" s="607"/>
      <c r="BF60" s="607"/>
      <c r="BG60" s="607"/>
      <c r="BH60" s="150"/>
      <c r="BL60" s="104"/>
      <c r="BM60" s="104"/>
      <c r="BN60" s="104"/>
      <c r="BO60" s="104"/>
      <c r="BP60" s="104"/>
      <c r="BQ60" s="104"/>
      <c r="BR60" s="104"/>
      <c r="BS60" s="104"/>
    </row>
    <row r="61" spans="2:71" ht="19.5" customHeight="1">
      <c r="B61" s="196"/>
      <c r="C61" s="618"/>
      <c r="D61" s="618"/>
      <c r="E61" s="618"/>
      <c r="F61" s="618"/>
      <c r="G61" s="618"/>
      <c r="H61" s="618"/>
      <c r="I61" s="618"/>
      <c r="J61" s="618"/>
      <c r="K61" s="618"/>
      <c r="L61" s="618"/>
      <c r="M61" s="618"/>
      <c r="N61" s="618"/>
      <c r="O61" s="618"/>
      <c r="P61" s="618"/>
      <c r="Q61" s="618"/>
      <c r="R61" s="112"/>
      <c r="S61" s="674"/>
      <c r="T61" s="675"/>
      <c r="U61" s="675"/>
      <c r="V61" s="675"/>
      <c r="W61" s="672"/>
      <c r="X61" s="672"/>
      <c r="Y61" s="672"/>
      <c r="Z61" s="673"/>
      <c r="AA61" s="784"/>
      <c r="AB61" s="784"/>
      <c r="AC61" s="784"/>
      <c r="AD61" s="784"/>
      <c r="AE61" s="784"/>
      <c r="AF61" s="184"/>
      <c r="AG61" s="184"/>
      <c r="AH61" s="727"/>
      <c r="AI61" s="728"/>
      <c r="AJ61" s="728"/>
      <c r="AK61" s="728"/>
      <c r="AL61" s="672"/>
      <c r="AM61" s="672"/>
      <c r="AN61" s="672"/>
      <c r="AO61" s="673"/>
      <c r="AP61" s="770"/>
      <c r="AQ61" s="770"/>
      <c r="AR61" s="770"/>
      <c r="AS61" s="770"/>
      <c r="AT61" s="770"/>
      <c r="AU61" s="111"/>
      <c r="AV61" s="111"/>
      <c r="AW61" s="184"/>
      <c r="AX61" s="184"/>
      <c r="AY61" s="184"/>
      <c r="AZ61" s="184"/>
      <c r="BA61" s="111"/>
      <c r="BB61" s="184"/>
      <c r="BC61" s="607"/>
      <c r="BD61" s="607"/>
      <c r="BE61" s="607"/>
      <c r="BF61" s="607"/>
      <c r="BG61" s="607"/>
      <c r="BH61" s="150"/>
      <c r="BL61" s="104"/>
      <c r="BM61" s="104"/>
      <c r="BN61" s="104"/>
      <c r="BO61" s="104"/>
      <c r="BP61" s="104"/>
      <c r="BQ61" s="104"/>
      <c r="BR61" s="104"/>
      <c r="BS61" s="104"/>
    </row>
    <row r="62" spans="2:71" ht="19.149999999999999" customHeight="1" thickBot="1">
      <c r="B62" s="196"/>
      <c r="C62" s="618"/>
      <c r="D62" s="618"/>
      <c r="E62" s="618"/>
      <c r="F62" s="618"/>
      <c r="G62" s="618"/>
      <c r="H62" s="618"/>
      <c r="I62" s="618"/>
      <c r="J62" s="618"/>
      <c r="K62" s="618"/>
      <c r="L62" s="618"/>
      <c r="M62" s="618"/>
      <c r="N62" s="618"/>
      <c r="O62" s="618"/>
      <c r="P62" s="618"/>
      <c r="Q62" s="618"/>
      <c r="R62" s="112"/>
      <c r="S62" s="777"/>
      <c r="T62" s="778"/>
      <c r="U62" s="778"/>
      <c r="V62" s="779"/>
      <c r="W62" s="775"/>
      <c r="X62" s="775"/>
      <c r="Y62" s="775"/>
      <c r="Z62" s="776"/>
      <c r="AA62" s="784"/>
      <c r="AB62" s="784"/>
      <c r="AC62" s="784"/>
      <c r="AD62" s="784"/>
      <c r="AE62" s="784"/>
      <c r="AF62" s="184"/>
      <c r="AG62" s="184"/>
      <c r="AH62" s="780"/>
      <c r="AI62" s="781"/>
      <c r="AJ62" s="781"/>
      <c r="AK62" s="782"/>
      <c r="AL62" s="775"/>
      <c r="AM62" s="775"/>
      <c r="AN62" s="775"/>
      <c r="AO62" s="776"/>
      <c r="AP62" s="770"/>
      <c r="AQ62" s="770"/>
      <c r="AR62" s="770"/>
      <c r="AS62" s="770"/>
      <c r="AT62" s="770"/>
      <c r="AU62" s="111"/>
      <c r="AV62" s="111"/>
      <c r="AW62" s="184"/>
      <c r="AX62" s="184"/>
      <c r="AY62" s="184"/>
      <c r="AZ62" s="184"/>
      <c r="BA62" s="111"/>
      <c r="BB62" s="184"/>
      <c r="BC62" s="184"/>
      <c r="BD62" s="184"/>
      <c r="BE62" s="184"/>
      <c r="BF62" s="184"/>
      <c r="BG62" s="184"/>
      <c r="BH62" s="150"/>
    </row>
    <row r="63" spans="2:71" ht="6" customHeight="1" thickBot="1">
      <c r="B63" s="200"/>
      <c r="C63" s="657"/>
      <c r="D63" s="657"/>
      <c r="E63" s="657"/>
      <c r="F63" s="657"/>
      <c r="G63" s="657"/>
      <c r="H63" s="657"/>
      <c r="I63" s="657"/>
      <c r="J63" s="657"/>
      <c r="K63" s="657"/>
      <c r="L63" s="657"/>
      <c r="M63" s="657"/>
      <c r="N63" s="657"/>
      <c r="O63" s="657"/>
      <c r="P63" s="657"/>
      <c r="Q63" s="657"/>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01"/>
      <c r="AY63" s="201"/>
      <c r="AZ63" s="201"/>
      <c r="BA63" s="201"/>
      <c r="BB63" s="201"/>
      <c r="BC63" s="201"/>
      <c r="BD63" s="201"/>
      <c r="BE63" s="201"/>
      <c r="BF63" s="201"/>
      <c r="BG63" s="201"/>
      <c r="BH63" s="202"/>
    </row>
    <row r="64" spans="2:71" ht="7.15" customHeight="1">
      <c r="C64" s="203"/>
      <c r="AK64" s="204"/>
    </row>
    <row r="65" spans="2:53" s="87" customFormat="1" ht="13.15" hidden="1" customHeight="1">
      <c r="B65" s="205"/>
      <c r="S65" s="22"/>
      <c r="T65" s="22"/>
      <c r="U65" s="22"/>
      <c r="V65" s="22"/>
      <c r="W65" s="22"/>
      <c r="X65" s="22"/>
      <c r="Y65" s="22"/>
      <c r="AF65" s="22"/>
      <c r="AG65" s="22"/>
      <c r="AH65" s="22"/>
      <c r="AI65" s="22"/>
      <c r="AJ65" s="22"/>
      <c r="AK65" s="22"/>
      <c r="AL65" s="22"/>
      <c r="AM65" s="22"/>
      <c r="AN65" s="22"/>
      <c r="AO65" s="22"/>
      <c r="AP65" s="22"/>
      <c r="AQ65" s="22"/>
      <c r="AR65" s="22"/>
      <c r="AS65" s="22"/>
      <c r="AT65" s="22"/>
    </row>
    <row r="66" spans="2:53" s="87" customFormat="1" ht="13.15" hidden="1" customHeight="1">
      <c r="B66" s="205"/>
      <c r="S66" s="22"/>
      <c r="T66" s="137" t="b" cm="1">
        <f t="array" ref="T66:T91">ISBLANK(S37:S62)</f>
        <v>1</v>
      </c>
      <c r="U66" s="137"/>
      <c r="V66" s="137"/>
      <c r="W66" s="137" t="b" cm="1">
        <f t="array" ref="W66:W91">ISBLANK(W37:W62)</f>
        <v>1</v>
      </c>
      <c r="X66" s="229" t="b">
        <f>IF(EXACT(T66,W66),TRUE,IF(T66=FALSE,1,2))</f>
        <v>1</v>
      </c>
      <c r="Y66" s="206"/>
      <c r="Z66" s="137"/>
      <c r="AA66" s="137"/>
      <c r="AB66" s="137"/>
      <c r="AC66" s="137"/>
      <c r="AD66" s="137"/>
      <c r="AE66" s="137"/>
      <c r="AF66" s="137" t="b" cm="1">
        <f t="array" ref="AF66:AF91">ISBLANK(S37:S62)</f>
        <v>1</v>
      </c>
      <c r="AG66" s="137"/>
      <c r="AH66" s="137" t="b" cm="1">
        <f t="array" ref="AH66:AH91">ISBLANK(AH37:AH62)</f>
        <v>1</v>
      </c>
      <c r="AI66" s="206"/>
      <c r="AJ66" s="206"/>
      <c r="AK66" s="137"/>
      <c r="AL66" s="137" t="b" cm="1">
        <f t="array" ref="AL66:AL91">ISBLANK(AL37:AL62)</f>
        <v>1</v>
      </c>
      <c r="AM66" s="206"/>
      <c r="AN66" s="229" t="b">
        <f>IF(EXACT(AH66,AL66),TRUE,IF(AH66=FALSE,1,2))</f>
        <v>1</v>
      </c>
      <c r="AO66" s="206"/>
      <c r="AP66" s="206"/>
      <c r="AQ66" s="206"/>
      <c r="AR66" s="206"/>
      <c r="AS66" s="206"/>
      <c r="AT66" s="206"/>
      <c r="AU66" s="137"/>
      <c r="AV66" s="137"/>
      <c r="AW66" s="137"/>
      <c r="AX66" s="137" t="b" cm="1">
        <f t="array" ref="AX66:AX67">ISBLANK(AW37:AW38)</f>
        <v>1</v>
      </c>
      <c r="AY66" s="137" t="b" cm="1">
        <f t="array" ref="AY66:AY67">ISBLANK(AZ37:AZ38)</f>
        <v>1</v>
      </c>
      <c r="AZ66" s="206"/>
      <c r="BA66" s="229" t="b">
        <f>IF(EXACT(AY66,AX66),TRUE,IF(AX66=FALSE,1,2))</f>
        <v>1</v>
      </c>
    </row>
    <row r="67" spans="2:53" s="87" customFormat="1" ht="13.15" hidden="1" customHeight="1">
      <c r="B67" s="205"/>
      <c r="S67" s="22"/>
      <c r="T67" s="137" t="b">
        <v>1</v>
      </c>
      <c r="U67" s="137"/>
      <c r="V67" s="137"/>
      <c r="W67" s="137" t="b">
        <v>1</v>
      </c>
      <c r="X67" s="229" t="b">
        <f t="shared" ref="X67:X91" si="0">IF(EXACT(T67,W67),TRUE,IF(T67=FALSE,1,2))</f>
        <v>1</v>
      </c>
      <c r="Y67" s="206"/>
      <c r="Z67" s="137"/>
      <c r="AA67" s="137"/>
      <c r="AB67" s="137"/>
      <c r="AC67" s="137"/>
      <c r="AD67" s="137"/>
      <c r="AE67" s="137"/>
      <c r="AF67" s="137" t="b">
        <v>1</v>
      </c>
      <c r="AG67" s="137"/>
      <c r="AH67" s="137" t="b">
        <v>1</v>
      </c>
      <c r="AI67" s="206"/>
      <c r="AJ67" s="206"/>
      <c r="AK67" s="137"/>
      <c r="AL67" s="137" t="b">
        <v>1</v>
      </c>
      <c r="AM67" s="206"/>
      <c r="AN67" s="229" t="b">
        <f t="shared" ref="AN67:AN91" si="1">IF(EXACT(AH67,AL67),TRUE,IF(AH67=FALSE,1,2))</f>
        <v>1</v>
      </c>
      <c r="AO67" s="206"/>
      <c r="AP67" s="206"/>
      <c r="AQ67" s="206"/>
      <c r="AR67" s="206"/>
      <c r="AS67" s="206"/>
      <c r="AT67" s="206"/>
      <c r="AU67" s="137"/>
      <c r="AV67" s="137"/>
      <c r="AW67" s="137"/>
      <c r="AX67" s="137" t="b">
        <v>1</v>
      </c>
      <c r="AY67" s="137" t="b">
        <v>1</v>
      </c>
      <c r="AZ67" s="206"/>
      <c r="BA67" s="229" t="b">
        <f>IF(EXACT(AY67,AX67),TRUE,IF(AX67=FALSE,1,2))</f>
        <v>1</v>
      </c>
    </row>
    <row r="68" spans="2:53" s="87" customFormat="1" ht="13.15" hidden="1" customHeight="1">
      <c r="B68" s="205"/>
      <c r="S68" s="22"/>
      <c r="T68" s="137" t="b">
        <v>1</v>
      </c>
      <c r="U68" s="137"/>
      <c r="V68" s="137"/>
      <c r="W68" s="137" t="b">
        <v>1</v>
      </c>
      <c r="X68" s="229" t="b">
        <f t="shared" si="0"/>
        <v>1</v>
      </c>
      <c r="Y68" s="137"/>
      <c r="Z68" s="137"/>
      <c r="AA68" s="137"/>
      <c r="AB68" s="137"/>
      <c r="AC68" s="137"/>
      <c r="AD68" s="137"/>
      <c r="AE68" s="137"/>
      <c r="AF68" s="137" t="b">
        <v>1</v>
      </c>
      <c r="AG68" s="137"/>
      <c r="AH68" s="137" t="b">
        <v>1</v>
      </c>
      <c r="AI68" s="206"/>
      <c r="AJ68" s="206"/>
      <c r="AK68" s="137"/>
      <c r="AL68" s="137" t="b">
        <v>1</v>
      </c>
      <c r="AM68" s="206"/>
      <c r="AN68" s="229" t="b">
        <f t="shared" si="1"/>
        <v>1</v>
      </c>
      <c r="AO68" s="206"/>
      <c r="AP68" s="206"/>
      <c r="AQ68" s="206"/>
      <c r="AR68" s="206"/>
      <c r="AS68" s="206"/>
      <c r="AT68" s="206"/>
      <c r="AU68" s="137"/>
      <c r="AV68" s="137"/>
      <c r="AW68" s="137"/>
      <c r="AX68" s="206"/>
      <c r="AY68" s="206"/>
      <c r="AZ68" s="206"/>
    </row>
    <row r="69" spans="2:53" s="87" customFormat="1" ht="13.15" hidden="1" customHeight="1">
      <c r="B69" s="205"/>
      <c r="S69" s="22"/>
      <c r="T69" s="137" t="b">
        <v>1</v>
      </c>
      <c r="U69" s="137"/>
      <c r="V69" s="137"/>
      <c r="W69" s="137" t="b">
        <v>1</v>
      </c>
      <c r="X69" s="229" t="b">
        <f t="shared" si="0"/>
        <v>1</v>
      </c>
      <c r="Y69" s="137"/>
      <c r="Z69" s="137"/>
      <c r="AA69" s="137"/>
      <c r="AB69" s="137"/>
      <c r="AC69" s="137"/>
      <c r="AD69" s="137"/>
      <c r="AE69" s="137"/>
      <c r="AF69" s="137" t="b">
        <v>1</v>
      </c>
      <c r="AG69" s="137"/>
      <c r="AH69" s="137" t="b">
        <v>1</v>
      </c>
      <c r="AI69" s="206"/>
      <c r="AJ69" s="206"/>
      <c r="AK69" s="137"/>
      <c r="AL69" s="137" t="b">
        <v>1</v>
      </c>
      <c r="AM69" s="206"/>
      <c r="AN69" s="229" t="b">
        <f t="shared" si="1"/>
        <v>1</v>
      </c>
      <c r="AO69" s="206"/>
      <c r="AP69" s="206"/>
      <c r="AQ69" s="206"/>
      <c r="AR69" s="206"/>
      <c r="AS69" s="206"/>
      <c r="AT69" s="206"/>
      <c r="AU69" s="137"/>
      <c r="AV69" s="137"/>
      <c r="AW69" s="137"/>
      <c r="AX69" s="206"/>
      <c r="AY69" s="206"/>
      <c r="AZ69" s="206"/>
    </row>
    <row r="70" spans="2:53" s="87" customFormat="1" ht="13.15" hidden="1" customHeight="1">
      <c r="B70" s="205"/>
      <c r="S70" s="22"/>
      <c r="T70" s="137" t="b">
        <v>1</v>
      </c>
      <c r="U70" s="137"/>
      <c r="V70" s="137"/>
      <c r="W70" s="137" t="b">
        <v>1</v>
      </c>
      <c r="X70" s="229" t="b">
        <f t="shared" si="0"/>
        <v>1</v>
      </c>
      <c r="Y70" s="137"/>
      <c r="Z70" s="137"/>
      <c r="AA70" s="137"/>
      <c r="AB70" s="137"/>
      <c r="AC70" s="137"/>
      <c r="AD70" s="137"/>
      <c r="AE70" s="137"/>
      <c r="AF70" s="137" t="b">
        <v>1</v>
      </c>
      <c r="AG70" s="137"/>
      <c r="AH70" s="137" t="b">
        <v>1</v>
      </c>
      <c r="AI70" s="206"/>
      <c r="AJ70" s="206"/>
      <c r="AK70" s="137"/>
      <c r="AL70" s="137" t="b">
        <v>1</v>
      </c>
      <c r="AM70" s="206"/>
      <c r="AN70" s="229" t="b">
        <f t="shared" si="1"/>
        <v>1</v>
      </c>
      <c r="AO70" s="206"/>
      <c r="AP70" s="206"/>
      <c r="AQ70" s="206"/>
      <c r="AR70" s="206"/>
      <c r="AS70" s="206"/>
      <c r="AT70" s="206"/>
      <c r="AU70" s="137"/>
      <c r="AV70" s="137"/>
      <c r="AW70" s="137"/>
      <c r="AX70" s="206"/>
      <c r="AY70" s="206"/>
      <c r="AZ70" s="206"/>
    </row>
    <row r="71" spans="2:53" s="87" customFormat="1" ht="13.15" hidden="1" customHeight="1">
      <c r="B71" s="205"/>
      <c r="S71" s="22"/>
      <c r="T71" s="137" t="b">
        <v>1</v>
      </c>
      <c r="U71" s="137"/>
      <c r="V71" s="137"/>
      <c r="W71" s="137" t="b">
        <v>1</v>
      </c>
      <c r="X71" s="229" t="b">
        <f t="shared" si="0"/>
        <v>1</v>
      </c>
      <c r="Y71" s="137"/>
      <c r="Z71" s="137"/>
      <c r="AA71" s="137"/>
      <c r="AB71" s="137"/>
      <c r="AC71" s="137"/>
      <c r="AD71" s="137"/>
      <c r="AE71" s="137"/>
      <c r="AF71" s="137" t="b">
        <v>1</v>
      </c>
      <c r="AG71" s="137"/>
      <c r="AH71" s="137" t="b">
        <v>1</v>
      </c>
      <c r="AI71" s="206"/>
      <c r="AJ71" s="206"/>
      <c r="AK71" s="137"/>
      <c r="AL71" s="137" t="b">
        <v>1</v>
      </c>
      <c r="AM71" s="206"/>
      <c r="AN71" s="229" t="b">
        <f t="shared" si="1"/>
        <v>1</v>
      </c>
      <c r="AO71" s="206"/>
      <c r="AP71" s="206"/>
      <c r="AQ71" s="206"/>
      <c r="AR71" s="206"/>
      <c r="AS71" s="206"/>
      <c r="AT71" s="206"/>
      <c r="AU71" s="137"/>
      <c r="AV71" s="137"/>
      <c r="AW71" s="137"/>
      <c r="AX71" s="206"/>
      <c r="AY71" s="206"/>
      <c r="AZ71" s="206"/>
    </row>
    <row r="72" spans="2:53" s="87" customFormat="1" ht="13.15" hidden="1" customHeight="1">
      <c r="B72" s="205"/>
      <c r="S72" s="22"/>
      <c r="T72" s="137" t="b">
        <v>1</v>
      </c>
      <c r="U72" s="137"/>
      <c r="V72" s="137"/>
      <c r="W72" s="137" t="b">
        <v>1</v>
      </c>
      <c r="X72" s="229" t="b">
        <f t="shared" si="0"/>
        <v>1</v>
      </c>
      <c r="Y72" s="137"/>
      <c r="Z72" s="137"/>
      <c r="AA72" s="137"/>
      <c r="AB72" s="137"/>
      <c r="AC72" s="137"/>
      <c r="AD72" s="137"/>
      <c r="AE72" s="137"/>
      <c r="AF72" s="137" t="b">
        <v>1</v>
      </c>
      <c r="AG72" s="137"/>
      <c r="AH72" s="137" t="b">
        <v>1</v>
      </c>
      <c r="AI72" s="206"/>
      <c r="AJ72" s="206"/>
      <c r="AK72" s="137"/>
      <c r="AL72" s="137" t="b">
        <v>1</v>
      </c>
      <c r="AM72" s="206"/>
      <c r="AN72" s="229" t="b">
        <f t="shared" si="1"/>
        <v>1</v>
      </c>
      <c r="AO72" s="206"/>
      <c r="AP72" s="206"/>
      <c r="AQ72" s="206"/>
      <c r="AR72" s="206"/>
      <c r="AS72" s="206"/>
      <c r="AT72" s="206"/>
      <c r="AU72" s="137"/>
      <c r="AV72" s="137"/>
      <c r="AW72" s="137"/>
      <c r="AX72" s="206"/>
      <c r="AY72" s="206"/>
      <c r="AZ72" s="206"/>
    </row>
    <row r="73" spans="2:53" s="87" customFormat="1" ht="13.15" hidden="1" customHeight="1">
      <c r="B73" s="205"/>
      <c r="S73" s="22"/>
      <c r="T73" s="137" t="b">
        <v>1</v>
      </c>
      <c r="U73" s="137"/>
      <c r="V73" s="137"/>
      <c r="W73" s="137" t="b">
        <v>1</v>
      </c>
      <c r="X73" s="229" t="b">
        <f t="shared" si="0"/>
        <v>1</v>
      </c>
      <c r="Y73" s="137"/>
      <c r="Z73" s="137"/>
      <c r="AA73" s="137"/>
      <c r="AB73" s="137"/>
      <c r="AC73" s="137"/>
      <c r="AD73" s="137"/>
      <c r="AE73" s="137"/>
      <c r="AF73" s="137" t="b">
        <v>1</v>
      </c>
      <c r="AG73" s="137"/>
      <c r="AH73" s="137" t="b">
        <v>1</v>
      </c>
      <c r="AI73" s="206"/>
      <c r="AJ73" s="206"/>
      <c r="AK73" s="137"/>
      <c r="AL73" s="137" t="b">
        <v>1</v>
      </c>
      <c r="AM73" s="206"/>
      <c r="AN73" s="229" t="b">
        <f t="shared" si="1"/>
        <v>1</v>
      </c>
      <c r="AO73" s="206"/>
      <c r="AP73" s="206"/>
      <c r="AQ73" s="206"/>
      <c r="AR73" s="206"/>
      <c r="AS73" s="206"/>
      <c r="AT73" s="206"/>
      <c r="AU73" s="137"/>
      <c r="AV73" s="137"/>
      <c r="AW73" s="137"/>
      <c r="AX73" s="206"/>
      <c r="AY73" s="206"/>
      <c r="AZ73" s="206"/>
    </row>
    <row r="74" spans="2:53" s="87" customFormat="1" ht="13.15" hidden="1" customHeight="1">
      <c r="B74" s="205"/>
      <c r="S74" s="22"/>
      <c r="T74" s="137" t="b">
        <v>1</v>
      </c>
      <c r="U74" s="137"/>
      <c r="V74" s="137"/>
      <c r="W74" s="137" t="b">
        <v>1</v>
      </c>
      <c r="X74" s="229" t="b">
        <f t="shared" si="0"/>
        <v>1</v>
      </c>
      <c r="Y74" s="137"/>
      <c r="Z74" s="137"/>
      <c r="AA74" s="137"/>
      <c r="AB74" s="137"/>
      <c r="AC74" s="137"/>
      <c r="AD74" s="137"/>
      <c r="AE74" s="137"/>
      <c r="AF74" s="137" t="b">
        <v>1</v>
      </c>
      <c r="AG74" s="137"/>
      <c r="AH74" s="137" t="b">
        <v>1</v>
      </c>
      <c r="AI74" s="206"/>
      <c r="AJ74" s="206"/>
      <c r="AK74" s="137"/>
      <c r="AL74" s="137" t="b">
        <v>1</v>
      </c>
      <c r="AM74" s="206"/>
      <c r="AN74" s="229" t="b">
        <f t="shared" si="1"/>
        <v>1</v>
      </c>
      <c r="AO74" s="206"/>
      <c r="AP74" s="206"/>
      <c r="AQ74" s="206"/>
      <c r="AR74" s="206"/>
      <c r="AS74" s="206"/>
      <c r="AT74" s="206"/>
      <c r="AU74" s="137"/>
      <c r="AV74" s="137"/>
      <c r="AW74" s="137"/>
      <c r="AX74" s="206"/>
      <c r="AY74" s="206"/>
      <c r="AZ74" s="206"/>
    </row>
    <row r="75" spans="2:53" s="87" customFormat="1" ht="13.15" hidden="1" customHeight="1">
      <c r="B75" s="205"/>
      <c r="S75" s="22"/>
      <c r="T75" s="137" t="b">
        <v>1</v>
      </c>
      <c r="U75" s="137"/>
      <c r="V75" s="137"/>
      <c r="W75" s="137" t="b">
        <v>1</v>
      </c>
      <c r="X75" s="229" t="b">
        <f t="shared" si="0"/>
        <v>1</v>
      </c>
      <c r="Y75" s="137"/>
      <c r="Z75" s="137"/>
      <c r="AA75" s="137"/>
      <c r="AB75" s="137"/>
      <c r="AC75" s="137"/>
      <c r="AD75" s="137"/>
      <c r="AE75" s="137"/>
      <c r="AF75" s="137" t="b">
        <v>1</v>
      </c>
      <c r="AG75" s="137"/>
      <c r="AH75" s="137" t="b">
        <v>1</v>
      </c>
      <c r="AI75" s="206"/>
      <c r="AJ75" s="206"/>
      <c r="AK75" s="137"/>
      <c r="AL75" s="137" t="b">
        <v>1</v>
      </c>
      <c r="AM75" s="206"/>
      <c r="AN75" s="229" t="b">
        <f t="shared" si="1"/>
        <v>1</v>
      </c>
      <c r="AO75" s="206"/>
      <c r="AP75" s="206"/>
      <c r="AQ75" s="206"/>
      <c r="AR75" s="206"/>
      <c r="AS75" s="206"/>
      <c r="AT75" s="206"/>
      <c r="AU75" s="137"/>
      <c r="AV75" s="137"/>
      <c r="AW75" s="137"/>
      <c r="AX75" s="206"/>
      <c r="AY75" s="206"/>
      <c r="AZ75" s="206"/>
    </row>
    <row r="76" spans="2:53" s="87" customFormat="1" ht="13.15" hidden="1" customHeight="1">
      <c r="B76" s="205"/>
      <c r="S76" s="22"/>
      <c r="T76" s="137" t="b">
        <v>1</v>
      </c>
      <c r="U76" s="137"/>
      <c r="V76" s="137"/>
      <c r="W76" s="137" t="b">
        <v>1</v>
      </c>
      <c r="X76" s="229" t="b">
        <f t="shared" si="0"/>
        <v>1</v>
      </c>
      <c r="Y76" s="137"/>
      <c r="Z76" s="137"/>
      <c r="AA76" s="137"/>
      <c r="AB76" s="137"/>
      <c r="AC76" s="137"/>
      <c r="AD76" s="137"/>
      <c r="AE76" s="137"/>
      <c r="AF76" s="137" t="b">
        <v>1</v>
      </c>
      <c r="AG76" s="137"/>
      <c r="AH76" s="137" t="b">
        <v>1</v>
      </c>
      <c r="AI76" s="206"/>
      <c r="AJ76" s="206"/>
      <c r="AK76" s="137"/>
      <c r="AL76" s="137" t="b">
        <v>1</v>
      </c>
      <c r="AM76" s="206"/>
      <c r="AN76" s="229" t="b">
        <f t="shared" si="1"/>
        <v>1</v>
      </c>
      <c r="AO76" s="206"/>
      <c r="AP76" s="206"/>
      <c r="AQ76" s="206"/>
      <c r="AR76" s="206"/>
      <c r="AS76" s="206"/>
      <c r="AT76" s="206"/>
      <c r="AU76" s="137"/>
      <c r="AV76" s="137"/>
      <c r="AW76" s="137"/>
      <c r="AX76" s="206"/>
      <c r="AY76" s="206"/>
      <c r="AZ76" s="206"/>
    </row>
    <row r="77" spans="2:53" s="87" customFormat="1" ht="13.15" hidden="1" customHeight="1">
      <c r="B77" s="205"/>
      <c r="S77" s="22"/>
      <c r="T77" s="137" t="b">
        <v>1</v>
      </c>
      <c r="U77" s="137"/>
      <c r="V77" s="137"/>
      <c r="W77" s="137" t="b">
        <v>1</v>
      </c>
      <c r="X77" s="229" t="b">
        <f t="shared" si="0"/>
        <v>1</v>
      </c>
      <c r="Y77" s="137"/>
      <c r="Z77" s="137"/>
      <c r="AA77" s="137"/>
      <c r="AB77" s="137"/>
      <c r="AC77" s="137"/>
      <c r="AD77" s="137"/>
      <c r="AE77" s="137"/>
      <c r="AF77" s="137" t="b">
        <v>1</v>
      </c>
      <c r="AG77" s="137"/>
      <c r="AH77" s="137" t="b">
        <v>1</v>
      </c>
      <c r="AI77" s="206"/>
      <c r="AJ77" s="206"/>
      <c r="AK77" s="137"/>
      <c r="AL77" s="137" t="b">
        <v>1</v>
      </c>
      <c r="AM77" s="206"/>
      <c r="AN77" s="229" t="b">
        <f t="shared" si="1"/>
        <v>1</v>
      </c>
      <c r="AO77" s="206"/>
      <c r="AP77" s="206"/>
      <c r="AQ77" s="206"/>
      <c r="AR77" s="206"/>
      <c r="AS77" s="206"/>
      <c r="AT77" s="206"/>
      <c r="AU77" s="137"/>
      <c r="AV77" s="137"/>
      <c r="AW77" s="137"/>
      <c r="AX77" s="206"/>
      <c r="AY77" s="206"/>
      <c r="AZ77" s="206"/>
    </row>
    <row r="78" spans="2:53" s="87" customFormat="1" ht="13.15" hidden="1" customHeight="1">
      <c r="B78" s="205"/>
      <c r="S78" s="22"/>
      <c r="T78" s="137" t="b">
        <v>1</v>
      </c>
      <c r="U78" s="137"/>
      <c r="V78" s="137"/>
      <c r="W78" s="137" t="b">
        <v>1</v>
      </c>
      <c r="X78" s="229" t="b">
        <f t="shared" si="0"/>
        <v>1</v>
      </c>
      <c r="Y78" s="137"/>
      <c r="Z78" s="137"/>
      <c r="AA78" s="137"/>
      <c r="AB78" s="137"/>
      <c r="AC78" s="137"/>
      <c r="AD78" s="137"/>
      <c r="AE78" s="137"/>
      <c r="AF78" s="137" t="b">
        <v>1</v>
      </c>
      <c r="AG78" s="137"/>
      <c r="AH78" s="137" t="b">
        <v>1</v>
      </c>
      <c r="AI78" s="206"/>
      <c r="AJ78" s="206"/>
      <c r="AK78" s="137"/>
      <c r="AL78" s="137" t="b">
        <v>1</v>
      </c>
      <c r="AM78" s="206"/>
      <c r="AN78" s="229" t="b">
        <f t="shared" si="1"/>
        <v>1</v>
      </c>
      <c r="AO78" s="206"/>
      <c r="AP78" s="206"/>
      <c r="AQ78" s="206"/>
      <c r="AR78" s="206"/>
      <c r="AS78" s="206"/>
      <c r="AT78" s="206"/>
      <c r="AU78" s="137"/>
      <c r="AV78" s="137"/>
      <c r="AW78" s="137"/>
      <c r="AX78" s="206"/>
      <c r="AY78" s="206"/>
      <c r="AZ78" s="206"/>
    </row>
    <row r="79" spans="2:53" s="87" customFormat="1" ht="13.15" hidden="1" customHeight="1">
      <c r="B79" s="205"/>
      <c r="S79" s="22"/>
      <c r="T79" s="137" t="b">
        <v>1</v>
      </c>
      <c r="U79" s="137"/>
      <c r="V79" s="137"/>
      <c r="W79" s="137" t="b">
        <v>1</v>
      </c>
      <c r="X79" s="229" t="b">
        <f t="shared" si="0"/>
        <v>1</v>
      </c>
      <c r="Y79" s="137"/>
      <c r="Z79" s="137"/>
      <c r="AA79" s="137"/>
      <c r="AB79" s="137"/>
      <c r="AC79" s="137"/>
      <c r="AD79" s="137"/>
      <c r="AE79" s="137"/>
      <c r="AF79" s="137" t="b">
        <v>1</v>
      </c>
      <c r="AG79" s="137"/>
      <c r="AH79" s="137" t="b">
        <v>1</v>
      </c>
      <c r="AI79" s="206"/>
      <c r="AJ79" s="206"/>
      <c r="AK79" s="137"/>
      <c r="AL79" s="137" t="b">
        <v>1</v>
      </c>
      <c r="AM79" s="206"/>
      <c r="AN79" s="229" t="b">
        <f t="shared" si="1"/>
        <v>1</v>
      </c>
      <c r="AO79" s="206"/>
      <c r="AP79" s="206"/>
      <c r="AQ79" s="206"/>
      <c r="AR79" s="206"/>
      <c r="AS79" s="206"/>
      <c r="AT79" s="206"/>
      <c r="AU79" s="137"/>
      <c r="AV79" s="137"/>
      <c r="AW79" s="137"/>
      <c r="AX79" s="206"/>
      <c r="AY79" s="206"/>
      <c r="AZ79" s="206"/>
    </row>
    <row r="80" spans="2:53" s="87" customFormat="1" ht="13.15" hidden="1" customHeight="1">
      <c r="B80" s="205"/>
      <c r="S80" s="22"/>
      <c r="T80" s="137" t="b">
        <v>1</v>
      </c>
      <c r="U80" s="137"/>
      <c r="V80" s="137"/>
      <c r="W80" s="137" t="b">
        <v>1</v>
      </c>
      <c r="X80" s="229" t="b">
        <f t="shared" si="0"/>
        <v>1</v>
      </c>
      <c r="Y80" s="137"/>
      <c r="Z80" s="137"/>
      <c r="AA80" s="137"/>
      <c r="AB80" s="137"/>
      <c r="AC80" s="137"/>
      <c r="AD80" s="137"/>
      <c r="AE80" s="137"/>
      <c r="AF80" s="137" t="b">
        <v>1</v>
      </c>
      <c r="AG80" s="137"/>
      <c r="AH80" s="137" t="b">
        <v>1</v>
      </c>
      <c r="AI80" s="206"/>
      <c r="AJ80" s="206"/>
      <c r="AK80" s="137"/>
      <c r="AL80" s="137" t="b">
        <v>1</v>
      </c>
      <c r="AM80" s="206"/>
      <c r="AN80" s="229" t="b">
        <f t="shared" si="1"/>
        <v>1</v>
      </c>
      <c r="AO80" s="206"/>
      <c r="AP80" s="206"/>
      <c r="AQ80" s="206"/>
      <c r="AR80" s="206"/>
      <c r="AS80" s="206"/>
      <c r="AT80" s="206"/>
      <c r="AU80" s="137"/>
      <c r="AV80" s="137"/>
      <c r="AW80" s="137"/>
      <c r="AX80" s="206"/>
      <c r="AY80" s="206"/>
      <c r="AZ80" s="206"/>
    </row>
    <row r="81" spans="2:64" s="87" customFormat="1" ht="13.15" hidden="1" customHeight="1">
      <c r="B81" s="205"/>
      <c r="S81" s="22"/>
      <c r="T81" s="137" t="b">
        <v>1</v>
      </c>
      <c r="U81" s="137"/>
      <c r="V81" s="137"/>
      <c r="W81" s="137" t="b">
        <v>1</v>
      </c>
      <c r="X81" s="229" t="b">
        <f t="shared" si="0"/>
        <v>1</v>
      </c>
      <c r="Y81" s="137"/>
      <c r="Z81" s="137"/>
      <c r="AA81" s="137"/>
      <c r="AB81" s="137"/>
      <c r="AC81" s="137"/>
      <c r="AD81" s="137"/>
      <c r="AE81" s="137"/>
      <c r="AF81" s="137" t="b">
        <v>1</v>
      </c>
      <c r="AG81" s="137"/>
      <c r="AH81" s="137" t="b">
        <v>1</v>
      </c>
      <c r="AI81" s="206"/>
      <c r="AJ81" s="206"/>
      <c r="AK81" s="137"/>
      <c r="AL81" s="137" t="b">
        <v>1</v>
      </c>
      <c r="AM81" s="206"/>
      <c r="AN81" s="229" t="b">
        <f t="shared" si="1"/>
        <v>1</v>
      </c>
      <c r="AO81" s="206"/>
      <c r="AP81" s="206"/>
      <c r="AQ81" s="206"/>
      <c r="AR81" s="206"/>
      <c r="AS81" s="206"/>
      <c r="AT81" s="206"/>
      <c r="AU81" s="137"/>
      <c r="AV81" s="137"/>
      <c r="AW81" s="137"/>
      <c r="AX81" s="206"/>
      <c r="AY81" s="206"/>
      <c r="AZ81" s="206"/>
    </row>
    <row r="82" spans="2:64" s="87" customFormat="1" ht="13.15" hidden="1" customHeight="1">
      <c r="B82" s="205"/>
      <c r="S82" s="22"/>
      <c r="T82" s="137" t="b">
        <v>1</v>
      </c>
      <c r="U82" s="137"/>
      <c r="V82" s="137"/>
      <c r="W82" s="137" t="b">
        <v>1</v>
      </c>
      <c r="X82" s="229" t="b">
        <f t="shared" si="0"/>
        <v>1</v>
      </c>
      <c r="Y82" s="137"/>
      <c r="Z82" s="137"/>
      <c r="AA82" s="137"/>
      <c r="AB82" s="137"/>
      <c r="AC82" s="137"/>
      <c r="AD82" s="137"/>
      <c r="AE82" s="137"/>
      <c r="AF82" s="137" t="b">
        <v>1</v>
      </c>
      <c r="AG82" s="137"/>
      <c r="AH82" s="137" t="b">
        <v>1</v>
      </c>
      <c r="AI82" s="206"/>
      <c r="AJ82" s="206"/>
      <c r="AK82" s="137"/>
      <c r="AL82" s="137" t="b">
        <v>1</v>
      </c>
      <c r="AM82" s="206"/>
      <c r="AN82" s="229" t="b">
        <f t="shared" si="1"/>
        <v>1</v>
      </c>
      <c r="AO82" s="206"/>
      <c r="AP82" s="206"/>
      <c r="AQ82" s="206"/>
      <c r="AR82" s="206"/>
      <c r="AS82" s="206"/>
      <c r="AT82" s="206"/>
      <c r="AU82" s="137"/>
      <c r="AV82" s="137"/>
      <c r="AW82" s="137"/>
      <c r="AX82" s="206"/>
      <c r="AY82" s="206"/>
      <c r="AZ82" s="206"/>
    </row>
    <row r="83" spans="2:64" s="87" customFormat="1" ht="13.15" hidden="1" customHeight="1">
      <c r="B83" s="205"/>
      <c r="S83" s="22"/>
      <c r="T83" s="137" t="b">
        <v>1</v>
      </c>
      <c r="U83" s="137"/>
      <c r="V83" s="137"/>
      <c r="W83" s="137" t="b">
        <v>1</v>
      </c>
      <c r="X83" s="229" t="b">
        <f t="shared" si="0"/>
        <v>1</v>
      </c>
      <c r="Y83" s="137"/>
      <c r="Z83" s="137"/>
      <c r="AA83" s="137"/>
      <c r="AB83" s="137"/>
      <c r="AC83" s="137"/>
      <c r="AD83" s="137"/>
      <c r="AE83" s="137"/>
      <c r="AF83" s="137" t="b">
        <v>1</v>
      </c>
      <c r="AG83" s="137"/>
      <c r="AH83" s="137" t="b">
        <v>1</v>
      </c>
      <c r="AI83" s="206"/>
      <c r="AJ83" s="206"/>
      <c r="AK83" s="137"/>
      <c r="AL83" s="137" t="b">
        <v>1</v>
      </c>
      <c r="AM83" s="206"/>
      <c r="AN83" s="229" t="b">
        <f t="shared" si="1"/>
        <v>1</v>
      </c>
      <c r="AO83" s="206"/>
      <c r="AP83" s="206"/>
      <c r="AQ83" s="206"/>
      <c r="AR83" s="206"/>
      <c r="AS83" s="206"/>
      <c r="AT83" s="206"/>
      <c r="AU83" s="137"/>
      <c r="AV83" s="137"/>
      <c r="AW83" s="137"/>
      <c r="AX83" s="206"/>
      <c r="AY83" s="206"/>
      <c r="AZ83" s="206"/>
    </row>
    <row r="84" spans="2:64" s="87" customFormat="1" ht="13.15" hidden="1" customHeight="1">
      <c r="B84" s="205"/>
      <c r="S84" s="22"/>
      <c r="T84" s="137" t="b">
        <v>1</v>
      </c>
      <c r="U84" s="137"/>
      <c r="V84" s="137"/>
      <c r="W84" s="137" t="b">
        <v>1</v>
      </c>
      <c r="X84" s="229" t="b">
        <f t="shared" si="0"/>
        <v>1</v>
      </c>
      <c r="Y84" s="137"/>
      <c r="Z84" s="137"/>
      <c r="AA84" s="137"/>
      <c r="AB84" s="137"/>
      <c r="AC84" s="137"/>
      <c r="AD84" s="137"/>
      <c r="AE84" s="137"/>
      <c r="AF84" s="137" t="b">
        <v>1</v>
      </c>
      <c r="AG84" s="137"/>
      <c r="AH84" s="137" t="b">
        <v>1</v>
      </c>
      <c r="AI84" s="206"/>
      <c r="AJ84" s="206"/>
      <c r="AK84" s="137"/>
      <c r="AL84" s="137" t="b">
        <v>1</v>
      </c>
      <c r="AM84" s="206"/>
      <c r="AN84" s="229" t="b">
        <f t="shared" si="1"/>
        <v>1</v>
      </c>
      <c r="AO84" s="206"/>
      <c r="AP84" s="206"/>
      <c r="AQ84" s="206"/>
      <c r="AR84" s="206"/>
      <c r="AS84" s="206"/>
      <c r="AT84" s="206"/>
      <c r="AU84" s="137"/>
      <c r="AV84" s="137"/>
      <c r="AW84" s="137"/>
      <c r="AX84" s="206"/>
      <c r="AY84" s="206"/>
      <c r="AZ84" s="206"/>
    </row>
    <row r="85" spans="2:64" s="87" customFormat="1" ht="13.15" hidden="1" customHeight="1">
      <c r="B85" s="205"/>
      <c r="S85" s="22"/>
      <c r="T85" s="137" t="b">
        <v>1</v>
      </c>
      <c r="U85" s="137"/>
      <c r="V85" s="137"/>
      <c r="W85" s="137" t="b">
        <v>1</v>
      </c>
      <c r="X85" s="229" t="b">
        <f t="shared" si="0"/>
        <v>1</v>
      </c>
      <c r="Y85" s="137"/>
      <c r="Z85" s="137"/>
      <c r="AA85" s="137"/>
      <c r="AB85" s="137"/>
      <c r="AC85" s="137"/>
      <c r="AD85" s="137"/>
      <c r="AE85" s="137"/>
      <c r="AF85" s="137" t="b">
        <v>1</v>
      </c>
      <c r="AG85" s="137"/>
      <c r="AH85" s="137" t="b">
        <v>1</v>
      </c>
      <c r="AI85" s="206"/>
      <c r="AJ85" s="206"/>
      <c r="AK85" s="137"/>
      <c r="AL85" s="137" t="b">
        <v>1</v>
      </c>
      <c r="AM85" s="206"/>
      <c r="AN85" s="229" t="b">
        <f t="shared" si="1"/>
        <v>1</v>
      </c>
      <c r="AO85" s="206"/>
      <c r="AP85" s="206"/>
      <c r="AQ85" s="206"/>
      <c r="AR85" s="206"/>
      <c r="AS85" s="206"/>
      <c r="AT85" s="206"/>
      <c r="AU85" s="137"/>
      <c r="AV85" s="137"/>
      <c r="AW85" s="137"/>
      <c r="AX85" s="206"/>
      <c r="AY85" s="206"/>
      <c r="AZ85" s="206"/>
    </row>
    <row r="86" spans="2:64" s="87" customFormat="1" ht="13.15" hidden="1" customHeight="1">
      <c r="B86" s="205"/>
      <c r="S86" s="22"/>
      <c r="T86" s="137" t="b">
        <v>1</v>
      </c>
      <c r="U86" s="137"/>
      <c r="V86" s="137"/>
      <c r="W86" s="137" t="b">
        <v>1</v>
      </c>
      <c r="X86" s="229" t="b">
        <f t="shared" si="0"/>
        <v>1</v>
      </c>
      <c r="Y86" s="137"/>
      <c r="Z86" s="137"/>
      <c r="AA86" s="137"/>
      <c r="AB86" s="137"/>
      <c r="AC86" s="137"/>
      <c r="AD86" s="137"/>
      <c r="AE86" s="137"/>
      <c r="AF86" s="137" t="b">
        <v>1</v>
      </c>
      <c r="AG86" s="137"/>
      <c r="AH86" s="137" t="b">
        <v>1</v>
      </c>
      <c r="AI86" s="206"/>
      <c r="AJ86" s="206"/>
      <c r="AK86" s="137"/>
      <c r="AL86" s="137" t="b">
        <v>1</v>
      </c>
      <c r="AM86" s="206"/>
      <c r="AN86" s="229" t="b">
        <f t="shared" si="1"/>
        <v>1</v>
      </c>
      <c r="AO86" s="206"/>
      <c r="AP86" s="206"/>
      <c r="AQ86" s="206"/>
      <c r="AR86" s="206"/>
      <c r="AS86" s="206"/>
      <c r="AT86" s="206"/>
      <c r="AU86" s="137"/>
      <c r="AV86" s="137"/>
      <c r="AW86" s="137"/>
      <c r="AX86" s="206"/>
      <c r="AY86" s="206"/>
      <c r="AZ86" s="206"/>
    </row>
    <row r="87" spans="2:64" s="87" customFormat="1" ht="13.15" hidden="1" customHeight="1">
      <c r="B87" s="205"/>
      <c r="S87" s="22"/>
      <c r="T87" s="137" t="b">
        <v>1</v>
      </c>
      <c r="U87" s="137"/>
      <c r="V87" s="137"/>
      <c r="W87" s="137" t="b">
        <v>1</v>
      </c>
      <c r="X87" s="229" t="b">
        <f t="shared" si="0"/>
        <v>1</v>
      </c>
      <c r="Y87" s="137"/>
      <c r="Z87" s="137"/>
      <c r="AA87" s="137"/>
      <c r="AB87" s="137"/>
      <c r="AC87" s="137"/>
      <c r="AD87" s="137"/>
      <c r="AE87" s="137"/>
      <c r="AF87" s="137" t="b">
        <v>1</v>
      </c>
      <c r="AG87" s="137"/>
      <c r="AH87" s="137" t="b">
        <v>1</v>
      </c>
      <c r="AI87" s="206"/>
      <c r="AJ87" s="206"/>
      <c r="AK87" s="137"/>
      <c r="AL87" s="137" t="b">
        <v>1</v>
      </c>
      <c r="AM87" s="206"/>
      <c r="AN87" s="229" t="b">
        <f t="shared" si="1"/>
        <v>1</v>
      </c>
      <c r="AO87" s="206"/>
      <c r="AP87" s="206"/>
      <c r="AQ87" s="206"/>
      <c r="AR87" s="206"/>
      <c r="AS87" s="206"/>
      <c r="AT87" s="206"/>
      <c r="AU87" s="137"/>
      <c r="AV87" s="137"/>
      <c r="AW87" s="137"/>
      <c r="AX87" s="206"/>
      <c r="AY87" s="206"/>
      <c r="AZ87" s="206"/>
    </row>
    <row r="88" spans="2:64" s="87" customFormat="1" ht="13.15" hidden="1" customHeight="1">
      <c r="B88" s="205"/>
      <c r="S88" s="22"/>
      <c r="T88" s="137" t="b">
        <v>1</v>
      </c>
      <c r="U88" s="137"/>
      <c r="V88" s="137"/>
      <c r="W88" s="137" t="b">
        <v>1</v>
      </c>
      <c r="X88" s="229" t="b">
        <f t="shared" si="0"/>
        <v>1</v>
      </c>
      <c r="Y88" s="137"/>
      <c r="Z88" s="137"/>
      <c r="AA88" s="137"/>
      <c r="AB88" s="137"/>
      <c r="AC88" s="137"/>
      <c r="AD88" s="137"/>
      <c r="AE88" s="137"/>
      <c r="AF88" s="137" t="b">
        <v>1</v>
      </c>
      <c r="AG88" s="137"/>
      <c r="AH88" s="137" t="b">
        <v>1</v>
      </c>
      <c r="AI88" s="206"/>
      <c r="AJ88" s="206"/>
      <c r="AK88" s="137"/>
      <c r="AL88" s="137" t="b">
        <v>1</v>
      </c>
      <c r="AM88" s="206"/>
      <c r="AN88" s="229" t="b">
        <f t="shared" si="1"/>
        <v>1</v>
      </c>
      <c r="AO88" s="206"/>
      <c r="AP88" s="206"/>
      <c r="AQ88" s="206"/>
      <c r="AR88" s="206"/>
      <c r="AS88" s="206"/>
      <c r="AT88" s="206"/>
      <c r="AU88" s="137"/>
      <c r="AV88" s="137"/>
      <c r="AW88" s="137"/>
      <c r="AX88" s="206"/>
      <c r="AY88" s="206"/>
      <c r="AZ88" s="206"/>
    </row>
    <row r="89" spans="2:64" s="87" customFormat="1" ht="13.15" hidden="1" customHeight="1">
      <c r="B89" s="205"/>
      <c r="S89" s="22"/>
      <c r="T89" s="137" t="b">
        <v>1</v>
      </c>
      <c r="U89" s="137"/>
      <c r="V89" s="137"/>
      <c r="W89" s="137" t="b">
        <v>1</v>
      </c>
      <c r="X89" s="229" t="b">
        <f t="shared" si="0"/>
        <v>1</v>
      </c>
      <c r="Y89" s="137"/>
      <c r="Z89" s="137"/>
      <c r="AA89" s="137"/>
      <c r="AB89" s="137"/>
      <c r="AC89" s="137"/>
      <c r="AD89" s="137"/>
      <c r="AE89" s="137"/>
      <c r="AF89" s="137" t="b">
        <v>1</v>
      </c>
      <c r="AG89" s="137"/>
      <c r="AH89" s="137" t="b">
        <v>1</v>
      </c>
      <c r="AI89" s="206"/>
      <c r="AJ89" s="206"/>
      <c r="AK89" s="137"/>
      <c r="AL89" s="137" t="b">
        <v>1</v>
      </c>
      <c r="AM89" s="206"/>
      <c r="AN89" s="229" t="b">
        <f t="shared" si="1"/>
        <v>1</v>
      </c>
      <c r="AO89" s="206"/>
      <c r="AP89" s="206"/>
      <c r="AQ89" s="206"/>
      <c r="AR89" s="206"/>
      <c r="AS89" s="206"/>
      <c r="AT89" s="206"/>
      <c r="AU89" s="137"/>
      <c r="AV89" s="137"/>
      <c r="AW89" s="137"/>
      <c r="AX89" s="206"/>
      <c r="AY89" s="206"/>
      <c r="AZ89" s="206"/>
    </row>
    <row r="90" spans="2:64" s="87" customFormat="1" ht="13.15" hidden="1" customHeight="1">
      <c r="B90" s="205"/>
      <c r="S90" s="22"/>
      <c r="T90" s="137" t="b">
        <v>1</v>
      </c>
      <c r="U90" s="137"/>
      <c r="V90" s="137"/>
      <c r="W90" s="137" t="b">
        <v>1</v>
      </c>
      <c r="X90" s="229" t="b">
        <f t="shared" si="0"/>
        <v>1</v>
      </c>
      <c r="Y90" s="137"/>
      <c r="Z90" s="137"/>
      <c r="AA90" s="137"/>
      <c r="AB90" s="137"/>
      <c r="AC90" s="137"/>
      <c r="AD90" s="137"/>
      <c r="AE90" s="137"/>
      <c r="AF90" s="137" t="b">
        <v>1</v>
      </c>
      <c r="AG90" s="137"/>
      <c r="AH90" s="137" t="b">
        <v>1</v>
      </c>
      <c r="AI90" s="206"/>
      <c r="AJ90" s="206"/>
      <c r="AK90" s="137"/>
      <c r="AL90" s="137" t="b">
        <v>1</v>
      </c>
      <c r="AM90" s="206"/>
      <c r="AN90" s="229" t="b">
        <f t="shared" si="1"/>
        <v>1</v>
      </c>
      <c r="AO90" s="206"/>
      <c r="AP90" s="206"/>
      <c r="AQ90" s="206"/>
      <c r="AR90" s="206"/>
      <c r="AS90" s="206"/>
      <c r="AT90" s="206"/>
      <c r="AU90" s="137"/>
      <c r="AV90" s="137"/>
      <c r="AW90" s="137"/>
      <c r="AX90" s="206"/>
      <c r="AY90" s="206"/>
      <c r="AZ90" s="206"/>
    </row>
    <row r="91" spans="2:64" s="87" customFormat="1" ht="13.15" hidden="1" customHeight="1">
      <c r="B91" s="205"/>
      <c r="S91" s="22"/>
      <c r="T91" s="137" t="b">
        <v>1</v>
      </c>
      <c r="U91" s="137"/>
      <c r="V91" s="137"/>
      <c r="W91" s="137" t="b">
        <v>1</v>
      </c>
      <c r="X91" s="229" t="b">
        <f t="shared" si="0"/>
        <v>1</v>
      </c>
      <c r="Y91" s="137"/>
      <c r="Z91" s="137"/>
      <c r="AA91" s="137"/>
      <c r="AB91" s="137"/>
      <c r="AC91" s="137"/>
      <c r="AD91" s="137"/>
      <c r="AE91" s="137"/>
      <c r="AF91" s="137" t="b">
        <v>1</v>
      </c>
      <c r="AG91" s="137"/>
      <c r="AH91" s="137" t="b">
        <v>1</v>
      </c>
      <c r="AI91" s="206"/>
      <c r="AJ91" s="206"/>
      <c r="AK91" s="137"/>
      <c r="AL91" s="137" t="b">
        <v>1</v>
      </c>
      <c r="AM91" s="206"/>
      <c r="AN91" s="229" t="b">
        <f t="shared" si="1"/>
        <v>1</v>
      </c>
      <c r="AO91" s="206"/>
      <c r="AP91" s="206"/>
      <c r="AQ91" s="206"/>
      <c r="AR91" s="206"/>
      <c r="AS91" s="206"/>
      <c r="AT91" s="206"/>
      <c r="AU91" s="137"/>
      <c r="AV91" s="137"/>
      <c r="AW91" s="137"/>
      <c r="AY91" s="206"/>
      <c r="AZ91" s="206"/>
    </row>
    <row r="92" spans="2:64" s="87" customFormat="1" ht="13.15" hidden="1" customHeight="1">
      <c r="B92" s="205"/>
      <c r="S92" s="22"/>
      <c r="T92" s="768" t="str">
        <f>IF(AND(COUNTIF(AF66:AF91,FALSE)=0,COUNTIF(_xlfn.ANCHORARRAY(T66),"FALSE")=0),"貴社における雇用形態名を「貴社」欄に入力してください。"&amp;CHAR(10)&amp;"「変換後」欄から該当する雇用形態を選択してください。","")</f>
        <v>貴社における雇用形態名を「貴社」欄に入力してください。
「変換後」欄から該当する雇用形態を選択してください。</v>
      </c>
      <c r="U92" s="768"/>
      <c r="V92" s="768"/>
      <c r="W92" s="768"/>
      <c r="X92" s="768"/>
      <c r="Y92" s="768"/>
      <c r="Z92" s="768"/>
      <c r="AA92" s="768"/>
      <c r="AB92" s="768"/>
      <c r="AC92" s="768"/>
      <c r="AD92" s="768"/>
      <c r="AE92" s="182"/>
      <c r="AF92" s="182"/>
      <c r="AG92" s="182"/>
      <c r="AH92" s="769" t="str">
        <f>IF(AND(COUNTIF(AH66:AH91,"FALSE")=0,COUNTIF(_xlfn.ANCHORARRAY(AL66),FALSE)=0),"貴社における役職名を「貴社」欄に入力してください。"&amp;CHAR(10)&amp;"「変換後」欄から該当する役職級を選択してください。","")</f>
        <v>貴社における役職名を「貴社」欄に入力してください。
「変換後」欄から該当する役職級を選択してください。</v>
      </c>
      <c r="AI92" s="769"/>
      <c r="AJ92" s="769"/>
      <c r="AK92" s="769"/>
      <c r="AL92" s="769"/>
      <c r="AM92" s="769"/>
      <c r="AN92" s="769"/>
      <c r="AO92" s="769"/>
      <c r="AP92" s="769"/>
      <c r="AQ92" s="769"/>
      <c r="AR92" s="769"/>
      <c r="AS92" s="769"/>
      <c r="AT92" s="769"/>
      <c r="AU92" s="769"/>
      <c r="AV92" s="182"/>
      <c r="AW92" s="207"/>
      <c r="AX92" s="768" t="str">
        <f>IF(AND(COUNTIF(_xlfn.ANCHORARRAY(AX66),FALSE)=0,COUNTIF(_xlfn.ANCHORARRAY(AY66),FALSE)=0),"貴社における性別表記名を「貴社」欄に入力してください。"&amp;CHAR(10)&amp;"「変換後」欄から該当する性別表記を選択してください。","")</f>
        <v>貴社における性別表記名を「貴社」欄に入力してください。
「変換後」欄から該当する性別表記を選択してください。</v>
      </c>
      <c r="AY92" s="768"/>
      <c r="AZ92" s="768"/>
      <c r="BA92" s="768"/>
      <c r="BB92" s="768"/>
      <c r="BC92" s="768"/>
      <c r="BD92" s="768"/>
      <c r="BE92" s="768"/>
      <c r="BF92" s="768"/>
      <c r="BG92" s="768"/>
      <c r="BH92" s="768"/>
      <c r="BI92" s="768"/>
      <c r="BJ92" s="768"/>
      <c r="BK92" s="768"/>
      <c r="BL92" s="768"/>
    </row>
    <row r="93" spans="2:64" s="87" customFormat="1" ht="13.15" hidden="1" customHeight="1">
      <c r="B93" s="205"/>
      <c r="S93" s="208"/>
      <c r="T93" s="768" t="str">
        <f>IF(AND(SUBTOTAL(3,'従業員情報(給与以外)'!A:A)=2,'従業員情報(給与以外)'!B4="",'従業員情報(給与以外)'!C4="",'従業員情報(給与以外)'!D4="",'従業員情報(給与以外)'!E4=""),"",IF(COUNTIF(T96:T121,"")&lt;&gt;26,T96&amp;T97&amp;T98&amp;T99&amp;T100&amp;T101&amp;T102&amp;T103&amp;T104&amp;T105&amp;T106&amp;T107&amp;T108&amp;T109&amp;T110&amp;T111&amp;T112&amp;T113&amp;T114&amp;T115&amp;T116&amp;T117&amp;T118&amp;T119&amp;T120&amp;T121&amp;"は、シート［従業員情報（給与以外）］の役職名に存在しません。",""))</f>
        <v/>
      </c>
      <c r="U93" s="768"/>
      <c r="V93" s="768"/>
      <c r="W93" s="768"/>
      <c r="X93" s="768"/>
      <c r="Y93" s="768"/>
      <c r="Z93" s="768"/>
      <c r="AA93" s="768"/>
      <c r="AB93" s="768"/>
      <c r="AC93" s="768"/>
      <c r="AD93" s="768"/>
      <c r="AE93" s="209"/>
      <c r="AF93" s="182"/>
      <c r="AG93" s="182"/>
      <c r="AH93" s="783" t="str">
        <f>IF(AND(SUBTOTAL(3,'従業員情報(給与以外)'!A:A)=2,'従業員情報(給与以外)'!B4="",'従業員情報(給与以外)'!C4="",'従業員情報(給与以外)'!D4="",'従業員情報(給与以外)'!E4=""),"",IF(COUNTIF(AH96:AH121,"")&lt;&gt;26,AH96&amp;AH97&amp;AH98&amp;AH99&amp;AH100&amp;AH101&amp;AH102&amp;AH103&amp;AH104&amp;AH105&amp;AH106&amp;AH107&amp;AH108&amp;AH109&amp;AH110&amp;AH111&amp;AH112&amp;AH113&amp;AH114&amp;AH115&amp;AH116&amp;AH117&amp;AH118&amp;AH119&amp;AH120&amp;AH121&amp;"は、シート［従業員情報（給与以外）］の役職名に存在しません。",""))</f>
        <v/>
      </c>
      <c r="AI93" s="783"/>
      <c r="AJ93" s="783"/>
      <c r="AK93" s="783"/>
      <c r="AL93" s="783"/>
      <c r="AM93" s="783"/>
      <c r="AN93" s="783"/>
      <c r="AO93" s="783"/>
      <c r="AP93" s="783"/>
      <c r="AQ93" s="783"/>
      <c r="AR93" s="783"/>
      <c r="AS93" s="783"/>
      <c r="AT93" s="783"/>
      <c r="AU93" s="783"/>
      <c r="AV93" s="182"/>
      <c r="AW93" s="209"/>
      <c r="AX93" s="768" t="str">
        <f>IF(AND(SUBTOTAL(3,'従業員情報(給与以外)'!A:A)=2,'従業員情報(給与以外)'!B4="",'従業員情報(給与以外)'!C4="",'従業員情報(給与以外)'!D4="",'従業員情報(給与以外)'!E4=""),"",IF(COUNTIF(AX96:AX97,"")=2,"",AX96&amp;IF(OR(AX96="",AX97=""),"",",")&amp;AX97&amp;"の性別表記が、［従業員情報（給与以外）］の性別表記名に存在しません"))</f>
        <v/>
      </c>
      <c r="AY93" s="768"/>
      <c r="AZ93" s="768"/>
      <c r="BA93" s="768"/>
      <c r="BB93" s="768"/>
      <c r="BC93" s="768"/>
      <c r="BD93" s="768"/>
      <c r="BE93" s="768"/>
      <c r="BF93" s="768"/>
      <c r="BG93" s="768"/>
      <c r="BH93" s="768"/>
      <c r="BI93" s="768"/>
      <c r="BJ93" s="768"/>
      <c r="BK93" s="768"/>
      <c r="BL93" s="768"/>
    </row>
    <row r="94" spans="2:64" ht="24" hidden="1" customHeight="1">
      <c r="T94" s="768" t="str">
        <f>IF(COUNTIF(X66:X91,2),"「貴社」欄に雇用形態名の入力漏れがあります。","")</f>
        <v/>
      </c>
      <c r="U94" s="768"/>
      <c r="V94" s="768"/>
      <c r="W94" s="768"/>
      <c r="X94" s="768"/>
      <c r="Y94" s="768"/>
      <c r="Z94" s="768"/>
      <c r="AA94" s="768"/>
      <c r="AB94" s="768"/>
      <c r="AC94" s="768"/>
      <c r="AD94" s="768"/>
      <c r="AE94" s="182"/>
      <c r="AF94" s="182"/>
      <c r="AG94" s="182"/>
      <c r="AH94" s="768" t="str">
        <f>IF(COUNTIF(AN66:AN91,2),"「貴社」欄に役職名の入力漏れがあります。","")</f>
        <v/>
      </c>
      <c r="AI94" s="768"/>
      <c r="AJ94" s="768"/>
      <c r="AK94" s="768"/>
      <c r="AL94" s="768"/>
      <c r="AM94" s="768"/>
      <c r="AN94" s="768"/>
      <c r="AO94" s="768"/>
      <c r="AP94" s="768"/>
      <c r="AQ94" s="768"/>
      <c r="AR94" s="768"/>
      <c r="AS94" s="768"/>
      <c r="AT94" s="768"/>
      <c r="AU94" s="768"/>
      <c r="AV94" s="182"/>
      <c r="AW94" s="182"/>
      <c r="AX94" s="768" t="str">
        <f>IF(COUNTIF(BA66:BA67,2),"「貴社」欄に性別表記名の入力漏れがあります。","")</f>
        <v/>
      </c>
      <c r="AY94" s="768"/>
      <c r="AZ94" s="768"/>
      <c r="BA94" s="768"/>
      <c r="BB94" s="768"/>
      <c r="BC94" s="768"/>
      <c r="BD94" s="768"/>
      <c r="BE94" s="768"/>
      <c r="BF94" s="768"/>
      <c r="BG94" s="768"/>
      <c r="BH94" s="768"/>
      <c r="BI94" s="768"/>
      <c r="BJ94" s="768"/>
      <c r="BK94" s="768"/>
      <c r="BL94" s="768"/>
    </row>
    <row r="95" spans="2:64" hidden="1">
      <c r="T95" s="768" t="str">
        <f>IF(COUNTIF(X66:X91,1),"「変換後」欄に雇用形態の選択漏れがあります。","")</f>
        <v/>
      </c>
      <c r="U95" s="768"/>
      <c r="V95" s="768"/>
      <c r="W95" s="768"/>
      <c r="X95" s="768"/>
      <c r="Y95" s="768"/>
      <c r="Z95" s="768"/>
      <c r="AA95" s="768"/>
      <c r="AB95" s="768"/>
      <c r="AC95" s="768"/>
      <c r="AD95" s="768"/>
      <c r="AE95" s="182"/>
      <c r="AF95" s="182"/>
      <c r="AG95" s="182"/>
      <c r="AH95" s="768" t="str">
        <f>IF(COUNTIF(AN66:AN91,1),"「変換後」欄に役職級の選択漏れがあります。","")</f>
        <v/>
      </c>
      <c r="AI95" s="768"/>
      <c r="AJ95" s="768"/>
      <c r="AK95" s="768"/>
      <c r="AL95" s="768"/>
      <c r="AM95" s="768"/>
      <c r="AN95" s="768"/>
      <c r="AO95" s="768"/>
      <c r="AP95" s="768"/>
      <c r="AQ95" s="768"/>
      <c r="AR95" s="768"/>
      <c r="AS95" s="768"/>
      <c r="AT95" s="768"/>
      <c r="AU95" s="768"/>
      <c r="AV95" s="182"/>
      <c r="AW95" s="182"/>
      <c r="AX95" s="768" t="str">
        <f>IF(COUNTIF(BA66:BA67,1),"「変換後」欄に性別表記の選択漏れがあります。","")</f>
        <v/>
      </c>
      <c r="AY95" s="768"/>
      <c r="AZ95" s="768"/>
      <c r="BA95" s="768"/>
      <c r="BB95" s="768"/>
      <c r="BC95" s="768"/>
      <c r="BD95" s="768"/>
      <c r="BE95" s="768"/>
      <c r="BF95" s="768"/>
      <c r="BG95" s="768"/>
      <c r="BH95" s="768"/>
      <c r="BI95" s="768"/>
      <c r="BJ95" s="768"/>
      <c r="BK95" s="768"/>
      <c r="BL95" s="768"/>
    </row>
    <row r="96" spans="2:64" hidden="1">
      <c r="R96" s="22">
        <v>25</v>
      </c>
      <c r="S96" s="208">
        <v>1</v>
      </c>
      <c r="T96" s="135" t="str">
        <f>IF(AND(AF66=FALSE,COUNTIF('従業員情報(給与以外)'!$B:$B,入力シート!S37)=0),"「"&amp;S37&amp;"」","")</f>
        <v/>
      </c>
      <c r="U96" s="138"/>
      <c r="AE96" s="208">
        <v>1</v>
      </c>
      <c r="AH96" s="138" t="str">
        <f>IF(AND(AH66=FALSE,COUNTIF('従業員情報(給与以外)'!$E:$E,入力シート!AH37)=0),"「"&amp;AH37&amp;"」","")</f>
        <v/>
      </c>
      <c r="AW96" s="208">
        <v>1</v>
      </c>
      <c r="AX96" s="135" t="str">
        <f>IF(AND(AX66=FALSE,COUNTIF('従業員情報(給与以外)'!$D:$D,入力シート!AW37)=0),"「"&amp;AW37&amp;"」","")</f>
        <v/>
      </c>
    </row>
    <row r="97" spans="18:50" hidden="1">
      <c r="R97" s="22">
        <v>24</v>
      </c>
      <c r="S97" s="208">
        <v>2</v>
      </c>
      <c r="T97" s="135" t="str">
        <f>IF(AND(AF67=FALSE,COUNTIF('従業員情報(給与以外)'!$B:$B,入力シート!S38)=0),"「"&amp;S38&amp;"」","")</f>
        <v/>
      </c>
      <c r="U97" s="138"/>
      <c r="AE97" s="208">
        <v>2</v>
      </c>
      <c r="AH97" s="138" t="str">
        <f>IF(AND(AH67=FALSE,COUNTIF('従業員情報(給与以外)'!$E:$E,入力シート!AH38)=0),"「"&amp;AH38&amp;"」","")</f>
        <v/>
      </c>
      <c r="AW97" s="208">
        <v>2</v>
      </c>
      <c r="AX97" s="135" t="str">
        <f>IF(AND(AX67=FALSE,COUNTIF('従業員情報(給与以外)'!$D:$D,入力シート!AW38)=0),"「"&amp;AW38&amp;"」","")</f>
        <v/>
      </c>
    </row>
    <row r="98" spans="18:50" hidden="1">
      <c r="R98" s="22">
        <v>23</v>
      </c>
      <c r="S98" s="208">
        <v>3</v>
      </c>
      <c r="T98" s="135" t="str">
        <f>IF(AND(AF68=FALSE,COUNTIF('従業員情報(給与以外)'!$B:$B,入力シート!S39)=0),"「"&amp;S39&amp;"」","")</f>
        <v/>
      </c>
      <c r="U98" s="138"/>
      <c r="AE98" s="208">
        <v>3</v>
      </c>
      <c r="AH98" s="138" t="str">
        <f>IF(AND(AH68=FALSE,COUNTIF('従業員情報(給与以外)'!$E:$E,入力シート!AH39)=0),"「"&amp;AH39&amp;"」","")</f>
        <v/>
      </c>
      <c r="AW98" s="208"/>
    </row>
    <row r="99" spans="18:50" hidden="1">
      <c r="R99" s="22">
        <v>22</v>
      </c>
      <c r="S99" s="208">
        <v>4</v>
      </c>
      <c r="T99" s="135" t="str">
        <f>IF(AND(AF69=FALSE,COUNTIF('従業員情報(給与以外)'!$B:$B,入力シート!S40)=0),"「"&amp;S40&amp;"」","")</f>
        <v/>
      </c>
      <c r="U99" s="138"/>
      <c r="AE99" s="208">
        <v>4</v>
      </c>
      <c r="AH99" s="138" t="str">
        <f>IF(AND(AH69=FALSE,COUNTIF('従業員情報(給与以外)'!$E:$E,入力シート!AH40)=0),"「"&amp;AH40&amp;"」","")</f>
        <v/>
      </c>
      <c r="AW99" s="208"/>
    </row>
    <row r="100" spans="18:50" hidden="1">
      <c r="R100" s="22">
        <v>21</v>
      </c>
      <c r="S100" s="208">
        <v>5</v>
      </c>
      <c r="T100" s="135" t="str">
        <f>IF(AND(AF70=FALSE,COUNTIF('従業員情報(給与以外)'!$B:$B,入力シート!S41)=0),"「"&amp;S41&amp;"」","")</f>
        <v/>
      </c>
      <c r="U100" s="138"/>
      <c r="AE100" s="208">
        <v>5</v>
      </c>
      <c r="AH100" s="138" t="str">
        <f>IF(AND(AH70=FALSE,COUNTIF('従業員情報(給与以外)'!$E:$E,入力シート!AH41)=0),"「"&amp;AH41&amp;"」","")</f>
        <v/>
      </c>
      <c r="AW100" s="208"/>
    </row>
    <row r="101" spans="18:50" hidden="1">
      <c r="R101" s="22">
        <v>20</v>
      </c>
      <c r="S101" s="208">
        <v>6</v>
      </c>
      <c r="T101" s="135" t="str">
        <f>IF(AND(AF71=FALSE,COUNTIF('従業員情報(給与以外)'!$B:$B,入力シート!S42)=0),"「"&amp;S42&amp;"」","")</f>
        <v/>
      </c>
      <c r="U101" s="138"/>
      <c r="AE101" s="208">
        <v>6</v>
      </c>
      <c r="AH101" s="138" t="str">
        <f>IF(AND(AH71=FALSE,COUNTIF('従業員情報(給与以外)'!$E:$E,入力シート!AH42)=0),"「"&amp;AH42&amp;"」","")</f>
        <v/>
      </c>
      <c r="AW101" s="208"/>
    </row>
    <row r="102" spans="18:50" hidden="1">
      <c r="R102" s="22">
        <v>19</v>
      </c>
      <c r="S102" s="208">
        <v>7</v>
      </c>
      <c r="T102" s="135" t="str">
        <f>IF(AND(AF72=FALSE,COUNTIF('従業員情報(給与以外)'!$B:$B,入力シート!S43)=0),"「"&amp;S43&amp;"」","")</f>
        <v/>
      </c>
      <c r="U102" s="138"/>
      <c r="AE102" s="208">
        <v>7</v>
      </c>
      <c r="AH102" s="138" t="str">
        <f>IF(AND(AH72=FALSE,COUNTIF('従業員情報(給与以外)'!$E:$E,入力シート!AH43)=0),"「"&amp;AH43&amp;"」","")</f>
        <v/>
      </c>
      <c r="AW102" s="208"/>
    </row>
    <row r="103" spans="18:50" hidden="1">
      <c r="R103" s="22">
        <v>18</v>
      </c>
      <c r="S103" s="208">
        <v>8</v>
      </c>
      <c r="T103" s="135" t="str">
        <f>IF(AND(AF73=FALSE,COUNTIF('従業員情報(給与以外)'!$B:$B,入力シート!S44)=0),"「"&amp;S44&amp;"」","")</f>
        <v/>
      </c>
      <c r="U103" s="138"/>
      <c r="AE103" s="208">
        <v>8</v>
      </c>
      <c r="AH103" s="138" t="str">
        <f>IF(AND(AH73=FALSE,COUNTIF('従業員情報(給与以外)'!$E:$E,入力シート!AH44)=0),"「"&amp;AH44&amp;"」","")</f>
        <v/>
      </c>
      <c r="AW103" s="208"/>
    </row>
    <row r="104" spans="18:50" hidden="1">
      <c r="R104" s="22">
        <v>17</v>
      </c>
      <c r="S104" s="208">
        <v>9</v>
      </c>
      <c r="T104" s="135" t="str">
        <f>IF(AND(AF74=FALSE,COUNTIF('従業員情報(給与以外)'!$B:$B,入力シート!S45)=0),"「"&amp;S45&amp;"」","")</f>
        <v/>
      </c>
      <c r="U104" s="138"/>
      <c r="AE104" s="208">
        <v>9</v>
      </c>
      <c r="AH104" s="138" t="str">
        <f>IF(AND(AH74=FALSE,COUNTIF('従業員情報(給与以外)'!$E:$E,入力シート!AH45)=0),"「"&amp;AH45&amp;"」","")</f>
        <v/>
      </c>
      <c r="AW104" s="208"/>
    </row>
    <row r="105" spans="18:50" hidden="1">
      <c r="R105" s="22">
        <v>16</v>
      </c>
      <c r="S105" s="208">
        <v>10</v>
      </c>
      <c r="T105" s="135" t="str">
        <f>IF(AND(AF75=FALSE,COUNTIF('従業員情報(給与以外)'!$B:$B,入力シート!S46)=0),"「"&amp;S46&amp;"」","")</f>
        <v/>
      </c>
      <c r="U105" s="138"/>
      <c r="AE105" s="208">
        <v>10</v>
      </c>
      <c r="AH105" s="138" t="str">
        <f>IF(AND(AH75=FALSE,COUNTIF('従業員情報(給与以外)'!$E:$E,入力シート!AH46)=0),"「"&amp;AH46&amp;"」","")</f>
        <v/>
      </c>
      <c r="AW105" s="208"/>
    </row>
    <row r="106" spans="18:50" hidden="1">
      <c r="R106" s="22">
        <v>15</v>
      </c>
      <c r="S106" s="208">
        <v>11</v>
      </c>
      <c r="T106" s="135" t="str">
        <f>IF(AND(AF76=FALSE,COUNTIF('従業員情報(給与以外)'!$B:$B,入力シート!S47)=0),"「"&amp;S47&amp;"」","")</f>
        <v/>
      </c>
      <c r="U106" s="138"/>
      <c r="AE106" s="208">
        <v>11</v>
      </c>
      <c r="AH106" s="138" t="str">
        <f>IF(AND(AH76=FALSE,COUNTIF('従業員情報(給与以外)'!$E:$E,入力シート!AH47)=0),"「"&amp;AH47&amp;"」","")</f>
        <v/>
      </c>
      <c r="AW106" s="208"/>
    </row>
    <row r="107" spans="18:50" hidden="1">
      <c r="R107" s="22">
        <v>14</v>
      </c>
      <c r="S107" s="208">
        <v>12</v>
      </c>
      <c r="T107" s="135" t="str">
        <f>IF(AND(AF77=FALSE,COUNTIF('従業員情報(給与以外)'!$B:$B,入力シート!S48)=0),"「"&amp;S48&amp;"」","")</f>
        <v/>
      </c>
      <c r="U107" s="138"/>
      <c r="AE107" s="208">
        <v>12</v>
      </c>
      <c r="AH107" s="138" t="str">
        <f>IF(AND(AH77=FALSE,COUNTIF('従業員情報(給与以外)'!$E:$E,入力シート!AH48)=0),"「"&amp;AH48&amp;"」","")</f>
        <v/>
      </c>
      <c r="AW107" s="208"/>
    </row>
    <row r="108" spans="18:50" hidden="1">
      <c r="R108" s="22">
        <v>13</v>
      </c>
      <c r="S108" s="208">
        <v>13</v>
      </c>
      <c r="T108" s="135" t="str">
        <f>IF(AND(AF78=FALSE,COUNTIF('従業員情報(給与以外)'!$B:$B,入力シート!S49)=0),"「"&amp;S49&amp;"」","")</f>
        <v/>
      </c>
      <c r="U108" s="138"/>
      <c r="AE108" s="208">
        <v>13</v>
      </c>
      <c r="AH108" s="138" t="str">
        <f>IF(AND(AH78=FALSE,COUNTIF('従業員情報(給与以外)'!$E:$E,入力シート!AH49)=0),"「"&amp;AH49&amp;"」","")</f>
        <v/>
      </c>
      <c r="AW108" s="208"/>
    </row>
    <row r="109" spans="18:50" hidden="1">
      <c r="R109" s="22">
        <v>12</v>
      </c>
      <c r="S109" s="208">
        <v>14</v>
      </c>
      <c r="T109" s="135" t="str">
        <f>IF(AND(AF79=FALSE,COUNTIF('従業員情報(給与以外)'!$B:$B,入力シート!S50)=0),"「"&amp;S50&amp;"」","")</f>
        <v/>
      </c>
      <c r="U109" s="138"/>
      <c r="AE109" s="208">
        <v>14</v>
      </c>
      <c r="AH109" s="138" t="str">
        <f>IF(AND(AH79=FALSE,COUNTIF('従業員情報(給与以外)'!$E:$E,入力シート!AH50)=0),"「"&amp;AH50&amp;"」","")</f>
        <v/>
      </c>
      <c r="AW109" s="208"/>
    </row>
    <row r="110" spans="18:50" hidden="1">
      <c r="R110" s="22">
        <v>11</v>
      </c>
      <c r="S110" s="208">
        <v>15</v>
      </c>
      <c r="T110" s="135" t="str">
        <f>IF(AND(AF80=FALSE,COUNTIF('従業員情報(給与以外)'!$B:$B,入力シート!S51)=0),"「"&amp;S51&amp;"」","")</f>
        <v/>
      </c>
      <c r="U110" s="138"/>
      <c r="AE110" s="208">
        <v>15</v>
      </c>
      <c r="AH110" s="138" t="str">
        <f>IF(AND(AH80=FALSE,COUNTIF('従業員情報(給与以外)'!$E:$E,入力シート!AH51)=0),"「"&amp;AH51&amp;"」","")</f>
        <v/>
      </c>
      <c r="AW110" s="208"/>
    </row>
    <row r="111" spans="18:50" hidden="1">
      <c r="R111" s="22">
        <v>10</v>
      </c>
      <c r="S111" s="208">
        <v>16</v>
      </c>
      <c r="T111" s="135" t="str">
        <f>IF(AND(AF81=FALSE,COUNTIF('従業員情報(給与以外)'!$B:$B,入力シート!S52)=0),"「"&amp;S52&amp;"」","")</f>
        <v/>
      </c>
      <c r="U111" s="138"/>
      <c r="AE111" s="208">
        <v>16</v>
      </c>
      <c r="AH111" s="138" t="str">
        <f>IF(AND(AH81=FALSE,COUNTIF('従業員情報(給与以外)'!$E:$E,入力シート!AH52)=0),"「"&amp;AH52&amp;"」","")</f>
        <v/>
      </c>
      <c r="AW111" s="208"/>
    </row>
    <row r="112" spans="18:50" hidden="1">
      <c r="R112" s="22">
        <v>9</v>
      </c>
      <c r="S112" s="208">
        <v>17</v>
      </c>
      <c r="T112" s="135" t="str">
        <f>IF(AND(AF82=FALSE,COUNTIF('従業員情報(給与以外)'!$B:$B,入力シート!S53)=0),"「"&amp;S53&amp;"」","")</f>
        <v/>
      </c>
      <c r="U112" s="138"/>
      <c r="AE112" s="208">
        <v>17</v>
      </c>
      <c r="AH112" s="138" t="str">
        <f>IF(AND(AH82=FALSE,COUNTIF('従業員情報(給与以外)'!$E:$E,入力シート!AH53)=0),"「"&amp;AH53&amp;"」","")</f>
        <v/>
      </c>
      <c r="AW112" s="208"/>
    </row>
    <row r="113" spans="18:49" hidden="1">
      <c r="R113" s="22">
        <v>8</v>
      </c>
      <c r="S113" s="208">
        <v>18</v>
      </c>
      <c r="T113" s="135" t="str">
        <f>IF(AND(AF83=FALSE,COUNTIF('従業員情報(給与以外)'!$B:$B,入力シート!S54)=0),"「"&amp;S54&amp;"」","")</f>
        <v/>
      </c>
      <c r="U113" s="138"/>
      <c r="AE113" s="208">
        <v>18</v>
      </c>
      <c r="AH113" s="138" t="str">
        <f>IF(AND(AH83=FALSE,COUNTIF('従業員情報(給与以外)'!$E:$E,入力シート!AH54)=0),"「"&amp;AH54&amp;"」","")</f>
        <v/>
      </c>
      <c r="AW113" s="208"/>
    </row>
    <row r="114" spans="18:49" hidden="1">
      <c r="R114" s="22">
        <v>7</v>
      </c>
      <c r="S114" s="208">
        <v>19</v>
      </c>
      <c r="T114" s="135" t="str">
        <f>IF(AND(AF84=FALSE,COUNTIF('従業員情報(給与以外)'!$B:$B,入力シート!S55)=0),"「"&amp;S55&amp;"」","")</f>
        <v/>
      </c>
      <c r="U114" s="138"/>
      <c r="AE114" s="208">
        <v>19</v>
      </c>
      <c r="AH114" s="138" t="str">
        <f>IF(AND(AH84=FALSE,COUNTIF('従業員情報(給与以外)'!$E:$E,入力シート!AH55)=0),"「"&amp;AH55&amp;"」","")</f>
        <v/>
      </c>
      <c r="AW114" s="208"/>
    </row>
    <row r="115" spans="18:49" hidden="1">
      <c r="R115" s="22">
        <v>6</v>
      </c>
      <c r="S115" s="208">
        <v>20</v>
      </c>
      <c r="T115" s="135" t="str">
        <f>IF(AND(AF85=FALSE,COUNTIF('従業員情報(給与以外)'!$B:$B,入力シート!S56)=0),"「"&amp;S56&amp;"」","")</f>
        <v/>
      </c>
      <c r="U115" s="138"/>
      <c r="AE115" s="208">
        <v>20</v>
      </c>
      <c r="AH115" s="138" t="str">
        <f>IF(AND(AH85=FALSE,COUNTIF('従業員情報(給与以外)'!$E:$E,入力シート!AH56)=0),"「"&amp;AH56&amp;"」","")</f>
        <v/>
      </c>
      <c r="AW115" s="208"/>
    </row>
    <row r="116" spans="18:49" hidden="1">
      <c r="R116" s="22">
        <v>5</v>
      </c>
      <c r="S116" s="208">
        <v>21</v>
      </c>
      <c r="T116" s="135" t="str">
        <f>IF(AND(AF86=FALSE,COUNTIF('従業員情報(給与以外)'!$B:$B,入力シート!S57)=0),"「"&amp;S57&amp;"」","")</f>
        <v/>
      </c>
      <c r="U116" s="138"/>
      <c r="AE116" s="208">
        <v>21</v>
      </c>
      <c r="AH116" s="138" t="str">
        <f>IF(AND(AH86=FALSE,COUNTIF('従業員情報(給与以外)'!$E:$E,入力シート!AH57)=0),"「"&amp;AH57&amp;"」","")</f>
        <v/>
      </c>
      <c r="AW116" s="208"/>
    </row>
    <row r="117" spans="18:49" hidden="1">
      <c r="R117" s="22">
        <v>4</v>
      </c>
      <c r="S117" s="208">
        <v>22</v>
      </c>
      <c r="T117" s="135" t="str">
        <f>IF(AND(AF87=FALSE,COUNTIF('従業員情報(給与以外)'!$B:$B,入力シート!S58)=0),"「"&amp;S58&amp;"」","")</f>
        <v/>
      </c>
      <c r="U117" s="138"/>
      <c r="AE117" s="208">
        <v>22</v>
      </c>
      <c r="AH117" s="138" t="str">
        <f>IF(AND(AH87=FALSE,COUNTIF('従業員情報(給与以外)'!$E:$E,入力シート!AH58)=0),"「"&amp;AH58&amp;"」","")</f>
        <v/>
      </c>
      <c r="AW117" s="208"/>
    </row>
    <row r="118" spans="18:49" hidden="1">
      <c r="R118" s="22">
        <v>3</v>
      </c>
      <c r="S118" s="208">
        <v>23</v>
      </c>
      <c r="T118" s="135" t="str">
        <f>IF(AND(AF88=FALSE,COUNTIF('従業員情報(給与以外)'!$B:$B,入力シート!S59)=0),"「"&amp;S59&amp;"」","")</f>
        <v/>
      </c>
      <c r="U118" s="138"/>
      <c r="AE118" s="208">
        <v>23</v>
      </c>
      <c r="AH118" s="138" t="str">
        <f>IF(AND(AH88=FALSE,COUNTIF('従業員情報(給与以外)'!$E:$E,入力シート!AH59)=0),"「"&amp;AH59&amp;"」","")</f>
        <v/>
      </c>
      <c r="AW118" s="208"/>
    </row>
    <row r="119" spans="18:49" hidden="1">
      <c r="R119" s="22">
        <v>2</v>
      </c>
      <c r="S119" s="208">
        <v>24</v>
      </c>
      <c r="T119" s="135" t="str">
        <f>IF(AND(AF89=FALSE,COUNTIF('従業員情報(給与以外)'!$B:$B,入力シート!S60)=0),"「"&amp;S60&amp;"」","")</f>
        <v/>
      </c>
      <c r="U119" s="138"/>
      <c r="AE119" s="208">
        <v>24</v>
      </c>
      <c r="AH119" s="138" t="str">
        <f>IF(AND(AH89=FALSE,COUNTIF('従業員情報(給与以外)'!$E:$E,入力シート!AH60)=0),"「"&amp;AH60&amp;"」","")</f>
        <v/>
      </c>
      <c r="AW119" s="208"/>
    </row>
    <row r="120" spans="18:49" hidden="1">
      <c r="R120" s="22">
        <v>1</v>
      </c>
      <c r="S120" s="208">
        <v>25</v>
      </c>
      <c r="T120" s="135" t="str">
        <f>IF(AND(AF90=FALSE,COUNTIF('従業員情報(給与以外)'!$B:$B,入力シート!S61)=0),"「"&amp;S61&amp;"」","")</f>
        <v/>
      </c>
      <c r="U120" s="138"/>
      <c r="AE120" s="208">
        <v>25</v>
      </c>
      <c r="AH120" s="138" t="str">
        <f>IF(AND(AH90=FALSE,COUNTIF('従業員情報(給与以外)'!$E:$E,入力シート!AH61)=0),"「"&amp;AH61&amp;"」","")</f>
        <v/>
      </c>
      <c r="AW120" s="208"/>
    </row>
    <row r="121" spans="18:49" hidden="1">
      <c r="S121" s="208">
        <v>26</v>
      </c>
      <c r="T121" s="135" t="str">
        <f>IF(AND(AF91=FALSE,COUNTIF('従業員情報(給与以外)'!$B:$B,入力シート!S62)=0),"「"&amp;S62&amp;"」","")</f>
        <v/>
      </c>
      <c r="U121" s="138"/>
      <c r="AE121" s="208">
        <v>26</v>
      </c>
      <c r="AH121" s="138" t="str">
        <f>IF(AND(AH91=FALSE,COUNTIF('従業員情報(給与以外)'!$E:$E,入力シート!AH62)=0),"「"&amp;AH62&amp;"」","")</f>
        <v/>
      </c>
      <c r="AW121" s="208"/>
    </row>
    <row r="143" ht="6" customHeight="1"/>
  </sheetData>
  <sheetProtection algorithmName="SHA-512" hashValue="utbF1i4CgydWiWlZt+srcykqReloUd6KY5Q4MlMDWi2qLa+Nl6Q+RBfqyWQqUZcCJD3NdBo+Qu71cJBDEC78Vw==" saltValue="aKxVCq5ZRpjTJac83YV93A==" spinCount="100000" sheet="1" objects="1" scenarios="1"/>
  <mergeCells count="268">
    <mergeCell ref="BL2:BS3"/>
    <mergeCell ref="C36:P36"/>
    <mergeCell ref="AL40:AO40"/>
    <mergeCell ref="C24:I25"/>
    <mergeCell ref="T9:BG9"/>
    <mergeCell ref="J16:S17"/>
    <mergeCell ref="J11:S11"/>
    <mergeCell ref="AL45:AO45"/>
    <mergeCell ref="W39:Z39"/>
    <mergeCell ref="J35:P35"/>
    <mergeCell ref="J10:S10"/>
    <mergeCell ref="J9:S9"/>
    <mergeCell ref="C22:I23"/>
    <mergeCell ref="J24:S25"/>
    <mergeCell ref="C26:I26"/>
    <mergeCell ref="AH44:AK44"/>
    <mergeCell ref="C33:I33"/>
    <mergeCell ref="H27:I27"/>
    <mergeCell ref="S35:V35"/>
    <mergeCell ref="S34:V34"/>
    <mergeCell ref="J33:P33"/>
    <mergeCell ref="C10:I10"/>
    <mergeCell ref="AL43:AO43"/>
    <mergeCell ref="AL42:AO42"/>
    <mergeCell ref="AL41:AO41"/>
    <mergeCell ref="T11:BG11"/>
    <mergeCell ref="T16:BG16"/>
    <mergeCell ref="T17:BG17"/>
    <mergeCell ref="T18:BG18"/>
    <mergeCell ref="T19:BG19"/>
    <mergeCell ref="T26:BG26"/>
    <mergeCell ref="T25:BG25"/>
    <mergeCell ref="T24:BG24"/>
    <mergeCell ref="T23:BG23"/>
    <mergeCell ref="T22:BG22"/>
    <mergeCell ref="T21:BG21"/>
    <mergeCell ref="T20:BG20"/>
    <mergeCell ref="W38:Z38"/>
    <mergeCell ref="W36:Z36"/>
    <mergeCell ref="W35:Z35"/>
    <mergeCell ref="W34:Z34"/>
    <mergeCell ref="AH35:AK35"/>
    <mergeCell ref="AH34:AK34"/>
    <mergeCell ref="AH33:AO33"/>
    <mergeCell ref="AL35:AO35"/>
    <mergeCell ref="AL34:AO34"/>
    <mergeCell ref="AH36:AK36"/>
    <mergeCell ref="AL38:AO38"/>
    <mergeCell ref="AH50:AK50"/>
    <mergeCell ref="J50:P50"/>
    <mergeCell ref="J49:P49"/>
    <mergeCell ref="J51:K51"/>
    <mergeCell ref="S49:V49"/>
    <mergeCell ref="S50:V50"/>
    <mergeCell ref="S51:V51"/>
    <mergeCell ref="L51:M51"/>
    <mergeCell ref="S52:V52"/>
    <mergeCell ref="W51:Z51"/>
    <mergeCell ref="W50:Z50"/>
    <mergeCell ref="W49:Z49"/>
    <mergeCell ref="BL41:BS47"/>
    <mergeCell ref="AZ37:BB37"/>
    <mergeCell ref="AZ32:BB32"/>
    <mergeCell ref="AW38:AY38"/>
    <mergeCell ref="AW37:AY37"/>
    <mergeCell ref="S33:Z33"/>
    <mergeCell ref="AZ38:BB38"/>
    <mergeCell ref="S32:V32"/>
    <mergeCell ref="AW36:AY36"/>
    <mergeCell ref="AW35:AY35"/>
    <mergeCell ref="AW34:AY34"/>
    <mergeCell ref="AW33:BB33"/>
    <mergeCell ref="AW32:AY32"/>
    <mergeCell ref="W32:Z32"/>
    <mergeCell ref="BC33:BG61"/>
    <mergeCell ref="AL49:AO49"/>
    <mergeCell ref="AL48:AO48"/>
    <mergeCell ref="S44:V44"/>
    <mergeCell ref="S43:V43"/>
    <mergeCell ref="AH45:AK45"/>
    <mergeCell ref="AL46:AO46"/>
    <mergeCell ref="AH46:AK46"/>
    <mergeCell ref="S45:V45"/>
    <mergeCell ref="S37:V37"/>
    <mergeCell ref="BL29:BQ29"/>
    <mergeCell ref="AZ34:BB34"/>
    <mergeCell ref="AZ36:BB36"/>
    <mergeCell ref="AZ35:BB35"/>
    <mergeCell ref="S31:AE31"/>
    <mergeCell ref="AL36:AO36"/>
    <mergeCell ref="U5:BD5"/>
    <mergeCell ref="C5:S5"/>
    <mergeCell ref="C6:D6"/>
    <mergeCell ref="C35:I35"/>
    <mergeCell ref="C9:I9"/>
    <mergeCell ref="C11:I11"/>
    <mergeCell ref="T10:BG10"/>
    <mergeCell ref="C16:I17"/>
    <mergeCell ref="BL4:BS11"/>
    <mergeCell ref="C15:BH15"/>
    <mergeCell ref="J26:S26"/>
    <mergeCell ref="J18:S19"/>
    <mergeCell ref="C18:I19"/>
    <mergeCell ref="J20:S21"/>
    <mergeCell ref="C20:I21"/>
    <mergeCell ref="J22:S23"/>
    <mergeCell ref="C30:BE30"/>
    <mergeCell ref="T93:AD93"/>
    <mergeCell ref="T94:AD94"/>
    <mergeCell ref="T95:AD95"/>
    <mergeCell ref="AL58:AO58"/>
    <mergeCell ref="AL57:AO57"/>
    <mergeCell ref="AL59:AO59"/>
    <mergeCell ref="AH62:AK62"/>
    <mergeCell ref="AH61:AK61"/>
    <mergeCell ref="AH59:AK59"/>
    <mergeCell ref="AH60:AK60"/>
    <mergeCell ref="AH58:AK58"/>
    <mergeCell ref="AH57:AK57"/>
    <mergeCell ref="W60:Z60"/>
    <mergeCell ref="W59:Z59"/>
    <mergeCell ref="W57:Z57"/>
    <mergeCell ref="AH93:AU93"/>
    <mergeCell ref="AH94:AU94"/>
    <mergeCell ref="W58:Z58"/>
    <mergeCell ref="AA33:AE62"/>
    <mergeCell ref="AH43:AK43"/>
    <mergeCell ref="W37:Z37"/>
    <mergeCell ref="AL51:AO51"/>
    <mergeCell ref="AL50:AO50"/>
    <mergeCell ref="W55:Z55"/>
    <mergeCell ref="S62:V62"/>
    <mergeCell ref="S61:V61"/>
    <mergeCell ref="S60:V60"/>
    <mergeCell ref="S59:V59"/>
    <mergeCell ref="S58:V58"/>
    <mergeCell ref="S57:V57"/>
    <mergeCell ref="W62:Z62"/>
    <mergeCell ref="W61:Z61"/>
    <mergeCell ref="T92:AD92"/>
    <mergeCell ref="AX95:BL95"/>
    <mergeCell ref="AX94:BL94"/>
    <mergeCell ref="AX93:BL93"/>
    <mergeCell ref="AX92:BL92"/>
    <mergeCell ref="AH92:AU92"/>
    <mergeCell ref="AL55:AO55"/>
    <mergeCell ref="AL54:AO54"/>
    <mergeCell ref="AH55:AK55"/>
    <mergeCell ref="AH54:AK54"/>
    <mergeCell ref="AP33:AT62"/>
    <mergeCell ref="AH42:AK42"/>
    <mergeCell ref="AH41:AK41"/>
    <mergeCell ref="AH40:AK40"/>
    <mergeCell ref="AH39:AK39"/>
    <mergeCell ref="AH38:AK38"/>
    <mergeCell ref="AH37:AK37"/>
    <mergeCell ref="AH95:AU95"/>
    <mergeCell ref="AH49:AK49"/>
    <mergeCell ref="AH48:AK48"/>
    <mergeCell ref="AH47:AK47"/>
    <mergeCell ref="AL62:AO62"/>
    <mergeCell ref="AL61:AO61"/>
    <mergeCell ref="AL60:AO60"/>
    <mergeCell ref="AH52:AK52"/>
    <mergeCell ref="J37:P37"/>
    <mergeCell ref="J45:P45"/>
    <mergeCell ref="J44:P44"/>
    <mergeCell ref="J43:P43"/>
    <mergeCell ref="J42:P42"/>
    <mergeCell ref="J41:P41"/>
    <mergeCell ref="J40:P40"/>
    <mergeCell ref="C40:I40"/>
    <mergeCell ref="C47:I47"/>
    <mergeCell ref="J38:P38"/>
    <mergeCell ref="C43:I43"/>
    <mergeCell ref="C39:I39"/>
    <mergeCell ref="S39:V39"/>
    <mergeCell ref="S38:V38"/>
    <mergeCell ref="J47:P47"/>
    <mergeCell ref="S54:V54"/>
    <mergeCell ref="C54:I54"/>
    <mergeCell ref="L55:M55"/>
    <mergeCell ref="J54:K54"/>
    <mergeCell ref="N54:O54"/>
    <mergeCell ref="L53:M53"/>
    <mergeCell ref="J53:K53"/>
    <mergeCell ref="P53:Q53"/>
    <mergeCell ref="S53:V53"/>
    <mergeCell ref="S55:V55"/>
    <mergeCell ref="C50:I50"/>
    <mergeCell ref="N53:O53"/>
    <mergeCell ref="J48:P48"/>
    <mergeCell ref="N51:O51"/>
    <mergeCell ref="P51:Q51"/>
    <mergeCell ref="C51:I51"/>
    <mergeCell ref="C52:I53"/>
    <mergeCell ref="P56:Q56"/>
    <mergeCell ref="J56:K56"/>
    <mergeCell ref="N55:O55"/>
    <mergeCell ref="N56:O56"/>
    <mergeCell ref="J55:K55"/>
    <mergeCell ref="L56:M56"/>
    <mergeCell ref="C55:I55"/>
    <mergeCell ref="AL44:AO44"/>
    <mergeCell ref="AL39:AO39"/>
    <mergeCell ref="AL56:AO56"/>
    <mergeCell ref="W48:Z48"/>
    <mergeCell ref="W47:Z47"/>
    <mergeCell ref="W56:Z56"/>
    <mergeCell ref="AH56:AK56"/>
    <mergeCell ref="AL47:AO47"/>
    <mergeCell ref="AH53:AK53"/>
    <mergeCell ref="W53:Z53"/>
    <mergeCell ref="W52:Z52"/>
    <mergeCell ref="W54:Z54"/>
    <mergeCell ref="AL52:AO52"/>
    <mergeCell ref="AL53:AO53"/>
    <mergeCell ref="AH51:AK51"/>
    <mergeCell ref="J52:M52"/>
    <mergeCell ref="N52:Q52"/>
    <mergeCell ref="B32:B50"/>
    <mergeCell ref="C32:P32"/>
    <mergeCell ref="C46:P46"/>
    <mergeCell ref="S48:V48"/>
    <mergeCell ref="S47:V47"/>
    <mergeCell ref="S46:V46"/>
    <mergeCell ref="W40:Z40"/>
    <mergeCell ref="W44:Z44"/>
    <mergeCell ref="W43:Z43"/>
    <mergeCell ref="W42:Z42"/>
    <mergeCell ref="W41:Z41"/>
    <mergeCell ref="W45:Z45"/>
    <mergeCell ref="S42:V42"/>
    <mergeCell ref="S41:V41"/>
    <mergeCell ref="S40:V40"/>
    <mergeCell ref="C49:I49"/>
    <mergeCell ref="C42:I42"/>
    <mergeCell ref="C41:I41"/>
    <mergeCell ref="C48:I48"/>
    <mergeCell ref="S36:V36"/>
    <mergeCell ref="C45:I45"/>
    <mergeCell ref="C44:I44"/>
    <mergeCell ref="W46:Z46"/>
    <mergeCell ref="C34:I34"/>
    <mergeCell ref="C58:Q58"/>
    <mergeCell ref="BL38:BS39"/>
    <mergeCell ref="BL31:BS36"/>
    <mergeCell ref="BL37:BS37"/>
    <mergeCell ref="BK30:BS30"/>
    <mergeCell ref="C59:Q63"/>
    <mergeCell ref="J39:P39"/>
    <mergeCell ref="J34:P34"/>
    <mergeCell ref="C38:I38"/>
    <mergeCell ref="C37:I37"/>
    <mergeCell ref="AH32:AK32"/>
    <mergeCell ref="C31:P31"/>
    <mergeCell ref="AL32:AO32"/>
    <mergeCell ref="AL37:AO37"/>
    <mergeCell ref="S56:V56"/>
    <mergeCell ref="C57:I57"/>
    <mergeCell ref="C56:I56"/>
    <mergeCell ref="L57:M57"/>
    <mergeCell ref="L54:M54"/>
    <mergeCell ref="N57:O57"/>
    <mergeCell ref="J57:K57"/>
    <mergeCell ref="P55:Q55"/>
    <mergeCell ref="P54:Q54"/>
    <mergeCell ref="P57:Q57"/>
  </mergeCells>
  <phoneticPr fontId="3"/>
  <conditionalFormatting sqref="B32:B50">
    <cfRule type="expression" dxfId="41" priority="490" stopIfTrue="1">
      <formula>SUBTOTAL(3,$J$16:$S$23)=0</formula>
    </cfRule>
  </conditionalFormatting>
  <conditionalFormatting sqref="C8:BG8 C9:T11 BG9:BG11">
    <cfRule type="expression" dxfId="40" priority="6">
      <formula>$C$5=""</formula>
    </cfRule>
  </conditionalFormatting>
  <conditionalFormatting sqref="J24">
    <cfRule type="expression" dxfId="39" priority="13">
      <formula>OR($T$24=" ←入力不要です。",$T$24="")</formula>
    </cfRule>
  </conditionalFormatting>
  <conditionalFormatting sqref="T10 BH10:BK10">
    <cfRule type="expression" dxfId="38" priority="30">
      <formula>$T$10=" ←産業大分類で『製造業』以外を選択した場合は入力不要。"</formula>
    </cfRule>
  </conditionalFormatting>
  <conditionalFormatting sqref="T24">
    <cfRule type="expression" dxfId="37" priority="16">
      <formula>$T$24= " ←特定の日付(例:2025/3/31)を入力してください。"</formula>
    </cfRule>
  </conditionalFormatting>
  <conditionalFormatting sqref="AA33">
    <cfRule type="containsBlanks" dxfId="36" priority="146">
      <formula>LEN(TRIM(AA33))=0</formula>
    </cfRule>
    <cfRule type="notContainsText" dxfId="35" priority="236" operator="notContains" text="入力に問題はありません。">
      <formula>ISERROR(SEARCH("入力に問題はありません。",AA33))</formula>
    </cfRule>
  </conditionalFormatting>
  <conditionalFormatting sqref="AK64">
    <cfRule type="expression" dxfId="34" priority="439">
      <formula>AND(#REF!=1)</formula>
    </cfRule>
  </conditionalFormatting>
  <conditionalFormatting sqref="AP33">
    <cfRule type="containsBlanks" dxfId="33" priority="145">
      <formula>LEN(TRIM(AP33))=0</formula>
    </cfRule>
    <cfRule type="notContainsText" dxfId="32" priority="227" stopIfTrue="1" operator="notContains" text="入力に問題はありません。">
      <formula>ISERROR(SEARCH("入力に問題はありません。",AP33))</formula>
    </cfRule>
  </conditionalFormatting>
  <conditionalFormatting sqref="BC33 R61:R62">
    <cfRule type="containsBlanks" dxfId="31" priority="220">
      <formula>LEN(TRIM(R33))=0</formula>
    </cfRule>
    <cfRule type="notContainsText" dxfId="30" priority="237" stopIfTrue="1" operator="notContains" text="入力に問題はありません。">
      <formula>ISERROR(SEARCH("入力に問題はありません。",R33))</formula>
    </cfRule>
  </conditionalFormatting>
  <conditionalFormatting sqref="BL4">
    <cfRule type="expression" dxfId="29" priority="9" stopIfTrue="1">
      <formula>COUNTIF($BL$2,"*すべて入力済み！*")&gt;0</formula>
    </cfRule>
  </conditionalFormatting>
  <dataValidations count="1">
    <dataValidation type="date" allowBlank="1" showInputMessage="1" showErrorMessage="1" sqref="D12:E13 D27:F29 J24" xr:uid="{B5538F1D-081D-6C40-B934-E9B78FA06BD9}">
      <formula1>367</formula1>
      <formula2>47848</formula2>
    </dataValidation>
  </dataValidations>
  <pageMargins left="0.51181102362204722" right="0.39370078740157483" top="0.74803149606299213" bottom="0.74803149606299213" header="0.31496062992125984" footer="0.31496062992125984"/>
  <pageSetup paperSize="9" scale="50" orientation="portrait" r:id="rId1"/>
  <extLst>
    <ext xmlns:x14="http://schemas.microsoft.com/office/spreadsheetml/2009/9/main" uri="{78C0D931-6437-407d-A8EE-F0AAD7539E65}">
      <x14:conditionalFormattings>
        <x14:conditionalFormatting xmlns:xm="http://schemas.microsoft.com/office/excel/2006/main">
          <x14:cfRule type="expression" priority="2" id="{8C35BCA9-A0C4-9843-B846-53782E4C7B64}">
            <xm:f>AND($J$16=入力リスト!$K$4,$J$18=入力リスト!$K$4,$J$20=入力リスト!$K$4,$J$22=入力リスト!$K$4)</xm:f>
            <x14:dxf>
              <font>
                <color theme="0"/>
              </font>
              <fill>
                <patternFill>
                  <bgColor theme="0"/>
                </patternFill>
              </fill>
            </x14:dxf>
          </x14:cfRule>
          <x14:cfRule type="expression" priority="491" stopIfTrue="1" id="{3884A15F-5A84-2B48-B8D2-41956F55D59B}">
            <xm:f>OR($C$5="",$C$5=入力リスト!$N$5)</xm:f>
            <x14:dxf>
              <font>
                <color theme="0"/>
              </font>
              <fill>
                <patternFill>
                  <bgColor theme="0"/>
                </patternFill>
              </fill>
            </x14:dxf>
          </x14:cfRule>
          <xm:sqref>B32:B50</xm:sqref>
        </x14:conditionalFormatting>
        <x14:conditionalFormatting xmlns:xm="http://schemas.microsoft.com/office/excel/2006/main">
          <x14:cfRule type="expression" priority="50" stopIfTrue="1" id="{56D3E0B1-5B6E-9B4E-BCC6-7CA2D9DF3456}">
            <xm:f>$J$16&lt;&gt;入力リスト!$K$5</xm:f>
            <x14:dxf>
              <font>
                <color theme="0" tint="-0.24994659260841701"/>
              </font>
              <fill>
                <patternFill>
                  <bgColor theme="0" tint="-0.24994659260841701"/>
                </patternFill>
              </fill>
              <border>
                <left/>
                <right/>
                <top/>
                <bottom/>
              </border>
            </x14:dxf>
          </x14:cfRule>
          <xm:sqref>C32:P35</xm:sqref>
        </x14:conditionalFormatting>
        <x14:conditionalFormatting xmlns:xm="http://schemas.microsoft.com/office/excel/2006/main">
          <x14:cfRule type="expression" priority="49" id="{5B18E27C-E252-DB44-8D6E-650C97516ABF}">
            <xm:f>$J$18&lt;&gt;入力リスト!$K$5</xm:f>
            <x14:dxf>
              <font>
                <color theme="0" tint="-0.24994659260841701"/>
              </font>
              <fill>
                <patternFill>
                  <bgColor theme="0" tint="-0.24994659260841701"/>
                </patternFill>
              </fill>
              <border>
                <left/>
                <right/>
                <top/>
                <bottom/>
              </border>
            </x14:dxf>
          </x14:cfRule>
          <xm:sqref>C36:P45</xm:sqref>
        </x14:conditionalFormatting>
        <x14:conditionalFormatting xmlns:xm="http://schemas.microsoft.com/office/excel/2006/main">
          <x14:cfRule type="expression" priority="48" id="{A1153A56-AF90-F04A-BDCB-CD7872A65AC2}">
            <xm:f>$J$20&lt;&gt;入力リスト!$K$5</xm:f>
            <x14:dxf>
              <font>
                <color theme="0" tint="-0.24994659260841701"/>
              </font>
              <fill>
                <patternFill>
                  <bgColor theme="0" tint="-0.24994659260841701"/>
                </patternFill>
              </fill>
              <border>
                <left/>
                <right/>
                <top/>
                <bottom/>
              </border>
            </x14:dxf>
          </x14:cfRule>
          <xm:sqref>C46:P50</xm:sqref>
        </x14:conditionalFormatting>
        <x14:conditionalFormatting xmlns:xm="http://schemas.microsoft.com/office/excel/2006/main">
          <x14:cfRule type="expression" priority="45" stopIfTrue="1" id="{99E789C4-8D81-2547-A4CA-BF165E3AAB25}">
            <xm:f>COUNTIF($J$16:$S$23,入力リスト!$K$5)=0</xm:f>
            <x14:dxf>
              <font>
                <color theme="0" tint="-0.24994659260841701"/>
              </font>
              <fill>
                <patternFill>
                  <bgColor theme="0" tint="-0.24994659260841701"/>
                </patternFill>
              </fill>
              <border>
                <left/>
                <right/>
                <top/>
                <bottom/>
              </border>
            </x14:dxf>
          </x14:cfRule>
          <xm:sqref>C31:Q57 C58 C59:Q63</xm:sqref>
        </x14:conditionalFormatting>
        <x14:conditionalFormatting xmlns:xm="http://schemas.microsoft.com/office/excel/2006/main">
          <x14:cfRule type="expression" priority="44" id="{10A651DF-8BC1-AD4A-8F1A-828DE1499246}">
            <xm:f>$J$22&lt;&gt;入力リスト!$K$5</xm:f>
            <x14:dxf>
              <font>
                <color theme="0" tint="-0.24994659260841701"/>
              </font>
              <fill>
                <patternFill>
                  <bgColor theme="0" tint="-0.24994659260841701"/>
                </patternFill>
              </fill>
              <border>
                <left/>
                <right/>
                <top/>
                <bottom/>
              </border>
            </x14:dxf>
          </x14:cfRule>
          <xm:sqref>C51:Q57</xm:sqref>
        </x14:conditionalFormatting>
        <x14:conditionalFormatting xmlns:xm="http://schemas.microsoft.com/office/excel/2006/main">
          <x14:cfRule type="expression" priority="5" id="{BE470343-B3D5-B243-ADA1-A418DF8A0A39}">
            <xm:f>OR($C$5="",$C$5=入力リスト!$N$5)</xm:f>
            <x14:dxf>
              <font>
                <color theme="0" tint="-0.24994659260841701"/>
              </font>
              <fill>
                <patternFill>
                  <bgColor theme="0" tint="-0.24994659260841701"/>
                </patternFill>
              </fill>
              <border>
                <left/>
                <right/>
                <top/>
                <bottom/>
              </border>
            </x14:dxf>
          </x14:cfRule>
          <xm:sqref>C14:BG14 C15 C16:BG23 J24 T24 C24:I25 T25:BG25 C26:BG26</xm:sqref>
        </x14:conditionalFormatting>
        <x14:conditionalFormatting xmlns:xm="http://schemas.microsoft.com/office/excel/2006/main">
          <x14:cfRule type="expression" priority="7" id="{4544C663-2491-8547-8EF7-EE11B433746A}">
            <xm:f>OR($C$5="",$C$5=入力リスト!$N$5)</xm:f>
            <x14:dxf>
              <font>
                <color theme="0" tint="-0.24994659260841701"/>
              </font>
              <fill>
                <patternFill>
                  <bgColor theme="0" tint="-0.24994659260841701"/>
                </patternFill>
              </fill>
              <border>
                <left/>
                <right/>
                <top/>
                <bottom/>
                <vertical/>
                <horizontal/>
              </border>
            </x14:dxf>
          </x14:cfRule>
          <xm:sqref>C29:BG29 C30 BF30:BG30 C31:BG63</xm:sqref>
        </x14:conditionalFormatting>
        <x14:conditionalFormatting xmlns:xm="http://schemas.microsoft.com/office/excel/2006/main">
          <x14:cfRule type="expression" priority="452" stopIfTrue="1" id="{00000000-000E-0000-0200-0000BE010000}">
            <xm:f>$J$9&lt;&gt;入力リスト!$B$7</xm:f>
            <x14:dxf>
              <font>
                <b/>
                <i val="0"/>
                <color theme="0"/>
              </font>
            </x14:dxf>
          </x14:cfRule>
          <xm:sqref>J10</xm:sqref>
        </x14:conditionalFormatting>
        <x14:conditionalFormatting xmlns:xm="http://schemas.microsoft.com/office/excel/2006/main">
          <x14:cfRule type="expression" priority="492" stopIfTrue="1" id="{A0D51B07-B76A-314C-8960-E038508B3505}">
            <xm:f>$T$24='エラー_入シ(3)'!$M$21</xm:f>
            <x14:dxf>
              <font>
                <color theme="0" tint="-0.24994659260841701"/>
              </font>
              <fill>
                <patternFill>
                  <fgColor auto="1"/>
                  <bgColor theme="0" tint="-0.24994659260841701"/>
                </patternFill>
              </fill>
            </x14:dxf>
          </x14:cfRule>
          <xm:sqref>J24:S25</xm:sqref>
        </x14:conditionalFormatting>
        <x14:conditionalFormatting xmlns:xm="http://schemas.microsoft.com/office/excel/2006/main">
          <x14:cfRule type="expression" priority="40" stopIfTrue="1" id="{51CBFC3B-C82B-3A4B-BABD-E5982B01659F}">
            <xm:f>OR($J$16="",$J$16=入力リスト!$K$5)</xm:f>
            <x14:dxf>
              <font>
                <color theme="0" tint="-0.24994659260841701"/>
              </font>
              <fill>
                <patternFill>
                  <bgColor theme="0" tint="-0.24994659260841701"/>
                </patternFill>
              </fill>
              <border>
                <left/>
                <right/>
                <top/>
                <bottom/>
              </border>
            </x14:dxf>
          </x14:cfRule>
          <xm:sqref>S31:AE62</xm:sqref>
        </x14:conditionalFormatting>
        <x14:conditionalFormatting xmlns:xm="http://schemas.microsoft.com/office/excel/2006/main">
          <x14:cfRule type="expression" priority="20" stopIfTrue="1" id="{5F3FE87A-EB30-A94B-878E-3984EA787286}">
            <xm:f>$T$16='エラー_入シ(3)'!$M$18</xm:f>
            <x14:dxf>
              <font>
                <color theme="1"/>
              </font>
            </x14:dxf>
          </x14:cfRule>
          <xm:sqref>T16</xm:sqref>
        </x14:conditionalFormatting>
        <x14:conditionalFormatting xmlns:xm="http://schemas.microsoft.com/office/excel/2006/main">
          <x14:cfRule type="expression" priority="19" stopIfTrue="1" id="{6F169B95-CE6B-564B-A520-C6169D03FF80}">
            <xm:f>$T$18='エラー_入シ(3)'!$M$18</xm:f>
            <x14:dxf>
              <font>
                <color theme="1"/>
              </font>
            </x14:dxf>
          </x14:cfRule>
          <xm:sqref>T18 BH18:BK18 BJ19:BK19</xm:sqref>
        </x14:conditionalFormatting>
        <x14:conditionalFormatting xmlns:xm="http://schemas.microsoft.com/office/excel/2006/main">
          <x14:cfRule type="expression" priority="18" stopIfTrue="1" id="{5292B240-3F23-F540-B9B8-B0E33E498ED9}">
            <xm:f>$T$20='エラー_入シ(3)'!$M$18</xm:f>
            <x14:dxf>
              <font>
                <color theme="1"/>
              </font>
            </x14:dxf>
          </x14:cfRule>
          <xm:sqref>T20 BH20:BK20 BJ21:BK21</xm:sqref>
        </x14:conditionalFormatting>
        <x14:conditionalFormatting xmlns:xm="http://schemas.microsoft.com/office/excel/2006/main">
          <x14:cfRule type="expression" priority="11" id="{87B77A0F-227C-1849-A2A5-13993715C084}">
            <xm:f>$T$22='エラー_入シ(3)'!$M$18</xm:f>
            <x14:dxf>
              <font>
                <color theme="1"/>
              </font>
            </x14:dxf>
          </x14:cfRule>
          <xm:sqref>T22 BH22:BK22 BJ23:BK23</xm:sqref>
        </x14:conditionalFormatting>
        <x14:conditionalFormatting xmlns:xm="http://schemas.microsoft.com/office/excel/2006/main">
          <x14:cfRule type="expression" priority="15" id="{BD321D25-C27F-FE43-B4A6-3FAE35D6B319}">
            <xm:f>$J$9=入力リスト!$B$7</xm:f>
            <x14:dxf>
              <font>
                <color rgb="FFC00000"/>
              </font>
            </x14:dxf>
          </x14:cfRule>
          <xm:sqref>T10:BG10</xm:sqref>
        </x14:conditionalFormatting>
        <x14:conditionalFormatting xmlns:xm="http://schemas.microsoft.com/office/excel/2006/main">
          <x14:cfRule type="expression" priority="39" stopIfTrue="1" id="{73AC4A09-1429-054C-84DD-9CC640375388}">
            <xm:f>OR($J$20="",$J$20=入力リスト!$K$5)</xm:f>
            <x14:dxf>
              <font>
                <color theme="0" tint="-0.24994659260841701"/>
              </font>
              <fill>
                <patternFill>
                  <bgColor theme="0" tint="-0.24994659260841701"/>
                </patternFill>
              </fill>
              <border>
                <left/>
                <right/>
                <top/>
                <bottom/>
              </border>
            </x14:dxf>
          </x14:cfRule>
          <xm:sqref>AH31:AT62</xm:sqref>
        </x14:conditionalFormatting>
        <x14:conditionalFormatting xmlns:xm="http://schemas.microsoft.com/office/excel/2006/main">
          <x14:cfRule type="expression" priority="38" id="{F08E5CAD-C3EF-474F-896E-9C27A54771F2}">
            <xm:f>COUNTIF($J$16:$P$22,入力リスト!$K$4)=0</xm:f>
            <x14:dxf>
              <font>
                <color theme="0" tint="-0.24994659260841701"/>
              </font>
              <fill>
                <patternFill>
                  <bgColor theme="0" tint="-0.24994659260841701"/>
                </patternFill>
              </fill>
              <border>
                <left/>
                <right/>
                <top/>
                <bottom/>
                <vertical/>
                <horizontal/>
              </border>
            </x14:dxf>
          </x14:cfRule>
          <xm:sqref>AW31:BG62</xm:sqref>
        </x14:conditionalFormatting>
        <x14:conditionalFormatting xmlns:xm="http://schemas.microsoft.com/office/excel/2006/main">
          <x14:cfRule type="expression" priority="1" id="{25B9CFDC-54B1-7847-95AD-17EBBC8CBC83}">
            <xm:f>VLOOKUP($BL2,エラー_入シ全体!$M$2:$Q$20,5,0)=1</xm:f>
            <x14:dxf>
              <font>
                <color rgb="FFC00000"/>
              </font>
            </x14:dxf>
          </x14:cfRule>
          <xm:sqref>BL2:BS3</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A18BBB3E-7BAA-4B49-80A9-9AD418C3CF6D}">
          <x14:formula1>
            <xm:f>入力リスト!$G$3:$G$20</xm:f>
          </x14:formula1>
          <xm:sqref>W37:W62</xm:sqref>
        </x14:dataValidation>
        <x14:dataValidation type="list" allowBlank="1" showInputMessage="1" showErrorMessage="1" xr:uid="{3BFD7550-8710-634E-9B18-6821D8E86978}">
          <x14:formula1>
            <xm:f>入力リスト!$B$3:$B$21</xm:f>
          </x14:formula1>
          <xm:sqref>J9</xm:sqref>
        </x14:dataValidation>
        <x14:dataValidation type="list" allowBlank="1" showInputMessage="1" showErrorMessage="1" xr:uid="{EFA280BE-BD47-E74D-982A-027C02A8DD90}">
          <x14:formula1>
            <xm:f>入力リスト!$A$3:$A$20</xm:f>
          </x14:formula1>
          <xm:sqref>J11</xm:sqref>
        </x14:dataValidation>
        <x14:dataValidation type="list" allowBlank="1" showInputMessage="1" showErrorMessage="1" xr:uid="{5D07434E-C3CF-574A-A1B1-D0EFFB3C0280}">
          <x14:formula1>
            <xm:f>入力リスト!$J$4:$J$20</xm:f>
          </x14:formula1>
          <xm:sqref>AL37:AL62</xm:sqref>
        </x14:dataValidation>
        <x14:dataValidation type="list" allowBlank="1" showInputMessage="1" showErrorMessage="1" xr:uid="{23FA472C-BE2D-164A-BD76-7AFCD80D6734}">
          <x14:formula1>
            <xm:f>入力リスト!$M$3:$M$6</xm:f>
          </x14:formula1>
          <xm:sqref>AZ37:BB38</xm:sqref>
        </x14:dataValidation>
        <x14:dataValidation type="list" allowBlank="1" showInputMessage="1" showErrorMessage="1" xr:uid="{DB8A9D9A-C305-8749-AE4F-6E7DDB515F1B}">
          <x14:formula1>
            <xm:f>入力リスト!$J$3:$J$6</xm:f>
          </x14:formula1>
          <xm:sqref>BL40</xm:sqref>
        </x14:dataValidation>
        <x14:dataValidation type="list" allowBlank="1" showInputMessage="1" showErrorMessage="1" xr:uid="{8A41F417-DB16-FE45-AD77-DC6896E75494}">
          <x14:formula1>
            <xm:f>入力リスト!$N$3:$N$6</xm:f>
          </x14:formula1>
          <xm:sqref>C5</xm:sqref>
        </x14:dataValidation>
        <x14:dataValidation type="list" allowBlank="1" showInputMessage="1" showErrorMessage="1" xr:uid="{D660397B-066C-194A-BEC4-D046E09C4768}">
          <x14:formula1>
            <xm:f>入力リスト!$P$3:$P$5</xm:f>
          </x14:formula1>
          <xm:sqref>J26</xm:sqref>
        </x14:dataValidation>
        <x14:dataValidation type="list" allowBlank="1" showInputMessage="1" showErrorMessage="1" xr:uid="{297BE410-5B18-D946-A709-F073B780EFD1}">
          <x14:formula1>
            <xm:f>入力リスト!$K$3:$K$5</xm:f>
          </x14:formula1>
          <xm:sqref>J16:S23</xm:sqref>
        </x14:dataValidation>
        <x14:dataValidation type="list" allowBlank="1" showInputMessage="1" showErrorMessage="1" xr:uid="{AC4DC053-9B23-4E43-A09F-C436FF324244}">
          <x14:formula1>
            <xm:f>入力リスト!$E$3:$E$33</xm:f>
          </x14:formula1>
          <xm:sqref>J10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9C596-8AE6-B24E-AD79-7D0280F9DA93}">
  <dimension ref="A1:Z1503"/>
  <sheetViews>
    <sheetView view="pageBreakPreview" zoomScale="65" zoomScaleNormal="83" zoomScaleSheetLayoutView="65" workbookViewId="0">
      <pane ySplit="3" topLeftCell="A4" activePane="bottomLeft" state="frozen"/>
      <selection pane="bottomLeft" sqref="A1:A2"/>
    </sheetView>
  </sheetViews>
  <sheetFormatPr defaultColWidth="10.77734375" defaultRowHeight="15.75"/>
  <cols>
    <col min="1" max="1" width="10.77734375" style="16"/>
    <col min="2" max="2" width="10.77734375" style="16" customWidth="1"/>
    <col min="3" max="3" width="10.77734375" style="17" customWidth="1"/>
    <col min="4" max="4" width="10.77734375" style="16"/>
    <col min="5" max="5" width="10.77734375" style="16" customWidth="1"/>
    <col min="6" max="6" width="63.77734375" style="268" customWidth="1"/>
    <col min="7" max="7" width="10.77734375" style="269" hidden="1" customWidth="1"/>
    <col min="8" max="8" width="12.21875" style="269" hidden="1" customWidth="1"/>
    <col min="9" max="12" width="15.77734375" style="269" hidden="1" customWidth="1"/>
    <col min="13" max="13" width="53.5546875" style="269" hidden="1" customWidth="1"/>
    <col min="14" max="14" width="9.5546875" style="269" hidden="1" customWidth="1"/>
    <col min="15" max="18" width="6.77734375" style="269" hidden="1" customWidth="1"/>
    <col min="19" max="22" width="5.77734375" style="270" hidden="1" customWidth="1"/>
    <col min="23" max="23" width="4.33203125" style="265" customWidth="1"/>
    <col min="24" max="24" width="10.77734375" style="265" customWidth="1"/>
    <col min="25" max="28" width="10.77734375" style="11" customWidth="1"/>
    <col min="29" max="16384" width="10.77734375" style="11"/>
  </cols>
  <sheetData>
    <row r="1" spans="1:26" ht="75" customHeight="1">
      <c r="A1" s="928" t="s">
        <v>1227</v>
      </c>
      <c r="B1" s="932" t="s">
        <v>472</v>
      </c>
      <c r="C1" s="934" t="s">
        <v>9</v>
      </c>
      <c r="D1" s="932" t="s">
        <v>10</v>
      </c>
      <c r="E1" s="930" t="s">
        <v>11</v>
      </c>
      <c r="F1" s="113" t="str">
        <f>VLOOKUP(TRUE,エラー_従業員!$S$4:$U$13,2,0)</f>
        <v>［入力シート］へ移動して、使用用途を選択してください。</v>
      </c>
      <c r="G1" s="230"/>
      <c r="H1" s="231"/>
      <c r="I1" s="230"/>
      <c r="J1" s="230"/>
      <c r="K1" s="230"/>
      <c r="L1" s="230"/>
      <c r="M1" s="939" t="s">
        <v>1317</v>
      </c>
      <c r="O1" s="232"/>
      <c r="P1" s="232"/>
      <c r="R1" s="232"/>
      <c r="S1" s="115"/>
      <c r="T1" s="115"/>
      <c r="U1" s="115"/>
      <c r="V1" s="115"/>
      <c r="W1" s="182"/>
      <c r="X1" s="257"/>
      <c r="Y1" s="130"/>
    </row>
    <row r="2" spans="1:26" ht="39" customHeight="1">
      <c r="A2" s="929"/>
      <c r="B2" s="937"/>
      <c r="C2" s="935"/>
      <c r="D2" s="933"/>
      <c r="E2" s="931"/>
      <c r="F2" s="324" t="str">
        <f>IF(VLOOKUP(TRUE,エラー_従業員!$S$4:$U$13,3,0)=0,"",VLOOKUP(TRUE,エラー_従業員!$S$4:$U$13,3,0))</f>
        <v/>
      </c>
      <c r="G2" s="114" t="s">
        <v>1258</v>
      </c>
      <c r="H2" s="114" t="s">
        <v>8</v>
      </c>
      <c r="I2" s="114" t="s">
        <v>110</v>
      </c>
      <c r="J2" s="114" t="s">
        <v>112</v>
      </c>
      <c r="K2" s="114" t="s">
        <v>111</v>
      </c>
      <c r="L2" s="114" t="s">
        <v>11</v>
      </c>
      <c r="M2" s="939"/>
      <c r="N2" s="938"/>
      <c r="O2" s="938"/>
      <c r="P2" s="938"/>
      <c r="Q2" s="938"/>
      <c r="R2" s="938"/>
      <c r="S2" s="936"/>
      <c r="T2" s="936"/>
      <c r="U2" s="936"/>
      <c r="V2" s="936"/>
      <c r="W2" s="186"/>
      <c r="X2" s="258"/>
      <c r="Y2" s="12"/>
    </row>
    <row r="3" spans="1:26" ht="47.25">
      <c r="A3" s="123" t="s">
        <v>1316</v>
      </c>
      <c r="B3" s="72" t="s">
        <v>97</v>
      </c>
      <c r="C3" s="240" t="str">
        <f>IF(AND(入力シート!$J$18=入力リスト!$K$5,入力シート!$J$22=入力リスト!$K$5),"この項目への入力は不要です。"&amp;CHAR(10)&amp;"↓","1982/5/21"&amp;CHAR(10))</f>
        <v xml:space="preserve">1982/5/21
</v>
      </c>
      <c r="D3" s="73" t="s">
        <v>1255</v>
      </c>
      <c r="E3" s="239" t="str">
        <f>IF(AND(入力シート!$J$20=入力リスト!$K$5,入力シート!$J$22=入力リスト!$K$5),"この項目への入力は不要です。"&amp;CHAR(10)&amp;"↓","部長"&amp;CHAR(10))</f>
        <v xml:space="preserve">部長
</v>
      </c>
      <c r="F3" s="233" t="s">
        <v>1356</v>
      </c>
      <c r="G3" s="234"/>
      <c r="H3" s="235"/>
      <c r="I3" s="235"/>
      <c r="J3" s="232"/>
      <c r="K3" s="235"/>
      <c r="L3" s="235"/>
      <c r="M3" s="259"/>
      <c r="N3" s="938"/>
      <c r="O3" s="938"/>
      <c r="P3" s="938"/>
      <c r="Q3" s="938"/>
      <c r="R3" s="938"/>
      <c r="S3" s="936"/>
      <c r="T3" s="936"/>
      <c r="U3" s="936"/>
      <c r="V3" s="936"/>
      <c r="W3" s="182"/>
      <c r="X3" s="260"/>
    </row>
    <row r="4" spans="1:26" ht="19.5">
      <c r="A4" s="363"/>
      <c r="B4" s="364"/>
      <c r="C4" s="365"/>
      <c r="D4" s="366"/>
      <c r="E4" s="367"/>
      <c r="F4" s="372" t="str">
        <f>IF(G4,"この従業員番号は、すでに他のセルで入力されています。",IF(入力シート!$C$5=入力リスト!$N$5,"",IF(AND(A4="",B4="",C4="",D4="",E4=""),"",IF(OR(A4="",B4="",C4="",D4=""),IF(A4="","従業員番号","")&amp;IF(AND(A4="",OR(B4="",C4="",D4="")),",","")&amp;IF(B4="","雇用形態","")&amp;IF(AND(B4="",OR(C4="",D4="")),",","")&amp;IF(OR(入力シート!$J$18=入力リスト!$K$4,入力シート!$J$22=入力リスト!$K$4),IF(C4="","入社年月日",""),"")&amp;IF(AND(C4="",D4=""),",","")&amp;IF(D4="","性別","")&amp;IF(IF(A4="","従業員番号","")&amp;IF(B4="","雇用形態","")&amp;IF(OR(入力シート!$J$18=入力リスト!$K$4,入力シート!$J$22=入力リスト!$K$4),IF(C4="","入社年月日",""),"")&amp;IF(D4="","性別","")="","","が空白です。"),IF(J4,"入社年月日に「基準日」の翌日以降の日付が入力されています。","")&amp;IF(I4,"入社年月日に数値以外（又は1900/1/1以前の日付）が入力されています。","")&amp;IF(H4,"雇用形態"&amp;IF(OR(K4,L4),",",""),"")&amp;IF(K4,"性別"&amp;IF(L4,",",""),"")&amp;IF(L4,"役職","")&amp;IF(OR(H4,K4,L4),"に、［入力シート］(4)「貴社」欄と異なる文言が入力されています。","")))))</f>
        <v/>
      </c>
      <c r="G4" s="236" t="b">
        <v>0</v>
      </c>
      <c r="H4" s="237" t="b">
        <f>IF(COUNTIF(入力シート!$J$16:$S$23,入力リスト!$K$4)=0,FALSE,IF(入力シート!$J$16=入力リスト!$K$5,FALSE,ISERROR(VLOOKUP(B4,入力シート!$S$37:$V$62,1,0))))</f>
        <v>0</v>
      </c>
      <c r="I4" s="237" t="b">
        <f>IF(AND(OR(入力シート!$J$18=入力リスト!$K$4,入力シート!$J$22=入力リスト!$K$4),入力シート!$J$24&lt;&gt;""),IF(ISERROR(C4+1),TRUE,IF(ISNUMBER(C4),FALSE,TRUE)),FALSE)</f>
        <v>0</v>
      </c>
      <c r="J4" s="237" t="b">
        <f>IF(AND(入力シート!$J$18=入力リスト!$K$4,入力シート!$J$22=入力リスト!$K$4),FALSE,IF(I4=TRUE,FALSE,IF(ISERROR(C4+1),FALSE,C4&gt;入力シート!$J$24)))</f>
        <v>0</v>
      </c>
      <c r="K4" s="237" t="b">
        <f>IF(COUNTIF(入力シート!$J$16:$S$23,入力リスト!$K$4)=0,FALSE,IF(AND(入力シート!$J$16&lt;&gt;入力リスト!$K$5,入力シート!$J$18&lt;&gt;入力リスト!$K$5,入力シート!$J$20&lt;&gt;入力リスト!$K$5,入力シート!$J$22&lt;&gt;入力リスト!$K$5),FALSE,ISERROR(VLOOKUP(D4,入力シート!$AW$37:$AY$38,1,0))))</f>
        <v>0</v>
      </c>
      <c r="L4" s="237" t="b">
        <f>IF(COUNTIF(入力シート!$J$16:$S$23,入力リスト!$K$4)=0,FALSE,IF(入力シート!$J$20=入力リスト!$K$5,FALSE,IF(E4="",FALSE,ISERROR(VLOOKUP(E4,入力シート!$AH$37:$AK$62,1,0)))))</f>
        <v>0</v>
      </c>
      <c r="M4" s="238" t="str">
        <f>IF(COUNTIF(F4,"*入社年月日に数値以外*"),"※1900/1/1以前の日付は数値として認識されません。","")</f>
        <v/>
      </c>
      <c r="N4" s="236" t="str">
        <f>IF(B4="","",VLOOKUP('従業員情報(給与以外)'!$B4,入力シート!$S$37:$Z$62,5,0))</f>
        <v/>
      </c>
      <c r="O4" s="182" t="str">
        <f>IF(ISNUMBER(C4)=FALSE,"",IF(C4&gt;入力シート!$J$24,"",_xlfn.DAYS(入力シート!$J$24,'従業員情報(給与以外)'!$C4)/365))</f>
        <v/>
      </c>
      <c r="P4" s="237" t="str">
        <f>IF(O4="","",VLOOKUP(_xlfn.DAYS(入力シート!$J$24,'従業員情報(給与以外)'!$C4)/365,入力リスト!$H$4:$I$12,2,2))</f>
        <v/>
      </c>
      <c r="Q4" s="236" t="str">
        <f>IF(D4="","",VLOOKUP('従業員情報(給与以外)'!$D4,入力シート!$AW$37:$BB$38,4,0))</f>
        <v/>
      </c>
      <c r="R4" s="236" t="str">
        <f>IF(A4="","",IF(E4="","非役職",VLOOKUP('従業員情報(給与以外)'!$E4,入力シート!$AH$37:$AO$62,5,0)))</f>
        <v/>
      </c>
      <c r="S4" s="116" t="str">
        <f>IF(OR(入力シート!$C$5&lt;&gt;入力リスト!$N$4,COUNTIF(入力シート!$J$16:$S$23,入力リスト!$K$4)=0),"",IF($A4="","",IF(ISERROR(AVERAGEIF(従業員の給与情報!$B:$B,$A4,従業員の給与情報!$C:$C)),0,IF(ISERROR(AVERAGEIF(従業員の給与情報!$B:$B,$A4,従業員の給与情報!$C:$C)),0,AVERAGEIF(従業員の給与情報!$B:$B,$A4,従業員の給与情報!$C:$C)))))</f>
        <v/>
      </c>
      <c r="T4" s="116" t="str">
        <f>IF(OR(入力シート!$C$5&lt;&gt;入力リスト!$N$4,COUNTIF(入力シート!$J$16:$S$23,入力リスト!$K$4)=0),"",IF(A4="","",IF(ISERROR(AVERAGEIF(従業員の給与情報!$B:$B,$A4,従業員の給与情報!$D:$D)),0,IF(ISERROR(AVERAGEIF(従業員の給与情報!$B:$B,$A4,従業員の給与情報!$D:$D)),0,AVERAGEIF(従業員の給与情報!$B:$B,$A4,従業員の給与情報!$D:$D)))))</f>
        <v/>
      </c>
      <c r="U4" s="116" t="str">
        <f>IF(OR(入力シート!$C$5&lt;&gt;入力リスト!$N$4,COUNTIF(入力シート!$J$16:$S$23,入力リスト!$K$4)=0),"",IF(A4="","",IF(ISERROR(AVERAGEIF(従業員の給与情報!$B:$B,$A4,従業員の給与情報!$E:$E)),0,IF(ISERROR(AVERAGEIF(従業員の給与情報!$B:$B,$A4,従業員の給与情報!$E:$E)),0,AVERAGEIF(従業員の給与情報!$B:$B,$A4,従業員の給与情報!$E:$E)))))</f>
        <v/>
      </c>
      <c r="V4" s="117" t="str">
        <f>IF(OR(入力シート!$C$5&lt;&gt;入力リスト!$N$4,COUNTIF(入力シート!$J$16:$S$23,入力リスト!$K$4)=0),"",IF(A4="","",IF(ISERROR(AVERAGEIF(従業員の給与情報!$B:$B,$A4,従業員の給与情報!$F:$F)),0,IF(ISERROR(AVERAGEIF(従業員の給与情報!$B:$B,$A4,従業員の給与情報!$F:$F)),0,AVERAGEIF(従業員の給与情報!$B:$B,$A4,従業員の給与情報!$F:$F)))))</f>
        <v/>
      </c>
      <c r="W4" s="182"/>
      <c r="X4" s="260"/>
    </row>
    <row r="5" spans="1:26" ht="19.5">
      <c r="A5" s="363"/>
      <c r="B5" s="364"/>
      <c r="C5" s="365"/>
      <c r="D5" s="366"/>
      <c r="E5" s="367"/>
      <c r="F5" s="372" t="str">
        <f>IF(G5,"この従業員番号は、すでに他のセルで入力されています。",IF(入力シート!$C$5=入力リスト!$N$5,"",IF(AND(A5="",B5="",C5="",D5="",E5=""),"",IF(OR(A5="",B5="",C5="",D5=""),IF(A5="","従業員番号","")&amp;IF(AND(A5="",OR(B5="",C5="",D5="")),",","")&amp;IF(B5="","雇用形態","")&amp;IF(AND(B5="",OR(C5="",D5="")),",","")&amp;IF(OR(入力シート!$J$18=入力リスト!$K$4,入力シート!$J$22=入力リスト!$K$4),IF(C5="","入社年月日",""),"")&amp;IF(AND(C5="",D5=""),",","")&amp;IF(D5="","性別","")&amp;IF(IF(A5="","従業員番号","")&amp;IF(B5="","雇用形態","")&amp;IF(OR(入力シート!$J$18=入力リスト!$K$4,入力シート!$J$22=入力リスト!$K$4),IF(C5="","入社年月日",""),"")&amp;IF(D5="","性別","")="","","が空白です。"),IF(J5,"入社年月日に「基準日」の翌日以降の日付が入力されています。","")&amp;IF(I5,"入社年月日に数値以外（又は1900/1/1以前の日付）が入力されています。","")&amp;IF(H5,"雇用形態"&amp;IF(OR(K5,L5),",",""),"")&amp;IF(K5,"性別"&amp;IF(L5,",",""),"")&amp;IF(L5,"役職","")&amp;IF(OR(H5,K5,L5),"に、［入力シート］(4)「貴社」欄と異なる文言が入力されています。","")))))</f>
        <v/>
      </c>
      <c r="G5" s="236" t="b">
        <f>COUNTIF($A$4:A4,$A5)&gt;0</f>
        <v>0</v>
      </c>
      <c r="H5" s="237" t="b">
        <f>IF(COUNTIF(入力シート!$J$16:$S$23,入力リスト!$K$4)=0,FALSE,IF(入力シート!$J$16=入力リスト!$K$5,FALSE,ISERROR(VLOOKUP(B5,入力シート!$S$37:$V$62,1,0))))</f>
        <v>0</v>
      </c>
      <c r="I5" s="237" t="b">
        <f>IF(AND(OR(入力シート!$J$18=入力リスト!$K$4,入力シート!$J$22=入力リスト!$K$4),入力シート!$J$24&lt;&gt;""),IF(ISERROR(C5+1),TRUE,IF(ISNUMBER(C5),FALSE,TRUE)),FALSE)</f>
        <v>0</v>
      </c>
      <c r="J5" s="237" t="b">
        <f>IF(AND(入力シート!$J$18=入力リスト!$K$4,入力シート!$J$22=入力リスト!$K$4),FALSE,IF(I5=TRUE,FALSE,IF(ISERROR(C5+1),FALSE,C5&gt;入力シート!$J$24)))</f>
        <v>0</v>
      </c>
      <c r="K5" s="237" t="b">
        <f>IF(COUNTIF(入力シート!$J$16:$S$23,入力リスト!$K$4)=0,FALSE,IF(AND(入力シート!$J$16&lt;&gt;入力リスト!$K$5,入力シート!$J$18&lt;&gt;入力リスト!$K$5,入力シート!$J$20&lt;&gt;入力リスト!$K$5,入力シート!$J$22&lt;&gt;入力リスト!$K$5),FALSE,ISERROR(VLOOKUP(D5,入力シート!$AW$37:$AY$38,1,0))))</f>
        <v>0</v>
      </c>
      <c r="L5" s="237" t="b">
        <f>IF(COUNTIF(入力シート!$J$16:$S$23,入力リスト!$K$4)=0,FALSE,IF(入力シート!$J$20=入力リスト!$K$5,FALSE,IF(E5="",FALSE,ISERROR(VLOOKUP(E5,入力シート!$AH$37:$AK$62,1,0)))))</f>
        <v>0</v>
      </c>
      <c r="M5" s="238" t="str">
        <f t="shared" ref="M5:M68" si="0">IF(COUNTIF(F5,"*入社年月日に数値以外*"),"※1900/0/0以前は数値として認識されません。","")</f>
        <v/>
      </c>
      <c r="N5" s="236" t="str">
        <f>IF(B5="","",VLOOKUP('従業員情報(給与以外)'!$B5,入力シート!$S$37:$Z$62,5,0))</f>
        <v/>
      </c>
      <c r="O5" s="182" t="str">
        <f>IF(ISNUMBER(C5)=FALSE,"",IF(C5&gt;入力シート!$J$24,"",_xlfn.DAYS(入力シート!$J$24,'従業員情報(給与以外)'!$C5)/365))</f>
        <v/>
      </c>
      <c r="P5" s="237" t="str">
        <f>IF(O5="","",VLOOKUP(_xlfn.DAYS(入力シート!$J$24,'従業員情報(給与以外)'!$C5)/365,入力リスト!$H$4:$I$12,2,2))</f>
        <v/>
      </c>
      <c r="Q5" s="236" t="str">
        <f>IF(D5="","",VLOOKUP('従業員情報(給与以外)'!$D5,入力シート!$AW$37:$BB$38,4,0))</f>
        <v/>
      </c>
      <c r="R5" s="236" t="str">
        <f>IF(A5="","",IF(E5="","非役職",VLOOKUP('従業員情報(給与以外)'!$E5,入力シート!$AH$37:$AO$62,5,0)))</f>
        <v/>
      </c>
      <c r="S5" s="116" t="str">
        <f>IF(OR(入力シート!$C$5&lt;&gt;入力リスト!$N$4,COUNTIF(入力シート!$J$16:$S$23,入力リスト!$K$4)=0),"",IF($A5="","",IF(ISERROR(AVERAGEIF(従業員の給与情報!$B:$B,$A5,従業員の給与情報!$C:$C)),0,IF(ISERROR(AVERAGEIF(従業員の給与情報!$B:$B,$A5,従業員の給与情報!$C:$C)),0,AVERAGEIF(従業員の給与情報!$B:$B,$A5,従業員の給与情報!$C:$C)))))</f>
        <v/>
      </c>
      <c r="T5" s="116" t="str">
        <f>IF(OR(入力シート!$C$5&lt;&gt;入力リスト!$N$4,COUNTIF(入力シート!$J$16:$S$23,入力リスト!$K$4)=0),"",IF(A5="","",IF(ISERROR(AVERAGEIF(従業員の給与情報!$B:$B,$A5,従業員の給与情報!$D:$D)),0,IF(ISERROR(AVERAGEIF(従業員の給与情報!$B:$B,$A5,従業員の給与情報!$D:$D)),0,AVERAGEIF(従業員の給与情報!$B:$B,$A5,従業員の給与情報!$D:$D)))))</f>
        <v/>
      </c>
      <c r="U5" s="116" t="str">
        <f>IF(OR(入力シート!$C$5&lt;&gt;入力リスト!$N$4,COUNTIF(入力シート!$J$16:$S$23,入力リスト!$K$4)=0),"",IF(A5="","",IF(ISERROR(AVERAGEIF(従業員の給与情報!$B:$B,$A5,従業員の給与情報!$E:$E)),0,IF(ISERROR(AVERAGEIF(従業員の給与情報!$B:$B,$A5,従業員の給与情報!$E:$E)),0,AVERAGEIF(従業員の給与情報!$B:$B,$A5,従業員の給与情報!$E:$E)))))</f>
        <v/>
      </c>
      <c r="V5" s="117" t="str">
        <f>IF(OR(入力シート!$C$5&lt;&gt;入力リスト!$N$4,COUNTIF(入力シート!$J$16:$S$23,入力リスト!$K$4)=0),"",IF(A5="","",IF(ISERROR(AVERAGEIF(従業員の給与情報!$B:$B,$A5,従業員の給与情報!$F:$F)),0,IF(ISERROR(AVERAGEIF(従業員の給与情報!$B:$B,$A5,従業員の給与情報!$F:$F)),0,AVERAGEIF(従業員の給与情報!$B:$B,$A5,従業員の給与情報!$F:$F)))))</f>
        <v/>
      </c>
      <c r="W5" s="182"/>
      <c r="X5" s="260"/>
    </row>
    <row r="6" spans="1:26" ht="19.5">
      <c r="A6" s="363"/>
      <c r="B6" s="364"/>
      <c r="C6" s="365"/>
      <c r="D6" s="366"/>
      <c r="E6" s="367"/>
      <c r="F6" s="372" t="str">
        <f>IF(G6,"この従業員番号は、すでに他のセルで入力されています。",IF(入力シート!$C$5=入力リスト!$N$5,"",IF(AND(A6="",B6="",C6="",D6="",E6=""),"",IF(OR(A6="",B6="",C6="",D6=""),IF(A6="","従業員番号","")&amp;IF(AND(A6="",OR(B6="",C6="",D6="")),",","")&amp;IF(B6="","雇用形態","")&amp;IF(AND(B6="",OR(C6="",D6="")),",","")&amp;IF(OR(入力シート!$J$18=入力リスト!$K$4,入力シート!$J$22=入力リスト!$K$4),IF(C6="","入社年月日",""),"")&amp;IF(AND(C6="",D6=""),",","")&amp;IF(D6="","性別","")&amp;IF(IF(A6="","従業員番号","")&amp;IF(B6="","雇用形態","")&amp;IF(OR(入力シート!$J$18=入力リスト!$K$4,入力シート!$J$22=入力リスト!$K$4),IF(C6="","入社年月日",""),"")&amp;IF(D6="","性別","")="","","が空白です。"),IF(J6,"入社年月日に「基準日」の翌日以降の日付が入力されています。","")&amp;IF(I6,"入社年月日に数値以外（又は1900/1/1以前の日付）が入力されています。","")&amp;IF(H6,"雇用形態"&amp;IF(OR(K6,L6),",",""),"")&amp;IF(K6,"性別"&amp;IF(L6,",",""),"")&amp;IF(L6,"役職","")&amp;IF(OR(H6,K6,L6),"に、［入力シート］(4)「貴社」欄と異なる文言が入力されています。","")))))</f>
        <v/>
      </c>
      <c r="G6" s="236" t="b">
        <f>COUNTIF($A$4:A5,$A6)&gt;0</f>
        <v>0</v>
      </c>
      <c r="H6" s="237" t="b">
        <f>IF(COUNTIF(入力シート!$J$16:$S$23,入力リスト!$K$4)=0,FALSE,IF(入力シート!$J$16=入力リスト!$K$5,FALSE,ISERROR(VLOOKUP(B6,入力シート!$S$37:$V$62,1,0))))</f>
        <v>0</v>
      </c>
      <c r="I6" s="237" t="b">
        <f>IF(AND(OR(入力シート!$J$18=入力リスト!$K$4,入力シート!$J$22=入力リスト!$K$4),入力シート!$J$24&lt;&gt;""),IF(ISERROR(C6+1),TRUE,IF(ISNUMBER(C6),FALSE,TRUE)),FALSE)</f>
        <v>0</v>
      </c>
      <c r="J6" s="237" t="b">
        <f>IF(AND(入力シート!$J$18=入力リスト!$K$4,入力シート!$J$22=入力リスト!$K$4),FALSE,IF(I6=TRUE,FALSE,IF(ISERROR(C6+1),FALSE,C6&gt;入力シート!$J$24)))</f>
        <v>0</v>
      </c>
      <c r="K6" s="237" t="b">
        <f>IF(COUNTIF(入力シート!$J$16:$S$23,入力リスト!$K$4)=0,FALSE,IF(AND(入力シート!$J$16&lt;&gt;入力リスト!$K$5,入力シート!$J$18&lt;&gt;入力リスト!$K$5,入力シート!$J$20&lt;&gt;入力リスト!$K$5,入力シート!$J$22&lt;&gt;入力リスト!$K$5),FALSE,ISERROR(VLOOKUP(D6,入力シート!$AW$37:$AY$38,1,0))))</f>
        <v>0</v>
      </c>
      <c r="L6" s="237" t="b">
        <f>IF(COUNTIF(入力シート!$J$16:$S$23,入力リスト!$K$4)=0,FALSE,IF(入力シート!$J$20=入力リスト!$K$5,FALSE,IF(E6="",FALSE,ISERROR(VLOOKUP(E6,入力シート!$AH$37:$AK$62,1,0)))))</f>
        <v>0</v>
      </c>
      <c r="M6" s="238" t="str">
        <f t="shared" si="0"/>
        <v/>
      </c>
      <c r="N6" s="236" t="str">
        <f>IF(B6="","",VLOOKUP('従業員情報(給与以外)'!$B6,入力シート!$S$37:$Z$62,5,0))</f>
        <v/>
      </c>
      <c r="O6" s="182" t="str">
        <f>IF(ISNUMBER(C6)=FALSE,"",IF(C6&gt;入力シート!$J$24,"",_xlfn.DAYS(入力シート!$J$24,'従業員情報(給与以外)'!$C6)/365))</f>
        <v/>
      </c>
      <c r="P6" s="237" t="str">
        <f>IF(O6="","",VLOOKUP(_xlfn.DAYS(入力シート!$J$24,'従業員情報(給与以外)'!$C6)/365,入力リスト!$H$4:$I$12,2,2))</f>
        <v/>
      </c>
      <c r="Q6" s="236" t="str">
        <f>IF(D6="","",VLOOKUP('従業員情報(給与以外)'!$D6,入力シート!$AW$37:$BB$38,4,0))</f>
        <v/>
      </c>
      <c r="R6" s="236" t="str">
        <f>IF(A6="","",IF(E6="","非役職",VLOOKUP('従業員情報(給与以外)'!$E6,入力シート!$AH$37:$AO$62,5,0)))</f>
        <v/>
      </c>
      <c r="S6" s="116" t="str">
        <f>IF(OR(入力シート!$C$5&lt;&gt;入力リスト!$N$4,COUNTIF(入力シート!$J$16:$S$23,入力リスト!$K$4)=0),"",IF($A6="","",IF(ISERROR(AVERAGEIF(従業員の給与情報!$B:$B,$A6,従業員の給与情報!$C:$C)),0,IF(ISERROR(AVERAGEIF(従業員の給与情報!$B:$B,$A6,従業員の給与情報!$C:$C)),0,AVERAGEIF(従業員の給与情報!$B:$B,$A6,従業員の給与情報!$C:$C)))))</f>
        <v/>
      </c>
      <c r="T6" s="116" t="str">
        <f>IF(OR(入力シート!$C$5&lt;&gt;入力リスト!$N$4,COUNTIF(入力シート!$J$16:$S$23,入力リスト!$K$4)=0),"",IF(A6="","",IF(ISERROR(AVERAGEIF(従業員の給与情報!$B:$B,$A6,従業員の給与情報!$D:$D)),0,IF(ISERROR(AVERAGEIF(従業員の給与情報!$B:$B,$A6,従業員の給与情報!$D:$D)),0,AVERAGEIF(従業員の給与情報!$B:$B,$A6,従業員の給与情報!$D:$D)))))</f>
        <v/>
      </c>
      <c r="U6" s="116" t="str">
        <f>IF(OR(入力シート!$C$5&lt;&gt;入力リスト!$N$4,COUNTIF(入力シート!$J$16:$S$23,入力リスト!$K$4)=0),"",IF(A6="","",IF(ISERROR(AVERAGEIF(従業員の給与情報!$B:$B,$A6,従業員の給与情報!$E:$E)),0,IF(ISERROR(AVERAGEIF(従業員の給与情報!$B:$B,$A6,従業員の給与情報!$E:$E)),0,AVERAGEIF(従業員の給与情報!$B:$B,$A6,従業員の給与情報!$E:$E)))))</f>
        <v/>
      </c>
      <c r="V6" s="117" t="str">
        <f>IF(OR(入力シート!$C$5&lt;&gt;入力リスト!$N$4,COUNTIF(入力シート!$J$16:$S$23,入力リスト!$K$4)=0),"",IF(A6="","",IF(ISERROR(AVERAGEIF(従業員の給与情報!$B:$B,$A6,従業員の給与情報!$F:$F)),0,IF(ISERROR(AVERAGEIF(従業員の給与情報!$B:$B,$A6,従業員の給与情報!$F:$F)),0,AVERAGEIF(従業員の給与情報!$B:$B,$A6,従業員の給与情報!$F:$F)))))</f>
        <v/>
      </c>
      <c r="W6" s="182"/>
      <c r="X6" s="260"/>
    </row>
    <row r="7" spans="1:26" ht="19.5">
      <c r="A7" s="363"/>
      <c r="B7" s="364"/>
      <c r="C7" s="365"/>
      <c r="D7" s="366"/>
      <c r="E7" s="367"/>
      <c r="F7" s="372" t="str">
        <f>IF(G7,"この従業員番号は、すでに他のセルで入力されています。",IF(入力シート!$C$5=入力リスト!$N$5,"",IF(AND(A7="",B7="",C7="",D7="",E7=""),"",IF(OR(A7="",B7="",C7="",D7=""),IF(A7="","従業員番号","")&amp;IF(AND(A7="",OR(B7="",C7="",D7="")),",","")&amp;IF(B7="","雇用形態","")&amp;IF(AND(B7="",OR(C7="",D7="")),",","")&amp;IF(OR(入力シート!$J$18=入力リスト!$K$4,入力シート!$J$22=入力リスト!$K$4),IF(C7="","入社年月日",""),"")&amp;IF(AND(C7="",D7=""),",","")&amp;IF(D7="","性別","")&amp;IF(IF(A7="","従業員番号","")&amp;IF(B7="","雇用形態","")&amp;IF(OR(入力シート!$J$18=入力リスト!$K$4,入力シート!$J$22=入力リスト!$K$4),IF(C7="","入社年月日",""),"")&amp;IF(D7="","性別","")="","","が空白です。"),IF(J7,"入社年月日に「基準日」の翌日以降の日付が入力されています。","")&amp;IF(I7,"入社年月日に数値以外（又は1900/1/1以前の日付）が入力されています。","")&amp;IF(H7,"雇用形態"&amp;IF(OR(K7,L7),",",""),"")&amp;IF(K7,"性別"&amp;IF(L7,",",""),"")&amp;IF(L7,"役職","")&amp;IF(OR(H7,K7,L7),"に、［入力シート］(4)「貴社」欄と異なる文言が入力されています。","")))))</f>
        <v/>
      </c>
      <c r="G7" s="236" t="b">
        <f>COUNTIF($A$4:A6,$A7)&gt;0</f>
        <v>0</v>
      </c>
      <c r="H7" s="237" t="b">
        <f>IF(COUNTIF(入力シート!$J$16:$S$23,入力リスト!$K$4)=0,FALSE,IF(入力シート!$J$16=入力リスト!$K$5,FALSE,ISERROR(VLOOKUP(B7,入力シート!$S$37:$V$62,1,0))))</f>
        <v>0</v>
      </c>
      <c r="I7" s="237" t="b">
        <f>IF(AND(OR(入力シート!$J$18=入力リスト!$K$4,入力シート!$J$22=入力リスト!$K$4),入力シート!$J$24&lt;&gt;""),IF(ISERROR(C7+1),TRUE,IF(ISNUMBER(C7),FALSE,TRUE)),FALSE)</f>
        <v>0</v>
      </c>
      <c r="J7" s="237" t="b">
        <f>IF(AND(入力シート!$J$18=入力リスト!$K$4,入力シート!$J$22=入力リスト!$K$4),FALSE,IF(I7=TRUE,FALSE,IF(ISERROR(C7+1),FALSE,C7&gt;入力シート!$J$24)))</f>
        <v>0</v>
      </c>
      <c r="K7" s="237" t="b">
        <f>IF(COUNTIF(入力シート!$J$16:$S$23,入力リスト!$K$4)=0,FALSE,IF(AND(入力シート!$J$16&lt;&gt;入力リスト!$K$5,入力シート!$J$18&lt;&gt;入力リスト!$K$5,入力シート!$J$20&lt;&gt;入力リスト!$K$5,入力シート!$J$22&lt;&gt;入力リスト!$K$5),FALSE,ISERROR(VLOOKUP(D7,入力シート!$AW$37:$AY$38,1,0))))</f>
        <v>0</v>
      </c>
      <c r="L7" s="237" t="b">
        <f>IF(COUNTIF(入力シート!$J$16:$S$23,入力リスト!$K$4)=0,FALSE,IF(入力シート!$J$20=入力リスト!$K$5,FALSE,IF(E7="",FALSE,ISERROR(VLOOKUP(E7,入力シート!$AH$37:$AK$62,1,0)))))</f>
        <v>0</v>
      </c>
      <c r="M7" s="238" t="str">
        <f t="shared" si="0"/>
        <v/>
      </c>
      <c r="N7" s="236" t="str">
        <f>IF(B7="","",VLOOKUP('従業員情報(給与以外)'!$B7,入力シート!$S$37:$Z$62,5,0))</f>
        <v/>
      </c>
      <c r="O7" s="182" t="str">
        <f>IF(ISNUMBER(C7)=FALSE,"",IF(C7&gt;入力シート!$J$24,"",_xlfn.DAYS(入力シート!$J$24,'従業員情報(給与以外)'!$C7)/365))</f>
        <v/>
      </c>
      <c r="P7" s="237" t="str">
        <f>IF(O7="","",VLOOKUP(_xlfn.DAYS(入力シート!$J$24,'従業員情報(給与以外)'!$C7)/365,入力リスト!$H$4:$I$12,2,2))</f>
        <v/>
      </c>
      <c r="Q7" s="236" t="str">
        <f>IF(D7="","",VLOOKUP('従業員情報(給与以外)'!$D7,入力シート!$AW$37:$BB$38,4,0))</f>
        <v/>
      </c>
      <c r="R7" s="236" t="str">
        <f>IF(A7="","",IF(E7="","非役職",VLOOKUP('従業員情報(給与以外)'!$E7,入力シート!$AH$37:$AO$62,5,0)))</f>
        <v/>
      </c>
      <c r="S7" s="116" t="str">
        <f>IF(OR(入力シート!$C$5&lt;&gt;入力リスト!$N$4,COUNTIF(入力シート!$J$16:$S$23,入力リスト!$K$4)=0),"",IF($A7="","",IF(ISERROR(AVERAGEIF(従業員の給与情報!$B:$B,$A7,従業員の給与情報!$C:$C)),0,IF(ISERROR(AVERAGEIF(従業員の給与情報!$B:$B,$A7,従業員の給与情報!$C:$C)),0,AVERAGEIF(従業員の給与情報!$B:$B,$A7,従業員の給与情報!$C:$C)))))</f>
        <v/>
      </c>
      <c r="T7" s="116" t="str">
        <f>IF(OR(入力シート!$C$5&lt;&gt;入力リスト!$N$4,COUNTIF(入力シート!$J$16:$S$23,入力リスト!$K$4)=0),"",IF(A7="","",IF(ISERROR(AVERAGEIF(従業員の給与情報!$B:$B,$A7,従業員の給与情報!$D:$D)),0,IF(ISERROR(AVERAGEIF(従業員の給与情報!$B:$B,$A7,従業員の給与情報!$D:$D)),0,AVERAGEIF(従業員の給与情報!$B:$B,$A7,従業員の給与情報!$D:$D)))))</f>
        <v/>
      </c>
      <c r="U7" s="116" t="str">
        <f>IF(OR(入力シート!$C$5&lt;&gt;入力リスト!$N$4,COUNTIF(入力シート!$J$16:$S$23,入力リスト!$K$4)=0),"",IF(A7="","",IF(ISERROR(AVERAGEIF(従業員の給与情報!$B:$B,$A7,従業員の給与情報!$E:$E)),0,IF(ISERROR(AVERAGEIF(従業員の給与情報!$B:$B,$A7,従業員の給与情報!$E:$E)),0,AVERAGEIF(従業員の給与情報!$B:$B,$A7,従業員の給与情報!$E:$E)))))</f>
        <v/>
      </c>
      <c r="V7" s="117" t="str">
        <f>IF(OR(入力シート!$C$5&lt;&gt;入力リスト!$N$4,COUNTIF(入力シート!$J$16:$S$23,入力リスト!$K$4)=0),"",IF(A7="","",IF(ISERROR(AVERAGEIF(従業員の給与情報!$B:$B,$A7,従業員の給与情報!$F:$F)),0,IF(ISERROR(AVERAGEIF(従業員の給与情報!$B:$B,$A7,従業員の給与情報!$F:$F)),0,AVERAGEIF(従業員の給与情報!$B:$B,$A7,従業員の給与情報!$F:$F)))))</f>
        <v/>
      </c>
      <c r="W7" s="182"/>
      <c r="X7" s="260"/>
      <c r="Z7" s="129"/>
    </row>
    <row r="8" spans="1:26" ht="19.5">
      <c r="A8" s="363"/>
      <c r="B8" s="364"/>
      <c r="C8" s="365"/>
      <c r="D8" s="366"/>
      <c r="E8" s="367"/>
      <c r="F8" s="372" t="str">
        <f>IF(G8,"この従業員番号は、すでに他のセルで入力されています。",IF(入力シート!$C$5=入力リスト!$N$5,"",IF(AND(A8="",B8="",C8="",D8="",E8=""),"",IF(OR(A8="",B8="",C8="",D8=""),IF(A8="","従業員番号","")&amp;IF(AND(A8="",OR(B8="",C8="",D8="")),",","")&amp;IF(B8="","雇用形態","")&amp;IF(AND(B8="",OR(C8="",D8="")),",","")&amp;IF(OR(入力シート!$J$18=入力リスト!$K$4,入力シート!$J$22=入力リスト!$K$4),IF(C8="","入社年月日",""),"")&amp;IF(AND(C8="",D8=""),",","")&amp;IF(D8="","性別","")&amp;IF(IF(A8="","従業員番号","")&amp;IF(B8="","雇用形態","")&amp;IF(OR(入力シート!$J$18=入力リスト!$K$4,入力シート!$J$22=入力リスト!$K$4),IF(C8="","入社年月日",""),"")&amp;IF(D8="","性別","")="","","が空白です。"),IF(J8,"入社年月日に「基準日」の翌日以降の日付が入力されています。","")&amp;IF(I8,"入社年月日に数値以外（又は1900/1/1以前の日付）が入力されています。","")&amp;IF(H8,"雇用形態"&amp;IF(OR(K8,L8),",",""),"")&amp;IF(K8,"性別"&amp;IF(L8,",",""),"")&amp;IF(L8,"役職","")&amp;IF(OR(H8,K8,L8),"に、［入力シート］(4)「貴社」欄と異なる文言が入力されています。","")))))</f>
        <v/>
      </c>
      <c r="G8" s="236" t="b">
        <f>COUNTIF($A$4:A7,$A8)&gt;0</f>
        <v>0</v>
      </c>
      <c r="H8" s="237" t="b">
        <f>IF(COUNTIF(入力シート!$J$16:$S$23,入力リスト!$K$4)=0,FALSE,IF(入力シート!$J$16=入力リスト!$K$5,FALSE,ISERROR(VLOOKUP(B8,入力シート!$S$37:$V$62,1,0))))</f>
        <v>0</v>
      </c>
      <c r="I8" s="237" t="b">
        <f>IF(AND(OR(入力シート!$J$18=入力リスト!$K$4,入力シート!$J$22=入力リスト!$K$4),入力シート!$J$24&lt;&gt;""),IF(ISERROR(C8+1),TRUE,IF(ISNUMBER(C8),FALSE,TRUE)),FALSE)</f>
        <v>0</v>
      </c>
      <c r="J8" s="237" t="b">
        <f>IF(AND(入力シート!$J$18=入力リスト!$K$4,入力シート!$J$22=入力リスト!$K$4),FALSE,IF(I8=TRUE,FALSE,IF(ISERROR(C8+1),FALSE,C8&gt;入力シート!$J$24)))</f>
        <v>0</v>
      </c>
      <c r="K8" s="237" t="b">
        <f>IF(COUNTIF(入力シート!$J$16:$S$23,入力リスト!$K$4)=0,FALSE,IF(AND(入力シート!$J$16&lt;&gt;入力リスト!$K$5,入力シート!$J$18&lt;&gt;入力リスト!$K$5,入力シート!$J$20&lt;&gt;入力リスト!$K$5,入力シート!$J$22&lt;&gt;入力リスト!$K$5),FALSE,ISERROR(VLOOKUP(D8,入力シート!$AW$37:$AY$38,1,0))))</f>
        <v>0</v>
      </c>
      <c r="L8" s="237" t="b">
        <f>IF(COUNTIF(入力シート!$J$16:$S$23,入力リスト!$K$4)=0,FALSE,IF(入力シート!$J$20=入力リスト!$K$5,FALSE,IF(E8="",FALSE,ISERROR(VLOOKUP(E8,入力シート!$AH$37:$AK$62,1,0)))))</f>
        <v>0</v>
      </c>
      <c r="M8" s="238" t="str">
        <f t="shared" si="0"/>
        <v/>
      </c>
      <c r="N8" s="236" t="str">
        <f>IF(B8="","",VLOOKUP('従業員情報(給与以外)'!$B8,入力シート!$S$37:$Z$62,5,0))</f>
        <v/>
      </c>
      <c r="O8" s="182" t="str">
        <f>IF(ISNUMBER(C8)=FALSE,"",IF(C8&gt;入力シート!$J$24,"",_xlfn.DAYS(入力シート!$J$24,'従業員情報(給与以外)'!$C8)/365))</f>
        <v/>
      </c>
      <c r="P8" s="237" t="str">
        <f>IF(O8="","",VLOOKUP(_xlfn.DAYS(入力シート!$J$24,'従業員情報(給与以外)'!$C8)/365,入力リスト!$H$4:$I$12,2,2))</f>
        <v/>
      </c>
      <c r="Q8" s="236" t="str">
        <f>IF(D8="","",VLOOKUP('従業員情報(給与以外)'!$D8,入力シート!$AW$37:$BB$38,4,0))</f>
        <v/>
      </c>
      <c r="R8" s="236" t="str">
        <f>IF(A8="","",IF(E8="","非役職",VLOOKUP('従業員情報(給与以外)'!$E8,入力シート!$AH$37:$AO$62,5,0)))</f>
        <v/>
      </c>
      <c r="S8" s="116" t="str">
        <f>IF(OR(入力シート!$C$5&lt;&gt;入力リスト!$N$4,COUNTIF(入力シート!$J$16:$S$23,入力リスト!$K$4)=0),"",IF($A8="","",IF(ISERROR(AVERAGEIF(従業員の給与情報!$B:$B,$A8,従業員の給与情報!$C:$C)),0,IF(ISERROR(AVERAGEIF(従業員の給与情報!$B:$B,$A8,従業員の給与情報!$C:$C)),0,AVERAGEIF(従業員の給与情報!$B:$B,$A8,従業員の給与情報!$C:$C)))))</f>
        <v/>
      </c>
      <c r="T8" s="116" t="str">
        <f>IF(OR(入力シート!$C$5&lt;&gt;入力リスト!$N$4,COUNTIF(入力シート!$J$16:$S$23,入力リスト!$K$4)=0),"",IF(A8="","",IF(ISERROR(AVERAGEIF(従業員の給与情報!$B:$B,$A8,従業員の給与情報!$D:$D)),0,IF(ISERROR(AVERAGEIF(従業員の給与情報!$B:$B,$A8,従業員の給与情報!$D:$D)),0,AVERAGEIF(従業員の給与情報!$B:$B,$A8,従業員の給与情報!$D:$D)))))</f>
        <v/>
      </c>
      <c r="U8" s="116" t="str">
        <f>IF(OR(入力シート!$C$5&lt;&gt;入力リスト!$N$4,COUNTIF(入力シート!$J$16:$S$23,入力リスト!$K$4)=0),"",IF(A8="","",IF(ISERROR(AVERAGEIF(従業員の給与情報!$B:$B,$A8,従業員の給与情報!$E:$E)),0,IF(ISERROR(AVERAGEIF(従業員の給与情報!$B:$B,$A8,従業員の給与情報!$E:$E)),0,AVERAGEIF(従業員の給与情報!$B:$B,$A8,従業員の給与情報!$E:$E)))))</f>
        <v/>
      </c>
      <c r="V8" s="117" t="str">
        <f>IF(OR(入力シート!$C$5&lt;&gt;入力リスト!$N$4,COUNTIF(入力シート!$J$16:$S$23,入力リスト!$K$4)=0),"",IF(A8="","",IF(ISERROR(AVERAGEIF(従業員の給与情報!$B:$B,$A8,従業員の給与情報!$F:$F)),0,IF(ISERROR(AVERAGEIF(従業員の給与情報!$B:$B,$A8,従業員の給与情報!$F:$F)),0,AVERAGEIF(従業員の給与情報!$B:$B,$A8,従業員の給与情報!$F:$F)))))</f>
        <v/>
      </c>
      <c r="W8" s="182"/>
      <c r="X8" s="260"/>
      <c r="Z8" s="129"/>
    </row>
    <row r="9" spans="1:26" ht="19.5">
      <c r="A9" s="363"/>
      <c r="B9" s="364"/>
      <c r="C9" s="365"/>
      <c r="D9" s="366"/>
      <c r="E9" s="367"/>
      <c r="F9" s="372" t="str">
        <f>IF(G9,"この従業員番号は、すでに他のセルで入力されています。",IF(入力シート!$C$5=入力リスト!$N$5,"",IF(AND(A9="",B9="",C9="",D9="",E9=""),"",IF(OR(A9="",B9="",C9="",D9=""),IF(A9="","従業員番号","")&amp;IF(AND(A9="",OR(B9="",C9="",D9="")),",","")&amp;IF(B9="","雇用形態","")&amp;IF(AND(B9="",OR(C9="",D9="")),",","")&amp;IF(OR(入力シート!$J$18=入力リスト!$K$4,入力シート!$J$22=入力リスト!$K$4),IF(C9="","入社年月日",""),"")&amp;IF(AND(C9="",D9=""),",","")&amp;IF(D9="","性別","")&amp;IF(IF(A9="","従業員番号","")&amp;IF(B9="","雇用形態","")&amp;IF(OR(入力シート!$J$18=入力リスト!$K$4,入力シート!$J$22=入力リスト!$K$4),IF(C9="","入社年月日",""),"")&amp;IF(D9="","性別","")="","","が空白です。"),IF(J9,"入社年月日に「基準日」の翌日以降の日付が入力されています。","")&amp;IF(I9,"入社年月日に数値以外（又は1900/1/1以前の日付）が入力されています。","")&amp;IF(H9,"雇用形態"&amp;IF(OR(K9,L9),",",""),"")&amp;IF(K9,"性別"&amp;IF(L9,",",""),"")&amp;IF(L9,"役職","")&amp;IF(OR(H9,K9,L9),"に、［入力シート］(4)「貴社」欄と異なる文言が入力されています。","")))))</f>
        <v/>
      </c>
      <c r="G9" s="236" t="b">
        <f>COUNTIF($A$4:A8,$A9)&gt;0</f>
        <v>0</v>
      </c>
      <c r="H9" s="237" t="b">
        <f>IF(COUNTIF(入力シート!$J$16:$S$23,入力リスト!$K$4)=0,FALSE,IF(入力シート!$J$16=入力リスト!$K$5,FALSE,ISERROR(VLOOKUP(B9,入力シート!$S$37:$V$62,1,0))))</f>
        <v>0</v>
      </c>
      <c r="I9" s="237" t="b">
        <f>IF(AND(OR(入力シート!$J$18=入力リスト!$K$4,入力シート!$J$22=入力リスト!$K$4),入力シート!$J$24&lt;&gt;""),IF(ISERROR(C9+1),TRUE,IF(ISNUMBER(C9),FALSE,TRUE)),FALSE)</f>
        <v>0</v>
      </c>
      <c r="J9" s="237" t="b">
        <f>IF(AND(入力シート!$J$18=入力リスト!$K$4,入力シート!$J$22=入力リスト!$K$4),FALSE,IF(I9=TRUE,FALSE,IF(ISERROR(C9+1),FALSE,C9&gt;入力シート!$J$24)))</f>
        <v>0</v>
      </c>
      <c r="K9" s="237" t="b">
        <f>IF(COUNTIF(入力シート!$J$16:$S$23,入力リスト!$K$4)=0,FALSE,IF(AND(入力シート!$J$16&lt;&gt;入力リスト!$K$5,入力シート!$J$18&lt;&gt;入力リスト!$K$5,入力シート!$J$20&lt;&gt;入力リスト!$K$5,入力シート!$J$22&lt;&gt;入力リスト!$K$5),FALSE,ISERROR(VLOOKUP(D9,入力シート!$AW$37:$AY$38,1,0))))</f>
        <v>0</v>
      </c>
      <c r="L9" s="237" t="b">
        <f>IF(COUNTIF(入力シート!$J$16:$S$23,入力リスト!$K$4)=0,FALSE,IF(入力シート!$J$20=入力リスト!$K$5,FALSE,IF(E9="",FALSE,ISERROR(VLOOKUP(E9,入力シート!$AH$37:$AK$62,1,0)))))</f>
        <v>0</v>
      </c>
      <c r="M9" s="238" t="str">
        <f t="shared" si="0"/>
        <v/>
      </c>
      <c r="N9" s="236" t="str">
        <f>IF(B9="","",VLOOKUP('従業員情報(給与以外)'!$B9,入力シート!$S$37:$Z$62,5,0))</f>
        <v/>
      </c>
      <c r="O9" s="182" t="str">
        <f>IF(ISNUMBER(C9)=FALSE,"",IF(C9&gt;入力シート!$J$24,"",_xlfn.DAYS(入力シート!$J$24,'従業員情報(給与以外)'!$C9)/365))</f>
        <v/>
      </c>
      <c r="P9" s="237" t="str">
        <f>IF(O9="","",VLOOKUP(_xlfn.DAYS(入力シート!$J$24,'従業員情報(給与以外)'!$C9)/365,入力リスト!$H$4:$I$12,2,2))</f>
        <v/>
      </c>
      <c r="Q9" s="236" t="str">
        <f>IF(D9="","",VLOOKUP('従業員情報(給与以外)'!$D9,入力シート!$AW$37:$BB$38,4,0))</f>
        <v/>
      </c>
      <c r="R9" s="236" t="str">
        <f>IF(A9="","",IF(E9="","非役職",VLOOKUP('従業員情報(給与以外)'!$E9,入力シート!$AH$37:$AO$62,5,0)))</f>
        <v/>
      </c>
      <c r="S9" s="116" t="str">
        <f>IF(OR(入力シート!$C$5&lt;&gt;入力リスト!$N$4,COUNTIF(入力シート!$J$16:$S$23,入力リスト!$K$4)=0),"",IF($A9="","",IF(ISERROR(AVERAGEIF(従業員の給与情報!$B:$B,$A9,従業員の給与情報!$C:$C)),0,IF(ISERROR(AVERAGEIF(従業員の給与情報!$B:$B,$A9,従業員の給与情報!$C:$C)),0,AVERAGEIF(従業員の給与情報!$B:$B,$A9,従業員の給与情報!$C:$C)))))</f>
        <v/>
      </c>
      <c r="T9" s="116" t="str">
        <f>IF(OR(入力シート!$C$5&lt;&gt;入力リスト!$N$4,COUNTIF(入力シート!$J$16:$S$23,入力リスト!$K$4)=0),"",IF(A9="","",IF(ISERROR(AVERAGEIF(従業員の給与情報!$B:$B,$A9,従業員の給与情報!$D:$D)),0,IF(ISERROR(AVERAGEIF(従業員の給与情報!$B:$B,$A9,従業員の給与情報!$D:$D)),0,AVERAGEIF(従業員の給与情報!$B:$B,$A9,従業員の給与情報!$D:$D)))))</f>
        <v/>
      </c>
      <c r="U9" s="116" t="str">
        <f>IF(OR(入力シート!$C$5&lt;&gt;入力リスト!$N$4,COUNTIF(入力シート!$J$16:$S$23,入力リスト!$K$4)=0),"",IF(A9="","",IF(ISERROR(AVERAGEIF(従業員の給与情報!$B:$B,$A9,従業員の給与情報!$E:$E)),0,IF(ISERROR(AVERAGEIF(従業員の給与情報!$B:$B,$A9,従業員の給与情報!$E:$E)),0,AVERAGEIF(従業員の給与情報!$B:$B,$A9,従業員の給与情報!$E:$E)))))</f>
        <v/>
      </c>
      <c r="V9" s="117" t="str">
        <f>IF(OR(入力シート!$C$5&lt;&gt;入力リスト!$N$4,COUNTIF(入力シート!$J$16:$S$23,入力リスト!$K$4)=0),"",IF(A9="","",IF(ISERROR(AVERAGEIF(従業員の給与情報!$B:$B,$A9,従業員の給与情報!$F:$F)),0,IF(ISERROR(AVERAGEIF(従業員の給与情報!$B:$B,$A9,従業員の給与情報!$F:$F)),0,AVERAGEIF(従業員の給与情報!$B:$B,$A9,従業員の給与情報!$F:$F)))))</f>
        <v/>
      </c>
      <c r="W9" s="182"/>
      <c r="X9" s="260"/>
    </row>
    <row r="10" spans="1:26" ht="19.5">
      <c r="A10" s="363"/>
      <c r="B10" s="364"/>
      <c r="C10" s="365"/>
      <c r="D10" s="366"/>
      <c r="E10" s="367"/>
      <c r="F10" s="372" t="str">
        <f>IF(G10,"この従業員番号は、すでに他のセルで入力されています。",IF(入力シート!$C$5=入力リスト!$N$5,"",IF(AND(A10="",B10="",C10="",D10="",E10=""),"",IF(OR(A10="",B10="",C10="",D10=""),IF(A10="","従業員番号","")&amp;IF(AND(A10="",OR(B10="",C10="",D10="")),",","")&amp;IF(B10="","雇用形態","")&amp;IF(AND(B10="",OR(C10="",D10="")),",","")&amp;IF(OR(入力シート!$J$18=入力リスト!$K$4,入力シート!$J$22=入力リスト!$K$4),IF(C10="","入社年月日",""),"")&amp;IF(AND(C10="",D10=""),",","")&amp;IF(D10="","性別","")&amp;IF(IF(A10="","従業員番号","")&amp;IF(B10="","雇用形態","")&amp;IF(OR(入力シート!$J$18=入力リスト!$K$4,入力シート!$J$22=入力リスト!$K$4),IF(C10="","入社年月日",""),"")&amp;IF(D10="","性別","")="","","が空白です。"),IF(J10,"入社年月日に「基準日」の翌日以降の日付が入力されています。","")&amp;IF(I10,"入社年月日に数値以外（又は1900/1/1以前の日付）が入力されています。","")&amp;IF(H10,"雇用形態"&amp;IF(OR(K10,L10),",",""),"")&amp;IF(K10,"性別"&amp;IF(L10,",",""),"")&amp;IF(L10,"役職","")&amp;IF(OR(H10,K10,L10),"に、［入力シート］(4)「貴社」欄と異なる文言が入力されています。","")))))</f>
        <v/>
      </c>
      <c r="G10" s="236" t="b">
        <f>COUNTIF($A$4:A9,$A10)&gt;0</f>
        <v>0</v>
      </c>
      <c r="H10" s="237" t="b">
        <f>IF(COUNTIF(入力シート!$J$16:$S$23,入力リスト!$K$4)=0,FALSE,IF(入力シート!$J$16=入力リスト!$K$5,FALSE,ISERROR(VLOOKUP(B10,入力シート!$S$37:$V$62,1,0))))</f>
        <v>0</v>
      </c>
      <c r="I10" s="237" t="b">
        <f>IF(AND(OR(入力シート!$J$18=入力リスト!$K$4,入力シート!$J$22=入力リスト!$K$4),入力シート!$J$24&lt;&gt;""),IF(ISERROR(C10+1),TRUE,IF(ISNUMBER(C10),FALSE,TRUE)),FALSE)</f>
        <v>0</v>
      </c>
      <c r="J10" s="237" t="b">
        <f>IF(AND(入力シート!$J$18=入力リスト!$K$4,入力シート!$J$22=入力リスト!$K$4),FALSE,IF(I10=TRUE,FALSE,IF(ISERROR(C10+1),FALSE,C10&gt;入力シート!$J$24)))</f>
        <v>0</v>
      </c>
      <c r="K10" s="237" t="b">
        <f>IF(COUNTIF(入力シート!$J$16:$S$23,入力リスト!$K$4)=0,FALSE,IF(AND(入力シート!$J$16&lt;&gt;入力リスト!$K$5,入力シート!$J$18&lt;&gt;入力リスト!$K$5,入力シート!$J$20&lt;&gt;入力リスト!$K$5,入力シート!$J$22&lt;&gt;入力リスト!$K$5),FALSE,ISERROR(VLOOKUP(D10,入力シート!$AW$37:$AY$38,1,0))))</f>
        <v>0</v>
      </c>
      <c r="L10" s="237" t="b">
        <f>IF(COUNTIF(入力シート!$J$16:$S$23,入力リスト!$K$4)=0,FALSE,IF(入力シート!$J$20=入力リスト!$K$5,FALSE,IF(E10="",FALSE,ISERROR(VLOOKUP(E10,入力シート!$AH$37:$AK$62,1,0)))))</f>
        <v>0</v>
      </c>
      <c r="M10" s="238" t="str">
        <f t="shared" si="0"/>
        <v/>
      </c>
      <c r="N10" s="236" t="str">
        <f>IF(B10="","",VLOOKUP('従業員情報(給与以外)'!$B10,入力シート!$S$37:$Z$62,5,0))</f>
        <v/>
      </c>
      <c r="O10" s="182" t="str">
        <f>IF(ISNUMBER(C10)=FALSE,"",IF(C10&gt;入力シート!$J$24,"",_xlfn.DAYS(入力シート!$J$24,'従業員情報(給与以外)'!$C10)/365))</f>
        <v/>
      </c>
      <c r="P10" s="237" t="str">
        <f>IF(O10="","",VLOOKUP(_xlfn.DAYS(入力シート!$J$24,'従業員情報(給与以外)'!$C10)/365,入力リスト!$H$4:$I$12,2,2))</f>
        <v/>
      </c>
      <c r="Q10" s="236" t="str">
        <f>IF(D10="","",VLOOKUP('従業員情報(給与以外)'!$D10,入力シート!$AW$37:$BB$38,4,0))</f>
        <v/>
      </c>
      <c r="R10" s="236" t="str">
        <f>IF(A10="","",IF(E10="","非役職",VLOOKUP('従業員情報(給与以外)'!$E10,入力シート!$AH$37:$AO$62,5,0)))</f>
        <v/>
      </c>
      <c r="S10" s="116" t="str">
        <f>IF(OR(入力シート!$C$5&lt;&gt;入力リスト!$N$4,COUNTIF(入力シート!$J$16:$S$23,入力リスト!$K$4)=0),"",IF($A10="","",IF(ISERROR(AVERAGEIF(従業員の給与情報!$B:$B,$A10,従業員の給与情報!$C:$C)),0,IF(ISERROR(AVERAGEIF(従業員の給与情報!$B:$B,$A10,従業員の給与情報!$C:$C)),0,AVERAGEIF(従業員の給与情報!$B:$B,$A10,従業員の給与情報!$C:$C)))))</f>
        <v/>
      </c>
      <c r="T10" s="116" t="str">
        <f>IF(OR(入力シート!$C$5&lt;&gt;入力リスト!$N$4,COUNTIF(入力シート!$J$16:$S$23,入力リスト!$K$4)=0),"",IF(A10="","",IF(ISERROR(AVERAGEIF(従業員の給与情報!$B:$B,$A10,従業員の給与情報!$D:$D)),0,IF(ISERROR(AVERAGEIF(従業員の給与情報!$B:$B,$A10,従業員の給与情報!$D:$D)),0,AVERAGEIF(従業員の給与情報!$B:$B,$A10,従業員の給与情報!$D:$D)))))</f>
        <v/>
      </c>
      <c r="U10" s="116" t="str">
        <f>IF(OR(入力シート!$C$5&lt;&gt;入力リスト!$N$4,COUNTIF(入力シート!$J$16:$S$23,入力リスト!$K$4)=0),"",IF(A10="","",IF(ISERROR(AVERAGEIF(従業員の給与情報!$B:$B,$A10,従業員の給与情報!$E:$E)),0,IF(ISERROR(AVERAGEIF(従業員の給与情報!$B:$B,$A10,従業員の給与情報!$E:$E)),0,AVERAGEIF(従業員の給与情報!$B:$B,$A10,従業員の給与情報!$E:$E)))))</f>
        <v/>
      </c>
      <c r="V10" s="117" t="str">
        <f>IF(OR(入力シート!$C$5&lt;&gt;入力リスト!$N$4,COUNTIF(入力シート!$J$16:$S$23,入力リスト!$K$4)=0),"",IF(A10="","",IF(ISERROR(AVERAGEIF(従業員の給与情報!$B:$B,$A10,従業員の給与情報!$F:$F)),0,IF(ISERROR(AVERAGEIF(従業員の給与情報!$B:$B,$A10,従業員の給与情報!$F:$F)),0,AVERAGEIF(従業員の給与情報!$B:$B,$A10,従業員の給与情報!$F:$F)))))</f>
        <v/>
      </c>
      <c r="W10" s="182"/>
      <c r="X10" s="260"/>
    </row>
    <row r="11" spans="1:26" ht="19.5">
      <c r="A11" s="363"/>
      <c r="B11" s="364"/>
      <c r="C11" s="365"/>
      <c r="D11" s="366"/>
      <c r="E11" s="367"/>
      <c r="F11" s="372" t="str">
        <f>IF(G11,"この従業員番号は、すでに他のセルで入力されています。",IF(入力シート!$C$5=入力リスト!$N$5,"",IF(AND(A11="",B11="",C11="",D11="",E11=""),"",IF(OR(A11="",B11="",C11="",D11=""),IF(A11="","従業員番号","")&amp;IF(AND(A11="",OR(B11="",C11="",D11="")),",","")&amp;IF(B11="","雇用形態","")&amp;IF(AND(B11="",OR(C11="",D11="")),",","")&amp;IF(OR(入力シート!$J$18=入力リスト!$K$4,入力シート!$J$22=入力リスト!$K$4),IF(C11="","入社年月日",""),"")&amp;IF(AND(C11="",D11=""),",","")&amp;IF(D11="","性別","")&amp;IF(IF(A11="","従業員番号","")&amp;IF(B11="","雇用形態","")&amp;IF(OR(入力シート!$J$18=入力リスト!$K$4,入力シート!$J$22=入力リスト!$K$4),IF(C11="","入社年月日",""),"")&amp;IF(D11="","性別","")="","","が空白です。"),IF(J11,"入社年月日に「基準日」の翌日以降の日付が入力されています。","")&amp;IF(I11,"入社年月日に数値以外（又は1900/1/1以前の日付）が入力されています。","")&amp;IF(H11,"雇用形態"&amp;IF(OR(K11,L11),",",""),"")&amp;IF(K11,"性別"&amp;IF(L11,",",""),"")&amp;IF(L11,"役職","")&amp;IF(OR(H11,K11,L11),"に、［入力シート］(4)「貴社」欄と異なる文言が入力されています。","")))))</f>
        <v/>
      </c>
      <c r="G11" s="236" t="b">
        <f>COUNTIF($A$4:A10,$A11)&gt;0</f>
        <v>0</v>
      </c>
      <c r="H11" s="237" t="b">
        <f>IF(COUNTIF(入力シート!$J$16:$S$23,入力リスト!$K$4)=0,FALSE,IF(入力シート!$J$16=入力リスト!$K$5,FALSE,ISERROR(VLOOKUP(B11,入力シート!$S$37:$V$62,1,0))))</f>
        <v>0</v>
      </c>
      <c r="I11" s="237" t="b">
        <f>IF(AND(OR(入力シート!$J$18=入力リスト!$K$4,入力シート!$J$22=入力リスト!$K$4),入力シート!$J$24&lt;&gt;""),IF(ISERROR(C11+1),TRUE,IF(ISNUMBER(C11),FALSE,TRUE)),FALSE)</f>
        <v>0</v>
      </c>
      <c r="J11" s="237" t="b">
        <f>IF(AND(入力シート!$J$18=入力リスト!$K$4,入力シート!$J$22=入力リスト!$K$4),FALSE,IF(I11=TRUE,FALSE,IF(ISERROR(C11+1),FALSE,C11&gt;入力シート!$J$24)))</f>
        <v>0</v>
      </c>
      <c r="K11" s="237" t="b">
        <f>IF(COUNTIF(入力シート!$J$16:$S$23,入力リスト!$K$4)=0,FALSE,IF(AND(入力シート!$J$16&lt;&gt;入力リスト!$K$5,入力シート!$J$18&lt;&gt;入力リスト!$K$5,入力シート!$J$20&lt;&gt;入力リスト!$K$5,入力シート!$J$22&lt;&gt;入力リスト!$K$5),FALSE,ISERROR(VLOOKUP(D11,入力シート!$AW$37:$AY$38,1,0))))</f>
        <v>0</v>
      </c>
      <c r="L11" s="237" t="b">
        <f>IF(COUNTIF(入力シート!$J$16:$S$23,入力リスト!$K$4)=0,FALSE,IF(入力シート!$J$20=入力リスト!$K$5,FALSE,IF(E11="",FALSE,ISERROR(VLOOKUP(E11,入力シート!$AH$37:$AK$62,1,0)))))</f>
        <v>0</v>
      </c>
      <c r="M11" s="238" t="str">
        <f t="shared" si="0"/>
        <v/>
      </c>
      <c r="N11" s="236" t="str">
        <f>IF(B11="","",VLOOKUP('従業員情報(給与以外)'!$B11,入力シート!$S$37:$Z$62,5,0))</f>
        <v/>
      </c>
      <c r="O11" s="182" t="str">
        <f>IF(ISNUMBER(C11)=FALSE,"",IF(C11&gt;入力シート!$J$24,"",_xlfn.DAYS(入力シート!$J$24,'従業員情報(給与以外)'!$C11)/365))</f>
        <v/>
      </c>
      <c r="P11" s="237" t="str">
        <f>IF(O11="","",VLOOKUP(_xlfn.DAYS(入力シート!$J$24,'従業員情報(給与以外)'!$C11)/365,入力リスト!$H$4:$I$12,2,2))</f>
        <v/>
      </c>
      <c r="Q11" s="236" t="str">
        <f>IF(D11="","",VLOOKUP('従業員情報(給与以外)'!$D11,入力シート!$AW$37:$BB$38,4,0))</f>
        <v/>
      </c>
      <c r="R11" s="236" t="str">
        <f>IF(A11="","",IF(E11="","非役職",VLOOKUP('従業員情報(給与以外)'!$E11,入力シート!$AH$37:$AO$62,5,0)))</f>
        <v/>
      </c>
      <c r="S11" s="116" t="str">
        <f>IF(OR(入力シート!$C$5&lt;&gt;入力リスト!$N$4,COUNTIF(入力シート!$J$16:$S$23,入力リスト!$K$4)=0),"",IF($A11="","",IF(ISERROR(AVERAGEIF(従業員の給与情報!$B:$B,$A11,従業員の給与情報!$C:$C)),0,IF(ISERROR(AVERAGEIF(従業員の給与情報!$B:$B,$A11,従業員の給与情報!$C:$C)),0,AVERAGEIF(従業員の給与情報!$B:$B,$A11,従業員の給与情報!$C:$C)))))</f>
        <v/>
      </c>
      <c r="T11" s="116" t="str">
        <f>IF(OR(入力シート!$C$5&lt;&gt;入力リスト!$N$4,COUNTIF(入力シート!$J$16:$S$23,入力リスト!$K$4)=0),"",IF(A11="","",IF(ISERROR(AVERAGEIF(従業員の給与情報!$B:$B,$A11,従業員の給与情報!$D:$D)),0,IF(ISERROR(AVERAGEIF(従業員の給与情報!$B:$B,$A11,従業員の給与情報!$D:$D)),0,AVERAGEIF(従業員の給与情報!$B:$B,$A11,従業員の給与情報!$D:$D)))))</f>
        <v/>
      </c>
      <c r="U11" s="116" t="str">
        <f>IF(OR(入力シート!$C$5&lt;&gt;入力リスト!$N$4,COUNTIF(入力シート!$J$16:$S$23,入力リスト!$K$4)=0),"",IF(A11="","",IF(ISERROR(AVERAGEIF(従業員の給与情報!$B:$B,$A11,従業員の給与情報!$E:$E)),0,IF(ISERROR(AVERAGEIF(従業員の給与情報!$B:$B,$A11,従業員の給与情報!$E:$E)),0,AVERAGEIF(従業員の給与情報!$B:$B,$A11,従業員の給与情報!$E:$E)))))</f>
        <v/>
      </c>
      <c r="V11" s="117" t="str">
        <f>IF(OR(入力シート!$C$5&lt;&gt;入力リスト!$N$4,COUNTIF(入力シート!$J$16:$S$23,入力リスト!$K$4)=0),"",IF(A11="","",IF(ISERROR(AVERAGEIF(従業員の給与情報!$B:$B,$A11,従業員の給与情報!$F:$F)),0,IF(ISERROR(AVERAGEIF(従業員の給与情報!$B:$B,$A11,従業員の給与情報!$F:$F)),0,AVERAGEIF(従業員の給与情報!$B:$B,$A11,従業員の給与情報!$F:$F)))))</f>
        <v/>
      </c>
      <c r="W11" s="182"/>
      <c r="X11" s="260"/>
    </row>
    <row r="12" spans="1:26" ht="19.5">
      <c r="A12" s="363"/>
      <c r="B12" s="364"/>
      <c r="C12" s="365"/>
      <c r="D12" s="366"/>
      <c r="E12" s="367"/>
      <c r="F12" s="372" t="str">
        <f>IF(G12,"この従業員番号は、すでに他のセルで入力されています。",IF(入力シート!$C$5=入力リスト!$N$5,"",IF(AND(A12="",B12="",C12="",D12="",E12=""),"",IF(OR(A12="",B12="",C12="",D12=""),IF(A12="","従業員番号","")&amp;IF(AND(A12="",OR(B12="",C12="",D12="")),",","")&amp;IF(B12="","雇用形態","")&amp;IF(AND(B12="",OR(C12="",D12="")),",","")&amp;IF(OR(入力シート!$J$18=入力リスト!$K$4,入力シート!$J$22=入力リスト!$K$4),IF(C12="","入社年月日",""),"")&amp;IF(AND(C12="",D12=""),",","")&amp;IF(D12="","性別","")&amp;IF(IF(A12="","従業員番号","")&amp;IF(B12="","雇用形態","")&amp;IF(OR(入力シート!$J$18=入力リスト!$K$4,入力シート!$J$22=入力リスト!$K$4),IF(C12="","入社年月日",""),"")&amp;IF(D12="","性別","")="","","が空白です。"),IF(J12,"入社年月日に「基準日」の翌日以降の日付が入力されています。","")&amp;IF(I12,"入社年月日に数値以外（又は1900/1/1以前の日付）が入力されています。","")&amp;IF(H12,"雇用形態"&amp;IF(OR(K12,L12),",",""),"")&amp;IF(K12,"性別"&amp;IF(L12,",",""),"")&amp;IF(L12,"役職","")&amp;IF(OR(H12,K12,L12),"に、［入力シート］(4)「貴社」欄と異なる文言が入力されています。","")))))</f>
        <v/>
      </c>
      <c r="G12" s="236" t="b">
        <f>COUNTIF($A$4:A11,$A12)&gt;0</f>
        <v>0</v>
      </c>
      <c r="H12" s="237" t="b">
        <f>IF(COUNTIF(入力シート!$J$16:$S$23,入力リスト!$K$4)=0,FALSE,IF(入力シート!$J$16=入力リスト!$K$5,FALSE,ISERROR(VLOOKUP(B12,入力シート!$S$37:$V$62,1,0))))</f>
        <v>0</v>
      </c>
      <c r="I12" s="237" t="b">
        <f>IF(AND(OR(入力シート!$J$18=入力リスト!$K$4,入力シート!$J$22=入力リスト!$K$4),入力シート!$J$24&lt;&gt;""),IF(ISERROR(C12+1),TRUE,IF(ISNUMBER(C12),FALSE,TRUE)),FALSE)</f>
        <v>0</v>
      </c>
      <c r="J12" s="237" t="b">
        <f>IF(AND(入力シート!$J$18=入力リスト!$K$4,入力シート!$J$22=入力リスト!$K$4),FALSE,IF(I12=TRUE,FALSE,IF(ISERROR(C12+1),FALSE,C12&gt;入力シート!$J$24)))</f>
        <v>0</v>
      </c>
      <c r="K12" s="237" t="b">
        <f>IF(COUNTIF(入力シート!$J$16:$S$23,入力リスト!$K$4)=0,FALSE,IF(AND(入力シート!$J$16&lt;&gt;入力リスト!$K$5,入力シート!$J$18&lt;&gt;入力リスト!$K$5,入力シート!$J$20&lt;&gt;入力リスト!$K$5,入力シート!$J$22&lt;&gt;入力リスト!$K$5),FALSE,ISERROR(VLOOKUP(D12,入力シート!$AW$37:$AY$38,1,0))))</f>
        <v>0</v>
      </c>
      <c r="L12" s="237" t="b">
        <f>IF(COUNTIF(入力シート!$J$16:$S$23,入力リスト!$K$4)=0,FALSE,IF(入力シート!$J$20=入力リスト!$K$5,FALSE,IF(E12="",FALSE,ISERROR(VLOOKUP(E12,入力シート!$AH$37:$AK$62,1,0)))))</f>
        <v>0</v>
      </c>
      <c r="M12" s="238" t="str">
        <f t="shared" si="0"/>
        <v/>
      </c>
      <c r="N12" s="236" t="str">
        <f>IF(B12="","",VLOOKUP('従業員情報(給与以外)'!$B12,入力シート!$S$37:$Z$62,5,0))</f>
        <v/>
      </c>
      <c r="O12" s="182" t="str">
        <f>IF(ISNUMBER(C12)=FALSE,"",IF(C12&gt;入力シート!$J$24,"",_xlfn.DAYS(入力シート!$J$24,'従業員情報(給与以外)'!$C12)/365))</f>
        <v/>
      </c>
      <c r="P12" s="237" t="str">
        <f>IF(O12="","",VLOOKUP(_xlfn.DAYS(入力シート!$J$24,'従業員情報(給与以外)'!$C12)/365,入力リスト!$H$4:$I$12,2,2))</f>
        <v/>
      </c>
      <c r="Q12" s="236" t="str">
        <f>IF(D12="","",VLOOKUP('従業員情報(給与以外)'!$D12,入力シート!$AW$37:$BB$38,4,0))</f>
        <v/>
      </c>
      <c r="R12" s="236" t="str">
        <f>IF(A12="","",IF(E12="","非役職",VLOOKUP('従業員情報(給与以外)'!$E12,入力シート!$AH$37:$AO$62,5,0)))</f>
        <v/>
      </c>
      <c r="S12" s="116" t="str">
        <f>IF(OR(入力シート!$C$5&lt;&gt;入力リスト!$N$4,COUNTIF(入力シート!$J$16:$S$23,入力リスト!$K$4)=0),"",IF($A12="","",IF(ISERROR(AVERAGEIF(従業員の給与情報!$B:$B,$A12,従業員の給与情報!$C:$C)),0,IF(ISERROR(AVERAGEIF(従業員の給与情報!$B:$B,$A12,従業員の給与情報!$C:$C)),0,AVERAGEIF(従業員の給与情報!$B:$B,$A12,従業員の給与情報!$C:$C)))))</f>
        <v/>
      </c>
      <c r="T12" s="116" t="str">
        <f>IF(OR(入力シート!$C$5&lt;&gt;入力リスト!$N$4,COUNTIF(入力シート!$J$16:$S$23,入力リスト!$K$4)=0),"",IF(A12="","",IF(ISERROR(AVERAGEIF(従業員の給与情報!$B:$B,$A12,従業員の給与情報!$D:$D)),0,IF(ISERROR(AVERAGEIF(従業員の給与情報!$B:$B,$A12,従業員の給与情報!$D:$D)),0,AVERAGEIF(従業員の給与情報!$B:$B,$A12,従業員の給与情報!$D:$D)))))</f>
        <v/>
      </c>
      <c r="U12" s="116" t="str">
        <f>IF(OR(入力シート!$C$5&lt;&gt;入力リスト!$N$4,COUNTIF(入力シート!$J$16:$S$23,入力リスト!$K$4)=0),"",IF(A12="","",IF(ISERROR(AVERAGEIF(従業員の給与情報!$B:$B,$A12,従業員の給与情報!$E:$E)),0,IF(ISERROR(AVERAGEIF(従業員の給与情報!$B:$B,$A12,従業員の給与情報!$E:$E)),0,AVERAGEIF(従業員の給与情報!$B:$B,$A12,従業員の給与情報!$E:$E)))))</f>
        <v/>
      </c>
      <c r="V12" s="117" t="str">
        <f>IF(OR(入力シート!$C$5&lt;&gt;入力リスト!$N$4,COUNTIF(入力シート!$J$16:$S$23,入力リスト!$K$4)=0),"",IF(A12="","",IF(ISERROR(AVERAGEIF(従業員の給与情報!$B:$B,$A12,従業員の給与情報!$F:$F)),0,IF(ISERROR(AVERAGEIF(従業員の給与情報!$B:$B,$A12,従業員の給与情報!$F:$F)),0,AVERAGEIF(従業員の給与情報!$B:$B,$A12,従業員の給与情報!$F:$F)))))</f>
        <v/>
      </c>
      <c r="W12" s="182"/>
      <c r="X12" s="260"/>
    </row>
    <row r="13" spans="1:26" ht="19.5">
      <c r="A13" s="363"/>
      <c r="B13" s="364"/>
      <c r="C13" s="365"/>
      <c r="D13" s="366"/>
      <c r="E13" s="367"/>
      <c r="F13" s="372" t="str">
        <f>IF(G13,"この従業員番号は、すでに他のセルで入力されています。",IF(入力シート!$C$5=入力リスト!$N$5,"",IF(AND(A13="",B13="",C13="",D13="",E13=""),"",IF(OR(A13="",B13="",C13="",D13=""),IF(A13="","従業員番号","")&amp;IF(AND(A13="",OR(B13="",C13="",D13="")),",","")&amp;IF(B13="","雇用形態","")&amp;IF(AND(B13="",OR(C13="",D13="")),",","")&amp;IF(OR(入力シート!$J$18=入力リスト!$K$4,入力シート!$J$22=入力リスト!$K$4),IF(C13="","入社年月日",""),"")&amp;IF(AND(C13="",D13=""),",","")&amp;IF(D13="","性別","")&amp;IF(IF(A13="","従業員番号","")&amp;IF(B13="","雇用形態","")&amp;IF(OR(入力シート!$J$18=入力リスト!$K$4,入力シート!$J$22=入力リスト!$K$4),IF(C13="","入社年月日",""),"")&amp;IF(D13="","性別","")="","","が空白です。"),IF(J13,"入社年月日に「基準日」の翌日以降の日付が入力されています。","")&amp;IF(I13,"入社年月日に数値以外（又は1900/1/1以前の日付）が入力されています。","")&amp;IF(H13,"雇用形態"&amp;IF(OR(K13,L13),",",""),"")&amp;IF(K13,"性別"&amp;IF(L13,",",""),"")&amp;IF(L13,"役職","")&amp;IF(OR(H13,K13,L13),"に、［入力シート］(4)「貴社」欄と異なる文言が入力されています。","")))))</f>
        <v/>
      </c>
      <c r="G13" s="236" t="b">
        <f>COUNTIF($A$4:A12,$A13)&gt;0</f>
        <v>0</v>
      </c>
      <c r="H13" s="237" t="b">
        <f>IF(COUNTIF(入力シート!$J$16:$S$23,入力リスト!$K$4)=0,FALSE,IF(入力シート!$J$16=入力リスト!$K$5,FALSE,ISERROR(VLOOKUP(B13,入力シート!$S$37:$V$62,1,0))))</f>
        <v>0</v>
      </c>
      <c r="I13" s="237" t="b">
        <f>IF(AND(OR(入力シート!$J$18=入力リスト!$K$4,入力シート!$J$22=入力リスト!$K$4),入力シート!$J$24&lt;&gt;""),IF(ISERROR(C13+1),TRUE,IF(ISNUMBER(C13),FALSE,TRUE)),FALSE)</f>
        <v>0</v>
      </c>
      <c r="J13" s="237" t="b">
        <f>IF(AND(入力シート!$J$18=入力リスト!$K$4,入力シート!$J$22=入力リスト!$K$4),FALSE,IF(I13=TRUE,FALSE,IF(ISERROR(C13+1),FALSE,C13&gt;入力シート!$J$24)))</f>
        <v>0</v>
      </c>
      <c r="K13" s="237" t="b">
        <f>IF(COUNTIF(入力シート!$J$16:$S$23,入力リスト!$K$4)=0,FALSE,IF(AND(入力シート!$J$16&lt;&gt;入力リスト!$K$5,入力シート!$J$18&lt;&gt;入力リスト!$K$5,入力シート!$J$20&lt;&gt;入力リスト!$K$5,入力シート!$J$22&lt;&gt;入力リスト!$K$5),FALSE,ISERROR(VLOOKUP(D13,入力シート!$AW$37:$AY$38,1,0))))</f>
        <v>0</v>
      </c>
      <c r="L13" s="237" t="b">
        <f>IF(COUNTIF(入力シート!$J$16:$S$23,入力リスト!$K$4)=0,FALSE,IF(入力シート!$J$20=入力リスト!$K$5,FALSE,IF(E13="",FALSE,ISERROR(VLOOKUP(E13,入力シート!$AH$37:$AK$62,1,0)))))</f>
        <v>0</v>
      </c>
      <c r="M13" s="238" t="str">
        <f t="shared" si="0"/>
        <v/>
      </c>
      <c r="N13" s="236" t="str">
        <f>IF(B13="","",VLOOKUP('従業員情報(給与以外)'!$B13,入力シート!$S$37:$Z$62,5,0))</f>
        <v/>
      </c>
      <c r="O13" s="182" t="str">
        <f>IF(ISNUMBER(C13)=FALSE,"",IF(C13&gt;入力シート!$J$24,"",_xlfn.DAYS(入力シート!$J$24,'従業員情報(給与以外)'!$C13)/365))</f>
        <v/>
      </c>
      <c r="P13" s="237" t="str">
        <f>IF(O13="","",VLOOKUP(_xlfn.DAYS(入力シート!$J$24,'従業員情報(給与以外)'!$C13)/365,入力リスト!$H$4:$I$12,2,2))</f>
        <v/>
      </c>
      <c r="Q13" s="236" t="str">
        <f>IF(D13="","",VLOOKUP('従業員情報(給与以外)'!$D13,入力シート!$AW$37:$BB$38,4,0))</f>
        <v/>
      </c>
      <c r="R13" s="236" t="str">
        <f>IF(A13="","",IF(E13="","非役職",VLOOKUP('従業員情報(給与以外)'!$E13,入力シート!$AH$37:$AO$62,5,0)))</f>
        <v/>
      </c>
      <c r="S13" s="116" t="str">
        <f>IF(OR(入力シート!$C$5&lt;&gt;入力リスト!$N$4,COUNTIF(入力シート!$J$16:$S$23,入力リスト!$K$4)=0),"",IF($A13="","",IF(ISERROR(AVERAGEIF(従業員の給与情報!$B:$B,$A13,従業員の給与情報!$C:$C)),0,IF(ISERROR(AVERAGEIF(従業員の給与情報!$B:$B,$A13,従業員の給与情報!$C:$C)),0,AVERAGEIF(従業員の給与情報!$B:$B,$A13,従業員の給与情報!$C:$C)))))</f>
        <v/>
      </c>
      <c r="T13" s="116" t="str">
        <f>IF(OR(入力シート!$C$5&lt;&gt;入力リスト!$N$4,COUNTIF(入力シート!$J$16:$S$23,入力リスト!$K$4)=0),"",IF(A13="","",IF(ISERROR(AVERAGEIF(従業員の給与情報!$B:$B,$A13,従業員の給与情報!$D:$D)),0,IF(ISERROR(AVERAGEIF(従業員の給与情報!$B:$B,$A13,従業員の給与情報!$D:$D)),0,AVERAGEIF(従業員の給与情報!$B:$B,$A13,従業員の給与情報!$D:$D)))))</f>
        <v/>
      </c>
      <c r="U13" s="116" t="str">
        <f>IF(OR(入力シート!$C$5&lt;&gt;入力リスト!$N$4,COUNTIF(入力シート!$J$16:$S$23,入力リスト!$K$4)=0),"",IF(A13="","",IF(ISERROR(AVERAGEIF(従業員の給与情報!$B:$B,$A13,従業員の給与情報!$E:$E)),0,IF(ISERROR(AVERAGEIF(従業員の給与情報!$B:$B,$A13,従業員の給与情報!$E:$E)),0,AVERAGEIF(従業員の給与情報!$B:$B,$A13,従業員の給与情報!$E:$E)))))</f>
        <v/>
      </c>
      <c r="V13" s="117" t="str">
        <f>IF(OR(入力シート!$C$5&lt;&gt;入力リスト!$N$4,COUNTIF(入力シート!$J$16:$S$23,入力リスト!$K$4)=0),"",IF(A13="","",IF(ISERROR(AVERAGEIF(従業員の給与情報!$B:$B,$A13,従業員の給与情報!$F:$F)),0,IF(ISERROR(AVERAGEIF(従業員の給与情報!$B:$B,$A13,従業員の給与情報!$F:$F)),0,AVERAGEIF(従業員の給与情報!$B:$B,$A13,従業員の給与情報!$F:$F)))))</f>
        <v/>
      </c>
      <c r="W13" s="182"/>
      <c r="X13" s="260"/>
    </row>
    <row r="14" spans="1:26" ht="19.5">
      <c r="A14" s="363"/>
      <c r="B14" s="364"/>
      <c r="C14" s="365"/>
      <c r="D14" s="366"/>
      <c r="E14" s="367"/>
      <c r="F14" s="372" t="str">
        <f>IF(G14,"この従業員番号は、すでに他のセルで入力されています。",IF(入力シート!$C$5=入力リスト!$N$5,"",IF(AND(A14="",B14="",C14="",D14="",E14=""),"",IF(OR(A14="",B14="",C14="",D14=""),IF(A14="","従業員番号","")&amp;IF(AND(A14="",OR(B14="",C14="",D14="")),",","")&amp;IF(B14="","雇用形態","")&amp;IF(AND(B14="",OR(C14="",D14="")),",","")&amp;IF(OR(入力シート!$J$18=入力リスト!$K$4,入力シート!$J$22=入力リスト!$K$4),IF(C14="","入社年月日",""),"")&amp;IF(AND(C14="",D14=""),",","")&amp;IF(D14="","性別","")&amp;IF(IF(A14="","従業員番号","")&amp;IF(B14="","雇用形態","")&amp;IF(OR(入力シート!$J$18=入力リスト!$K$4,入力シート!$J$22=入力リスト!$K$4),IF(C14="","入社年月日",""),"")&amp;IF(D14="","性別","")="","","が空白です。"),IF(J14,"入社年月日に「基準日」の翌日以降の日付が入力されています。","")&amp;IF(I14,"入社年月日に数値以外（又は1900/1/1以前の日付）が入力されています。","")&amp;IF(H14,"雇用形態"&amp;IF(OR(K14,L14),",",""),"")&amp;IF(K14,"性別"&amp;IF(L14,",",""),"")&amp;IF(L14,"役職","")&amp;IF(OR(H14,K14,L14),"に、［入力シート］(4)「貴社」欄と異なる文言が入力されています。","")))))</f>
        <v/>
      </c>
      <c r="G14" s="236" t="b">
        <f>COUNTIF($A$4:A13,$A14)&gt;0</f>
        <v>0</v>
      </c>
      <c r="H14" s="237" t="b">
        <f>IF(COUNTIF(入力シート!$J$16:$S$23,入力リスト!$K$4)=0,FALSE,IF(入力シート!$J$16=入力リスト!$K$5,FALSE,ISERROR(VLOOKUP(B14,入力シート!$S$37:$V$62,1,0))))</f>
        <v>0</v>
      </c>
      <c r="I14" s="237" t="b">
        <f>IF(AND(OR(入力シート!$J$18=入力リスト!$K$4,入力シート!$J$22=入力リスト!$K$4),入力シート!$J$24&lt;&gt;""),IF(ISERROR(C14+1),TRUE,IF(ISNUMBER(C14),FALSE,TRUE)),FALSE)</f>
        <v>0</v>
      </c>
      <c r="J14" s="237" t="b">
        <f>IF(AND(入力シート!$J$18=入力リスト!$K$4,入力シート!$J$22=入力リスト!$K$4),FALSE,IF(I14=TRUE,FALSE,IF(ISERROR(C14+1),FALSE,C14&gt;入力シート!$J$24)))</f>
        <v>0</v>
      </c>
      <c r="K14" s="237" t="b">
        <f>IF(COUNTIF(入力シート!$J$16:$S$23,入力リスト!$K$4)=0,FALSE,IF(AND(入力シート!$J$16&lt;&gt;入力リスト!$K$5,入力シート!$J$18&lt;&gt;入力リスト!$K$5,入力シート!$J$20&lt;&gt;入力リスト!$K$5,入力シート!$J$22&lt;&gt;入力リスト!$K$5),FALSE,ISERROR(VLOOKUP(D14,入力シート!$AW$37:$AY$38,1,0))))</f>
        <v>0</v>
      </c>
      <c r="L14" s="237" t="b">
        <f>IF(COUNTIF(入力シート!$J$16:$S$23,入力リスト!$K$4)=0,FALSE,IF(入力シート!$J$20=入力リスト!$K$5,FALSE,IF(E14="",FALSE,ISERROR(VLOOKUP(E14,入力シート!$AH$37:$AK$62,1,0)))))</f>
        <v>0</v>
      </c>
      <c r="M14" s="238" t="str">
        <f t="shared" si="0"/>
        <v/>
      </c>
      <c r="N14" s="236" t="str">
        <f>IF(B14="","",VLOOKUP('従業員情報(給与以外)'!$B14,入力シート!$S$37:$Z$62,5,0))</f>
        <v/>
      </c>
      <c r="O14" s="182" t="str">
        <f>IF(ISNUMBER(C14)=FALSE,"",IF(C14&gt;入力シート!$J$24,"",_xlfn.DAYS(入力シート!$J$24,'従業員情報(給与以外)'!$C14)/365))</f>
        <v/>
      </c>
      <c r="P14" s="237" t="str">
        <f>IF(O14="","",VLOOKUP(_xlfn.DAYS(入力シート!$J$24,'従業員情報(給与以外)'!$C14)/365,入力リスト!$H$4:$I$12,2,2))</f>
        <v/>
      </c>
      <c r="Q14" s="236" t="str">
        <f>IF(D14="","",VLOOKUP('従業員情報(給与以外)'!$D14,入力シート!$AW$37:$BB$38,4,0))</f>
        <v/>
      </c>
      <c r="R14" s="236" t="str">
        <f>IF(A14="","",IF(E14="","非役職",VLOOKUP('従業員情報(給与以外)'!$E14,入力シート!$AH$37:$AO$62,5,0)))</f>
        <v/>
      </c>
      <c r="S14" s="116" t="str">
        <f>IF(OR(入力シート!$C$5&lt;&gt;入力リスト!$N$4,COUNTIF(入力シート!$J$16:$S$23,入力リスト!$K$4)=0),"",IF($A14="","",IF(ISERROR(AVERAGEIF(従業員の給与情報!$B:$B,$A14,従業員の給与情報!$C:$C)),0,IF(ISERROR(AVERAGEIF(従業員の給与情報!$B:$B,$A14,従業員の給与情報!$C:$C)),0,AVERAGEIF(従業員の給与情報!$B:$B,$A14,従業員の給与情報!$C:$C)))))</f>
        <v/>
      </c>
      <c r="T14" s="116" t="str">
        <f>IF(OR(入力シート!$C$5&lt;&gt;入力リスト!$N$4,COUNTIF(入力シート!$J$16:$S$23,入力リスト!$K$4)=0),"",IF(A14="","",IF(ISERROR(AVERAGEIF(従業員の給与情報!$B:$B,$A14,従業員の給与情報!$D:$D)),0,IF(ISERROR(AVERAGEIF(従業員の給与情報!$B:$B,$A14,従業員の給与情報!$D:$D)),0,AVERAGEIF(従業員の給与情報!$B:$B,$A14,従業員の給与情報!$D:$D)))))</f>
        <v/>
      </c>
      <c r="U14" s="116" t="str">
        <f>IF(OR(入力シート!$C$5&lt;&gt;入力リスト!$N$4,COUNTIF(入力シート!$J$16:$S$23,入力リスト!$K$4)=0),"",IF(A14="","",IF(ISERROR(AVERAGEIF(従業員の給与情報!$B:$B,$A14,従業員の給与情報!$E:$E)),0,IF(ISERROR(AVERAGEIF(従業員の給与情報!$B:$B,$A14,従業員の給与情報!$E:$E)),0,AVERAGEIF(従業員の給与情報!$B:$B,$A14,従業員の給与情報!$E:$E)))))</f>
        <v/>
      </c>
      <c r="V14" s="117" t="str">
        <f>IF(OR(入力シート!$C$5&lt;&gt;入力リスト!$N$4,COUNTIF(入力シート!$J$16:$S$23,入力リスト!$K$4)=0),"",IF(A14="","",IF(ISERROR(AVERAGEIF(従業員の給与情報!$B:$B,$A14,従業員の給与情報!$F:$F)),0,IF(ISERROR(AVERAGEIF(従業員の給与情報!$B:$B,$A14,従業員の給与情報!$F:$F)),0,AVERAGEIF(従業員の給与情報!$B:$B,$A14,従業員の給与情報!$F:$F)))))</f>
        <v/>
      </c>
      <c r="W14" s="182"/>
      <c r="X14" s="260"/>
    </row>
    <row r="15" spans="1:26" ht="19.5">
      <c r="A15" s="363"/>
      <c r="B15" s="364"/>
      <c r="C15" s="365"/>
      <c r="D15" s="366"/>
      <c r="E15" s="367"/>
      <c r="F15" s="372" t="str">
        <f>IF(G15,"この従業員番号は、すでに他のセルで入力されています。",IF(入力シート!$C$5=入力リスト!$N$5,"",IF(AND(A15="",B15="",C15="",D15="",E15=""),"",IF(OR(A15="",B15="",C15="",D15=""),IF(A15="","従業員番号","")&amp;IF(AND(A15="",OR(B15="",C15="",D15="")),",","")&amp;IF(B15="","雇用形態","")&amp;IF(AND(B15="",OR(C15="",D15="")),",","")&amp;IF(OR(入力シート!$J$18=入力リスト!$K$4,入力シート!$J$22=入力リスト!$K$4),IF(C15="","入社年月日",""),"")&amp;IF(AND(C15="",D15=""),",","")&amp;IF(D15="","性別","")&amp;IF(IF(A15="","従業員番号","")&amp;IF(B15="","雇用形態","")&amp;IF(OR(入力シート!$J$18=入力リスト!$K$4,入力シート!$J$22=入力リスト!$K$4),IF(C15="","入社年月日",""),"")&amp;IF(D15="","性別","")="","","が空白です。"),IF(J15,"入社年月日に「基準日」の翌日以降の日付が入力されています。","")&amp;IF(I15,"入社年月日に数値以外（又は1900/1/1以前の日付）が入力されています。","")&amp;IF(H15,"雇用形態"&amp;IF(OR(K15,L15),",",""),"")&amp;IF(K15,"性別"&amp;IF(L15,",",""),"")&amp;IF(L15,"役職","")&amp;IF(OR(H15,K15,L15),"に、［入力シート］(4)「貴社」欄と異なる文言が入力されています。","")))))</f>
        <v/>
      </c>
      <c r="G15" s="236" t="b">
        <f>COUNTIF($A$4:A14,$A15)&gt;0</f>
        <v>0</v>
      </c>
      <c r="H15" s="237" t="b">
        <f>IF(COUNTIF(入力シート!$J$16:$S$23,入力リスト!$K$4)=0,FALSE,IF(入力シート!$J$16=入力リスト!$K$5,FALSE,ISERROR(VLOOKUP(B15,入力シート!$S$37:$V$62,1,0))))</f>
        <v>0</v>
      </c>
      <c r="I15" s="237" t="b">
        <f>IF(AND(OR(入力シート!$J$18=入力リスト!$K$4,入力シート!$J$22=入力リスト!$K$4),入力シート!$J$24&lt;&gt;""),IF(ISERROR(C15+1),TRUE,IF(ISNUMBER(C15),FALSE,TRUE)),FALSE)</f>
        <v>0</v>
      </c>
      <c r="J15" s="237" t="b">
        <f>IF(AND(入力シート!$J$18=入力リスト!$K$4,入力シート!$J$22=入力リスト!$K$4),FALSE,IF(I15=TRUE,FALSE,IF(ISERROR(C15+1),FALSE,C15&gt;入力シート!$J$24)))</f>
        <v>0</v>
      </c>
      <c r="K15" s="237" t="b">
        <f>IF(COUNTIF(入力シート!$J$16:$S$23,入力リスト!$K$4)=0,FALSE,IF(AND(入力シート!$J$16&lt;&gt;入力リスト!$K$5,入力シート!$J$18&lt;&gt;入力リスト!$K$5,入力シート!$J$20&lt;&gt;入力リスト!$K$5,入力シート!$J$22&lt;&gt;入力リスト!$K$5),FALSE,ISERROR(VLOOKUP(D15,入力シート!$AW$37:$AY$38,1,0))))</f>
        <v>0</v>
      </c>
      <c r="L15" s="237" t="b">
        <f>IF(COUNTIF(入力シート!$J$16:$S$23,入力リスト!$K$4)=0,FALSE,IF(入力シート!$J$20=入力リスト!$K$5,FALSE,IF(E15="",FALSE,ISERROR(VLOOKUP(E15,入力シート!$AH$37:$AK$62,1,0)))))</f>
        <v>0</v>
      </c>
      <c r="M15" s="238" t="str">
        <f t="shared" si="0"/>
        <v/>
      </c>
      <c r="N15" s="236" t="str">
        <f>IF(B15="","",VLOOKUP('従業員情報(給与以外)'!$B15,入力シート!$S$37:$Z$62,5,0))</f>
        <v/>
      </c>
      <c r="O15" s="182" t="str">
        <f>IF(ISNUMBER(C15)=FALSE,"",IF(C15&gt;入力シート!$J$24,"",_xlfn.DAYS(入力シート!$J$24,'従業員情報(給与以外)'!$C15)/365))</f>
        <v/>
      </c>
      <c r="P15" s="237" t="str">
        <f>IF(O15="","",VLOOKUP(_xlfn.DAYS(入力シート!$J$24,'従業員情報(給与以外)'!$C15)/365,入力リスト!$H$4:$I$12,2,2))</f>
        <v/>
      </c>
      <c r="Q15" s="236" t="str">
        <f>IF(D15="","",VLOOKUP('従業員情報(給与以外)'!$D15,入力シート!$AW$37:$BB$38,4,0))</f>
        <v/>
      </c>
      <c r="R15" s="236" t="str">
        <f>IF(A15="","",IF(E15="","非役職",VLOOKUP('従業員情報(給与以外)'!$E15,入力シート!$AH$37:$AO$62,5,0)))</f>
        <v/>
      </c>
      <c r="S15" s="116" t="str">
        <f>IF(OR(入力シート!$C$5&lt;&gt;入力リスト!$N$4,COUNTIF(入力シート!$J$16:$S$23,入力リスト!$K$4)=0),"",IF($A15="","",IF(ISERROR(AVERAGEIF(従業員の給与情報!$B:$B,$A15,従業員の給与情報!$C:$C)),0,IF(ISERROR(AVERAGEIF(従業員の給与情報!$B:$B,$A15,従業員の給与情報!$C:$C)),0,AVERAGEIF(従業員の給与情報!$B:$B,$A15,従業員の給与情報!$C:$C)))))</f>
        <v/>
      </c>
      <c r="T15" s="116" t="str">
        <f>IF(OR(入力シート!$C$5&lt;&gt;入力リスト!$N$4,COUNTIF(入力シート!$J$16:$S$23,入力リスト!$K$4)=0),"",IF(A15="","",IF(ISERROR(AVERAGEIF(従業員の給与情報!$B:$B,$A15,従業員の給与情報!$D:$D)),0,IF(ISERROR(AVERAGEIF(従業員の給与情報!$B:$B,$A15,従業員の給与情報!$D:$D)),0,AVERAGEIF(従業員の給与情報!$B:$B,$A15,従業員の給与情報!$D:$D)))))</f>
        <v/>
      </c>
      <c r="U15" s="116" t="str">
        <f>IF(OR(入力シート!$C$5&lt;&gt;入力リスト!$N$4,COUNTIF(入力シート!$J$16:$S$23,入力リスト!$K$4)=0),"",IF(A15="","",IF(ISERROR(AVERAGEIF(従業員の給与情報!$B:$B,$A15,従業員の給与情報!$E:$E)),0,IF(ISERROR(AVERAGEIF(従業員の給与情報!$B:$B,$A15,従業員の給与情報!$E:$E)),0,AVERAGEIF(従業員の給与情報!$B:$B,$A15,従業員の給与情報!$E:$E)))))</f>
        <v/>
      </c>
      <c r="V15" s="117" t="str">
        <f>IF(OR(入力シート!$C$5&lt;&gt;入力リスト!$N$4,COUNTIF(入力シート!$J$16:$S$23,入力リスト!$K$4)=0),"",IF(A15="","",IF(ISERROR(AVERAGEIF(従業員の給与情報!$B:$B,$A15,従業員の給与情報!$F:$F)),0,IF(ISERROR(AVERAGEIF(従業員の給与情報!$B:$B,$A15,従業員の給与情報!$F:$F)),0,AVERAGEIF(従業員の給与情報!$B:$B,$A15,従業員の給与情報!$F:$F)))))</f>
        <v/>
      </c>
      <c r="W15" s="182"/>
      <c r="X15" s="260"/>
    </row>
    <row r="16" spans="1:26" ht="19.5">
      <c r="A16" s="363"/>
      <c r="B16" s="364"/>
      <c r="C16" s="365"/>
      <c r="D16" s="366"/>
      <c r="E16" s="364"/>
      <c r="F16" s="372" t="str">
        <f>IF(G16,"この従業員番号は、すでに他のセルで入力されています。",IF(入力シート!$C$5=入力リスト!$N$5,"",IF(AND(A16="",B16="",C16="",D16="",E16=""),"",IF(OR(A16="",B16="",C16="",D16=""),IF(A16="","従業員番号","")&amp;IF(AND(A16="",OR(B16="",C16="",D16="")),",","")&amp;IF(B16="","雇用形態","")&amp;IF(AND(B16="",OR(C16="",D16="")),",","")&amp;IF(OR(入力シート!$J$18=入力リスト!$K$4,入力シート!$J$22=入力リスト!$K$4),IF(C16="","入社年月日",""),"")&amp;IF(AND(C16="",D16=""),",","")&amp;IF(D16="","性別","")&amp;IF(IF(A16="","従業員番号","")&amp;IF(B16="","雇用形態","")&amp;IF(OR(入力シート!$J$18=入力リスト!$K$4,入力シート!$J$22=入力リスト!$K$4),IF(C16="","入社年月日",""),"")&amp;IF(D16="","性別","")="","","が空白です。"),IF(J16,"入社年月日に「基準日」の翌日以降の日付が入力されています。","")&amp;IF(I16,"入社年月日に数値以外（又は1900/1/1以前の日付）が入力されています。","")&amp;IF(H16,"雇用形態"&amp;IF(OR(K16,L16),",",""),"")&amp;IF(K16,"性別"&amp;IF(L16,",",""),"")&amp;IF(L16,"役職","")&amp;IF(OR(H16,K16,L16),"に、［入力シート］(4)「貴社」欄と異なる文言が入力されています。","")))))</f>
        <v/>
      </c>
      <c r="G16" s="236" t="b">
        <f>COUNTIF($A$4:A15,$A16)&gt;0</f>
        <v>0</v>
      </c>
      <c r="H16" s="237" t="b">
        <f>IF(COUNTIF(入力シート!$J$16:$S$23,入力リスト!$K$4)=0,FALSE,IF(入力シート!$J$16=入力リスト!$K$5,FALSE,ISERROR(VLOOKUP(B16,入力シート!$S$37:$V$62,1,0))))</f>
        <v>0</v>
      </c>
      <c r="I16" s="237" t="b">
        <f>IF(AND(OR(入力シート!$J$18=入力リスト!$K$4,入力シート!$J$22=入力リスト!$K$4),入力シート!$J$24&lt;&gt;""),IF(ISERROR(C16+1),TRUE,IF(ISNUMBER(C16),FALSE,TRUE)),FALSE)</f>
        <v>0</v>
      </c>
      <c r="J16" s="237" t="b">
        <f>IF(AND(入力シート!$J$18=入力リスト!$K$4,入力シート!$J$22=入力リスト!$K$4),FALSE,IF(I16=TRUE,FALSE,IF(ISERROR(C16+1),FALSE,C16&gt;入力シート!$J$24)))</f>
        <v>0</v>
      </c>
      <c r="K16" s="237" t="b">
        <f>IF(COUNTIF(入力シート!$J$16:$S$23,入力リスト!$K$4)=0,FALSE,IF(AND(入力シート!$J$16&lt;&gt;入力リスト!$K$5,入力シート!$J$18&lt;&gt;入力リスト!$K$5,入力シート!$J$20&lt;&gt;入力リスト!$K$5,入力シート!$J$22&lt;&gt;入力リスト!$K$5),FALSE,ISERROR(VLOOKUP(D16,入力シート!$AW$37:$AY$38,1,0))))</f>
        <v>0</v>
      </c>
      <c r="L16" s="237" t="b">
        <f>IF(COUNTIF(入力シート!$J$16:$S$23,入力リスト!$K$4)=0,FALSE,IF(入力シート!$J$20=入力リスト!$K$5,FALSE,IF(E16="",FALSE,ISERROR(VLOOKUP(E16,入力シート!$AH$37:$AK$62,1,0)))))</f>
        <v>0</v>
      </c>
      <c r="M16" s="238" t="str">
        <f t="shared" si="0"/>
        <v/>
      </c>
      <c r="N16" s="236" t="str">
        <f>IF(B16="","",VLOOKUP('従業員情報(給与以外)'!$B16,入力シート!$S$37:$Z$62,5,0))</f>
        <v/>
      </c>
      <c r="O16" s="182" t="str">
        <f>IF(ISNUMBER(C16)=FALSE,"",IF(C16&gt;入力シート!$J$24,"",_xlfn.DAYS(入力シート!$J$24,'従業員情報(給与以外)'!$C16)/365))</f>
        <v/>
      </c>
      <c r="P16" s="237" t="str">
        <f>IF(O16="","",VLOOKUP(_xlfn.DAYS(入力シート!$J$24,'従業員情報(給与以外)'!$C16)/365,入力リスト!$H$4:$I$12,2,2))</f>
        <v/>
      </c>
      <c r="Q16" s="236" t="str">
        <f>IF(D16="","",VLOOKUP('従業員情報(給与以外)'!$D16,入力シート!$AW$37:$BB$38,4,0))</f>
        <v/>
      </c>
      <c r="R16" s="236" t="str">
        <f>IF(A16="","",IF(E16="","非役職",VLOOKUP('従業員情報(給与以外)'!$E16,入力シート!$AH$37:$AO$62,5,0)))</f>
        <v/>
      </c>
      <c r="S16" s="116" t="str">
        <f>IF(OR(入力シート!$C$5&lt;&gt;入力リスト!$N$4,COUNTIF(入力シート!$J$16:$S$23,入力リスト!$K$4)=0),"",IF($A16="","",IF(ISERROR(AVERAGEIF(従業員の給与情報!$B:$B,$A16,従業員の給与情報!$C:$C)),0,IF(ISERROR(AVERAGEIF(従業員の給与情報!$B:$B,$A16,従業員の給与情報!$C:$C)),0,AVERAGEIF(従業員の給与情報!$B:$B,$A16,従業員の給与情報!$C:$C)))))</f>
        <v/>
      </c>
      <c r="T16" s="116" t="str">
        <f>IF(OR(入力シート!$C$5&lt;&gt;入力リスト!$N$4,COUNTIF(入力シート!$J$16:$S$23,入力リスト!$K$4)=0),"",IF(A16="","",IF(ISERROR(AVERAGEIF(従業員の給与情報!$B:$B,$A16,従業員の給与情報!$D:$D)),0,IF(ISERROR(AVERAGEIF(従業員の給与情報!$B:$B,$A16,従業員の給与情報!$D:$D)),0,AVERAGEIF(従業員の給与情報!$B:$B,$A16,従業員の給与情報!$D:$D)))))</f>
        <v/>
      </c>
      <c r="U16" s="116" t="str">
        <f>IF(OR(入力シート!$C$5&lt;&gt;入力リスト!$N$4,COUNTIF(入力シート!$J$16:$S$23,入力リスト!$K$4)=0),"",IF(A16="","",IF(ISERROR(AVERAGEIF(従業員の給与情報!$B:$B,$A16,従業員の給与情報!$E:$E)),0,IF(ISERROR(AVERAGEIF(従業員の給与情報!$B:$B,$A16,従業員の給与情報!$E:$E)),0,AVERAGEIF(従業員の給与情報!$B:$B,$A16,従業員の給与情報!$E:$E)))))</f>
        <v/>
      </c>
      <c r="V16" s="117" t="str">
        <f>IF(OR(入力シート!$C$5&lt;&gt;入力リスト!$N$4,COUNTIF(入力シート!$J$16:$S$23,入力リスト!$K$4)=0),"",IF(A16="","",IF(ISERROR(AVERAGEIF(従業員の給与情報!$B:$B,$A16,従業員の給与情報!$F:$F)),0,IF(ISERROR(AVERAGEIF(従業員の給与情報!$B:$B,$A16,従業員の給与情報!$F:$F)),0,AVERAGEIF(従業員の給与情報!$B:$B,$A16,従業員の給与情報!$F:$F)))))</f>
        <v/>
      </c>
      <c r="W16" s="182"/>
      <c r="X16" s="260"/>
    </row>
    <row r="17" spans="1:24" ht="19.5">
      <c r="A17" s="363"/>
      <c r="B17" s="364"/>
      <c r="C17" s="365"/>
      <c r="D17" s="366"/>
      <c r="E17" s="367"/>
      <c r="F17" s="372" t="str">
        <f>IF(G17,"この従業員番号は、すでに他のセルで入力されています。",IF(入力シート!$C$5=入力リスト!$N$5,"",IF(AND(A17="",B17="",C17="",D17="",E17=""),"",IF(OR(A17="",B17="",C17="",D17=""),IF(A17="","従業員番号","")&amp;IF(AND(A17="",OR(B17="",C17="",D17="")),",","")&amp;IF(B17="","雇用形態","")&amp;IF(AND(B17="",OR(C17="",D17="")),",","")&amp;IF(OR(入力シート!$J$18=入力リスト!$K$4,入力シート!$J$22=入力リスト!$K$4),IF(C17="","入社年月日",""),"")&amp;IF(AND(C17="",D17=""),",","")&amp;IF(D17="","性別","")&amp;IF(IF(A17="","従業員番号","")&amp;IF(B17="","雇用形態","")&amp;IF(OR(入力シート!$J$18=入力リスト!$K$4,入力シート!$J$22=入力リスト!$K$4),IF(C17="","入社年月日",""),"")&amp;IF(D17="","性別","")="","","が空白です。"),IF(J17,"入社年月日に「基準日」の翌日以降の日付が入力されています。","")&amp;IF(I17,"入社年月日に数値以外（又は1900/1/1以前の日付）が入力されています。","")&amp;IF(H17,"雇用形態"&amp;IF(OR(K17,L17),",",""),"")&amp;IF(K17,"性別"&amp;IF(L17,",",""),"")&amp;IF(L17,"役職","")&amp;IF(OR(H17,K17,L17),"に、［入力シート］(4)「貴社」欄と異なる文言が入力されています。","")))))</f>
        <v/>
      </c>
      <c r="G17" s="236" t="b">
        <f>COUNTIF($A$4:A16,$A17)&gt;0</f>
        <v>0</v>
      </c>
      <c r="H17" s="237" t="b">
        <f>IF(COUNTIF(入力シート!$J$16:$S$23,入力リスト!$K$4)=0,FALSE,IF(入力シート!$J$16=入力リスト!$K$5,FALSE,ISERROR(VLOOKUP(B17,入力シート!$S$37:$V$62,1,0))))</f>
        <v>0</v>
      </c>
      <c r="I17" s="237" t="b">
        <f>IF(AND(OR(入力シート!$J$18=入力リスト!$K$4,入力シート!$J$22=入力リスト!$K$4),入力シート!$J$24&lt;&gt;""),IF(ISERROR(C17+1),TRUE,IF(ISNUMBER(C17),FALSE,TRUE)),FALSE)</f>
        <v>0</v>
      </c>
      <c r="J17" s="237" t="b">
        <f>IF(AND(入力シート!$J$18=入力リスト!$K$4,入力シート!$J$22=入力リスト!$K$4),FALSE,IF(I17=TRUE,FALSE,IF(ISERROR(C17+1),FALSE,C17&gt;入力シート!$J$24)))</f>
        <v>0</v>
      </c>
      <c r="K17" s="237" t="b">
        <f>IF(COUNTIF(入力シート!$J$16:$S$23,入力リスト!$K$4)=0,FALSE,IF(AND(入力シート!$J$16&lt;&gt;入力リスト!$K$5,入力シート!$J$18&lt;&gt;入力リスト!$K$5,入力シート!$J$20&lt;&gt;入力リスト!$K$5,入力シート!$J$22&lt;&gt;入力リスト!$K$5),FALSE,ISERROR(VLOOKUP(D17,入力シート!$AW$37:$AY$38,1,0))))</f>
        <v>0</v>
      </c>
      <c r="L17" s="237" t="b">
        <f>IF(COUNTIF(入力シート!$J$16:$S$23,入力リスト!$K$4)=0,FALSE,IF(入力シート!$J$20=入力リスト!$K$5,FALSE,IF(E17="",FALSE,ISERROR(VLOOKUP(E17,入力シート!$AH$37:$AK$62,1,0)))))</f>
        <v>0</v>
      </c>
      <c r="M17" s="238" t="str">
        <f t="shared" si="0"/>
        <v/>
      </c>
      <c r="N17" s="236" t="str">
        <f>IF(B17="","",VLOOKUP('従業員情報(給与以外)'!$B17,入力シート!$S$37:$Z$62,5,0))</f>
        <v/>
      </c>
      <c r="O17" s="182" t="str">
        <f>IF(ISNUMBER(C17)=FALSE,"",IF(C17&gt;入力シート!$J$24,"",_xlfn.DAYS(入力シート!$J$24,'従業員情報(給与以外)'!$C17)/365))</f>
        <v/>
      </c>
      <c r="P17" s="237" t="str">
        <f>IF(O17="","",VLOOKUP(_xlfn.DAYS(入力シート!$J$24,'従業員情報(給与以外)'!$C17)/365,入力リスト!$H$4:$I$12,2,2))</f>
        <v/>
      </c>
      <c r="Q17" s="236" t="str">
        <f>IF(D17="","",VLOOKUP('従業員情報(給与以外)'!$D17,入力シート!$AW$37:$BB$38,4,0))</f>
        <v/>
      </c>
      <c r="R17" s="236" t="str">
        <f>IF(A17="","",IF(E17="","非役職",VLOOKUP('従業員情報(給与以外)'!$E17,入力シート!$AH$37:$AO$62,5,0)))</f>
        <v/>
      </c>
      <c r="S17" s="116" t="str">
        <f>IF(OR(入力シート!$C$5&lt;&gt;入力リスト!$N$4,COUNTIF(入力シート!$J$16:$S$23,入力リスト!$K$4)=0),"",IF($A17="","",IF(ISERROR(AVERAGEIF(従業員の給与情報!$B:$B,$A17,従業員の給与情報!$C:$C)),0,IF(ISERROR(AVERAGEIF(従業員の給与情報!$B:$B,$A17,従業員の給与情報!$C:$C)),0,AVERAGEIF(従業員の給与情報!$B:$B,$A17,従業員の給与情報!$C:$C)))))</f>
        <v/>
      </c>
      <c r="T17" s="116" t="str">
        <f>IF(OR(入力シート!$C$5&lt;&gt;入力リスト!$N$4,COUNTIF(入力シート!$J$16:$S$23,入力リスト!$K$4)=0),"",IF(A17="","",IF(ISERROR(AVERAGEIF(従業員の給与情報!$B:$B,$A17,従業員の給与情報!$D:$D)),0,IF(ISERROR(AVERAGEIF(従業員の給与情報!$B:$B,$A17,従業員の給与情報!$D:$D)),0,AVERAGEIF(従業員の給与情報!$B:$B,$A17,従業員の給与情報!$D:$D)))))</f>
        <v/>
      </c>
      <c r="U17" s="116" t="str">
        <f>IF(OR(入力シート!$C$5&lt;&gt;入力リスト!$N$4,COUNTIF(入力シート!$J$16:$S$23,入力リスト!$K$4)=0),"",IF(A17="","",IF(ISERROR(AVERAGEIF(従業員の給与情報!$B:$B,$A17,従業員の給与情報!$E:$E)),0,IF(ISERROR(AVERAGEIF(従業員の給与情報!$B:$B,$A17,従業員の給与情報!$E:$E)),0,AVERAGEIF(従業員の給与情報!$B:$B,$A17,従業員の給与情報!$E:$E)))))</f>
        <v/>
      </c>
      <c r="V17" s="117" t="str">
        <f>IF(OR(入力シート!$C$5&lt;&gt;入力リスト!$N$4,COUNTIF(入力シート!$J$16:$S$23,入力リスト!$K$4)=0),"",IF(A17="","",IF(ISERROR(AVERAGEIF(従業員の給与情報!$B:$B,$A17,従業員の給与情報!$F:$F)),0,IF(ISERROR(AVERAGEIF(従業員の給与情報!$B:$B,$A17,従業員の給与情報!$F:$F)),0,AVERAGEIF(従業員の給与情報!$B:$B,$A17,従業員の給与情報!$F:$F)))))</f>
        <v/>
      </c>
      <c r="W17" s="182"/>
      <c r="X17" s="260"/>
    </row>
    <row r="18" spans="1:24" ht="19.5">
      <c r="A18" s="363"/>
      <c r="B18" s="364"/>
      <c r="C18" s="365"/>
      <c r="D18" s="366"/>
      <c r="E18" s="367"/>
      <c r="F18" s="372" t="str">
        <f>IF(G18,"この従業員番号は、すでに他のセルで入力されています。",IF(入力シート!$C$5=入力リスト!$N$5,"",IF(AND(A18="",B18="",C18="",D18="",E18=""),"",IF(OR(A18="",B18="",C18="",D18=""),IF(A18="","従業員番号","")&amp;IF(AND(A18="",OR(B18="",C18="",D18="")),",","")&amp;IF(B18="","雇用形態","")&amp;IF(AND(B18="",OR(C18="",D18="")),",","")&amp;IF(OR(入力シート!$J$18=入力リスト!$K$4,入力シート!$J$22=入力リスト!$K$4),IF(C18="","入社年月日",""),"")&amp;IF(AND(C18="",D18=""),",","")&amp;IF(D18="","性別","")&amp;IF(IF(A18="","従業員番号","")&amp;IF(B18="","雇用形態","")&amp;IF(OR(入力シート!$J$18=入力リスト!$K$4,入力シート!$J$22=入力リスト!$K$4),IF(C18="","入社年月日",""),"")&amp;IF(D18="","性別","")="","","が空白です。"),IF(J18,"入社年月日に「基準日」の翌日以降の日付が入力されています。","")&amp;IF(I18,"入社年月日に数値以外（又は1900/1/1以前の日付）が入力されています。","")&amp;IF(H18,"雇用形態"&amp;IF(OR(K18,L18),",",""),"")&amp;IF(K18,"性別"&amp;IF(L18,",",""),"")&amp;IF(L18,"役職","")&amp;IF(OR(H18,K18,L18),"に、［入力シート］(4)「貴社」欄と異なる文言が入力されています。","")))))</f>
        <v/>
      </c>
      <c r="G18" s="236" t="b">
        <f>COUNTIF($A$4:A17,$A18)&gt;0</f>
        <v>0</v>
      </c>
      <c r="H18" s="237" t="b">
        <f>IF(COUNTIF(入力シート!$J$16:$S$23,入力リスト!$K$4)=0,FALSE,IF(入力シート!$J$16=入力リスト!$K$5,FALSE,ISERROR(VLOOKUP(B18,入力シート!$S$37:$V$62,1,0))))</f>
        <v>0</v>
      </c>
      <c r="I18" s="237" t="b">
        <f>IF(AND(OR(入力シート!$J$18=入力リスト!$K$4,入力シート!$J$22=入力リスト!$K$4),入力シート!$J$24&lt;&gt;""),IF(ISERROR(C18+1),TRUE,IF(ISNUMBER(C18),FALSE,TRUE)),FALSE)</f>
        <v>0</v>
      </c>
      <c r="J18" s="237" t="b">
        <f>IF(AND(入力シート!$J$18=入力リスト!$K$4,入力シート!$J$22=入力リスト!$K$4),FALSE,IF(I18=TRUE,FALSE,IF(ISERROR(C18+1),FALSE,C18&gt;入力シート!$J$24)))</f>
        <v>0</v>
      </c>
      <c r="K18" s="237" t="b">
        <f>IF(COUNTIF(入力シート!$J$16:$S$23,入力リスト!$K$4)=0,FALSE,IF(AND(入力シート!$J$16&lt;&gt;入力リスト!$K$5,入力シート!$J$18&lt;&gt;入力リスト!$K$5,入力シート!$J$20&lt;&gt;入力リスト!$K$5,入力シート!$J$22&lt;&gt;入力リスト!$K$5),FALSE,ISERROR(VLOOKUP(D18,入力シート!$AW$37:$AY$38,1,0))))</f>
        <v>0</v>
      </c>
      <c r="L18" s="237" t="b">
        <f>IF(COUNTIF(入力シート!$J$16:$S$23,入力リスト!$K$4)=0,FALSE,IF(入力シート!$J$20=入力リスト!$K$5,FALSE,IF(E18="",FALSE,ISERROR(VLOOKUP(E18,入力シート!$AH$37:$AK$62,1,0)))))</f>
        <v>0</v>
      </c>
      <c r="M18" s="238" t="str">
        <f t="shared" si="0"/>
        <v/>
      </c>
      <c r="N18" s="236" t="str">
        <f>IF(B18="","",VLOOKUP('従業員情報(給与以外)'!$B18,入力シート!$S$37:$Z$62,5,0))</f>
        <v/>
      </c>
      <c r="O18" s="182" t="str">
        <f>IF(ISNUMBER(C18)=FALSE,"",IF(C18&gt;入力シート!$J$24,"",_xlfn.DAYS(入力シート!$J$24,'従業員情報(給与以外)'!$C18)/365))</f>
        <v/>
      </c>
      <c r="P18" s="237" t="str">
        <f>IF(O18="","",VLOOKUP(_xlfn.DAYS(入力シート!$J$24,'従業員情報(給与以外)'!$C18)/365,入力リスト!$H$4:$I$12,2,2))</f>
        <v/>
      </c>
      <c r="Q18" s="236" t="str">
        <f>IF(D18="","",VLOOKUP('従業員情報(給与以外)'!$D18,入力シート!$AW$37:$BB$38,4,0))</f>
        <v/>
      </c>
      <c r="R18" s="236" t="str">
        <f>IF(A18="","",IF(E18="","非役職",VLOOKUP('従業員情報(給与以外)'!$E18,入力シート!$AH$37:$AO$62,5,0)))</f>
        <v/>
      </c>
      <c r="S18" s="116" t="str">
        <f>IF(OR(入力シート!$C$5&lt;&gt;入力リスト!$N$4,COUNTIF(入力シート!$J$16:$S$23,入力リスト!$K$4)=0),"",IF($A18="","",IF(ISERROR(AVERAGEIF(従業員の給与情報!$B:$B,$A18,従業員の給与情報!$C:$C)),0,IF(ISERROR(AVERAGEIF(従業員の給与情報!$B:$B,$A18,従業員の給与情報!$C:$C)),0,AVERAGEIF(従業員の給与情報!$B:$B,$A18,従業員の給与情報!$C:$C)))))</f>
        <v/>
      </c>
      <c r="T18" s="116" t="str">
        <f>IF(OR(入力シート!$C$5&lt;&gt;入力リスト!$N$4,COUNTIF(入力シート!$J$16:$S$23,入力リスト!$K$4)=0),"",IF(A18="","",IF(ISERROR(AVERAGEIF(従業員の給与情報!$B:$B,$A18,従業員の給与情報!$D:$D)),0,IF(ISERROR(AVERAGEIF(従業員の給与情報!$B:$B,$A18,従業員の給与情報!$D:$D)),0,AVERAGEIF(従業員の給与情報!$B:$B,$A18,従業員の給与情報!$D:$D)))))</f>
        <v/>
      </c>
      <c r="U18" s="116" t="str">
        <f>IF(OR(入力シート!$C$5&lt;&gt;入力リスト!$N$4,COUNTIF(入力シート!$J$16:$S$23,入力リスト!$K$4)=0),"",IF(A18="","",IF(ISERROR(AVERAGEIF(従業員の給与情報!$B:$B,$A18,従業員の給与情報!$E:$E)),0,IF(ISERROR(AVERAGEIF(従業員の給与情報!$B:$B,$A18,従業員の給与情報!$E:$E)),0,AVERAGEIF(従業員の給与情報!$B:$B,$A18,従業員の給与情報!$E:$E)))))</f>
        <v/>
      </c>
      <c r="V18" s="117" t="str">
        <f>IF(OR(入力シート!$C$5&lt;&gt;入力リスト!$N$4,COUNTIF(入力シート!$J$16:$S$23,入力リスト!$K$4)=0),"",IF(A18="","",IF(ISERROR(AVERAGEIF(従業員の給与情報!$B:$B,$A18,従業員の給与情報!$F:$F)),0,IF(ISERROR(AVERAGEIF(従業員の給与情報!$B:$B,$A18,従業員の給与情報!$F:$F)),0,AVERAGEIF(従業員の給与情報!$B:$B,$A18,従業員の給与情報!$F:$F)))))</f>
        <v/>
      </c>
      <c r="W18" s="182"/>
      <c r="X18" s="260"/>
    </row>
    <row r="19" spans="1:24" ht="19.5">
      <c r="A19" s="367"/>
      <c r="B19" s="364"/>
      <c r="C19" s="365"/>
      <c r="D19" s="366"/>
      <c r="E19" s="367"/>
      <c r="F19" s="372" t="str">
        <f>IF(G19,"この従業員番号は、すでに他のセルで入力されています。",IF(入力シート!$C$5=入力リスト!$N$5,"",IF(AND(A19="",B19="",C19="",D19="",E19=""),"",IF(OR(A19="",B19="",C19="",D19=""),IF(A19="","従業員番号","")&amp;IF(AND(A19="",OR(B19="",C19="",D19="")),",","")&amp;IF(B19="","雇用形態","")&amp;IF(AND(B19="",OR(C19="",D19="")),",","")&amp;IF(OR(入力シート!$J$18=入力リスト!$K$4,入力シート!$J$22=入力リスト!$K$4),IF(C19="","入社年月日",""),"")&amp;IF(AND(C19="",D19=""),",","")&amp;IF(D19="","性別","")&amp;IF(IF(A19="","従業員番号","")&amp;IF(B19="","雇用形態","")&amp;IF(OR(入力シート!$J$18=入力リスト!$K$4,入力シート!$J$22=入力リスト!$K$4),IF(C19="","入社年月日",""),"")&amp;IF(D19="","性別","")="","","が空白です。"),IF(J19,"入社年月日に「基準日」の翌日以降の日付が入力されています。","")&amp;IF(I19,"入社年月日に数値以外（又は1900/1/1以前の日付）が入力されています。","")&amp;IF(H19,"雇用形態"&amp;IF(OR(K19,L19),",",""),"")&amp;IF(K19,"性別"&amp;IF(L19,",",""),"")&amp;IF(L19,"役職","")&amp;IF(OR(H19,K19,L19),"に、［入力シート］(4)「貴社」欄と異なる文言が入力されています。","")))))</f>
        <v/>
      </c>
      <c r="G19" s="236" t="b">
        <f>COUNTIF($A$4:A18,$A19)&gt;0</f>
        <v>0</v>
      </c>
      <c r="H19" s="237" t="b">
        <f>IF(COUNTIF(入力シート!$J$16:$S$23,入力リスト!$K$4)=0,FALSE,IF(入力シート!$J$16=入力リスト!$K$5,FALSE,ISERROR(VLOOKUP(B19,入力シート!$S$37:$V$62,1,0))))</f>
        <v>0</v>
      </c>
      <c r="I19" s="237" t="b">
        <f>IF(AND(OR(入力シート!$J$18=入力リスト!$K$4,入力シート!$J$22=入力リスト!$K$4),入力シート!$J$24&lt;&gt;""),IF(ISERROR(C19+1),TRUE,IF(ISNUMBER(C19),FALSE,TRUE)),FALSE)</f>
        <v>0</v>
      </c>
      <c r="J19" s="237" t="b">
        <f>IF(AND(入力シート!$J$18=入力リスト!$K$4,入力シート!$J$22=入力リスト!$K$4),FALSE,IF(I19=TRUE,FALSE,IF(ISERROR(C19+1),FALSE,C19&gt;入力シート!$J$24)))</f>
        <v>0</v>
      </c>
      <c r="K19" s="237" t="b">
        <f>IF(COUNTIF(入力シート!$J$16:$S$23,入力リスト!$K$4)=0,FALSE,IF(AND(入力シート!$J$16&lt;&gt;入力リスト!$K$5,入力シート!$J$18&lt;&gt;入力リスト!$K$5,入力シート!$J$20&lt;&gt;入力リスト!$K$5,入力シート!$J$22&lt;&gt;入力リスト!$K$5),FALSE,ISERROR(VLOOKUP(D19,入力シート!$AW$37:$AY$38,1,0))))</f>
        <v>0</v>
      </c>
      <c r="L19" s="237" t="b">
        <f>IF(COUNTIF(入力シート!$J$16:$S$23,入力リスト!$K$4)=0,FALSE,IF(入力シート!$J$20=入力リスト!$K$5,FALSE,IF(E19="",FALSE,ISERROR(VLOOKUP(E19,入力シート!$AH$37:$AK$62,1,0)))))</f>
        <v>0</v>
      </c>
      <c r="M19" s="238" t="str">
        <f t="shared" si="0"/>
        <v/>
      </c>
      <c r="N19" s="236" t="str">
        <f>IF(B19="","",VLOOKUP('従業員情報(給与以外)'!$B19,入力シート!$S$37:$Z$62,5,0))</f>
        <v/>
      </c>
      <c r="O19" s="182" t="str">
        <f>IF(ISNUMBER(C19)=FALSE,"",IF(C19&gt;入力シート!$J$24,"",_xlfn.DAYS(入力シート!$J$24,'従業員情報(給与以外)'!$C19)/365))</f>
        <v/>
      </c>
      <c r="P19" s="237" t="str">
        <f>IF(O19="","",VLOOKUP(_xlfn.DAYS(入力シート!$J$24,'従業員情報(給与以外)'!$C19)/365,入力リスト!$H$4:$I$12,2,2))</f>
        <v/>
      </c>
      <c r="Q19" s="236" t="str">
        <f>IF(D19="","",VLOOKUP('従業員情報(給与以外)'!$D19,入力シート!$AW$37:$BB$38,4,0))</f>
        <v/>
      </c>
      <c r="R19" s="236" t="str">
        <f>IF(A19="","",IF(E19="","非役職",VLOOKUP('従業員情報(給与以外)'!$E19,入力シート!$AH$37:$AO$62,5,0)))</f>
        <v/>
      </c>
      <c r="S19" s="116" t="str">
        <f>IF(OR(入力シート!$C$5&lt;&gt;入力リスト!$N$4,COUNTIF(入力シート!$J$16:$S$23,入力リスト!$K$4)=0),"",IF($A19="","",IF(ISERROR(AVERAGEIF(従業員の給与情報!$B:$B,$A19,従業員の給与情報!$C:$C)),0,IF(ISERROR(AVERAGEIF(従業員の給与情報!$B:$B,$A19,従業員の給与情報!$C:$C)),0,AVERAGEIF(従業員の給与情報!$B:$B,$A19,従業員の給与情報!$C:$C)))))</f>
        <v/>
      </c>
      <c r="T19" s="116" t="str">
        <f>IF(OR(入力シート!$C$5&lt;&gt;入力リスト!$N$4,COUNTIF(入力シート!$J$16:$S$23,入力リスト!$K$4)=0),"",IF(A19="","",IF(ISERROR(AVERAGEIF(従業員の給与情報!$B:$B,$A19,従業員の給与情報!$D:$D)),0,IF(ISERROR(AVERAGEIF(従業員の給与情報!$B:$B,$A19,従業員の給与情報!$D:$D)),0,AVERAGEIF(従業員の給与情報!$B:$B,$A19,従業員の給与情報!$D:$D)))))</f>
        <v/>
      </c>
      <c r="U19" s="116" t="str">
        <f>IF(OR(入力シート!$C$5&lt;&gt;入力リスト!$N$4,COUNTIF(入力シート!$J$16:$S$23,入力リスト!$K$4)=0),"",IF(A19="","",IF(ISERROR(AVERAGEIF(従業員の給与情報!$B:$B,$A19,従業員の給与情報!$E:$E)),0,IF(ISERROR(AVERAGEIF(従業員の給与情報!$B:$B,$A19,従業員の給与情報!$E:$E)),0,AVERAGEIF(従業員の給与情報!$B:$B,$A19,従業員の給与情報!$E:$E)))))</f>
        <v/>
      </c>
      <c r="V19" s="117" t="str">
        <f>IF(OR(入力シート!$C$5&lt;&gt;入力リスト!$N$4,COUNTIF(入力シート!$J$16:$S$23,入力リスト!$K$4)=0),"",IF(A19="","",IF(ISERROR(AVERAGEIF(従業員の給与情報!$B:$B,$A19,従業員の給与情報!$F:$F)),0,IF(ISERROR(AVERAGEIF(従業員の給与情報!$B:$B,$A19,従業員の給与情報!$F:$F)),0,AVERAGEIF(従業員の給与情報!$B:$B,$A19,従業員の給与情報!$F:$F)))))</f>
        <v/>
      </c>
      <c r="W19" s="182"/>
      <c r="X19" s="260"/>
    </row>
    <row r="20" spans="1:24" ht="19.5">
      <c r="A20" s="367"/>
      <c r="B20" s="364"/>
      <c r="C20" s="365"/>
      <c r="D20" s="366"/>
      <c r="E20" s="367"/>
      <c r="F20" s="372" t="str">
        <f>IF(G20,"この従業員番号は、すでに他のセルで入力されています。",IF(入力シート!$C$5=入力リスト!$N$5,"",IF(AND(A20="",B20="",C20="",D20="",E20=""),"",IF(OR(A20="",B20="",C20="",D20=""),IF(A20="","従業員番号","")&amp;IF(AND(A20="",OR(B20="",C20="",D20="")),",","")&amp;IF(B20="","雇用形態","")&amp;IF(AND(B20="",OR(C20="",D20="")),",","")&amp;IF(OR(入力シート!$J$18=入力リスト!$K$4,入力シート!$J$22=入力リスト!$K$4),IF(C20="","入社年月日",""),"")&amp;IF(AND(C20="",D20=""),",","")&amp;IF(D20="","性別","")&amp;IF(IF(A20="","従業員番号","")&amp;IF(B20="","雇用形態","")&amp;IF(OR(入力シート!$J$18=入力リスト!$K$4,入力シート!$J$22=入力リスト!$K$4),IF(C20="","入社年月日",""),"")&amp;IF(D20="","性別","")="","","が空白です。"),IF(J20,"入社年月日に「基準日」の翌日以降の日付が入力されています。","")&amp;IF(I20,"入社年月日に数値以外（又は1900/1/1以前の日付）が入力されています。","")&amp;IF(H20,"雇用形態"&amp;IF(OR(K20,L20),",",""),"")&amp;IF(K20,"性別"&amp;IF(L20,",",""),"")&amp;IF(L20,"役職","")&amp;IF(OR(H20,K20,L20),"に、［入力シート］(4)「貴社」欄と異なる文言が入力されています。","")))))</f>
        <v/>
      </c>
      <c r="G20" s="236" t="b">
        <f>COUNTIF($A$4:A19,$A20)&gt;0</f>
        <v>0</v>
      </c>
      <c r="H20" s="237" t="b">
        <f>IF(COUNTIF(入力シート!$J$16:$S$23,入力リスト!$K$4)=0,FALSE,IF(入力シート!$J$16=入力リスト!$K$5,FALSE,ISERROR(VLOOKUP(B20,入力シート!$S$37:$V$62,1,0))))</f>
        <v>0</v>
      </c>
      <c r="I20" s="237" t="b">
        <f>IF(AND(OR(入力シート!$J$18=入力リスト!$K$4,入力シート!$J$22=入力リスト!$K$4),入力シート!$J$24&lt;&gt;""),IF(ISERROR(C20+1),TRUE,IF(ISNUMBER(C20),FALSE,TRUE)),FALSE)</f>
        <v>0</v>
      </c>
      <c r="J20" s="237" t="b">
        <f>IF(AND(入力シート!$J$18=入力リスト!$K$4,入力シート!$J$22=入力リスト!$K$4),FALSE,IF(I20=TRUE,FALSE,IF(ISERROR(C20+1),FALSE,C20&gt;入力シート!$J$24)))</f>
        <v>0</v>
      </c>
      <c r="K20" s="237" t="b">
        <f>IF(COUNTIF(入力シート!$J$16:$S$23,入力リスト!$K$4)=0,FALSE,IF(AND(入力シート!$J$16&lt;&gt;入力リスト!$K$5,入力シート!$J$18&lt;&gt;入力リスト!$K$5,入力シート!$J$20&lt;&gt;入力リスト!$K$5,入力シート!$J$22&lt;&gt;入力リスト!$K$5),FALSE,ISERROR(VLOOKUP(D20,入力シート!$AW$37:$AY$38,1,0))))</f>
        <v>0</v>
      </c>
      <c r="L20" s="237" t="b">
        <f>IF(COUNTIF(入力シート!$J$16:$S$23,入力リスト!$K$4)=0,FALSE,IF(入力シート!$J$20=入力リスト!$K$5,FALSE,IF(E20="",FALSE,ISERROR(VLOOKUP(E20,入力シート!$AH$37:$AK$62,1,0)))))</f>
        <v>0</v>
      </c>
      <c r="M20" s="238" t="str">
        <f t="shared" si="0"/>
        <v/>
      </c>
      <c r="N20" s="236" t="str">
        <f>IF(B20="","",VLOOKUP('従業員情報(給与以外)'!$B20,入力シート!$S$37:$Z$62,5,0))</f>
        <v/>
      </c>
      <c r="O20" s="182" t="str">
        <f>IF(ISNUMBER(C20)=FALSE,"",IF(C20&gt;入力シート!$J$24,"",_xlfn.DAYS(入力シート!$J$24,'従業員情報(給与以外)'!$C20)/365))</f>
        <v/>
      </c>
      <c r="P20" s="237" t="str">
        <f>IF(O20="","",VLOOKUP(_xlfn.DAYS(入力シート!$J$24,'従業員情報(給与以外)'!$C20)/365,入力リスト!$H$4:$I$12,2,2))</f>
        <v/>
      </c>
      <c r="Q20" s="236" t="str">
        <f>IF(D20="","",VLOOKUP('従業員情報(給与以外)'!$D20,入力シート!$AW$37:$BB$38,4,0))</f>
        <v/>
      </c>
      <c r="R20" s="236" t="str">
        <f>IF(A20="","",IF(E20="","非役職",VLOOKUP('従業員情報(給与以外)'!$E20,入力シート!$AH$37:$AO$62,5,0)))</f>
        <v/>
      </c>
      <c r="S20" s="116" t="str">
        <f>IF(OR(入力シート!$C$5&lt;&gt;入力リスト!$N$4,COUNTIF(入力シート!$J$16:$S$23,入力リスト!$K$4)=0),"",IF($A20="","",IF(ISERROR(AVERAGEIF(従業員の給与情報!$B:$B,$A20,従業員の給与情報!$C:$C)),0,IF(ISERROR(AVERAGEIF(従業員の給与情報!$B:$B,$A20,従業員の給与情報!$C:$C)),0,AVERAGEIF(従業員の給与情報!$B:$B,$A20,従業員の給与情報!$C:$C)))))</f>
        <v/>
      </c>
      <c r="T20" s="116" t="str">
        <f>IF(OR(入力シート!$C$5&lt;&gt;入力リスト!$N$4,COUNTIF(入力シート!$J$16:$S$23,入力リスト!$K$4)=0),"",IF(A20="","",IF(ISERROR(AVERAGEIF(従業員の給与情報!$B:$B,$A20,従業員の給与情報!$D:$D)),0,IF(ISERROR(AVERAGEIF(従業員の給与情報!$B:$B,$A20,従業員の給与情報!$D:$D)),0,AVERAGEIF(従業員の給与情報!$B:$B,$A20,従業員の給与情報!$D:$D)))))</f>
        <v/>
      </c>
      <c r="U20" s="116" t="str">
        <f>IF(OR(入力シート!$C$5&lt;&gt;入力リスト!$N$4,COUNTIF(入力シート!$J$16:$S$23,入力リスト!$K$4)=0),"",IF(A20="","",IF(ISERROR(AVERAGEIF(従業員の給与情報!$B:$B,$A20,従業員の給与情報!$E:$E)),0,IF(ISERROR(AVERAGEIF(従業員の給与情報!$B:$B,$A20,従業員の給与情報!$E:$E)),0,AVERAGEIF(従業員の給与情報!$B:$B,$A20,従業員の給与情報!$E:$E)))))</f>
        <v/>
      </c>
      <c r="V20" s="117" t="str">
        <f>IF(OR(入力シート!$C$5&lt;&gt;入力リスト!$N$4,COUNTIF(入力シート!$J$16:$S$23,入力リスト!$K$4)=0),"",IF(A20="","",IF(ISERROR(AVERAGEIF(従業員の給与情報!$B:$B,$A20,従業員の給与情報!$F:$F)),0,IF(ISERROR(AVERAGEIF(従業員の給与情報!$B:$B,$A20,従業員の給与情報!$F:$F)),0,AVERAGEIF(従業員の給与情報!$B:$B,$A20,従業員の給与情報!$F:$F)))))</f>
        <v/>
      </c>
      <c r="W20" s="182"/>
      <c r="X20" s="260"/>
    </row>
    <row r="21" spans="1:24" ht="19.5">
      <c r="A21" s="367"/>
      <c r="B21" s="364"/>
      <c r="C21" s="365"/>
      <c r="D21" s="366"/>
      <c r="E21" s="364"/>
      <c r="F21" s="372" t="str">
        <f>IF(G21,"この従業員番号は、すでに他のセルで入力されています。",IF(入力シート!$C$5=入力リスト!$N$5,"",IF(AND(A21="",B21="",C21="",D21="",E21=""),"",IF(OR(A21="",B21="",C21="",D21=""),IF(A21="","従業員番号","")&amp;IF(AND(A21="",OR(B21="",C21="",D21="")),",","")&amp;IF(B21="","雇用形態","")&amp;IF(AND(B21="",OR(C21="",D21="")),",","")&amp;IF(OR(入力シート!$J$18=入力リスト!$K$4,入力シート!$J$22=入力リスト!$K$4),IF(C21="","入社年月日",""),"")&amp;IF(AND(C21="",D21=""),",","")&amp;IF(D21="","性別","")&amp;IF(IF(A21="","従業員番号","")&amp;IF(B21="","雇用形態","")&amp;IF(OR(入力シート!$J$18=入力リスト!$K$4,入力シート!$J$22=入力リスト!$K$4),IF(C21="","入社年月日",""),"")&amp;IF(D21="","性別","")="","","が空白です。"),IF(J21,"入社年月日に「基準日」の翌日以降の日付が入力されています。","")&amp;IF(I21,"入社年月日に数値以外（又は1900/1/1以前の日付）が入力されています。","")&amp;IF(H21,"雇用形態"&amp;IF(OR(K21,L21),",",""),"")&amp;IF(K21,"性別"&amp;IF(L21,",",""),"")&amp;IF(L21,"役職","")&amp;IF(OR(H21,K21,L21),"に、［入力シート］(4)「貴社」欄と異なる文言が入力されています。","")))))</f>
        <v/>
      </c>
      <c r="G21" s="236" t="b">
        <f>COUNTIF($A$4:A20,$A21)&gt;0</f>
        <v>0</v>
      </c>
      <c r="H21" s="237" t="b">
        <f>IF(COUNTIF(入力シート!$J$16:$S$23,入力リスト!$K$4)=0,FALSE,IF(入力シート!$J$16=入力リスト!$K$5,FALSE,ISERROR(VLOOKUP(B21,入力シート!$S$37:$V$62,1,0))))</f>
        <v>0</v>
      </c>
      <c r="I21" s="237" t="b">
        <f>IF(AND(OR(入力シート!$J$18=入力リスト!$K$4,入力シート!$J$22=入力リスト!$K$4),入力シート!$J$24&lt;&gt;""),IF(ISERROR(C21+1),TRUE,IF(ISNUMBER(C21),FALSE,TRUE)),FALSE)</f>
        <v>0</v>
      </c>
      <c r="J21" s="237" t="b">
        <f>IF(AND(入力シート!$J$18=入力リスト!$K$4,入力シート!$J$22=入力リスト!$K$4),FALSE,IF(I21=TRUE,FALSE,IF(ISERROR(C21+1),FALSE,C21&gt;入力シート!$J$24)))</f>
        <v>0</v>
      </c>
      <c r="K21" s="237" t="b">
        <f>IF(COUNTIF(入力シート!$J$16:$S$23,入力リスト!$K$4)=0,FALSE,IF(AND(入力シート!$J$16&lt;&gt;入力リスト!$K$5,入力シート!$J$18&lt;&gt;入力リスト!$K$5,入力シート!$J$20&lt;&gt;入力リスト!$K$5,入力シート!$J$22&lt;&gt;入力リスト!$K$5),FALSE,ISERROR(VLOOKUP(D21,入力シート!$AW$37:$AY$38,1,0))))</f>
        <v>0</v>
      </c>
      <c r="L21" s="237" t="b">
        <f>IF(COUNTIF(入力シート!$J$16:$S$23,入力リスト!$K$4)=0,FALSE,IF(入力シート!$J$20=入力リスト!$K$5,FALSE,IF(E21="",FALSE,ISERROR(VLOOKUP(E21,入力シート!$AH$37:$AK$62,1,0)))))</f>
        <v>0</v>
      </c>
      <c r="M21" s="238" t="str">
        <f t="shared" si="0"/>
        <v/>
      </c>
      <c r="N21" s="236" t="str">
        <f>IF(B21="","",VLOOKUP('従業員情報(給与以外)'!$B21,入力シート!$S$37:$Z$62,5,0))</f>
        <v/>
      </c>
      <c r="O21" s="182" t="str">
        <f>IF(ISNUMBER(C21)=FALSE,"",IF(C21&gt;入力シート!$J$24,"",_xlfn.DAYS(入力シート!$J$24,'従業員情報(給与以外)'!$C21)/365))</f>
        <v/>
      </c>
      <c r="P21" s="237" t="str">
        <f>IF(O21="","",VLOOKUP(_xlfn.DAYS(入力シート!$J$24,'従業員情報(給与以外)'!$C21)/365,入力リスト!$H$4:$I$12,2,2))</f>
        <v/>
      </c>
      <c r="Q21" s="236" t="str">
        <f>IF(D21="","",VLOOKUP('従業員情報(給与以外)'!$D21,入力シート!$AW$37:$BB$38,4,0))</f>
        <v/>
      </c>
      <c r="R21" s="236" t="str">
        <f>IF(A21="","",IF(E21="","非役職",VLOOKUP('従業員情報(給与以外)'!$E21,入力シート!$AH$37:$AO$62,5,0)))</f>
        <v/>
      </c>
      <c r="S21" s="116" t="str">
        <f>IF(OR(入力シート!$C$5&lt;&gt;入力リスト!$N$4,COUNTIF(入力シート!$J$16:$S$23,入力リスト!$K$4)=0),"",IF($A21="","",IF(ISERROR(AVERAGEIF(従業員の給与情報!$B:$B,$A21,従業員の給与情報!$C:$C)),0,IF(ISERROR(AVERAGEIF(従業員の給与情報!$B:$B,$A21,従業員の給与情報!$C:$C)),0,AVERAGEIF(従業員の給与情報!$B:$B,$A21,従業員の給与情報!$C:$C)))))</f>
        <v/>
      </c>
      <c r="T21" s="116" t="str">
        <f>IF(OR(入力シート!$C$5&lt;&gt;入力リスト!$N$4,COUNTIF(入力シート!$J$16:$S$23,入力リスト!$K$4)=0),"",IF(A21="","",IF(ISERROR(AVERAGEIF(従業員の給与情報!$B:$B,$A21,従業員の給与情報!$D:$D)),0,IF(ISERROR(AVERAGEIF(従業員の給与情報!$B:$B,$A21,従業員の給与情報!$D:$D)),0,AVERAGEIF(従業員の給与情報!$B:$B,$A21,従業員の給与情報!$D:$D)))))</f>
        <v/>
      </c>
      <c r="U21" s="116" t="str">
        <f>IF(OR(入力シート!$C$5&lt;&gt;入力リスト!$N$4,COUNTIF(入力シート!$J$16:$S$23,入力リスト!$K$4)=0),"",IF(A21="","",IF(ISERROR(AVERAGEIF(従業員の給与情報!$B:$B,$A21,従業員の給与情報!$E:$E)),0,IF(ISERROR(AVERAGEIF(従業員の給与情報!$B:$B,$A21,従業員の給与情報!$E:$E)),0,AVERAGEIF(従業員の給与情報!$B:$B,$A21,従業員の給与情報!$E:$E)))))</f>
        <v/>
      </c>
      <c r="V21" s="117" t="str">
        <f>IF(OR(入力シート!$C$5&lt;&gt;入力リスト!$N$4,COUNTIF(入力シート!$J$16:$S$23,入力リスト!$K$4)=0),"",IF(A21="","",IF(ISERROR(AVERAGEIF(従業員の給与情報!$B:$B,$A21,従業員の給与情報!$F:$F)),0,IF(ISERROR(AVERAGEIF(従業員の給与情報!$B:$B,$A21,従業員の給与情報!$F:$F)),0,AVERAGEIF(従業員の給与情報!$B:$B,$A21,従業員の給与情報!$F:$F)))))</f>
        <v/>
      </c>
      <c r="W21" s="182"/>
      <c r="X21" s="260"/>
    </row>
    <row r="22" spans="1:24" ht="19.5">
      <c r="A22" s="367"/>
      <c r="B22" s="364"/>
      <c r="C22" s="365"/>
      <c r="D22" s="366"/>
      <c r="E22" s="367"/>
      <c r="F22" s="372" t="str">
        <f>IF(G22,"この従業員番号は、すでに他のセルで入力されています。",IF(入力シート!$C$5=入力リスト!$N$5,"",IF(AND(A22="",B22="",C22="",D22="",E22=""),"",IF(OR(A22="",B22="",C22="",D22=""),IF(A22="","従業員番号","")&amp;IF(AND(A22="",OR(B22="",C22="",D22="")),",","")&amp;IF(B22="","雇用形態","")&amp;IF(AND(B22="",OR(C22="",D22="")),",","")&amp;IF(OR(入力シート!$J$18=入力リスト!$K$4,入力シート!$J$22=入力リスト!$K$4),IF(C22="","入社年月日",""),"")&amp;IF(AND(C22="",D22=""),",","")&amp;IF(D22="","性別","")&amp;IF(IF(A22="","従業員番号","")&amp;IF(B22="","雇用形態","")&amp;IF(OR(入力シート!$J$18=入力リスト!$K$4,入力シート!$J$22=入力リスト!$K$4),IF(C22="","入社年月日",""),"")&amp;IF(D22="","性別","")="","","が空白です。"),IF(J22,"入社年月日に「基準日」の翌日以降の日付が入力されています。","")&amp;IF(I22,"入社年月日に数値以外（又は1900/1/1以前の日付）が入力されています。","")&amp;IF(H22,"雇用形態"&amp;IF(OR(K22,L22),",",""),"")&amp;IF(K22,"性別"&amp;IF(L22,",",""),"")&amp;IF(L22,"役職","")&amp;IF(OR(H22,K22,L22),"に、［入力シート］(4)「貴社」欄と異なる文言が入力されています。","")))))</f>
        <v/>
      </c>
      <c r="G22" s="236" t="b">
        <f>COUNTIF($A$4:A21,$A22)&gt;0</f>
        <v>0</v>
      </c>
      <c r="H22" s="237" t="b">
        <f>IF(COUNTIF(入力シート!$J$16:$S$23,入力リスト!$K$4)=0,FALSE,IF(入力シート!$J$16=入力リスト!$K$5,FALSE,ISERROR(VLOOKUP(B22,入力シート!$S$37:$V$62,1,0))))</f>
        <v>0</v>
      </c>
      <c r="I22" s="237" t="b">
        <f>IF(AND(OR(入力シート!$J$18=入力リスト!$K$4,入力シート!$J$22=入力リスト!$K$4),入力シート!$J$24&lt;&gt;""),IF(ISERROR(C22+1),TRUE,IF(ISNUMBER(C22),FALSE,TRUE)),FALSE)</f>
        <v>0</v>
      </c>
      <c r="J22" s="237" t="b">
        <f>IF(AND(入力シート!$J$18=入力リスト!$K$4,入力シート!$J$22=入力リスト!$K$4),FALSE,IF(I22=TRUE,FALSE,IF(ISERROR(C22+1),FALSE,C22&gt;入力シート!$J$24)))</f>
        <v>0</v>
      </c>
      <c r="K22" s="237" t="b">
        <f>IF(COUNTIF(入力シート!$J$16:$S$23,入力リスト!$K$4)=0,FALSE,IF(AND(入力シート!$J$16&lt;&gt;入力リスト!$K$5,入力シート!$J$18&lt;&gt;入力リスト!$K$5,入力シート!$J$20&lt;&gt;入力リスト!$K$5,入力シート!$J$22&lt;&gt;入力リスト!$K$5),FALSE,ISERROR(VLOOKUP(D22,入力シート!$AW$37:$AY$38,1,0))))</f>
        <v>0</v>
      </c>
      <c r="L22" s="237" t="b">
        <f>IF(COUNTIF(入力シート!$J$16:$S$23,入力リスト!$K$4)=0,FALSE,IF(入力シート!$J$20=入力リスト!$K$5,FALSE,IF(E22="",FALSE,ISERROR(VLOOKUP(E22,入力シート!$AH$37:$AK$62,1,0)))))</f>
        <v>0</v>
      </c>
      <c r="M22" s="238" t="str">
        <f t="shared" si="0"/>
        <v/>
      </c>
      <c r="N22" s="236" t="str">
        <f>IF(B22="","",VLOOKUP('従業員情報(給与以外)'!$B22,入力シート!$S$37:$Z$62,5,0))</f>
        <v/>
      </c>
      <c r="O22" s="182" t="str">
        <f>IF(ISNUMBER(C22)=FALSE,"",IF(C22&gt;入力シート!$J$24,"",_xlfn.DAYS(入力シート!$J$24,'従業員情報(給与以外)'!$C22)/365))</f>
        <v/>
      </c>
      <c r="P22" s="237" t="str">
        <f>IF(O22="","",VLOOKUP(_xlfn.DAYS(入力シート!$J$24,'従業員情報(給与以外)'!$C22)/365,入力リスト!$H$4:$I$12,2,2))</f>
        <v/>
      </c>
      <c r="Q22" s="236" t="str">
        <f>IF(D22="","",VLOOKUP('従業員情報(給与以外)'!$D22,入力シート!$AW$37:$BB$38,4,0))</f>
        <v/>
      </c>
      <c r="R22" s="236" t="str">
        <f>IF(A22="","",IF(E22="","非役職",VLOOKUP('従業員情報(給与以外)'!$E22,入力シート!$AH$37:$AO$62,5,0)))</f>
        <v/>
      </c>
      <c r="S22" s="116" t="str">
        <f>IF(OR(入力シート!$C$5&lt;&gt;入力リスト!$N$4,COUNTIF(入力シート!$J$16:$S$23,入力リスト!$K$4)=0),"",IF($A22="","",IF(ISERROR(AVERAGEIF(従業員の給与情報!$B:$B,$A22,従業員の給与情報!$C:$C)),0,IF(ISERROR(AVERAGEIF(従業員の給与情報!$B:$B,$A22,従業員の給与情報!$C:$C)),0,AVERAGEIF(従業員の給与情報!$B:$B,$A22,従業員の給与情報!$C:$C)))))</f>
        <v/>
      </c>
      <c r="T22" s="116" t="str">
        <f>IF(OR(入力シート!$C$5&lt;&gt;入力リスト!$N$4,COUNTIF(入力シート!$J$16:$S$23,入力リスト!$K$4)=0),"",IF(A22="","",IF(ISERROR(AVERAGEIF(従業員の給与情報!$B:$B,$A22,従業員の給与情報!$D:$D)),0,IF(ISERROR(AVERAGEIF(従業員の給与情報!$B:$B,$A22,従業員の給与情報!$D:$D)),0,AVERAGEIF(従業員の給与情報!$B:$B,$A22,従業員の給与情報!$D:$D)))))</f>
        <v/>
      </c>
      <c r="U22" s="116" t="str">
        <f>IF(OR(入力シート!$C$5&lt;&gt;入力リスト!$N$4,COUNTIF(入力シート!$J$16:$S$23,入力リスト!$K$4)=0),"",IF(A22="","",IF(ISERROR(AVERAGEIF(従業員の給与情報!$B:$B,$A22,従業員の給与情報!$E:$E)),0,IF(ISERROR(AVERAGEIF(従業員の給与情報!$B:$B,$A22,従業員の給与情報!$E:$E)),0,AVERAGEIF(従業員の給与情報!$B:$B,$A22,従業員の給与情報!$E:$E)))))</f>
        <v/>
      </c>
      <c r="V22" s="117" t="str">
        <f>IF(OR(入力シート!$C$5&lt;&gt;入力リスト!$N$4,COUNTIF(入力シート!$J$16:$S$23,入力リスト!$K$4)=0),"",IF(A22="","",IF(ISERROR(AVERAGEIF(従業員の給与情報!$B:$B,$A22,従業員の給与情報!$F:$F)),0,IF(ISERROR(AVERAGEIF(従業員の給与情報!$B:$B,$A22,従業員の給与情報!$F:$F)),0,AVERAGEIF(従業員の給与情報!$B:$B,$A22,従業員の給与情報!$F:$F)))))</f>
        <v/>
      </c>
      <c r="W22" s="182"/>
      <c r="X22" s="260"/>
    </row>
    <row r="23" spans="1:24" ht="19.5">
      <c r="A23" s="367"/>
      <c r="B23" s="364"/>
      <c r="C23" s="365"/>
      <c r="D23" s="366"/>
      <c r="E23" s="367"/>
      <c r="F23" s="372" t="str">
        <f>IF(G23,"この従業員番号は、すでに他のセルで入力されています。",IF(入力シート!$C$5=入力リスト!$N$5,"",IF(AND(A23="",B23="",C23="",D23="",E23=""),"",IF(OR(A23="",B23="",C23="",D23=""),IF(A23="","従業員番号","")&amp;IF(AND(A23="",OR(B23="",C23="",D23="")),",","")&amp;IF(B23="","雇用形態","")&amp;IF(AND(B23="",OR(C23="",D23="")),",","")&amp;IF(OR(入力シート!$J$18=入力リスト!$K$4,入力シート!$J$22=入力リスト!$K$4),IF(C23="","入社年月日",""),"")&amp;IF(AND(C23="",D23=""),",","")&amp;IF(D23="","性別","")&amp;IF(IF(A23="","従業員番号","")&amp;IF(B23="","雇用形態","")&amp;IF(OR(入力シート!$J$18=入力リスト!$K$4,入力シート!$J$22=入力リスト!$K$4),IF(C23="","入社年月日",""),"")&amp;IF(D23="","性別","")="","","が空白です。"),IF(J23,"入社年月日に「基準日」の翌日以降の日付が入力されています。","")&amp;IF(I23,"入社年月日に数値以外（又は1900/1/1以前の日付）が入力されています。","")&amp;IF(H23,"雇用形態"&amp;IF(OR(K23,L23),",",""),"")&amp;IF(K23,"性別"&amp;IF(L23,",",""),"")&amp;IF(L23,"役職","")&amp;IF(OR(H23,K23,L23),"に、［入力シート］(4)「貴社」欄と異なる文言が入力されています。","")))))</f>
        <v/>
      </c>
      <c r="G23" s="236" t="b">
        <f>COUNTIF($A$4:A22,$A23)&gt;0</f>
        <v>0</v>
      </c>
      <c r="H23" s="237" t="b">
        <f>IF(COUNTIF(入力シート!$J$16:$S$23,入力リスト!$K$4)=0,FALSE,IF(入力シート!$J$16=入力リスト!$K$5,FALSE,ISERROR(VLOOKUP(B23,入力シート!$S$37:$V$62,1,0))))</f>
        <v>0</v>
      </c>
      <c r="I23" s="237" t="b">
        <f>IF(AND(OR(入力シート!$J$18=入力リスト!$K$4,入力シート!$J$22=入力リスト!$K$4),入力シート!$J$24&lt;&gt;""),IF(ISERROR(C23+1),TRUE,IF(ISNUMBER(C23),FALSE,TRUE)),FALSE)</f>
        <v>0</v>
      </c>
      <c r="J23" s="237" t="b">
        <f>IF(AND(入力シート!$J$18=入力リスト!$K$4,入力シート!$J$22=入力リスト!$K$4),FALSE,IF(I23=TRUE,FALSE,IF(ISERROR(C23+1),FALSE,C23&gt;入力シート!$J$24)))</f>
        <v>0</v>
      </c>
      <c r="K23" s="237" t="b">
        <f>IF(COUNTIF(入力シート!$J$16:$S$23,入力リスト!$K$4)=0,FALSE,IF(AND(入力シート!$J$16&lt;&gt;入力リスト!$K$5,入力シート!$J$18&lt;&gt;入力リスト!$K$5,入力シート!$J$20&lt;&gt;入力リスト!$K$5,入力シート!$J$22&lt;&gt;入力リスト!$K$5),FALSE,ISERROR(VLOOKUP(D23,入力シート!$AW$37:$AY$38,1,0))))</f>
        <v>0</v>
      </c>
      <c r="L23" s="237" t="b">
        <f>IF(COUNTIF(入力シート!$J$16:$S$23,入力リスト!$K$4)=0,FALSE,IF(入力シート!$J$20=入力リスト!$K$5,FALSE,IF(E23="",FALSE,ISERROR(VLOOKUP(E23,入力シート!$AH$37:$AK$62,1,0)))))</f>
        <v>0</v>
      </c>
      <c r="M23" s="238" t="str">
        <f t="shared" si="0"/>
        <v/>
      </c>
      <c r="N23" s="236" t="str">
        <f>IF(B23="","",VLOOKUP('従業員情報(給与以外)'!$B23,入力シート!$S$37:$Z$62,5,0))</f>
        <v/>
      </c>
      <c r="O23" s="182" t="str">
        <f>IF(ISNUMBER(C23)=FALSE,"",IF(C23&gt;入力シート!$J$24,"",_xlfn.DAYS(入力シート!$J$24,'従業員情報(給与以外)'!$C23)/365))</f>
        <v/>
      </c>
      <c r="P23" s="237" t="str">
        <f>IF(O23="","",VLOOKUP(_xlfn.DAYS(入力シート!$J$24,'従業員情報(給与以外)'!$C23)/365,入力リスト!$H$4:$I$12,2,2))</f>
        <v/>
      </c>
      <c r="Q23" s="236" t="str">
        <f>IF(D23="","",VLOOKUP('従業員情報(給与以外)'!$D23,入力シート!$AW$37:$BB$38,4,0))</f>
        <v/>
      </c>
      <c r="R23" s="236" t="str">
        <f>IF(A23="","",IF(E23="","非役職",VLOOKUP('従業員情報(給与以外)'!$E23,入力シート!$AH$37:$AO$62,5,0)))</f>
        <v/>
      </c>
      <c r="S23" s="116" t="str">
        <f>IF(OR(入力シート!$C$5&lt;&gt;入力リスト!$N$4,COUNTIF(入力シート!$J$16:$S$23,入力リスト!$K$4)=0),"",IF($A23="","",IF(ISERROR(AVERAGEIF(従業員の給与情報!$B:$B,$A23,従業員の給与情報!$C:$C)),0,IF(ISERROR(AVERAGEIF(従業員の給与情報!$B:$B,$A23,従業員の給与情報!$C:$C)),0,AVERAGEIF(従業員の給与情報!$B:$B,$A23,従業員の給与情報!$C:$C)))))</f>
        <v/>
      </c>
      <c r="T23" s="116" t="str">
        <f>IF(OR(入力シート!$C$5&lt;&gt;入力リスト!$N$4,COUNTIF(入力シート!$J$16:$S$23,入力リスト!$K$4)=0),"",IF(A23="","",IF(ISERROR(AVERAGEIF(従業員の給与情報!$B:$B,$A23,従業員の給与情報!$D:$D)),0,IF(ISERROR(AVERAGEIF(従業員の給与情報!$B:$B,$A23,従業員の給与情報!$D:$D)),0,AVERAGEIF(従業員の給与情報!$B:$B,$A23,従業員の給与情報!$D:$D)))))</f>
        <v/>
      </c>
      <c r="U23" s="116" t="str">
        <f>IF(OR(入力シート!$C$5&lt;&gt;入力リスト!$N$4,COUNTIF(入力シート!$J$16:$S$23,入力リスト!$K$4)=0),"",IF(A23="","",IF(ISERROR(AVERAGEIF(従業員の給与情報!$B:$B,$A23,従業員の給与情報!$E:$E)),0,IF(ISERROR(AVERAGEIF(従業員の給与情報!$B:$B,$A23,従業員の給与情報!$E:$E)),0,AVERAGEIF(従業員の給与情報!$B:$B,$A23,従業員の給与情報!$E:$E)))))</f>
        <v/>
      </c>
      <c r="V23" s="117" t="str">
        <f>IF(OR(入力シート!$C$5&lt;&gt;入力リスト!$N$4,COUNTIF(入力シート!$J$16:$S$23,入力リスト!$K$4)=0),"",IF(A23="","",IF(ISERROR(AVERAGEIF(従業員の給与情報!$B:$B,$A23,従業員の給与情報!$F:$F)),0,IF(ISERROR(AVERAGEIF(従業員の給与情報!$B:$B,$A23,従業員の給与情報!$F:$F)),0,AVERAGEIF(従業員の給与情報!$B:$B,$A23,従業員の給与情報!$F:$F)))))</f>
        <v/>
      </c>
      <c r="W23" s="182"/>
      <c r="X23" s="260"/>
    </row>
    <row r="24" spans="1:24" ht="19.5">
      <c r="A24" s="367"/>
      <c r="B24" s="364"/>
      <c r="C24" s="365"/>
      <c r="D24" s="366"/>
      <c r="E24" s="367"/>
      <c r="F24" s="372" t="str">
        <f>IF(G24,"この従業員番号は、すでに他のセルで入力されています。",IF(入力シート!$C$5=入力リスト!$N$5,"",IF(AND(A24="",B24="",C24="",D24="",E24=""),"",IF(OR(A24="",B24="",C24="",D24=""),IF(A24="","従業員番号","")&amp;IF(AND(A24="",OR(B24="",C24="",D24="")),",","")&amp;IF(B24="","雇用形態","")&amp;IF(AND(B24="",OR(C24="",D24="")),",","")&amp;IF(OR(入力シート!$J$18=入力リスト!$K$4,入力シート!$J$22=入力リスト!$K$4),IF(C24="","入社年月日",""),"")&amp;IF(AND(C24="",D24=""),",","")&amp;IF(D24="","性別","")&amp;IF(IF(A24="","従業員番号","")&amp;IF(B24="","雇用形態","")&amp;IF(OR(入力シート!$J$18=入力リスト!$K$4,入力シート!$J$22=入力リスト!$K$4),IF(C24="","入社年月日",""),"")&amp;IF(D24="","性別","")="","","が空白です。"),IF(J24,"入社年月日に「基準日」の翌日以降の日付が入力されています。","")&amp;IF(I24,"入社年月日に数値以外（又は1900/1/1以前の日付）が入力されています。","")&amp;IF(H24,"雇用形態"&amp;IF(OR(K24,L24),",",""),"")&amp;IF(K24,"性別"&amp;IF(L24,",",""),"")&amp;IF(L24,"役職","")&amp;IF(OR(H24,K24,L24),"に、［入力シート］(4)「貴社」欄と異なる文言が入力されています。","")))))</f>
        <v/>
      </c>
      <c r="G24" s="236" t="b">
        <f>COUNTIF($A$4:A23,$A24)&gt;0</f>
        <v>0</v>
      </c>
      <c r="H24" s="237" t="b">
        <f>IF(COUNTIF(入力シート!$J$16:$S$23,入力リスト!$K$4)=0,FALSE,IF(入力シート!$J$16=入力リスト!$K$5,FALSE,ISERROR(VLOOKUP(B24,入力シート!$S$37:$V$62,1,0))))</f>
        <v>0</v>
      </c>
      <c r="I24" s="237" t="b">
        <f>IF(AND(OR(入力シート!$J$18=入力リスト!$K$4,入力シート!$J$22=入力リスト!$K$4),入力シート!$J$24&lt;&gt;""),IF(ISERROR(C24+1),TRUE,IF(ISNUMBER(C24),FALSE,TRUE)),FALSE)</f>
        <v>0</v>
      </c>
      <c r="J24" s="237" t="b">
        <f>IF(AND(入力シート!$J$18=入力リスト!$K$4,入力シート!$J$22=入力リスト!$K$4),FALSE,IF(I24=TRUE,FALSE,IF(ISERROR(C24+1),FALSE,C24&gt;入力シート!$J$24)))</f>
        <v>0</v>
      </c>
      <c r="K24" s="237" t="b">
        <f>IF(COUNTIF(入力シート!$J$16:$S$23,入力リスト!$K$4)=0,FALSE,IF(AND(入力シート!$J$16&lt;&gt;入力リスト!$K$5,入力シート!$J$18&lt;&gt;入力リスト!$K$5,入力シート!$J$20&lt;&gt;入力リスト!$K$5,入力シート!$J$22&lt;&gt;入力リスト!$K$5),FALSE,ISERROR(VLOOKUP(D24,入力シート!$AW$37:$AY$38,1,0))))</f>
        <v>0</v>
      </c>
      <c r="L24" s="237" t="b">
        <f>IF(COUNTIF(入力シート!$J$16:$S$23,入力リスト!$K$4)=0,FALSE,IF(入力シート!$J$20=入力リスト!$K$5,FALSE,IF(E24="",FALSE,ISERROR(VLOOKUP(E24,入力シート!$AH$37:$AK$62,1,0)))))</f>
        <v>0</v>
      </c>
      <c r="M24" s="238" t="str">
        <f t="shared" si="0"/>
        <v/>
      </c>
      <c r="N24" s="236" t="str">
        <f>IF(B24="","",VLOOKUP('従業員情報(給与以外)'!$B24,入力シート!$S$37:$Z$62,5,0))</f>
        <v/>
      </c>
      <c r="O24" s="182" t="str">
        <f>IF(ISNUMBER(C24)=FALSE,"",IF(C24&gt;入力シート!$J$24,"",_xlfn.DAYS(入力シート!$J$24,'従業員情報(給与以外)'!$C24)/365))</f>
        <v/>
      </c>
      <c r="P24" s="237" t="str">
        <f>IF(O24="","",VLOOKUP(_xlfn.DAYS(入力シート!$J$24,'従業員情報(給与以外)'!$C24)/365,入力リスト!$H$4:$I$12,2,2))</f>
        <v/>
      </c>
      <c r="Q24" s="236" t="str">
        <f>IF(D24="","",VLOOKUP('従業員情報(給与以外)'!$D24,入力シート!$AW$37:$BB$38,4,0))</f>
        <v/>
      </c>
      <c r="R24" s="236" t="str">
        <f>IF(A24="","",IF(E24="","非役職",VLOOKUP('従業員情報(給与以外)'!$E24,入力シート!$AH$37:$AO$62,5,0)))</f>
        <v/>
      </c>
      <c r="S24" s="116" t="str">
        <f>IF(OR(入力シート!$C$5&lt;&gt;入力リスト!$N$4,COUNTIF(入力シート!$J$16:$S$23,入力リスト!$K$4)=0),"",IF($A24="","",IF(ISERROR(AVERAGEIF(従業員の給与情報!$B:$B,$A24,従業員の給与情報!$C:$C)),0,IF(ISERROR(AVERAGEIF(従業員の給与情報!$B:$B,$A24,従業員の給与情報!$C:$C)),0,AVERAGEIF(従業員の給与情報!$B:$B,$A24,従業員の給与情報!$C:$C)))))</f>
        <v/>
      </c>
      <c r="T24" s="116" t="str">
        <f>IF(OR(入力シート!$C$5&lt;&gt;入力リスト!$N$4,COUNTIF(入力シート!$J$16:$S$23,入力リスト!$K$4)=0),"",IF(A24="","",IF(ISERROR(AVERAGEIF(従業員の給与情報!$B:$B,$A24,従業員の給与情報!$D:$D)),0,IF(ISERROR(AVERAGEIF(従業員の給与情報!$B:$B,$A24,従業員の給与情報!$D:$D)),0,AVERAGEIF(従業員の給与情報!$B:$B,$A24,従業員の給与情報!$D:$D)))))</f>
        <v/>
      </c>
      <c r="U24" s="116" t="str">
        <f>IF(OR(入力シート!$C$5&lt;&gt;入力リスト!$N$4,COUNTIF(入力シート!$J$16:$S$23,入力リスト!$K$4)=0),"",IF(A24="","",IF(ISERROR(AVERAGEIF(従業員の給与情報!$B:$B,$A24,従業員の給与情報!$E:$E)),0,IF(ISERROR(AVERAGEIF(従業員の給与情報!$B:$B,$A24,従業員の給与情報!$E:$E)),0,AVERAGEIF(従業員の給与情報!$B:$B,$A24,従業員の給与情報!$E:$E)))))</f>
        <v/>
      </c>
      <c r="V24" s="117" t="str">
        <f>IF(OR(入力シート!$C$5&lt;&gt;入力リスト!$N$4,COUNTIF(入力シート!$J$16:$S$23,入力リスト!$K$4)=0),"",IF(A24="","",IF(ISERROR(AVERAGEIF(従業員の給与情報!$B:$B,$A24,従業員の給与情報!$F:$F)),0,IF(ISERROR(AVERAGEIF(従業員の給与情報!$B:$B,$A24,従業員の給与情報!$F:$F)),0,AVERAGEIF(従業員の給与情報!$B:$B,$A24,従業員の給与情報!$F:$F)))))</f>
        <v/>
      </c>
      <c r="W24" s="182"/>
      <c r="X24" s="260"/>
    </row>
    <row r="25" spans="1:24" ht="19.5">
      <c r="A25" s="367"/>
      <c r="B25" s="364"/>
      <c r="C25" s="365"/>
      <c r="D25" s="366"/>
      <c r="E25" s="367"/>
      <c r="F25" s="372" t="str">
        <f>IF(G25,"この従業員番号は、すでに他のセルで入力されています。",IF(入力シート!$C$5=入力リスト!$N$5,"",IF(AND(A25="",B25="",C25="",D25="",E25=""),"",IF(OR(A25="",B25="",C25="",D25=""),IF(A25="","従業員番号","")&amp;IF(AND(A25="",OR(B25="",C25="",D25="")),",","")&amp;IF(B25="","雇用形態","")&amp;IF(AND(B25="",OR(C25="",D25="")),",","")&amp;IF(OR(入力シート!$J$18=入力リスト!$K$4,入力シート!$J$22=入力リスト!$K$4),IF(C25="","入社年月日",""),"")&amp;IF(AND(C25="",D25=""),",","")&amp;IF(D25="","性別","")&amp;IF(IF(A25="","従業員番号","")&amp;IF(B25="","雇用形態","")&amp;IF(OR(入力シート!$J$18=入力リスト!$K$4,入力シート!$J$22=入力リスト!$K$4),IF(C25="","入社年月日",""),"")&amp;IF(D25="","性別","")="","","が空白です。"),IF(J25,"入社年月日に「基準日」の翌日以降の日付が入力されています。","")&amp;IF(I25,"入社年月日に数値以外（又は1900/1/1以前の日付）が入力されています。","")&amp;IF(H25,"雇用形態"&amp;IF(OR(K25,L25),",",""),"")&amp;IF(K25,"性別"&amp;IF(L25,",",""),"")&amp;IF(L25,"役職","")&amp;IF(OR(H25,K25,L25),"に、［入力シート］(4)「貴社」欄と異なる文言が入力されています。","")))))</f>
        <v/>
      </c>
      <c r="G25" s="236" t="b">
        <f>COUNTIF($A$4:A24,$A25)&gt;0</f>
        <v>0</v>
      </c>
      <c r="H25" s="237" t="b">
        <f>IF(COUNTIF(入力シート!$J$16:$S$23,入力リスト!$K$4)=0,FALSE,IF(入力シート!$J$16=入力リスト!$K$5,FALSE,ISERROR(VLOOKUP(B25,入力シート!$S$37:$V$62,1,0))))</f>
        <v>0</v>
      </c>
      <c r="I25" s="237" t="b">
        <f>IF(AND(OR(入力シート!$J$18=入力リスト!$K$4,入力シート!$J$22=入力リスト!$K$4),入力シート!$J$24&lt;&gt;""),IF(ISERROR(C25+1),TRUE,IF(ISNUMBER(C25),FALSE,TRUE)),FALSE)</f>
        <v>0</v>
      </c>
      <c r="J25" s="237" t="b">
        <f>IF(AND(入力シート!$J$18=入力リスト!$K$4,入力シート!$J$22=入力リスト!$K$4),FALSE,IF(I25=TRUE,FALSE,IF(ISERROR(C25+1),FALSE,C25&gt;入力シート!$J$24)))</f>
        <v>0</v>
      </c>
      <c r="K25" s="237" t="b">
        <f>IF(COUNTIF(入力シート!$J$16:$S$23,入力リスト!$K$4)=0,FALSE,IF(AND(入力シート!$J$16&lt;&gt;入力リスト!$K$5,入力シート!$J$18&lt;&gt;入力リスト!$K$5,入力シート!$J$20&lt;&gt;入力リスト!$K$5,入力シート!$J$22&lt;&gt;入力リスト!$K$5),FALSE,ISERROR(VLOOKUP(D25,入力シート!$AW$37:$AY$38,1,0))))</f>
        <v>0</v>
      </c>
      <c r="L25" s="237" t="b">
        <f>IF(COUNTIF(入力シート!$J$16:$S$23,入力リスト!$K$4)=0,FALSE,IF(入力シート!$J$20=入力リスト!$K$5,FALSE,IF(E25="",FALSE,ISERROR(VLOOKUP(E25,入力シート!$AH$37:$AK$62,1,0)))))</f>
        <v>0</v>
      </c>
      <c r="M25" s="238" t="str">
        <f t="shared" si="0"/>
        <v/>
      </c>
      <c r="N25" s="236" t="str">
        <f>IF(B25="","",VLOOKUP('従業員情報(給与以外)'!$B25,入力シート!$S$37:$Z$62,5,0))</f>
        <v/>
      </c>
      <c r="O25" s="182" t="str">
        <f>IF(ISNUMBER(C25)=FALSE,"",IF(C25&gt;入力シート!$J$24,"",_xlfn.DAYS(入力シート!$J$24,'従業員情報(給与以外)'!$C25)/365))</f>
        <v/>
      </c>
      <c r="P25" s="237" t="str">
        <f>IF(O25="","",VLOOKUP(_xlfn.DAYS(入力シート!$J$24,'従業員情報(給与以外)'!$C25)/365,入力リスト!$H$4:$I$12,2,2))</f>
        <v/>
      </c>
      <c r="Q25" s="236" t="str">
        <f>IF(D25="","",VLOOKUP('従業員情報(給与以外)'!$D25,入力シート!$AW$37:$BB$38,4,0))</f>
        <v/>
      </c>
      <c r="R25" s="236" t="str">
        <f>IF(A25="","",IF(E25="","非役職",VLOOKUP('従業員情報(給与以外)'!$E25,入力シート!$AH$37:$AO$62,5,0)))</f>
        <v/>
      </c>
      <c r="S25" s="116" t="str">
        <f>IF(OR(入力シート!$C$5&lt;&gt;入力リスト!$N$4,COUNTIF(入力シート!$J$16:$S$23,入力リスト!$K$4)=0),"",IF($A25="","",IF(ISERROR(AVERAGEIF(従業員の給与情報!$B:$B,$A25,従業員の給与情報!$C:$C)),0,IF(ISERROR(AVERAGEIF(従業員の給与情報!$B:$B,$A25,従業員の給与情報!$C:$C)),0,AVERAGEIF(従業員の給与情報!$B:$B,$A25,従業員の給与情報!$C:$C)))))</f>
        <v/>
      </c>
      <c r="T25" s="116" t="str">
        <f>IF(OR(入力シート!$C$5&lt;&gt;入力リスト!$N$4,COUNTIF(入力シート!$J$16:$S$23,入力リスト!$K$4)=0),"",IF(A25="","",IF(ISERROR(AVERAGEIF(従業員の給与情報!$B:$B,$A25,従業員の給与情報!$D:$D)),0,IF(ISERROR(AVERAGEIF(従業員の給与情報!$B:$B,$A25,従業員の給与情報!$D:$D)),0,AVERAGEIF(従業員の給与情報!$B:$B,$A25,従業員の給与情報!$D:$D)))))</f>
        <v/>
      </c>
      <c r="U25" s="116" t="str">
        <f>IF(OR(入力シート!$C$5&lt;&gt;入力リスト!$N$4,COUNTIF(入力シート!$J$16:$S$23,入力リスト!$K$4)=0),"",IF(A25="","",IF(ISERROR(AVERAGEIF(従業員の給与情報!$B:$B,$A25,従業員の給与情報!$E:$E)),0,IF(ISERROR(AVERAGEIF(従業員の給与情報!$B:$B,$A25,従業員の給与情報!$E:$E)),0,AVERAGEIF(従業員の給与情報!$B:$B,$A25,従業員の給与情報!$E:$E)))))</f>
        <v/>
      </c>
      <c r="V25" s="117" t="str">
        <f>IF(OR(入力シート!$C$5&lt;&gt;入力リスト!$N$4,COUNTIF(入力シート!$J$16:$S$23,入力リスト!$K$4)=0),"",IF(A25="","",IF(ISERROR(AVERAGEIF(従業員の給与情報!$B:$B,$A25,従業員の給与情報!$F:$F)),0,IF(ISERROR(AVERAGEIF(従業員の給与情報!$B:$B,$A25,従業員の給与情報!$F:$F)),0,AVERAGEIF(従業員の給与情報!$B:$B,$A25,従業員の給与情報!$F:$F)))))</f>
        <v/>
      </c>
      <c r="W25" s="182"/>
      <c r="X25" s="260"/>
    </row>
    <row r="26" spans="1:24" ht="19.5">
      <c r="A26" s="367"/>
      <c r="B26" s="364"/>
      <c r="C26" s="365"/>
      <c r="D26" s="366"/>
      <c r="E26" s="367"/>
      <c r="F26" s="372" t="str">
        <f>IF(G26,"この従業員番号は、すでに他のセルで入力されています。",IF(入力シート!$C$5=入力リスト!$N$5,"",IF(AND(A26="",B26="",C26="",D26="",E26=""),"",IF(OR(A26="",B26="",C26="",D26=""),IF(A26="","従業員番号","")&amp;IF(AND(A26="",OR(B26="",C26="",D26="")),",","")&amp;IF(B26="","雇用形態","")&amp;IF(AND(B26="",OR(C26="",D26="")),",","")&amp;IF(OR(入力シート!$J$18=入力リスト!$K$4,入力シート!$J$22=入力リスト!$K$4),IF(C26="","入社年月日",""),"")&amp;IF(AND(C26="",D26=""),",","")&amp;IF(D26="","性別","")&amp;IF(IF(A26="","従業員番号","")&amp;IF(B26="","雇用形態","")&amp;IF(OR(入力シート!$J$18=入力リスト!$K$4,入力シート!$J$22=入力リスト!$K$4),IF(C26="","入社年月日",""),"")&amp;IF(D26="","性別","")="","","が空白です。"),IF(J26,"入社年月日に「基準日」の翌日以降の日付が入力されています。","")&amp;IF(I26,"入社年月日に数値以外（又は1900/1/1以前の日付）が入力されています。","")&amp;IF(H26,"雇用形態"&amp;IF(OR(K26,L26),",",""),"")&amp;IF(K26,"性別"&amp;IF(L26,",",""),"")&amp;IF(L26,"役職","")&amp;IF(OR(H26,K26,L26),"に、［入力シート］(4)「貴社」欄と異なる文言が入力されています。","")))))</f>
        <v/>
      </c>
      <c r="G26" s="236" t="b">
        <f>COUNTIF($A$4:A25,$A26)&gt;0</f>
        <v>0</v>
      </c>
      <c r="H26" s="237" t="b">
        <f>IF(COUNTIF(入力シート!$J$16:$S$23,入力リスト!$K$4)=0,FALSE,IF(入力シート!$J$16=入力リスト!$K$5,FALSE,ISERROR(VLOOKUP(B26,入力シート!$S$37:$V$62,1,0))))</f>
        <v>0</v>
      </c>
      <c r="I26" s="237" t="b">
        <f>IF(AND(OR(入力シート!$J$18=入力リスト!$K$4,入力シート!$J$22=入力リスト!$K$4),入力シート!$J$24&lt;&gt;""),IF(ISERROR(C26+1),TRUE,IF(ISNUMBER(C26),FALSE,TRUE)),FALSE)</f>
        <v>0</v>
      </c>
      <c r="J26" s="237" t="b">
        <f>IF(AND(入力シート!$J$18=入力リスト!$K$4,入力シート!$J$22=入力リスト!$K$4),FALSE,IF(I26=TRUE,FALSE,IF(ISERROR(C26+1),FALSE,C26&gt;入力シート!$J$24)))</f>
        <v>0</v>
      </c>
      <c r="K26" s="237" t="b">
        <f>IF(COUNTIF(入力シート!$J$16:$S$23,入力リスト!$K$4)=0,FALSE,IF(AND(入力シート!$J$16&lt;&gt;入力リスト!$K$5,入力シート!$J$18&lt;&gt;入力リスト!$K$5,入力シート!$J$20&lt;&gt;入力リスト!$K$5,入力シート!$J$22&lt;&gt;入力リスト!$K$5),FALSE,ISERROR(VLOOKUP(D26,入力シート!$AW$37:$AY$38,1,0))))</f>
        <v>0</v>
      </c>
      <c r="L26" s="237" t="b">
        <f>IF(COUNTIF(入力シート!$J$16:$S$23,入力リスト!$K$4)=0,FALSE,IF(入力シート!$J$20=入力リスト!$K$5,FALSE,IF(E26="",FALSE,ISERROR(VLOOKUP(E26,入力シート!$AH$37:$AK$62,1,0)))))</f>
        <v>0</v>
      </c>
      <c r="M26" s="238" t="str">
        <f t="shared" si="0"/>
        <v/>
      </c>
      <c r="N26" s="236" t="str">
        <f>IF(B26="","",VLOOKUP('従業員情報(給与以外)'!$B26,入力シート!$S$37:$Z$62,5,0))</f>
        <v/>
      </c>
      <c r="O26" s="182" t="str">
        <f>IF(ISNUMBER(C26)=FALSE,"",IF(C26&gt;入力シート!$J$24,"",_xlfn.DAYS(入力シート!$J$24,'従業員情報(給与以外)'!$C26)/365))</f>
        <v/>
      </c>
      <c r="P26" s="237" t="str">
        <f>IF(O26="","",VLOOKUP(_xlfn.DAYS(入力シート!$J$24,'従業員情報(給与以外)'!$C26)/365,入力リスト!$H$4:$I$12,2,2))</f>
        <v/>
      </c>
      <c r="Q26" s="236" t="str">
        <f>IF(D26="","",VLOOKUP('従業員情報(給与以外)'!$D26,入力シート!$AW$37:$BB$38,4,0))</f>
        <v/>
      </c>
      <c r="R26" s="236" t="str">
        <f>IF(A26="","",IF(E26="","非役職",VLOOKUP('従業員情報(給与以外)'!$E26,入力シート!$AH$37:$AO$62,5,0)))</f>
        <v/>
      </c>
      <c r="S26" s="116" t="str">
        <f>IF(OR(入力シート!$C$5&lt;&gt;入力リスト!$N$4,COUNTIF(入力シート!$J$16:$S$23,入力リスト!$K$4)=0),"",IF($A26="","",IF(ISERROR(AVERAGEIF(従業員の給与情報!$B:$B,$A26,従業員の給与情報!$C:$C)),0,IF(ISERROR(AVERAGEIF(従業員の給与情報!$B:$B,$A26,従業員の給与情報!$C:$C)),0,AVERAGEIF(従業員の給与情報!$B:$B,$A26,従業員の給与情報!$C:$C)))))</f>
        <v/>
      </c>
      <c r="T26" s="116" t="str">
        <f>IF(OR(入力シート!$C$5&lt;&gt;入力リスト!$N$4,COUNTIF(入力シート!$J$16:$S$23,入力リスト!$K$4)=0),"",IF(A26="","",IF(ISERROR(AVERAGEIF(従業員の給与情報!$B:$B,$A26,従業員の給与情報!$D:$D)),0,IF(ISERROR(AVERAGEIF(従業員の給与情報!$B:$B,$A26,従業員の給与情報!$D:$D)),0,AVERAGEIF(従業員の給与情報!$B:$B,$A26,従業員の給与情報!$D:$D)))))</f>
        <v/>
      </c>
      <c r="U26" s="116" t="str">
        <f>IF(OR(入力シート!$C$5&lt;&gt;入力リスト!$N$4,COUNTIF(入力シート!$J$16:$S$23,入力リスト!$K$4)=0),"",IF(A26="","",IF(ISERROR(AVERAGEIF(従業員の給与情報!$B:$B,$A26,従業員の給与情報!$E:$E)),0,IF(ISERROR(AVERAGEIF(従業員の給与情報!$B:$B,$A26,従業員の給与情報!$E:$E)),0,AVERAGEIF(従業員の給与情報!$B:$B,$A26,従業員の給与情報!$E:$E)))))</f>
        <v/>
      </c>
      <c r="V26" s="117" t="str">
        <f>IF(OR(入力シート!$C$5&lt;&gt;入力リスト!$N$4,COUNTIF(入力シート!$J$16:$S$23,入力リスト!$K$4)=0),"",IF(A26="","",IF(ISERROR(AVERAGEIF(従業員の給与情報!$B:$B,$A26,従業員の給与情報!$F:$F)),0,IF(ISERROR(AVERAGEIF(従業員の給与情報!$B:$B,$A26,従業員の給与情報!$F:$F)),0,AVERAGEIF(従業員の給与情報!$B:$B,$A26,従業員の給与情報!$F:$F)))))</f>
        <v/>
      </c>
      <c r="W26" s="182"/>
      <c r="X26" s="260"/>
    </row>
    <row r="27" spans="1:24" ht="19.5">
      <c r="A27" s="367"/>
      <c r="B27" s="364"/>
      <c r="C27" s="365"/>
      <c r="D27" s="366"/>
      <c r="E27" s="367"/>
      <c r="F27" s="372" t="str">
        <f>IF(G27,"この従業員番号は、すでに他のセルで入力されています。",IF(入力シート!$C$5=入力リスト!$N$5,"",IF(AND(A27="",B27="",C27="",D27="",E27=""),"",IF(OR(A27="",B27="",C27="",D27=""),IF(A27="","従業員番号","")&amp;IF(AND(A27="",OR(B27="",C27="",D27="")),",","")&amp;IF(B27="","雇用形態","")&amp;IF(AND(B27="",OR(C27="",D27="")),",","")&amp;IF(OR(入力シート!$J$18=入力リスト!$K$4,入力シート!$J$22=入力リスト!$K$4),IF(C27="","入社年月日",""),"")&amp;IF(AND(C27="",D27=""),",","")&amp;IF(D27="","性別","")&amp;IF(IF(A27="","従業員番号","")&amp;IF(B27="","雇用形態","")&amp;IF(OR(入力シート!$J$18=入力リスト!$K$4,入力シート!$J$22=入力リスト!$K$4),IF(C27="","入社年月日",""),"")&amp;IF(D27="","性別","")="","","が空白です。"),IF(J27,"入社年月日に「基準日」の翌日以降の日付が入力されています。","")&amp;IF(I27,"入社年月日に数値以外（又は1900/1/1以前の日付）が入力されています。","")&amp;IF(H27,"雇用形態"&amp;IF(OR(K27,L27),",",""),"")&amp;IF(K27,"性別"&amp;IF(L27,",",""),"")&amp;IF(L27,"役職","")&amp;IF(OR(H27,K27,L27),"に、［入力シート］(4)「貴社」欄と異なる文言が入力されています。","")))))</f>
        <v/>
      </c>
      <c r="G27" s="236" t="b">
        <f>COUNTIF($A$4:A26,$A27)&gt;0</f>
        <v>0</v>
      </c>
      <c r="H27" s="237" t="b">
        <f>IF(COUNTIF(入力シート!$J$16:$S$23,入力リスト!$K$4)=0,FALSE,IF(入力シート!$J$16=入力リスト!$K$5,FALSE,ISERROR(VLOOKUP(B27,入力シート!$S$37:$V$62,1,0))))</f>
        <v>0</v>
      </c>
      <c r="I27" s="237" t="b">
        <f>IF(AND(OR(入力シート!$J$18=入力リスト!$K$4,入力シート!$J$22=入力リスト!$K$4),入力シート!$J$24&lt;&gt;""),IF(ISERROR(C27+1),TRUE,IF(ISNUMBER(C27),FALSE,TRUE)),FALSE)</f>
        <v>0</v>
      </c>
      <c r="J27" s="237" t="b">
        <f>IF(AND(入力シート!$J$18=入力リスト!$K$4,入力シート!$J$22=入力リスト!$K$4),FALSE,IF(I27=TRUE,FALSE,IF(ISERROR(C27+1),FALSE,C27&gt;入力シート!$J$24)))</f>
        <v>0</v>
      </c>
      <c r="K27" s="237" t="b">
        <f>IF(COUNTIF(入力シート!$J$16:$S$23,入力リスト!$K$4)=0,FALSE,IF(AND(入力シート!$J$16&lt;&gt;入力リスト!$K$5,入力シート!$J$18&lt;&gt;入力リスト!$K$5,入力シート!$J$20&lt;&gt;入力リスト!$K$5,入力シート!$J$22&lt;&gt;入力リスト!$K$5),FALSE,ISERROR(VLOOKUP(D27,入力シート!$AW$37:$AY$38,1,0))))</f>
        <v>0</v>
      </c>
      <c r="L27" s="237" t="b">
        <f>IF(COUNTIF(入力シート!$J$16:$S$23,入力リスト!$K$4)=0,FALSE,IF(入力シート!$J$20=入力リスト!$K$5,FALSE,IF(E27="",FALSE,ISERROR(VLOOKUP(E27,入力シート!$AH$37:$AK$62,1,0)))))</f>
        <v>0</v>
      </c>
      <c r="M27" s="238" t="str">
        <f t="shared" si="0"/>
        <v/>
      </c>
      <c r="N27" s="236" t="str">
        <f>IF(B27="","",VLOOKUP('従業員情報(給与以外)'!$B27,入力シート!$S$37:$Z$62,5,0))</f>
        <v/>
      </c>
      <c r="O27" s="182" t="str">
        <f>IF(ISNUMBER(C27)=FALSE,"",IF(C27&gt;入力シート!$J$24,"",_xlfn.DAYS(入力シート!$J$24,'従業員情報(給与以外)'!$C27)/365))</f>
        <v/>
      </c>
      <c r="P27" s="237" t="str">
        <f>IF(O27="","",VLOOKUP(_xlfn.DAYS(入力シート!$J$24,'従業員情報(給与以外)'!$C27)/365,入力リスト!$H$4:$I$12,2,2))</f>
        <v/>
      </c>
      <c r="Q27" s="236" t="str">
        <f>IF(D27="","",VLOOKUP('従業員情報(給与以外)'!$D27,入力シート!$AW$37:$BB$38,4,0))</f>
        <v/>
      </c>
      <c r="R27" s="236" t="str">
        <f>IF(A27="","",IF(E27="","非役職",VLOOKUP('従業員情報(給与以外)'!$E27,入力シート!$AH$37:$AO$62,5,0)))</f>
        <v/>
      </c>
      <c r="S27" s="116" t="str">
        <f>IF(OR(入力シート!$C$5&lt;&gt;入力リスト!$N$4,COUNTIF(入力シート!$J$16:$S$23,入力リスト!$K$4)=0),"",IF($A27="","",IF(ISERROR(AVERAGEIF(従業員の給与情報!$B:$B,$A27,従業員の給与情報!$C:$C)),0,IF(ISERROR(AVERAGEIF(従業員の給与情報!$B:$B,$A27,従業員の給与情報!$C:$C)),0,AVERAGEIF(従業員の給与情報!$B:$B,$A27,従業員の給与情報!$C:$C)))))</f>
        <v/>
      </c>
      <c r="T27" s="116" t="str">
        <f>IF(OR(入力シート!$C$5&lt;&gt;入力リスト!$N$4,COUNTIF(入力シート!$J$16:$S$23,入力リスト!$K$4)=0),"",IF(A27="","",IF(ISERROR(AVERAGEIF(従業員の給与情報!$B:$B,$A27,従業員の給与情報!$D:$D)),0,IF(ISERROR(AVERAGEIF(従業員の給与情報!$B:$B,$A27,従業員の給与情報!$D:$D)),0,AVERAGEIF(従業員の給与情報!$B:$B,$A27,従業員の給与情報!$D:$D)))))</f>
        <v/>
      </c>
      <c r="U27" s="116" t="str">
        <f>IF(OR(入力シート!$C$5&lt;&gt;入力リスト!$N$4,COUNTIF(入力シート!$J$16:$S$23,入力リスト!$K$4)=0),"",IF(A27="","",IF(ISERROR(AVERAGEIF(従業員の給与情報!$B:$B,$A27,従業員の給与情報!$E:$E)),0,IF(ISERROR(AVERAGEIF(従業員の給与情報!$B:$B,$A27,従業員の給与情報!$E:$E)),0,AVERAGEIF(従業員の給与情報!$B:$B,$A27,従業員の給与情報!$E:$E)))))</f>
        <v/>
      </c>
      <c r="V27" s="117" t="str">
        <f>IF(OR(入力シート!$C$5&lt;&gt;入力リスト!$N$4,COUNTIF(入力シート!$J$16:$S$23,入力リスト!$K$4)=0),"",IF(A27="","",IF(ISERROR(AVERAGEIF(従業員の給与情報!$B:$B,$A27,従業員の給与情報!$F:$F)),0,IF(ISERROR(AVERAGEIF(従業員の給与情報!$B:$B,$A27,従業員の給与情報!$F:$F)),0,AVERAGEIF(従業員の給与情報!$B:$B,$A27,従業員の給与情報!$F:$F)))))</f>
        <v/>
      </c>
      <c r="W27" s="182"/>
      <c r="X27" s="260"/>
    </row>
    <row r="28" spans="1:24" ht="19.5">
      <c r="A28" s="367"/>
      <c r="B28" s="364"/>
      <c r="C28" s="365"/>
      <c r="D28" s="366"/>
      <c r="E28" s="367"/>
      <c r="F28" s="372" t="str">
        <f>IF(G28,"この従業員番号は、すでに他のセルで入力されています。",IF(入力シート!$C$5=入力リスト!$N$5,"",IF(AND(A28="",B28="",C28="",D28="",E28=""),"",IF(OR(A28="",B28="",C28="",D28=""),IF(A28="","従業員番号","")&amp;IF(AND(A28="",OR(B28="",C28="",D28="")),",","")&amp;IF(B28="","雇用形態","")&amp;IF(AND(B28="",OR(C28="",D28="")),",","")&amp;IF(OR(入力シート!$J$18=入力リスト!$K$4,入力シート!$J$22=入力リスト!$K$4),IF(C28="","入社年月日",""),"")&amp;IF(AND(C28="",D28=""),",","")&amp;IF(D28="","性別","")&amp;IF(IF(A28="","従業員番号","")&amp;IF(B28="","雇用形態","")&amp;IF(OR(入力シート!$J$18=入力リスト!$K$4,入力シート!$J$22=入力リスト!$K$4),IF(C28="","入社年月日",""),"")&amp;IF(D28="","性別","")="","","が空白です。"),IF(J28,"入社年月日に「基準日」の翌日以降の日付が入力されています。","")&amp;IF(I28,"入社年月日に数値以外（又は1900/1/1以前の日付）が入力されています。","")&amp;IF(H28,"雇用形態"&amp;IF(OR(K28,L28),",",""),"")&amp;IF(K28,"性別"&amp;IF(L28,",",""),"")&amp;IF(L28,"役職","")&amp;IF(OR(H28,K28,L28),"に、［入力シート］(4)「貴社」欄と異なる文言が入力されています。","")))))</f>
        <v/>
      </c>
      <c r="G28" s="236" t="b">
        <f>COUNTIF($A$4:A27,$A28)&gt;0</f>
        <v>0</v>
      </c>
      <c r="H28" s="237" t="b">
        <f>IF(COUNTIF(入力シート!$J$16:$S$23,入力リスト!$K$4)=0,FALSE,IF(入力シート!$J$16=入力リスト!$K$5,FALSE,ISERROR(VLOOKUP(B28,入力シート!$S$37:$V$62,1,0))))</f>
        <v>0</v>
      </c>
      <c r="I28" s="237" t="b">
        <f>IF(AND(OR(入力シート!$J$18=入力リスト!$K$4,入力シート!$J$22=入力リスト!$K$4),入力シート!$J$24&lt;&gt;""),IF(ISERROR(C28+1),TRUE,IF(ISNUMBER(C28),FALSE,TRUE)),FALSE)</f>
        <v>0</v>
      </c>
      <c r="J28" s="237" t="b">
        <f>IF(AND(入力シート!$J$18=入力リスト!$K$4,入力シート!$J$22=入力リスト!$K$4),FALSE,IF(I28=TRUE,FALSE,IF(ISERROR(C28+1),FALSE,C28&gt;入力シート!$J$24)))</f>
        <v>0</v>
      </c>
      <c r="K28" s="237" t="b">
        <f>IF(COUNTIF(入力シート!$J$16:$S$23,入力リスト!$K$4)=0,FALSE,IF(AND(入力シート!$J$16&lt;&gt;入力リスト!$K$5,入力シート!$J$18&lt;&gt;入力リスト!$K$5,入力シート!$J$20&lt;&gt;入力リスト!$K$5,入力シート!$J$22&lt;&gt;入力リスト!$K$5),FALSE,ISERROR(VLOOKUP(D28,入力シート!$AW$37:$AY$38,1,0))))</f>
        <v>0</v>
      </c>
      <c r="L28" s="237" t="b">
        <f>IF(COUNTIF(入力シート!$J$16:$S$23,入力リスト!$K$4)=0,FALSE,IF(入力シート!$J$20=入力リスト!$K$5,FALSE,IF(E28="",FALSE,ISERROR(VLOOKUP(E28,入力シート!$AH$37:$AK$62,1,0)))))</f>
        <v>0</v>
      </c>
      <c r="M28" s="238" t="str">
        <f t="shared" si="0"/>
        <v/>
      </c>
      <c r="N28" s="236" t="str">
        <f>IF(B28="","",VLOOKUP('従業員情報(給与以外)'!$B28,入力シート!$S$37:$Z$62,5,0))</f>
        <v/>
      </c>
      <c r="O28" s="182" t="str">
        <f>IF(ISNUMBER(C28)=FALSE,"",IF(C28&gt;入力シート!$J$24,"",_xlfn.DAYS(入力シート!$J$24,'従業員情報(給与以外)'!$C28)/365))</f>
        <v/>
      </c>
      <c r="P28" s="237" t="str">
        <f>IF(O28="","",VLOOKUP(_xlfn.DAYS(入力シート!$J$24,'従業員情報(給与以外)'!$C28)/365,入力リスト!$H$4:$I$12,2,2))</f>
        <v/>
      </c>
      <c r="Q28" s="236" t="str">
        <f>IF(D28="","",VLOOKUP('従業員情報(給与以外)'!$D28,入力シート!$AW$37:$BB$38,4,0))</f>
        <v/>
      </c>
      <c r="R28" s="236" t="str">
        <f>IF(A28="","",IF(E28="","非役職",VLOOKUP('従業員情報(給与以外)'!$E28,入力シート!$AH$37:$AO$62,5,0)))</f>
        <v/>
      </c>
      <c r="S28" s="116" t="str">
        <f>IF(OR(入力シート!$C$5&lt;&gt;入力リスト!$N$4,COUNTIF(入力シート!$J$16:$S$23,入力リスト!$K$4)=0),"",IF($A28="","",IF(ISERROR(AVERAGEIF(従業員の給与情報!$B:$B,$A28,従業員の給与情報!$C:$C)),0,IF(ISERROR(AVERAGEIF(従業員の給与情報!$B:$B,$A28,従業員の給与情報!$C:$C)),0,AVERAGEIF(従業員の給与情報!$B:$B,$A28,従業員の給与情報!$C:$C)))))</f>
        <v/>
      </c>
      <c r="T28" s="116" t="str">
        <f>IF(OR(入力シート!$C$5&lt;&gt;入力リスト!$N$4,COUNTIF(入力シート!$J$16:$S$23,入力リスト!$K$4)=0),"",IF(A28="","",IF(ISERROR(AVERAGEIF(従業員の給与情報!$B:$B,$A28,従業員の給与情報!$D:$D)),0,IF(ISERROR(AVERAGEIF(従業員の給与情報!$B:$B,$A28,従業員の給与情報!$D:$D)),0,AVERAGEIF(従業員の給与情報!$B:$B,$A28,従業員の給与情報!$D:$D)))))</f>
        <v/>
      </c>
      <c r="U28" s="116" t="str">
        <f>IF(OR(入力シート!$C$5&lt;&gt;入力リスト!$N$4,COUNTIF(入力シート!$J$16:$S$23,入力リスト!$K$4)=0),"",IF(A28="","",IF(ISERROR(AVERAGEIF(従業員の給与情報!$B:$B,$A28,従業員の給与情報!$E:$E)),0,IF(ISERROR(AVERAGEIF(従業員の給与情報!$B:$B,$A28,従業員の給与情報!$E:$E)),0,AVERAGEIF(従業員の給与情報!$B:$B,$A28,従業員の給与情報!$E:$E)))))</f>
        <v/>
      </c>
      <c r="V28" s="117" t="str">
        <f>IF(OR(入力シート!$C$5&lt;&gt;入力リスト!$N$4,COUNTIF(入力シート!$J$16:$S$23,入力リスト!$K$4)=0),"",IF(A28="","",IF(ISERROR(AVERAGEIF(従業員の給与情報!$B:$B,$A28,従業員の給与情報!$F:$F)),0,IF(ISERROR(AVERAGEIF(従業員の給与情報!$B:$B,$A28,従業員の給与情報!$F:$F)),0,AVERAGEIF(従業員の給与情報!$B:$B,$A28,従業員の給与情報!$F:$F)))))</f>
        <v/>
      </c>
      <c r="W28" s="182"/>
      <c r="X28" s="260"/>
    </row>
    <row r="29" spans="1:24" ht="19.5">
      <c r="A29" s="367"/>
      <c r="B29" s="364"/>
      <c r="C29" s="365"/>
      <c r="D29" s="366"/>
      <c r="E29" s="367"/>
      <c r="F29" s="372" t="str">
        <f>IF(G29,"この従業員番号は、すでに他のセルで入力されています。",IF(入力シート!$C$5=入力リスト!$N$5,"",IF(AND(A29="",B29="",C29="",D29="",E29=""),"",IF(OR(A29="",B29="",C29="",D29=""),IF(A29="","従業員番号","")&amp;IF(AND(A29="",OR(B29="",C29="",D29="")),",","")&amp;IF(B29="","雇用形態","")&amp;IF(AND(B29="",OR(C29="",D29="")),",","")&amp;IF(OR(入力シート!$J$18=入力リスト!$K$4,入力シート!$J$22=入力リスト!$K$4),IF(C29="","入社年月日",""),"")&amp;IF(AND(C29="",D29=""),",","")&amp;IF(D29="","性別","")&amp;IF(IF(A29="","従業員番号","")&amp;IF(B29="","雇用形態","")&amp;IF(OR(入力シート!$J$18=入力リスト!$K$4,入力シート!$J$22=入力リスト!$K$4),IF(C29="","入社年月日",""),"")&amp;IF(D29="","性別","")="","","が空白です。"),IF(J29,"入社年月日に「基準日」の翌日以降の日付が入力されています。","")&amp;IF(I29,"入社年月日に数値以外（又は1900/1/1以前の日付）が入力されています。","")&amp;IF(H29,"雇用形態"&amp;IF(OR(K29,L29),",",""),"")&amp;IF(K29,"性別"&amp;IF(L29,",",""),"")&amp;IF(L29,"役職","")&amp;IF(OR(H29,K29,L29),"に、［入力シート］(4)「貴社」欄と異なる文言が入力されています。","")))))</f>
        <v/>
      </c>
      <c r="G29" s="236" t="b">
        <f>COUNTIF($A$4:A28,$A29)&gt;0</f>
        <v>0</v>
      </c>
      <c r="H29" s="237" t="b">
        <f>IF(COUNTIF(入力シート!$J$16:$S$23,入力リスト!$K$4)=0,FALSE,IF(入力シート!$J$16=入力リスト!$K$5,FALSE,ISERROR(VLOOKUP(B29,入力シート!$S$37:$V$62,1,0))))</f>
        <v>0</v>
      </c>
      <c r="I29" s="237" t="b">
        <f>IF(AND(OR(入力シート!$J$18=入力リスト!$K$4,入力シート!$J$22=入力リスト!$K$4),入力シート!$J$24&lt;&gt;""),IF(ISERROR(C29+1),TRUE,IF(ISNUMBER(C29),FALSE,TRUE)),FALSE)</f>
        <v>0</v>
      </c>
      <c r="J29" s="237" t="b">
        <f>IF(AND(入力シート!$J$18=入力リスト!$K$4,入力シート!$J$22=入力リスト!$K$4),FALSE,IF(I29=TRUE,FALSE,IF(ISERROR(C29+1),FALSE,C29&gt;入力シート!$J$24)))</f>
        <v>0</v>
      </c>
      <c r="K29" s="237" t="b">
        <f>IF(COUNTIF(入力シート!$J$16:$S$23,入力リスト!$K$4)=0,FALSE,IF(AND(入力シート!$J$16&lt;&gt;入力リスト!$K$5,入力シート!$J$18&lt;&gt;入力リスト!$K$5,入力シート!$J$20&lt;&gt;入力リスト!$K$5,入力シート!$J$22&lt;&gt;入力リスト!$K$5),FALSE,ISERROR(VLOOKUP(D29,入力シート!$AW$37:$AY$38,1,0))))</f>
        <v>0</v>
      </c>
      <c r="L29" s="237" t="b">
        <f>IF(COUNTIF(入力シート!$J$16:$S$23,入力リスト!$K$4)=0,FALSE,IF(入力シート!$J$20=入力リスト!$K$5,FALSE,IF(E29="",FALSE,ISERROR(VLOOKUP(E29,入力シート!$AH$37:$AK$62,1,0)))))</f>
        <v>0</v>
      </c>
      <c r="M29" s="238" t="str">
        <f t="shared" si="0"/>
        <v/>
      </c>
      <c r="N29" s="236" t="str">
        <f>IF(B29="","",VLOOKUP('従業員情報(給与以外)'!$B29,入力シート!$S$37:$Z$62,5,0))</f>
        <v/>
      </c>
      <c r="O29" s="182" t="str">
        <f>IF(ISNUMBER(C29)=FALSE,"",IF(C29&gt;入力シート!$J$24,"",_xlfn.DAYS(入力シート!$J$24,'従業員情報(給与以外)'!$C29)/365))</f>
        <v/>
      </c>
      <c r="P29" s="237" t="str">
        <f>IF(O29="","",VLOOKUP(_xlfn.DAYS(入力シート!$J$24,'従業員情報(給与以外)'!$C29)/365,入力リスト!$H$4:$I$12,2,2))</f>
        <v/>
      </c>
      <c r="Q29" s="236" t="str">
        <f>IF(D29="","",VLOOKUP('従業員情報(給与以外)'!$D29,入力シート!$AW$37:$BB$38,4,0))</f>
        <v/>
      </c>
      <c r="R29" s="236" t="str">
        <f>IF(A29="","",IF(E29="","非役職",VLOOKUP('従業員情報(給与以外)'!$E29,入力シート!$AH$37:$AO$62,5,0)))</f>
        <v/>
      </c>
      <c r="S29" s="116" t="str">
        <f>IF(OR(入力シート!$C$5&lt;&gt;入力リスト!$N$4,COUNTIF(入力シート!$J$16:$S$23,入力リスト!$K$4)=0),"",IF($A29="","",IF(ISERROR(AVERAGEIF(従業員の給与情報!$B:$B,$A29,従業員の給与情報!$C:$C)),0,IF(ISERROR(AVERAGEIF(従業員の給与情報!$B:$B,$A29,従業員の給与情報!$C:$C)),0,AVERAGEIF(従業員の給与情報!$B:$B,$A29,従業員の給与情報!$C:$C)))))</f>
        <v/>
      </c>
      <c r="T29" s="116" t="str">
        <f>IF(OR(入力シート!$C$5&lt;&gt;入力リスト!$N$4,COUNTIF(入力シート!$J$16:$S$23,入力リスト!$K$4)=0),"",IF(A29="","",IF(ISERROR(AVERAGEIF(従業員の給与情報!$B:$B,$A29,従業員の給与情報!$D:$D)),0,IF(ISERROR(AVERAGEIF(従業員の給与情報!$B:$B,$A29,従業員の給与情報!$D:$D)),0,AVERAGEIF(従業員の給与情報!$B:$B,$A29,従業員の給与情報!$D:$D)))))</f>
        <v/>
      </c>
      <c r="U29" s="116" t="str">
        <f>IF(OR(入力シート!$C$5&lt;&gt;入力リスト!$N$4,COUNTIF(入力シート!$J$16:$S$23,入力リスト!$K$4)=0),"",IF(A29="","",IF(ISERROR(AVERAGEIF(従業員の給与情報!$B:$B,$A29,従業員の給与情報!$E:$E)),0,IF(ISERROR(AVERAGEIF(従業員の給与情報!$B:$B,$A29,従業員の給与情報!$E:$E)),0,AVERAGEIF(従業員の給与情報!$B:$B,$A29,従業員の給与情報!$E:$E)))))</f>
        <v/>
      </c>
      <c r="V29" s="117" t="str">
        <f>IF(OR(入力シート!$C$5&lt;&gt;入力リスト!$N$4,COUNTIF(入力シート!$J$16:$S$23,入力リスト!$K$4)=0),"",IF(A29="","",IF(ISERROR(AVERAGEIF(従業員の給与情報!$B:$B,$A29,従業員の給与情報!$F:$F)),0,IF(ISERROR(AVERAGEIF(従業員の給与情報!$B:$B,$A29,従業員の給与情報!$F:$F)),0,AVERAGEIF(従業員の給与情報!$B:$B,$A29,従業員の給与情報!$F:$F)))))</f>
        <v/>
      </c>
      <c r="W29" s="182"/>
      <c r="X29" s="260"/>
    </row>
    <row r="30" spans="1:24" ht="19.5">
      <c r="A30" s="367"/>
      <c r="B30" s="364"/>
      <c r="C30" s="365"/>
      <c r="D30" s="366"/>
      <c r="E30" s="367"/>
      <c r="F30" s="372" t="str">
        <f>IF(G30,"この従業員番号は、すでに他のセルで入力されています。",IF(入力シート!$C$5=入力リスト!$N$5,"",IF(AND(A30="",B30="",C30="",D30="",E30=""),"",IF(OR(A30="",B30="",C30="",D30=""),IF(A30="","従業員番号","")&amp;IF(AND(A30="",OR(B30="",C30="",D30="")),",","")&amp;IF(B30="","雇用形態","")&amp;IF(AND(B30="",OR(C30="",D30="")),",","")&amp;IF(OR(入力シート!$J$18=入力リスト!$K$4,入力シート!$J$22=入力リスト!$K$4),IF(C30="","入社年月日",""),"")&amp;IF(AND(C30="",D30=""),",","")&amp;IF(D30="","性別","")&amp;IF(IF(A30="","従業員番号","")&amp;IF(B30="","雇用形態","")&amp;IF(OR(入力シート!$J$18=入力リスト!$K$4,入力シート!$J$22=入力リスト!$K$4),IF(C30="","入社年月日",""),"")&amp;IF(D30="","性別","")="","","が空白です。"),IF(J30,"入社年月日に「基準日」の翌日以降の日付が入力されています。","")&amp;IF(I30,"入社年月日に数値以外（又は1900/1/1以前の日付）が入力されています。","")&amp;IF(H30,"雇用形態"&amp;IF(OR(K30,L30),",",""),"")&amp;IF(K30,"性別"&amp;IF(L30,",",""),"")&amp;IF(L30,"役職","")&amp;IF(OR(H30,K30,L30),"に、［入力シート］(4)「貴社」欄と異なる文言が入力されています。","")))))</f>
        <v/>
      </c>
      <c r="G30" s="236" t="b">
        <f>COUNTIF($A$4:A29,$A30)&gt;0</f>
        <v>0</v>
      </c>
      <c r="H30" s="237" t="b">
        <f>IF(COUNTIF(入力シート!$J$16:$S$23,入力リスト!$K$4)=0,FALSE,IF(入力シート!$J$16=入力リスト!$K$5,FALSE,ISERROR(VLOOKUP(B30,入力シート!$S$37:$V$62,1,0))))</f>
        <v>0</v>
      </c>
      <c r="I30" s="237" t="b">
        <f>IF(AND(OR(入力シート!$J$18=入力リスト!$K$4,入力シート!$J$22=入力リスト!$K$4),入力シート!$J$24&lt;&gt;""),IF(ISERROR(C30+1),TRUE,IF(ISNUMBER(C30),FALSE,TRUE)),FALSE)</f>
        <v>0</v>
      </c>
      <c r="J30" s="237" t="b">
        <f>IF(AND(入力シート!$J$18=入力リスト!$K$4,入力シート!$J$22=入力リスト!$K$4),FALSE,IF(I30=TRUE,FALSE,IF(ISERROR(C30+1),FALSE,C30&gt;入力シート!$J$24)))</f>
        <v>0</v>
      </c>
      <c r="K30" s="237" t="b">
        <f>IF(COUNTIF(入力シート!$J$16:$S$23,入力リスト!$K$4)=0,FALSE,IF(AND(入力シート!$J$16&lt;&gt;入力リスト!$K$5,入力シート!$J$18&lt;&gt;入力リスト!$K$5,入力シート!$J$20&lt;&gt;入力リスト!$K$5,入力シート!$J$22&lt;&gt;入力リスト!$K$5),FALSE,ISERROR(VLOOKUP(D30,入力シート!$AW$37:$AY$38,1,0))))</f>
        <v>0</v>
      </c>
      <c r="L30" s="237" t="b">
        <f>IF(COUNTIF(入力シート!$J$16:$S$23,入力リスト!$K$4)=0,FALSE,IF(入力シート!$J$20=入力リスト!$K$5,FALSE,IF(E30="",FALSE,ISERROR(VLOOKUP(E30,入力シート!$AH$37:$AK$62,1,0)))))</f>
        <v>0</v>
      </c>
      <c r="M30" s="238" t="str">
        <f t="shared" si="0"/>
        <v/>
      </c>
      <c r="N30" s="236" t="str">
        <f>IF(B30="","",VLOOKUP('従業員情報(給与以外)'!$B30,入力シート!$S$37:$Z$62,5,0))</f>
        <v/>
      </c>
      <c r="O30" s="182" t="str">
        <f>IF(ISNUMBER(C30)=FALSE,"",IF(C30&gt;入力シート!$J$24,"",_xlfn.DAYS(入力シート!$J$24,'従業員情報(給与以外)'!$C30)/365))</f>
        <v/>
      </c>
      <c r="P30" s="237" t="str">
        <f>IF(O30="","",VLOOKUP(_xlfn.DAYS(入力シート!$J$24,'従業員情報(給与以外)'!$C30)/365,入力リスト!$H$4:$I$12,2,2))</f>
        <v/>
      </c>
      <c r="Q30" s="236" t="str">
        <f>IF(D30="","",VLOOKUP('従業員情報(給与以外)'!$D30,入力シート!$AW$37:$BB$38,4,0))</f>
        <v/>
      </c>
      <c r="R30" s="236" t="str">
        <f>IF(A30="","",IF(E30="","非役職",VLOOKUP('従業員情報(給与以外)'!$E30,入力シート!$AH$37:$AO$62,5,0)))</f>
        <v/>
      </c>
      <c r="S30" s="116" t="str">
        <f>IF(OR(入力シート!$C$5&lt;&gt;入力リスト!$N$4,COUNTIF(入力シート!$J$16:$S$23,入力リスト!$K$4)=0),"",IF($A30="","",IF(ISERROR(AVERAGEIF(従業員の給与情報!$B:$B,$A30,従業員の給与情報!$C:$C)),0,IF(ISERROR(AVERAGEIF(従業員の給与情報!$B:$B,$A30,従業員の給与情報!$C:$C)),0,AVERAGEIF(従業員の給与情報!$B:$B,$A30,従業員の給与情報!$C:$C)))))</f>
        <v/>
      </c>
      <c r="T30" s="116" t="str">
        <f>IF(OR(入力シート!$C$5&lt;&gt;入力リスト!$N$4,COUNTIF(入力シート!$J$16:$S$23,入力リスト!$K$4)=0),"",IF(A30="","",IF(ISERROR(AVERAGEIF(従業員の給与情報!$B:$B,$A30,従業員の給与情報!$D:$D)),0,IF(ISERROR(AVERAGEIF(従業員の給与情報!$B:$B,$A30,従業員の給与情報!$D:$D)),0,AVERAGEIF(従業員の給与情報!$B:$B,$A30,従業員の給与情報!$D:$D)))))</f>
        <v/>
      </c>
      <c r="U30" s="116" t="str">
        <f>IF(OR(入力シート!$C$5&lt;&gt;入力リスト!$N$4,COUNTIF(入力シート!$J$16:$S$23,入力リスト!$K$4)=0),"",IF(A30="","",IF(ISERROR(AVERAGEIF(従業員の給与情報!$B:$B,$A30,従業員の給与情報!$E:$E)),0,IF(ISERROR(AVERAGEIF(従業員の給与情報!$B:$B,$A30,従業員の給与情報!$E:$E)),0,AVERAGEIF(従業員の給与情報!$B:$B,$A30,従業員の給与情報!$E:$E)))))</f>
        <v/>
      </c>
      <c r="V30" s="117" t="str">
        <f>IF(OR(入力シート!$C$5&lt;&gt;入力リスト!$N$4,COUNTIF(入力シート!$J$16:$S$23,入力リスト!$K$4)=0),"",IF(A30="","",IF(ISERROR(AVERAGEIF(従業員の給与情報!$B:$B,$A30,従業員の給与情報!$F:$F)),0,IF(ISERROR(AVERAGEIF(従業員の給与情報!$B:$B,$A30,従業員の給与情報!$F:$F)),0,AVERAGEIF(従業員の給与情報!$B:$B,$A30,従業員の給与情報!$F:$F)))))</f>
        <v/>
      </c>
      <c r="W30" s="182"/>
      <c r="X30" s="260"/>
    </row>
    <row r="31" spans="1:24" ht="19.5">
      <c r="A31" s="367"/>
      <c r="B31" s="364"/>
      <c r="C31" s="365"/>
      <c r="D31" s="366"/>
      <c r="E31" s="364"/>
      <c r="F31" s="372" t="str">
        <f>IF(G31,"この従業員番号は、すでに他のセルで入力されています。",IF(入力シート!$C$5=入力リスト!$N$5,"",IF(AND(A31="",B31="",C31="",D31="",E31=""),"",IF(OR(A31="",B31="",C31="",D31=""),IF(A31="","従業員番号","")&amp;IF(AND(A31="",OR(B31="",C31="",D31="")),",","")&amp;IF(B31="","雇用形態","")&amp;IF(AND(B31="",OR(C31="",D31="")),",","")&amp;IF(OR(入力シート!$J$18=入力リスト!$K$4,入力シート!$J$22=入力リスト!$K$4),IF(C31="","入社年月日",""),"")&amp;IF(AND(C31="",D31=""),",","")&amp;IF(D31="","性別","")&amp;IF(IF(A31="","従業員番号","")&amp;IF(B31="","雇用形態","")&amp;IF(OR(入力シート!$J$18=入力リスト!$K$4,入力シート!$J$22=入力リスト!$K$4),IF(C31="","入社年月日",""),"")&amp;IF(D31="","性別","")="","","が空白です。"),IF(J31,"入社年月日に「基準日」の翌日以降の日付が入力されています。","")&amp;IF(I31,"入社年月日に数値以外（又は1900/1/1以前の日付）が入力されています。","")&amp;IF(H31,"雇用形態"&amp;IF(OR(K31,L31),",",""),"")&amp;IF(K31,"性別"&amp;IF(L31,",",""),"")&amp;IF(L31,"役職","")&amp;IF(OR(H31,K31,L31),"に、［入力シート］(4)「貴社」欄と異なる文言が入力されています。","")))))</f>
        <v/>
      </c>
      <c r="G31" s="236" t="b">
        <f>COUNTIF($A$4:A30,$A31)&gt;0</f>
        <v>0</v>
      </c>
      <c r="H31" s="237" t="b">
        <f>IF(COUNTIF(入力シート!$J$16:$S$23,入力リスト!$K$4)=0,FALSE,IF(入力シート!$J$16=入力リスト!$K$5,FALSE,ISERROR(VLOOKUP(B31,入力シート!$S$37:$V$62,1,0))))</f>
        <v>0</v>
      </c>
      <c r="I31" s="237" t="b">
        <f>IF(AND(OR(入力シート!$J$18=入力リスト!$K$4,入力シート!$J$22=入力リスト!$K$4),入力シート!$J$24&lt;&gt;""),IF(ISERROR(C31+1),TRUE,IF(ISNUMBER(C31),FALSE,TRUE)),FALSE)</f>
        <v>0</v>
      </c>
      <c r="J31" s="237" t="b">
        <f>IF(AND(入力シート!$J$18=入力リスト!$K$4,入力シート!$J$22=入力リスト!$K$4),FALSE,IF(I31=TRUE,FALSE,IF(ISERROR(C31+1),FALSE,C31&gt;入力シート!$J$24)))</f>
        <v>0</v>
      </c>
      <c r="K31" s="237" t="b">
        <f>IF(COUNTIF(入力シート!$J$16:$S$23,入力リスト!$K$4)=0,FALSE,IF(AND(入力シート!$J$16&lt;&gt;入力リスト!$K$5,入力シート!$J$18&lt;&gt;入力リスト!$K$5,入力シート!$J$20&lt;&gt;入力リスト!$K$5,入力シート!$J$22&lt;&gt;入力リスト!$K$5),FALSE,ISERROR(VLOOKUP(D31,入力シート!$AW$37:$AY$38,1,0))))</f>
        <v>0</v>
      </c>
      <c r="L31" s="237" t="b">
        <f>IF(COUNTIF(入力シート!$J$16:$S$23,入力リスト!$K$4)=0,FALSE,IF(入力シート!$J$20=入力リスト!$K$5,FALSE,IF(E31="",FALSE,ISERROR(VLOOKUP(E31,入力シート!$AH$37:$AK$62,1,0)))))</f>
        <v>0</v>
      </c>
      <c r="M31" s="238" t="str">
        <f t="shared" si="0"/>
        <v/>
      </c>
      <c r="N31" s="236" t="str">
        <f>IF(B31="","",VLOOKUP('従業員情報(給与以外)'!$B31,入力シート!$S$37:$Z$62,5,0))</f>
        <v/>
      </c>
      <c r="O31" s="182" t="str">
        <f>IF(ISNUMBER(C31)=FALSE,"",IF(C31&gt;入力シート!$J$24,"",_xlfn.DAYS(入力シート!$J$24,'従業員情報(給与以外)'!$C31)/365))</f>
        <v/>
      </c>
      <c r="P31" s="237" t="str">
        <f>IF(O31="","",VLOOKUP(_xlfn.DAYS(入力シート!$J$24,'従業員情報(給与以外)'!$C31)/365,入力リスト!$H$4:$I$12,2,2))</f>
        <v/>
      </c>
      <c r="Q31" s="236" t="str">
        <f>IF(D31="","",VLOOKUP('従業員情報(給与以外)'!$D31,入力シート!$AW$37:$BB$38,4,0))</f>
        <v/>
      </c>
      <c r="R31" s="236" t="str">
        <f>IF(A31="","",IF(E31="","非役職",VLOOKUP('従業員情報(給与以外)'!$E31,入力シート!$AH$37:$AO$62,5,0)))</f>
        <v/>
      </c>
      <c r="S31" s="116" t="str">
        <f>IF(OR(入力シート!$C$5&lt;&gt;入力リスト!$N$4,COUNTIF(入力シート!$J$16:$S$23,入力リスト!$K$4)=0),"",IF($A31="","",IF(ISERROR(AVERAGEIF(従業員の給与情報!$B:$B,$A31,従業員の給与情報!$C:$C)),0,IF(ISERROR(AVERAGEIF(従業員の給与情報!$B:$B,$A31,従業員の給与情報!$C:$C)),0,AVERAGEIF(従業員の給与情報!$B:$B,$A31,従業員の給与情報!$C:$C)))))</f>
        <v/>
      </c>
      <c r="T31" s="116" t="str">
        <f>IF(OR(入力シート!$C$5&lt;&gt;入力リスト!$N$4,COUNTIF(入力シート!$J$16:$S$23,入力リスト!$K$4)=0),"",IF(A31="","",IF(ISERROR(AVERAGEIF(従業員の給与情報!$B:$B,$A31,従業員の給与情報!$D:$D)),0,IF(ISERROR(AVERAGEIF(従業員の給与情報!$B:$B,$A31,従業員の給与情報!$D:$D)),0,AVERAGEIF(従業員の給与情報!$B:$B,$A31,従業員の給与情報!$D:$D)))))</f>
        <v/>
      </c>
      <c r="U31" s="116" t="str">
        <f>IF(OR(入力シート!$C$5&lt;&gt;入力リスト!$N$4,COUNTIF(入力シート!$J$16:$S$23,入力リスト!$K$4)=0),"",IF(A31="","",IF(ISERROR(AVERAGEIF(従業員の給与情報!$B:$B,$A31,従業員の給与情報!$E:$E)),0,IF(ISERROR(AVERAGEIF(従業員の給与情報!$B:$B,$A31,従業員の給与情報!$E:$E)),0,AVERAGEIF(従業員の給与情報!$B:$B,$A31,従業員の給与情報!$E:$E)))))</f>
        <v/>
      </c>
      <c r="V31" s="117" t="str">
        <f>IF(OR(入力シート!$C$5&lt;&gt;入力リスト!$N$4,COUNTIF(入力シート!$J$16:$S$23,入力リスト!$K$4)=0),"",IF(A31="","",IF(ISERROR(AVERAGEIF(従業員の給与情報!$B:$B,$A31,従業員の給与情報!$F:$F)),0,IF(ISERROR(AVERAGEIF(従業員の給与情報!$B:$B,$A31,従業員の給与情報!$F:$F)),0,AVERAGEIF(従業員の給与情報!$B:$B,$A31,従業員の給与情報!$F:$F)))))</f>
        <v/>
      </c>
      <c r="W31" s="182"/>
      <c r="X31" s="260"/>
    </row>
    <row r="32" spans="1:24" ht="19.5">
      <c r="A32" s="367"/>
      <c r="B32" s="364"/>
      <c r="C32" s="365"/>
      <c r="D32" s="366"/>
      <c r="E32" s="364"/>
      <c r="F32" s="372" t="str">
        <f>IF(G32,"この従業員番号は、すでに他のセルで入力されています。",IF(入力シート!$C$5=入力リスト!$N$5,"",IF(AND(A32="",B32="",C32="",D32="",E32=""),"",IF(OR(A32="",B32="",C32="",D32=""),IF(A32="","従業員番号","")&amp;IF(AND(A32="",OR(B32="",C32="",D32="")),",","")&amp;IF(B32="","雇用形態","")&amp;IF(AND(B32="",OR(C32="",D32="")),",","")&amp;IF(OR(入力シート!$J$18=入力リスト!$K$4,入力シート!$J$22=入力リスト!$K$4),IF(C32="","入社年月日",""),"")&amp;IF(AND(C32="",D32=""),",","")&amp;IF(D32="","性別","")&amp;IF(IF(A32="","従業員番号","")&amp;IF(B32="","雇用形態","")&amp;IF(OR(入力シート!$J$18=入力リスト!$K$4,入力シート!$J$22=入力リスト!$K$4),IF(C32="","入社年月日",""),"")&amp;IF(D32="","性別","")="","","が空白です。"),IF(J32,"入社年月日に「基準日」の翌日以降の日付が入力されています。","")&amp;IF(I32,"入社年月日に数値以外（又は1900/1/1以前の日付）が入力されています。","")&amp;IF(H32,"雇用形態"&amp;IF(OR(K32,L32),",",""),"")&amp;IF(K32,"性別"&amp;IF(L32,",",""),"")&amp;IF(L32,"役職","")&amp;IF(OR(H32,K32,L32),"に、［入力シート］(4)「貴社」欄と異なる文言が入力されています。","")))))</f>
        <v/>
      </c>
      <c r="G32" s="236" t="b">
        <f>COUNTIF($A$4:A31,$A32)&gt;0</f>
        <v>0</v>
      </c>
      <c r="H32" s="237" t="b">
        <f>IF(COUNTIF(入力シート!$J$16:$S$23,入力リスト!$K$4)=0,FALSE,IF(入力シート!$J$16=入力リスト!$K$5,FALSE,ISERROR(VLOOKUP(B32,入力シート!$S$37:$V$62,1,0))))</f>
        <v>0</v>
      </c>
      <c r="I32" s="237" t="b">
        <f>IF(AND(OR(入力シート!$J$18=入力リスト!$K$4,入力シート!$J$22=入力リスト!$K$4),入力シート!$J$24&lt;&gt;""),IF(ISERROR(C32+1),TRUE,IF(ISNUMBER(C32),FALSE,TRUE)),FALSE)</f>
        <v>0</v>
      </c>
      <c r="J32" s="237" t="b">
        <f>IF(AND(入力シート!$J$18=入力リスト!$K$4,入力シート!$J$22=入力リスト!$K$4),FALSE,IF(I32=TRUE,FALSE,IF(ISERROR(C32+1),FALSE,C32&gt;入力シート!$J$24)))</f>
        <v>0</v>
      </c>
      <c r="K32" s="237" t="b">
        <f>IF(COUNTIF(入力シート!$J$16:$S$23,入力リスト!$K$4)=0,FALSE,IF(AND(入力シート!$J$16&lt;&gt;入力リスト!$K$5,入力シート!$J$18&lt;&gt;入力リスト!$K$5,入力シート!$J$20&lt;&gt;入力リスト!$K$5,入力シート!$J$22&lt;&gt;入力リスト!$K$5),FALSE,ISERROR(VLOOKUP(D32,入力シート!$AW$37:$AY$38,1,0))))</f>
        <v>0</v>
      </c>
      <c r="L32" s="237" t="b">
        <f>IF(COUNTIF(入力シート!$J$16:$S$23,入力リスト!$K$4)=0,FALSE,IF(入力シート!$J$20=入力リスト!$K$5,FALSE,IF(E32="",FALSE,ISERROR(VLOOKUP(E32,入力シート!$AH$37:$AK$62,1,0)))))</f>
        <v>0</v>
      </c>
      <c r="M32" s="238" t="str">
        <f t="shared" si="0"/>
        <v/>
      </c>
      <c r="N32" s="236" t="str">
        <f>IF(B32="","",VLOOKUP('従業員情報(給与以外)'!$B32,入力シート!$S$37:$Z$62,5,0))</f>
        <v/>
      </c>
      <c r="O32" s="182" t="str">
        <f>IF(ISNUMBER(C32)=FALSE,"",IF(C32&gt;入力シート!$J$24,"",_xlfn.DAYS(入力シート!$J$24,'従業員情報(給与以外)'!$C32)/365))</f>
        <v/>
      </c>
      <c r="P32" s="237" t="str">
        <f>IF(O32="","",VLOOKUP(_xlfn.DAYS(入力シート!$J$24,'従業員情報(給与以外)'!$C32)/365,入力リスト!$H$4:$I$12,2,2))</f>
        <v/>
      </c>
      <c r="Q32" s="236" t="str">
        <f>IF(D32="","",VLOOKUP('従業員情報(給与以外)'!$D32,入力シート!$AW$37:$BB$38,4,0))</f>
        <v/>
      </c>
      <c r="R32" s="236" t="str">
        <f>IF(A32="","",IF(E32="","非役職",VLOOKUP('従業員情報(給与以外)'!$E32,入力シート!$AH$37:$AO$62,5,0)))</f>
        <v/>
      </c>
      <c r="S32" s="116" t="str">
        <f>IF(OR(入力シート!$C$5&lt;&gt;入力リスト!$N$4,COUNTIF(入力シート!$J$16:$S$23,入力リスト!$K$4)=0),"",IF($A32="","",IF(ISERROR(AVERAGEIF(従業員の給与情報!$B:$B,$A32,従業員の給与情報!$C:$C)),0,IF(ISERROR(AVERAGEIF(従業員の給与情報!$B:$B,$A32,従業員の給与情報!$C:$C)),0,AVERAGEIF(従業員の給与情報!$B:$B,$A32,従業員の給与情報!$C:$C)))))</f>
        <v/>
      </c>
      <c r="T32" s="116" t="str">
        <f>IF(OR(入力シート!$C$5&lt;&gt;入力リスト!$N$4,COUNTIF(入力シート!$J$16:$S$23,入力リスト!$K$4)=0),"",IF(A32="","",IF(ISERROR(AVERAGEIF(従業員の給与情報!$B:$B,$A32,従業員の給与情報!$D:$D)),0,IF(ISERROR(AVERAGEIF(従業員の給与情報!$B:$B,$A32,従業員の給与情報!$D:$D)),0,AVERAGEIF(従業員の給与情報!$B:$B,$A32,従業員の給与情報!$D:$D)))))</f>
        <v/>
      </c>
      <c r="U32" s="116" t="str">
        <f>IF(OR(入力シート!$C$5&lt;&gt;入力リスト!$N$4,COUNTIF(入力シート!$J$16:$S$23,入力リスト!$K$4)=0),"",IF(A32="","",IF(ISERROR(AVERAGEIF(従業員の給与情報!$B:$B,$A32,従業員の給与情報!$E:$E)),0,IF(ISERROR(AVERAGEIF(従業員の給与情報!$B:$B,$A32,従業員の給与情報!$E:$E)),0,AVERAGEIF(従業員の給与情報!$B:$B,$A32,従業員の給与情報!$E:$E)))))</f>
        <v/>
      </c>
      <c r="V32" s="117" t="str">
        <f>IF(OR(入力シート!$C$5&lt;&gt;入力リスト!$N$4,COUNTIF(入力シート!$J$16:$S$23,入力リスト!$K$4)=0),"",IF(A32="","",IF(ISERROR(AVERAGEIF(従業員の給与情報!$B:$B,$A32,従業員の給与情報!$F:$F)),0,IF(ISERROR(AVERAGEIF(従業員の給与情報!$B:$B,$A32,従業員の給与情報!$F:$F)),0,AVERAGEIF(従業員の給与情報!$B:$B,$A32,従業員の給与情報!$F:$F)))))</f>
        <v/>
      </c>
      <c r="W32" s="182"/>
      <c r="X32" s="260"/>
    </row>
    <row r="33" spans="1:24" ht="19.5">
      <c r="A33" s="367"/>
      <c r="B33" s="364"/>
      <c r="C33" s="365"/>
      <c r="D33" s="366"/>
      <c r="E33" s="367"/>
      <c r="F33" s="372" t="str">
        <f>IF(G33,"この従業員番号は、すでに他のセルで入力されています。",IF(入力シート!$C$5=入力リスト!$N$5,"",IF(AND(A33="",B33="",C33="",D33="",E33=""),"",IF(OR(A33="",B33="",C33="",D33=""),IF(A33="","従業員番号","")&amp;IF(AND(A33="",OR(B33="",C33="",D33="")),",","")&amp;IF(B33="","雇用形態","")&amp;IF(AND(B33="",OR(C33="",D33="")),",","")&amp;IF(OR(入力シート!$J$18=入力リスト!$K$4,入力シート!$J$22=入力リスト!$K$4),IF(C33="","入社年月日",""),"")&amp;IF(AND(C33="",D33=""),",","")&amp;IF(D33="","性別","")&amp;IF(IF(A33="","従業員番号","")&amp;IF(B33="","雇用形態","")&amp;IF(OR(入力シート!$J$18=入力リスト!$K$4,入力シート!$J$22=入力リスト!$K$4),IF(C33="","入社年月日",""),"")&amp;IF(D33="","性別","")="","","が空白です。"),IF(J33,"入社年月日に「基準日」の翌日以降の日付が入力されています。","")&amp;IF(I33,"入社年月日に数値以外（又は1900/1/1以前の日付）が入力されています。","")&amp;IF(H33,"雇用形態"&amp;IF(OR(K33,L33),",",""),"")&amp;IF(K33,"性別"&amp;IF(L33,",",""),"")&amp;IF(L33,"役職","")&amp;IF(OR(H33,K33,L33),"に、［入力シート］(4)「貴社」欄と異なる文言が入力されています。","")))))</f>
        <v/>
      </c>
      <c r="G33" s="236" t="b">
        <f>COUNTIF($A$4:A32,$A33)&gt;0</f>
        <v>0</v>
      </c>
      <c r="H33" s="237" t="b">
        <f>IF(COUNTIF(入力シート!$J$16:$S$23,入力リスト!$K$4)=0,FALSE,IF(入力シート!$J$16=入力リスト!$K$5,FALSE,ISERROR(VLOOKUP(B33,入力シート!$S$37:$V$62,1,0))))</f>
        <v>0</v>
      </c>
      <c r="I33" s="237" t="b">
        <f>IF(AND(OR(入力シート!$J$18=入力リスト!$K$4,入力シート!$J$22=入力リスト!$K$4),入力シート!$J$24&lt;&gt;""),IF(ISERROR(C33+1),TRUE,IF(ISNUMBER(C33),FALSE,TRUE)),FALSE)</f>
        <v>0</v>
      </c>
      <c r="J33" s="237" t="b">
        <f>IF(AND(入力シート!$J$18=入力リスト!$K$4,入力シート!$J$22=入力リスト!$K$4),FALSE,IF(I33=TRUE,FALSE,IF(ISERROR(C33+1),FALSE,C33&gt;入力シート!$J$24)))</f>
        <v>0</v>
      </c>
      <c r="K33" s="237" t="b">
        <f>IF(COUNTIF(入力シート!$J$16:$S$23,入力リスト!$K$4)=0,FALSE,IF(AND(入力シート!$J$16&lt;&gt;入力リスト!$K$5,入力シート!$J$18&lt;&gt;入力リスト!$K$5,入力シート!$J$20&lt;&gt;入力リスト!$K$5,入力シート!$J$22&lt;&gt;入力リスト!$K$5),FALSE,ISERROR(VLOOKUP(D33,入力シート!$AW$37:$AY$38,1,0))))</f>
        <v>0</v>
      </c>
      <c r="L33" s="237" t="b">
        <f>IF(COUNTIF(入力シート!$J$16:$S$23,入力リスト!$K$4)=0,FALSE,IF(入力シート!$J$20=入力リスト!$K$5,FALSE,IF(E33="",FALSE,ISERROR(VLOOKUP(E33,入力シート!$AH$37:$AK$62,1,0)))))</f>
        <v>0</v>
      </c>
      <c r="M33" s="238" t="str">
        <f t="shared" si="0"/>
        <v/>
      </c>
      <c r="N33" s="236" t="str">
        <f>IF(B33="","",VLOOKUP('従業員情報(給与以外)'!$B33,入力シート!$S$37:$Z$62,5,0))</f>
        <v/>
      </c>
      <c r="O33" s="182" t="str">
        <f>IF(ISNUMBER(C33)=FALSE,"",IF(C33&gt;入力シート!$J$24,"",_xlfn.DAYS(入力シート!$J$24,'従業員情報(給与以外)'!$C33)/365))</f>
        <v/>
      </c>
      <c r="P33" s="237" t="str">
        <f>IF(O33="","",VLOOKUP(_xlfn.DAYS(入力シート!$J$24,'従業員情報(給与以外)'!$C33)/365,入力リスト!$H$4:$I$12,2,2))</f>
        <v/>
      </c>
      <c r="Q33" s="236" t="str">
        <f>IF(D33="","",VLOOKUP('従業員情報(給与以外)'!$D33,入力シート!$AW$37:$BB$38,4,0))</f>
        <v/>
      </c>
      <c r="R33" s="236" t="str">
        <f>IF(A33="","",IF(E33="","非役職",VLOOKUP('従業員情報(給与以外)'!$E33,入力シート!$AH$37:$AO$62,5,0)))</f>
        <v/>
      </c>
      <c r="S33" s="116" t="str">
        <f>IF(OR(入力シート!$C$5&lt;&gt;入力リスト!$N$4,COUNTIF(入力シート!$J$16:$S$23,入力リスト!$K$4)=0),"",IF($A33="","",IF(ISERROR(AVERAGEIF(従業員の給与情報!$B:$B,$A33,従業員の給与情報!$C:$C)),0,IF(ISERROR(AVERAGEIF(従業員の給与情報!$B:$B,$A33,従業員の給与情報!$C:$C)),0,AVERAGEIF(従業員の給与情報!$B:$B,$A33,従業員の給与情報!$C:$C)))))</f>
        <v/>
      </c>
      <c r="T33" s="116" t="str">
        <f>IF(OR(入力シート!$C$5&lt;&gt;入力リスト!$N$4,COUNTIF(入力シート!$J$16:$S$23,入力リスト!$K$4)=0),"",IF(A33="","",IF(ISERROR(AVERAGEIF(従業員の給与情報!$B:$B,$A33,従業員の給与情報!$D:$D)),0,IF(ISERROR(AVERAGEIF(従業員の給与情報!$B:$B,$A33,従業員の給与情報!$D:$D)),0,AVERAGEIF(従業員の給与情報!$B:$B,$A33,従業員の給与情報!$D:$D)))))</f>
        <v/>
      </c>
      <c r="U33" s="116" t="str">
        <f>IF(OR(入力シート!$C$5&lt;&gt;入力リスト!$N$4,COUNTIF(入力シート!$J$16:$S$23,入力リスト!$K$4)=0),"",IF(A33="","",IF(ISERROR(AVERAGEIF(従業員の給与情報!$B:$B,$A33,従業員の給与情報!$E:$E)),0,IF(ISERROR(AVERAGEIF(従業員の給与情報!$B:$B,$A33,従業員の給与情報!$E:$E)),0,AVERAGEIF(従業員の給与情報!$B:$B,$A33,従業員の給与情報!$E:$E)))))</f>
        <v/>
      </c>
      <c r="V33" s="117" t="str">
        <f>IF(OR(入力シート!$C$5&lt;&gt;入力リスト!$N$4,COUNTIF(入力シート!$J$16:$S$23,入力リスト!$K$4)=0),"",IF(A33="","",IF(ISERROR(AVERAGEIF(従業員の給与情報!$B:$B,$A33,従業員の給与情報!$F:$F)),0,IF(ISERROR(AVERAGEIF(従業員の給与情報!$B:$B,$A33,従業員の給与情報!$F:$F)),0,AVERAGEIF(従業員の給与情報!$B:$B,$A33,従業員の給与情報!$F:$F)))))</f>
        <v/>
      </c>
      <c r="W33" s="182"/>
      <c r="X33" s="260"/>
    </row>
    <row r="34" spans="1:24" ht="19.5">
      <c r="A34" s="367"/>
      <c r="B34" s="364"/>
      <c r="C34" s="365"/>
      <c r="D34" s="366"/>
      <c r="E34" s="367"/>
      <c r="F34" s="372" t="str">
        <f>IF(G34,"この従業員番号は、すでに他のセルで入力されています。",IF(入力シート!$C$5=入力リスト!$N$5,"",IF(AND(A34="",B34="",C34="",D34="",E34=""),"",IF(OR(A34="",B34="",C34="",D34=""),IF(A34="","従業員番号","")&amp;IF(AND(A34="",OR(B34="",C34="",D34="")),",","")&amp;IF(B34="","雇用形態","")&amp;IF(AND(B34="",OR(C34="",D34="")),",","")&amp;IF(OR(入力シート!$J$18=入力リスト!$K$4,入力シート!$J$22=入力リスト!$K$4),IF(C34="","入社年月日",""),"")&amp;IF(AND(C34="",D34=""),",","")&amp;IF(D34="","性別","")&amp;IF(IF(A34="","従業員番号","")&amp;IF(B34="","雇用形態","")&amp;IF(OR(入力シート!$J$18=入力リスト!$K$4,入力シート!$J$22=入力リスト!$K$4),IF(C34="","入社年月日",""),"")&amp;IF(D34="","性別","")="","","が空白です。"),IF(J34,"入社年月日に「基準日」の翌日以降の日付が入力されています。","")&amp;IF(I34,"入社年月日に数値以外（又は1900/1/1以前の日付）が入力されています。","")&amp;IF(H34,"雇用形態"&amp;IF(OR(K34,L34),",",""),"")&amp;IF(K34,"性別"&amp;IF(L34,",",""),"")&amp;IF(L34,"役職","")&amp;IF(OR(H34,K34,L34),"に、［入力シート］(4)「貴社」欄と異なる文言が入力されています。","")))))</f>
        <v/>
      </c>
      <c r="G34" s="236" t="b">
        <f>COUNTIF($A$4:A33,$A34)&gt;0</f>
        <v>0</v>
      </c>
      <c r="H34" s="237" t="b">
        <f>IF(COUNTIF(入力シート!$J$16:$S$23,入力リスト!$K$4)=0,FALSE,IF(入力シート!$J$16=入力リスト!$K$5,FALSE,ISERROR(VLOOKUP(B34,入力シート!$S$37:$V$62,1,0))))</f>
        <v>0</v>
      </c>
      <c r="I34" s="237" t="b">
        <f>IF(AND(OR(入力シート!$J$18=入力リスト!$K$4,入力シート!$J$22=入力リスト!$K$4),入力シート!$J$24&lt;&gt;""),IF(ISERROR(C34+1),TRUE,IF(ISNUMBER(C34),FALSE,TRUE)),FALSE)</f>
        <v>0</v>
      </c>
      <c r="J34" s="237" t="b">
        <f>IF(AND(入力シート!$J$18=入力リスト!$K$4,入力シート!$J$22=入力リスト!$K$4),FALSE,IF(I34=TRUE,FALSE,IF(ISERROR(C34+1),FALSE,C34&gt;入力シート!$J$24)))</f>
        <v>0</v>
      </c>
      <c r="K34" s="237" t="b">
        <f>IF(COUNTIF(入力シート!$J$16:$S$23,入力リスト!$K$4)=0,FALSE,IF(AND(入力シート!$J$16&lt;&gt;入力リスト!$K$5,入力シート!$J$18&lt;&gt;入力リスト!$K$5,入力シート!$J$20&lt;&gt;入力リスト!$K$5,入力シート!$J$22&lt;&gt;入力リスト!$K$5),FALSE,ISERROR(VLOOKUP(D34,入力シート!$AW$37:$AY$38,1,0))))</f>
        <v>0</v>
      </c>
      <c r="L34" s="237" t="b">
        <f>IF(COUNTIF(入力シート!$J$16:$S$23,入力リスト!$K$4)=0,FALSE,IF(入力シート!$J$20=入力リスト!$K$5,FALSE,IF(E34="",FALSE,ISERROR(VLOOKUP(E34,入力シート!$AH$37:$AK$62,1,0)))))</f>
        <v>0</v>
      </c>
      <c r="M34" s="238" t="str">
        <f t="shared" si="0"/>
        <v/>
      </c>
      <c r="N34" s="236" t="str">
        <f>IF(B34="","",VLOOKUP('従業員情報(給与以外)'!$B34,入力シート!$S$37:$Z$62,5,0))</f>
        <v/>
      </c>
      <c r="O34" s="182" t="str">
        <f>IF(ISNUMBER(C34)=FALSE,"",IF(C34&gt;入力シート!$J$24,"",_xlfn.DAYS(入力シート!$J$24,'従業員情報(給与以外)'!$C34)/365))</f>
        <v/>
      </c>
      <c r="P34" s="237" t="str">
        <f>IF(O34="","",VLOOKUP(_xlfn.DAYS(入力シート!$J$24,'従業員情報(給与以外)'!$C34)/365,入力リスト!$H$4:$I$12,2,2))</f>
        <v/>
      </c>
      <c r="Q34" s="236" t="str">
        <f>IF(D34="","",VLOOKUP('従業員情報(給与以外)'!$D34,入力シート!$AW$37:$BB$38,4,0))</f>
        <v/>
      </c>
      <c r="R34" s="236" t="str">
        <f>IF(A34="","",IF(E34="","非役職",VLOOKUP('従業員情報(給与以外)'!$E34,入力シート!$AH$37:$AO$62,5,0)))</f>
        <v/>
      </c>
      <c r="S34" s="116" t="str">
        <f>IF(OR(入力シート!$C$5&lt;&gt;入力リスト!$N$4,COUNTIF(入力シート!$J$16:$S$23,入力リスト!$K$4)=0),"",IF($A34="","",IF(ISERROR(AVERAGEIF(従業員の給与情報!$B:$B,$A34,従業員の給与情報!$C:$C)),0,IF(ISERROR(AVERAGEIF(従業員の給与情報!$B:$B,$A34,従業員の給与情報!$C:$C)),0,AVERAGEIF(従業員の給与情報!$B:$B,$A34,従業員の給与情報!$C:$C)))))</f>
        <v/>
      </c>
      <c r="T34" s="116" t="str">
        <f>IF(OR(入力シート!$C$5&lt;&gt;入力リスト!$N$4,COUNTIF(入力シート!$J$16:$S$23,入力リスト!$K$4)=0),"",IF(A34="","",IF(ISERROR(AVERAGEIF(従業員の給与情報!$B:$B,$A34,従業員の給与情報!$D:$D)),0,IF(ISERROR(AVERAGEIF(従業員の給与情報!$B:$B,$A34,従業員の給与情報!$D:$D)),0,AVERAGEIF(従業員の給与情報!$B:$B,$A34,従業員の給与情報!$D:$D)))))</f>
        <v/>
      </c>
      <c r="U34" s="116" t="str">
        <f>IF(OR(入力シート!$C$5&lt;&gt;入力リスト!$N$4,COUNTIF(入力シート!$J$16:$S$23,入力リスト!$K$4)=0),"",IF(A34="","",IF(ISERROR(AVERAGEIF(従業員の給与情報!$B:$B,$A34,従業員の給与情報!$E:$E)),0,IF(ISERROR(AVERAGEIF(従業員の給与情報!$B:$B,$A34,従業員の給与情報!$E:$E)),0,AVERAGEIF(従業員の給与情報!$B:$B,$A34,従業員の給与情報!$E:$E)))))</f>
        <v/>
      </c>
      <c r="V34" s="117" t="str">
        <f>IF(OR(入力シート!$C$5&lt;&gt;入力リスト!$N$4,COUNTIF(入力シート!$J$16:$S$23,入力リスト!$K$4)=0),"",IF(A34="","",IF(ISERROR(AVERAGEIF(従業員の給与情報!$B:$B,$A34,従業員の給与情報!$F:$F)),0,IF(ISERROR(AVERAGEIF(従業員の給与情報!$B:$B,$A34,従業員の給与情報!$F:$F)),0,AVERAGEIF(従業員の給与情報!$B:$B,$A34,従業員の給与情報!$F:$F)))))</f>
        <v/>
      </c>
      <c r="W34" s="182"/>
      <c r="X34" s="260"/>
    </row>
    <row r="35" spans="1:24" ht="19.5">
      <c r="A35" s="367"/>
      <c r="B35" s="364"/>
      <c r="C35" s="365"/>
      <c r="D35" s="366"/>
      <c r="E35" s="367"/>
      <c r="F35" s="372" t="str">
        <f>IF(G35,"この従業員番号は、すでに他のセルで入力されています。",IF(入力シート!$C$5=入力リスト!$N$5,"",IF(AND(A35="",B35="",C35="",D35="",E35=""),"",IF(OR(A35="",B35="",C35="",D35=""),IF(A35="","従業員番号","")&amp;IF(AND(A35="",OR(B35="",C35="",D35="")),",","")&amp;IF(B35="","雇用形態","")&amp;IF(AND(B35="",OR(C35="",D35="")),",","")&amp;IF(OR(入力シート!$J$18=入力リスト!$K$4,入力シート!$J$22=入力リスト!$K$4),IF(C35="","入社年月日",""),"")&amp;IF(AND(C35="",D35=""),",","")&amp;IF(D35="","性別","")&amp;IF(IF(A35="","従業員番号","")&amp;IF(B35="","雇用形態","")&amp;IF(OR(入力シート!$J$18=入力リスト!$K$4,入力シート!$J$22=入力リスト!$K$4),IF(C35="","入社年月日",""),"")&amp;IF(D35="","性別","")="","","が空白です。"),IF(J35,"入社年月日に「基準日」の翌日以降の日付が入力されています。","")&amp;IF(I35,"入社年月日に数値以外（又は1900/1/1以前の日付）が入力されています。","")&amp;IF(H35,"雇用形態"&amp;IF(OR(K35,L35),",",""),"")&amp;IF(K35,"性別"&amp;IF(L35,",",""),"")&amp;IF(L35,"役職","")&amp;IF(OR(H35,K35,L35),"に、［入力シート］(4)「貴社」欄と異なる文言が入力されています。","")))))</f>
        <v/>
      </c>
      <c r="G35" s="236" t="b">
        <f>COUNTIF($A$4:A34,$A35)&gt;0</f>
        <v>0</v>
      </c>
      <c r="H35" s="237" t="b">
        <f>IF(COUNTIF(入力シート!$J$16:$S$23,入力リスト!$K$4)=0,FALSE,IF(入力シート!$J$16=入力リスト!$K$5,FALSE,ISERROR(VLOOKUP(B35,入力シート!$S$37:$V$62,1,0))))</f>
        <v>0</v>
      </c>
      <c r="I35" s="237" t="b">
        <f>IF(AND(OR(入力シート!$J$18=入力リスト!$K$4,入力シート!$J$22=入力リスト!$K$4),入力シート!$J$24&lt;&gt;""),IF(ISERROR(C35+1),TRUE,IF(ISNUMBER(C35),FALSE,TRUE)),FALSE)</f>
        <v>0</v>
      </c>
      <c r="J35" s="237" t="b">
        <f>IF(AND(入力シート!$J$18=入力リスト!$K$4,入力シート!$J$22=入力リスト!$K$4),FALSE,IF(I35=TRUE,FALSE,IF(ISERROR(C35+1),FALSE,C35&gt;入力シート!$J$24)))</f>
        <v>0</v>
      </c>
      <c r="K35" s="237" t="b">
        <f>IF(COUNTIF(入力シート!$J$16:$S$23,入力リスト!$K$4)=0,FALSE,IF(AND(入力シート!$J$16&lt;&gt;入力リスト!$K$5,入力シート!$J$18&lt;&gt;入力リスト!$K$5,入力シート!$J$20&lt;&gt;入力リスト!$K$5,入力シート!$J$22&lt;&gt;入力リスト!$K$5),FALSE,ISERROR(VLOOKUP(D35,入力シート!$AW$37:$AY$38,1,0))))</f>
        <v>0</v>
      </c>
      <c r="L35" s="237" t="b">
        <f>IF(COUNTIF(入力シート!$J$16:$S$23,入力リスト!$K$4)=0,FALSE,IF(入力シート!$J$20=入力リスト!$K$5,FALSE,IF(E35="",FALSE,ISERROR(VLOOKUP(E35,入力シート!$AH$37:$AK$62,1,0)))))</f>
        <v>0</v>
      </c>
      <c r="M35" s="238" t="str">
        <f t="shared" si="0"/>
        <v/>
      </c>
      <c r="N35" s="236" t="str">
        <f>IF(B35="","",VLOOKUP('従業員情報(給与以外)'!$B35,入力シート!$S$37:$Z$62,5,0))</f>
        <v/>
      </c>
      <c r="O35" s="182" t="str">
        <f>IF(ISNUMBER(C35)=FALSE,"",IF(C35&gt;入力シート!$J$24,"",_xlfn.DAYS(入力シート!$J$24,'従業員情報(給与以外)'!$C35)/365))</f>
        <v/>
      </c>
      <c r="P35" s="237" t="str">
        <f>IF(O35="","",VLOOKUP(_xlfn.DAYS(入力シート!$J$24,'従業員情報(給与以外)'!$C35)/365,入力リスト!$H$4:$I$12,2,2))</f>
        <v/>
      </c>
      <c r="Q35" s="236" t="str">
        <f>IF(D35="","",VLOOKUP('従業員情報(給与以外)'!$D35,入力シート!$AW$37:$BB$38,4,0))</f>
        <v/>
      </c>
      <c r="R35" s="236" t="str">
        <f>IF(A35="","",IF(E35="","非役職",VLOOKUP('従業員情報(給与以外)'!$E35,入力シート!$AH$37:$AO$62,5,0)))</f>
        <v/>
      </c>
      <c r="S35" s="116" t="str">
        <f>IF(OR(入力シート!$C$5&lt;&gt;入力リスト!$N$4,COUNTIF(入力シート!$J$16:$S$23,入力リスト!$K$4)=0),"",IF($A35="","",IF(ISERROR(AVERAGEIF(従業員の給与情報!$B:$B,$A35,従業員の給与情報!$C:$C)),0,IF(ISERROR(AVERAGEIF(従業員の給与情報!$B:$B,$A35,従業員の給与情報!$C:$C)),0,AVERAGEIF(従業員の給与情報!$B:$B,$A35,従業員の給与情報!$C:$C)))))</f>
        <v/>
      </c>
      <c r="T35" s="116" t="str">
        <f>IF(OR(入力シート!$C$5&lt;&gt;入力リスト!$N$4,COUNTIF(入力シート!$J$16:$S$23,入力リスト!$K$4)=0),"",IF(A35="","",IF(ISERROR(AVERAGEIF(従業員の給与情報!$B:$B,$A35,従業員の給与情報!$D:$D)),0,IF(ISERROR(AVERAGEIF(従業員の給与情報!$B:$B,$A35,従業員の給与情報!$D:$D)),0,AVERAGEIF(従業員の給与情報!$B:$B,$A35,従業員の給与情報!$D:$D)))))</f>
        <v/>
      </c>
      <c r="U35" s="116" t="str">
        <f>IF(OR(入力シート!$C$5&lt;&gt;入力リスト!$N$4,COUNTIF(入力シート!$J$16:$S$23,入力リスト!$K$4)=0),"",IF(A35="","",IF(ISERROR(AVERAGEIF(従業員の給与情報!$B:$B,$A35,従業員の給与情報!$E:$E)),0,IF(ISERROR(AVERAGEIF(従業員の給与情報!$B:$B,$A35,従業員の給与情報!$E:$E)),0,AVERAGEIF(従業員の給与情報!$B:$B,$A35,従業員の給与情報!$E:$E)))))</f>
        <v/>
      </c>
      <c r="V35" s="117" t="str">
        <f>IF(OR(入力シート!$C$5&lt;&gt;入力リスト!$N$4,COUNTIF(入力シート!$J$16:$S$23,入力リスト!$K$4)=0),"",IF(A35="","",IF(ISERROR(AVERAGEIF(従業員の給与情報!$B:$B,$A35,従業員の給与情報!$F:$F)),0,IF(ISERROR(AVERAGEIF(従業員の給与情報!$B:$B,$A35,従業員の給与情報!$F:$F)),0,AVERAGEIF(従業員の給与情報!$B:$B,$A35,従業員の給与情報!$F:$F)))))</f>
        <v/>
      </c>
      <c r="W35" s="182"/>
      <c r="X35" s="260"/>
    </row>
    <row r="36" spans="1:24" ht="19.5">
      <c r="A36" s="367"/>
      <c r="B36" s="364"/>
      <c r="C36" s="365"/>
      <c r="D36" s="366"/>
      <c r="E36" s="367"/>
      <c r="F36" s="372" t="str">
        <f>IF(G36,"この従業員番号は、すでに他のセルで入力されています。",IF(入力シート!$C$5=入力リスト!$N$5,"",IF(AND(A36="",B36="",C36="",D36="",E36=""),"",IF(OR(A36="",B36="",C36="",D36=""),IF(A36="","従業員番号","")&amp;IF(AND(A36="",OR(B36="",C36="",D36="")),",","")&amp;IF(B36="","雇用形態","")&amp;IF(AND(B36="",OR(C36="",D36="")),",","")&amp;IF(OR(入力シート!$J$18=入力リスト!$K$4,入力シート!$J$22=入力リスト!$K$4),IF(C36="","入社年月日",""),"")&amp;IF(AND(C36="",D36=""),",","")&amp;IF(D36="","性別","")&amp;IF(IF(A36="","従業員番号","")&amp;IF(B36="","雇用形態","")&amp;IF(OR(入力シート!$J$18=入力リスト!$K$4,入力シート!$J$22=入力リスト!$K$4),IF(C36="","入社年月日",""),"")&amp;IF(D36="","性別","")="","","が空白です。"),IF(J36,"入社年月日に「基準日」の翌日以降の日付が入力されています。","")&amp;IF(I36,"入社年月日に数値以外（又は1900/1/1以前の日付）が入力されています。","")&amp;IF(H36,"雇用形態"&amp;IF(OR(K36,L36),",",""),"")&amp;IF(K36,"性別"&amp;IF(L36,",",""),"")&amp;IF(L36,"役職","")&amp;IF(OR(H36,K36,L36),"に、［入力シート］(4)「貴社」欄と異なる文言が入力されています。","")))))</f>
        <v/>
      </c>
      <c r="G36" s="236" t="b">
        <f>COUNTIF($A$4:A35,$A36)&gt;0</f>
        <v>0</v>
      </c>
      <c r="H36" s="237" t="b">
        <f>IF(COUNTIF(入力シート!$J$16:$S$23,入力リスト!$K$4)=0,FALSE,IF(入力シート!$J$16=入力リスト!$K$5,FALSE,ISERROR(VLOOKUP(B36,入力シート!$S$37:$V$62,1,0))))</f>
        <v>0</v>
      </c>
      <c r="I36" s="237" t="b">
        <f>IF(AND(OR(入力シート!$J$18=入力リスト!$K$4,入力シート!$J$22=入力リスト!$K$4),入力シート!$J$24&lt;&gt;""),IF(ISERROR(C36+1),TRUE,IF(ISNUMBER(C36),FALSE,TRUE)),FALSE)</f>
        <v>0</v>
      </c>
      <c r="J36" s="237" t="b">
        <f>IF(AND(入力シート!$J$18=入力リスト!$K$4,入力シート!$J$22=入力リスト!$K$4),FALSE,IF(I36=TRUE,FALSE,IF(ISERROR(C36+1),FALSE,C36&gt;入力シート!$J$24)))</f>
        <v>0</v>
      </c>
      <c r="K36" s="237" t="b">
        <f>IF(COUNTIF(入力シート!$J$16:$S$23,入力リスト!$K$4)=0,FALSE,IF(AND(入力シート!$J$16&lt;&gt;入力リスト!$K$5,入力シート!$J$18&lt;&gt;入力リスト!$K$5,入力シート!$J$20&lt;&gt;入力リスト!$K$5,入力シート!$J$22&lt;&gt;入力リスト!$K$5),FALSE,ISERROR(VLOOKUP(D36,入力シート!$AW$37:$AY$38,1,0))))</f>
        <v>0</v>
      </c>
      <c r="L36" s="237" t="b">
        <f>IF(COUNTIF(入力シート!$J$16:$S$23,入力リスト!$K$4)=0,FALSE,IF(入力シート!$J$20=入力リスト!$K$5,FALSE,IF(E36="",FALSE,ISERROR(VLOOKUP(E36,入力シート!$AH$37:$AK$62,1,0)))))</f>
        <v>0</v>
      </c>
      <c r="M36" s="238" t="str">
        <f t="shared" si="0"/>
        <v/>
      </c>
      <c r="N36" s="236" t="str">
        <f>IF(B36="","",VLOOKUP('従業員情報(給与以外)'!$B36,入力シート!$S$37:$Z$62,5,0))</f>
        <v/>
      </c>
      <c r="O36" s="182" t="str">
        <f>IF(ISNUMBER(C36)=FALSE,"",IF(C36&gt;入力シート!$J$24,"",_xlfn.DAYS(入力シート!$J$24,'従業員情報(給与以外)'!$C36)/365))</f>
        <v/>
      </c>
      <c r="P36" s="237" t="str">
        <f>IF(O36="","",VLOOKUP(_xlfn.DAYS(入力シート!$J$24,'従業員情報(給与以外)'!$C36)/365,入力リスト!$H$4:$I$12,2,2))</f>
        <v/>
      </c>
      <c r="Q36" s="236" t="str">
        <f>IF(D36="","",VLOOKUP('従業員情報(給与以外)'!$D36,入力シート!$AW$37:$BB$38,4,0))</f>
        <v/>
      </c>
      <c r="R36" s="236" t="str">
        <f>IF(A36="","",IF(E36="","非役職",VLOOKUP('従業員情報(給与以外)'!$E36,入力シート!$AH$37:$AO$62,5,0)))</f>
        <v/>
      </c>
      <c r="S36" s="116" t="str">
        <f>IF(OR(入力シート!$C$5&lt;&gt;入力リスト!$N$4,COUNTIF(入力シート!$J$16:$S$23,入力リスト!$K$4)=0),"",IF($A36="","",IF(ISERROR(AVERAGEIF(従業員の給与情報!$B:$B,$A36,従業員の給与情報!$C:$C)),0,IF(ISERROR(AVERAGEIF(従業員の給与情報!$B:$B,$A36,従業員の給与情報!$C:$C)),0,AVERAGEIF(従業員の給与情報!$B:$B,$A36,従業員の給与情報!$C:$C)))))</f>
        <v/>
      </c>
      <c r="T36" s="116" t="str">
        <f>IF(OR(入力シート!$C$5&lt;&gt;入力リスト!$N$4,COUNTIF(入力シート!$J$16:$S$23,入力リスト!$K$4)=0),"",IF(A36="","",IF(ISERROR(AVERAGEIF(従業員の給与情報!$B:$B,$A36,従業員の給与情報!$D:$D)),0,IF(ISERROR(AVERAGEIF(従業員の給与情報!$B:$B,$A36,従業員の給与情報!$D:$D)),0,AVERAGEIF(従業員の給与情報!$B:$B,$A36,従業員の給与情報!$D:$D)))))</f>
        <v/>
      </c>
      <c r="U36" s="116" t="str">
        <f>IF(OR(入力シート!$C$5&lt;&gt;入力リスト!$N$4,COUNTIF(入力シート!$J$16:$S$23,入力リスト!$K$4)=0),"",IF(A36="","",IF(ISERROR(AVERAGEIF(従業員の給与情報!$B:$B,$A36,従業員の給与情報!$E:$E)),0,IF(ISERROR(AVERAGEIF(従業員の給与情報!$B:$B,$A36,従業員の給与情報!$E:$E)),0,AVERAGEIF(従業員の給与情報!$B:$B,$A36,従業員の給与情報!$E:$E)))))</f>
        <v/>
      </c>
      <c r="V36" s="117" t="str">
        <f>IF(OR(入力シート!$C$5&lt;&gt;入力リスト!$N$4,COUNTIF(入力シート!$J$16:$S$23,入力リスト!$K$4)=0),"",IF(A36="","",IF(ISERROR(AVERAGEIF(従業員の給与情報!$B:$B,$A36,従業員の給与情報!$F:$F)),0,IF(ISERROR(AVERAGEIF(従業員の給与情報!$B:$B,$A36,従業員の給与情報!$F:$F)),0,AVERAGEIF(従業員の給与情報!$B:$B,$A36,従業員の給与情報!$F:$F)))))</f>
        <v/>
      </c>
      <c r="W36" s="182"/>
      <c r="X36" s="260"/>
    </row>
    <row r="37" spans="1:24" ht="19.5">
      <c r="A37" s="367"/>
      <c r="B37" s="364"/>
      <c r="C37" s="365"/>
      <c r="D37" s="366"/>
      <c r="E37" s="367"/>
      <c r="F37" s="372" t="str">
        <f>IF(G37,"この従業員番号は、すでに他のセルで入力されています。",IF(入力シート!$C$5=入力リスト!$N$5,"",IF(AND(A37="",B37="",C37="",D37="",E37=""),"",IF(OR(A37="",B37="",C37="",D37=""),IF(A37="","従業員番号","")&amp;IF(AND(A37="",OR(B37="",C37="",D37="")),",","")&amp;IF(B37="","雇用形態","")&amp;IF(AND(B37="",OR(C37="",D37="")),",","")&amp;IF(OR(入力シート!$J$18=入力リスト!$K$4,入力シート!$J$22=入力リスト!$K$4),IF(C37="","入社年月日",""),"")&amp;IF(AND(C37="",D37=""),",","")&amp;IF(D37="","性別","")&amp;IF(IF(A37="","従業員番号","")&amp;IF(B37="","雇用形態","")&amp;IF(OR(入力シート!$J$18=入力リスト!$K$4,入力シート!$J$22=入力リスト!$K$4),IF(C37="","入社年月日",""),"")&amp;IF(D37="","性別","")="","","が空白です。"),IF(J37,"入社年月日に「基準日」の翌日以降の日付が入力されています。","")&amp;IF(I37,"入社年月日に数値以外（又は1900/1/1以前の日付）が入力されています。","")&amp;IF(H37,"雇用形態"&amp;IF(OR(K37,L37),",",""),"")&amp;IF(K37,"性別"&amp;IF(L37,",",""),"")&amp;IF(L37,"役職","")&amp;IF(OR(H37,K37,L37),"に、［入力シート］(4)「貴社」欄と異なる文言が入力されています。","")))))</f>
        <v/>
      </c>
      <c r="G37" s="236" t="b">
        <f>COUNTIF($A$4:A36,$A37)&gt;0</f>
        <v>0</v>
      </c>
      <c r="H37" s="237" t="b">
        <f>IF(COUNTIF(入力シート!$J$16:$S$23,入力リスト!$K$4)=0,FALSE,IF(入力シート!$J$16=入力リスト!$K$5,FALSE,ISERROR(VLOOKUP(B37,入力シート!$S$37:$V$62,1,0))))</f>
        <v>0</v>
      </c>
      <c r="I37" s="237" t="b">
        <f>IF(AND(OR(入力シート!$J$18=入力リスト!$K$4,入力シート!$J$22=入力リスト!$K$4),入力シート!$J$24&lt;&gt;""),IF(ISERROR(C37+1),TRUE,IF(ISNUMBER(C37),FALSE,TRUE)),FALSE)</f>
        <v>0</v>
      </c>
      <c r="J37" s="237" t="b">
        <f>IF(AND(入力シート!$J$18=入力リスト!$K$4,入力シート!$J$22=入力リスト!$K$4),FALSE,IF(I37=TRUE,FALSE,IF(ISERROR(C37+1),FALSE,C37&gt;入力シート!$J$24)))</f>
        <v>0</v>
      </c>
      <c r="K37" s="237" t="b">
        <f>IF(COUNTIF(入力シート!$J$16:$S$23,入力リスト!$K$4)=0,FALSE,IF(AND(入力シート!$J$16&lt;&gt;入力リスト!$K$5,入力シート!$J$18&lt;&gt;入力リスト!$K$5,入力シート!$J$20&lt;&gt;入力リスト!$K$5,入力シート!$J$22&lt;&gt;入力リスト!$K$5),FALSE,ISERROR(VLOOKUP(D37,入力シート!$AW$37:$AY$38,1,0))))</f>
        <v>0</v>
      </c>
      <c r="L37" s="237" t="b">
        <f>IF(COUNTIF(入力シート!$J$16:$S$23,入力リスト!$K$4)=0,FALSE,IF(入力シート!$J$20=入力リスト!$K$5,FALSE,IF(E37="",FALSE,ISERROR(VLOOKUP(E37,入力シート!$AH$37:$AK$62,1,0)))))</f>
        <v>0</v>
      </c>
      <c r="M37" s="238" t="str">
        <f t="shared" si="0"/>
        <v/>
      </c>
      <c r="N37" s="236" t="str">
        <f>IF(B37="","",VLOOKUP('従業員情報(給与以外)'!$B37,入力シート!$S$37:$Z$62,5,0))</f>
        <v/>
      </c>
      <c r="O37" s="182" t="str">
        <f>IF(ISNUMBER(C37)=FALSE,"",IF(C37&gt;入力シート!$J$24,"",_xlfn.DAYS(入力シート!$J$24,'従業員情報(給与以外)'!$C37)/365))</f>
        <v/>
      </c>
      <c r="P37" s="237" t="str">
        <f>IF(O37="","",VLOOKUP(_xlfn.DAYS(入力シート!$J$24,'従業員情報(給与以外)'!$C37)/365,入力リスト!$H$4:$I$12,2,2))</f>
        <v/>
      </c>
      <c r="Q37" s="236" t="str">
        <f>IF(D37="","",VLOOKUP('従業員情報(給与以外)'!$D37,入力シート!$AW$37:$BB$38,4,0))</f>
        <v/>
      </c>
      <c r="R37" s="236" t="str">
        <f>IF(A37="","",IF(E37="","非役職",VLOOKUP('従業員情報(給与以外)'!$E37,入力シート!$AH$37:$AO$62,5,0)))</f>
        <v/>
      </c>
      <c r="S37" s="116" t="str">
        <f>IF(OR(入力シート!$C$5&lt;&gt;入力リスト!$N$4,COUNTIF(入力シート!$J$16:$S$23,入力リスト!$K$4)=0),"",IF($A37="","",IF(ISERROR(AVERAGEIF(従業員の給与情報!$B:$B,$A37,従業員の給与情報!$C:$C)),0,IF(ISERROR(AVERAGEIF(従業員の給与情報!$B:$B,$A37,従業員の給与情報!$C:$C)),0,AVERAGEIF(従業員の給与情報!$B:$B,$A37,従業員の給与情報!$C:$C)))))</f>
        <v/>
      </c>
      <c r="T37" s="116" t="str">
        <f>IF(OR(入力シート!$C$5&lt;&gt;入力リスト!$N$4,COUNTIF(入力シート!$J$16:$S$23,入力リスト!$K$4)=0),"",IF(A37="","",IF(ISERROR(AVERAGEIF(従業員の給与情報!$B:$B,$A37,従業員の給与情報!$D:$D)),0,IF(ISERROR(AVERAGEIF(従業員の給与情報!$B:$B,$A37,従業員の給与情報!$D:$D)),0,AVERAGEIF(従業員の給与情報!$B:$B,$A37,従業員の給与情報!$D:$D)))))</f>
        <v/>
      </c>
      <c r="U37" s="116" t="str">
        <f>IF(OR(入力シート!$C$5&lt;&gt;入力リスト!$N$4,COUNTIF(入力シート!$J$16:$S$23,入力リスト!$K$4)=0),"",IF(A37="","",IF(ISERROR(AVERAGEIF(従業員の給与情報!$B:$B,$A37,従業員の給与情報!$E:$E)),0,IF(ISERROR(AVERAGEIF(従業員の給与情報!$B:$B,$A37,従業員の給与情報!$E:$E)),0,AVERAGEIF(従業員の給与情報!$B:$B,$A37,従業員の給与情報!$E:$E)))))</f>
        <v/>
      </c>
      <c r="V37" s="117" t="str">
        <f>IF(OR(入力シート!$C$5&lt;&gt;入力リスト!$N$4,COUNTIF(入力シート!$J$16:$S$23,入力リスト!$K$4)=0),"",IF(A37="","",IF(ISERROR(AVERAGEIF(従業員の給与情報!$B:$B,$A37,従業員の給与情報!$F:$F)),0,IF(ISERROR(AVERAGEIF(従業員の給与情報!$B:$B,$A37,従業員の給与情報!$F:$F)),0,AVERAGEIF(従業員の給与情報!$B:$B,$A37,従業員の給与情報!$F:$F)))))</f>
        <v/>
      </c>
      <c r="W37" s="182"/>
      <c r="X37" s="260"/>
    </row>
    <row r="38" spans="1:24" ht="19.5">
      <c r="A38" s="367"/>
      <c r="B38" s="364"/>
      <c r="C38" s="365"/>
      <c r="D38" s="366"/>
      <c r="E38" s="367"/>
      <c r="F38" s="372" t="str">
        <f>IF(G38,"この従業員番号は、すでに他のセルで入力されています。",IF(入力シート!$C$5=入力リスト!$N$5,"",IF(AND(A38="",B38="",C38="",D38="",E38=""),"",IF(OR(A38="",B38="",C38="",D38=""),IF(A38="","従業員番号","")&amp;IF(AND(A38="",OR(B38="",C38="",D38="")),",","")&amp;IF(B38="","雇用形態","")&amp;IF(AND(B38="",OR(C38="",D38="")),",","")&amp;IF(OR(入力シート!$J$18=入力リスト!$K$4,入力シート!$J$22=入力リスト!$K$4),IF(C38="","入社年月日",""),"")&amp;IF(AND(C38="",D38=""),",","")&amp;IF(D38="","性別","")&amp;IF(IF(A38="","従業員番号","")&amp;IF(B38="","雇用形態","")&amp;IF(OR(入力シート!$J$18=入力リスト!$K$4,入力シート!$J$22=入力リスト!$K$4),IF(C38="","入社年月日",""),"")&amp;IF(D38="","性別","")="","","が空白です。"),IF(J38,"入社年月日に「基準日」の翌日以降の日付が入力されています。","")&amp;IF(I38,"入社年月日に数値以外（又は1900/1/1以前の日付）が入力されています。","")&amp;IF(H38,"雇用形態"&amp;IF(OR(K38,L38),",",""),"")&amp;IF(K38,"性別"&amp;IF(L38,",",""),"")&amp;IF(L38,"役職","")&amp;IF(OR(H38,K38,L38),"に、［入力シート］(4)「貴社」欄と異なる文言が入力されています。","")))))</f>
        <v/>
      </c>
      <c r="G38" s="236" t="b">
        <f>COUNTIF($A$4:A37,$A38)&gt;0</f>
        <v>0</v>
      </c>
      <c r="H38" s="237" t="b">
        <f>IF(COUNTIF(入力シート!$J$16:$S$23,入力リスト!$K$4)=0,FALSE,IF(入力シート!$J$16=入力リスト!$K$5,FALSE,ISERROR(VLOOKUP(B38,入力シート!$S$37:$V$62,1,0))))</f>
        <v>0</v>
      </c>
      <c r="I38" s="237" t="b">
        <f>IF(AND(OR(入力シート!$J$18=入力リスト!$K$4,入力シート!$J$22=入力リスト!$K$4),入力シート!$J$24&lt;&gt;""),IF(ISERROR(C38+1),TRUE,IF(ISNUMBER(C38),FALSE,TRUE)),FALSE)</f>
        <v>0</v>
      </c>
      <c r="J38" s="237" t="b">
        <f>IF(AND(入力シート!$J$18=入力リスト!$K$4,入力シート!$J$22=入力リスト!$K$4),FALSE,IF(I38=TRUE,FALSE,IF(ISERROR(C38+1),FALSE,C38&gt;入力シート!$J$24)))</f>
        <v>0</v>
      </c>
      <c r="K38" s="237" t="b">
        <f>IF(COUNTIF(入力シート!$J$16:$S$23,入力リスト!$K$4)=0,FALSE,IF(AND(入力シート!$J$16&lt;&gt;入力リスト!$K$5,入力シート!$J$18&lt;&gt;入力リスト!$K$5,入力シート!$J$20&lt;&gt;入力リスト!$K$5,入力シート!$J$22&lt;&gt;入力リスト!$K$5),FALSE,ISERROR(VLOOKUP(D38,入力シート!$AW$37:$AY$38,1,0))))</f>
        <v>0</v>
      </c>
      <c r="L38" s="237" t="b">
        <f>IF(COUNTIF(入力シート!$J$16:$S$23,入力リスト!$K$4)=0,FALSE,IF(入力シート!$J$20=入力リスト!$K$5,FALSE,IF(E38="",FALSE,ISERROR(VLOOKUP(E38,入力シート!$AH$37:$AK$62,1,0)))))</f>
        <v>0</v>
      </c>
      <c r="M38" s="238" t="str">
        <f t="shared" si="0"/>
        <v/>
      </c>
      <c r="N38" s="236" t="str">
        <f>IF(B38="","",VLOOKUP('従業員情報(給与以外)'!$B38,入力シート!$S$37:$Z$62,5,0))</f>
        <v/>
      </c>
      <c r="O38" s="182" t="str">
        <f>IF(ISNUMBER(C38)=FALSE,"",IF(C38&gt;入力シート!$J$24,"",_xlfn.DAYS(入力シート!$J$24,'従業員情報(給与以外)'!$C38)/365))</f>
        <v/>
      </c>
      <c r="P38" s="237" t="str">
        <f>IF(O38="","",VLOOKUP(_xlfn.DAYS(入力シート!$J$24,'従業員情報(給与以外)'!$C38)/365,入力リスト!$H$4:$I$12,2,2))</f>
        <v/>
      </c>
      <c r="Q38" s="236" t="str">
        <f>IF(D38="","",VLOOKUP('従業員情報(給与以外)'!$D38,入力シート!$AW$37:$BB$38,4,0))</f>
        <v/>
      </c>
      <c r="R38" s="236" t="str">
        <f>IF(A38="","",IF(E38="","非役職",VLOOKUP('従業員情報(給与以外)'!$E38,入力シート!$AH$37:$AO$62,5,0)))</f>
        <v/>
      </c>
      <c r="S38" s="116" t="str">
        <f>IF(OR(入力シート!$C$5&lt;&gt;入力リスト!$N$4,COUNTIF(入力シート!$J$16:$S$23,入力リスト!$K$4)=0),"",IF($A38="","",IF(ISERROR(AVERAGEIF(従業員の給与情報!$B:$B,$A38,従業員の給与情報!$C:$C)),0,IF(ISERROR(AVERAGEIF(従業員の給与情報!$B:$B,$A38,従業員の給与情報!$C:$C)),0,AVERAGEIF(従業員の給与情報!$B:$B,$A38,従業員の給与情報!$C:$C)))))</f>
        <v/>
      </c>
      <c r="T38" s="116" t="str">
        <f>IF(OR(入力シート!$C$5&lt;&gt;入力リスト!$N$4,COUNTIF(入力シート!$J$16:$S$23,入力リスト!$K$4)=0),"",IF(A38="","",IF(ISERROR(AVERAGEIF(従業員の給与情報!$B:$B,$A38,従業員の給与情報!$D:$D)),0,IF(ISERROR(AVERAGEIF(従業員の給与情報!$B:$B,$A38,従業員の給与情報!$D:$D)),0,AVERAGEIF(従業員の給与情報!$B:$B,$A38,従業員の給与情報!$D:$D)))))</f>
        <v/>
      </c>
      <c r="U38" s="116" t="str">
        <f>IF(OR(入力シート!$C$5&lt;&gt;入力リスト!$N$4,COUNTIF(入力シート!$J$16:$S$23,入力リスト!$K$4)=0),"",IF(A38="","",IF(ISERROR(AVERAGEIF(従業員の給与情報!$B:$B,$A38,従業員の給与情報!$E:$E)),0,IF(ISERROR(AVERAGEIF(従業員の給与情報!$B:$B,$A38,従業員の給与情報!$E:$E)),0,AVERAGEIF(従業員の給与情報!$B:$B,$A38,従業員の給与情報!$E:$E)))))</f>
        <v/>
      </c>
      <c r="V38" s="117" t="str">
        <f>IF(OR(入力シート!$C$5&lt;&gt;入力リスト!$N$4,COUNTIF(入力シート!$J$16:$S$23,入力リスト!$K$4)=0),"",IF(A38="","",IF(ISERROR(AVERAGEIF(従業員の給与情報!$B:$B,$A38,従業員の給与情報!$F:$F)),0,IF(ISERROR(AVERAGEIF(従業員の給与情報!$B:$B,$A38,従業員の給与情報!$F:$F)),0,AVERAGEIF(従業員の給与情報!$B:$B,$A38,従業員の給与情報!$F:$F)))))</f>
        <v/>
      </c>
      <c r="W38" s="182"/>
      <c r="X38" s="260"/>
    </row>
    <row r="39" spans="1:24" ht="19.5">
      <c r="A39" s="367"/>
      <c r="B39" s="364"/>
      <c r="C39" s="365"/>
      <c r="D39" s="366"/>
      <c r="E39" s="367"/>
      <c r="F39" s="372" t="str">
        <f>IF(G39,"この従業員番号は、すでに他のセルで入力されています。",IF(入力シート!$C$5=入力リスト!$N$5,"",IF(AND(A39="",B39="",C39="",D39="",E39=""),"",IF(OR(A39="",B39="",C39="",D39=""),IF(A39="","従業員番号","")&amp;IF(AND(A39="",OR(B39="",C39="",D39="")),",","")&amp;IF(B39="","雇用形態","")&amp;IF(AND(B39="",OR(C39="",D39="")),",","")&amp;IF(OR(入力シート!$J$18=入力リスト!$K$4,入力シート!$J$22=入力リスト!$K$4),IF(C39="","入社年月日",""),"")&amp;IF(AND(C39="",D39=""),",","")&amp;IF(D39="","性別","")&amp;IF(IF(A39="","従業員番号","")&amp;IF(B39="","雇用形態","")&amp;IF(OR(入力シート!$J$18=入力リスト!$K$4,入力シート!$J$22=入力リスト!$K$4),IF(C39="","入社年月日",""),"")&amp;IF(D39="","性別","")="","","が空白です。"),IF(J39,"入社年月日に「基準日」の翌日以降の日付が入力されています。","")&amp;IF(I39,"入社年月日に数値以外（又は1900/1/1以前の日付）が入力されています。","")&amp;IF(H39,"雇用形態"&amp;IF(OR(K39,L39),",",""),"")&amp;IF(K39,"性別"&amp;IF(L39,",",""),"")&amp;IF(L39,"役職","")&amp;IF(OR(H39,K39,L39),"に、［入力シート］(4)「貴社」欄と異なる文言が入力されています。","")))))</f>
        <v/>
      </c>
      <c r="G39" s="236" t="b">
        <f>COUNTIF($A$4:A38,$A39)&gt;0</f>
        <v>0</v>
      </c>
      <c r="H39" s="237" t="b">
        <f>IF(COUNTIF(入力シート!$J$16:$S$23,入力リスト!$K$4)=0,FALSE,IF(入力シート!$J$16=入力リスト!$K$5,FALSE,ISERROR(VLOOKUP(B39,入力シート!$S$37:$V$62,1,0))))</f>
        <v>0</v>
      </c>
      <c r="I39" s="237" t="b">
        <f>IF(AND(OR(入力シート!$J$18=入力リスト!$K$4,入力シート!$J$22=入力リスト!$K$4),入力シート!$J$24&lt;&gt;""),IF(ISERROR(C39+1),TRUE,IF(ISNUMBER(C39),FALSE,TRUE)),FALSE)</f>
        <v>0</v>
      </c>
      <c r="J39" s="237" t="b">
        <f>IF(AND(入力シート!$J$18=入力リスト!$K$4,入力シート!$J$22=入力リスト!$K$4),FALSE,IF(I39=TRUE,FALSE,IF(ISERROR(C39+1),FALSE,C39&gt;入力シート!$J$24)))</f>
        <v>0</v>
      </c>
      <c r="K39" s="237" t="b">
        <f>IF(COUNTIF(入力シート!$J$16:$S$23,入力リスト!$K$4)=0,FALSE,IF(AND(入力シート!$J$16&lt;&gt;入力リスト!$K$5,入力シート!$J$18&lt;&gt;入力リスト!$K$5,入力シート!$J$20&lt;&gt;入力リスト!$K$5,入力シート!$J$22&lt;&gt;入力リスト!$K$5),FALSE,ISERROR(VLOOKUP(D39,入力シート!$AW$37:$AY$38,1,0))))</f>
        <v>0</v>
      </c>
      <c r="L39" s="237" t="b">
        <f>IF(COUNTIF(入力シート!$J$16:$S$23,入力リスト!$K$4)=0,FALSE,IF(入力シート!$J$20=入力リスト!$K$5,FALSE,IF(E39="",FALSE,ISERROR(VLOOKUP(E39,入力シート!$AH$37:$AK$62,1,0)))))</f>
        <v>0</v>
      </c>
      <c r="M39" s="238" t="str">
        <f t="shared" si="0"/>
        <v/>
      </c>
      <c r="N39" s="236" t="str">
        <f>IF(B39="","",VLOOKUP('従業員情報(給与以外)'!$B39,入力シート!$S$37:$Z$62,5,0))</f>
        <v/>
      </c>
      <c r="O39" s="182" t="str">
        <f>IF(ISNUMBER(C39)=FALSE,"",IF(C39&gt;入力シート!$J$24,"",_xlfn.DAYS(入力シート!$J$24,'従業員情報(給与以外)'!$C39)/365))</f>
        <v/>
      </c>
      <c r="P39" s="237" t="str">
        <f>IF(O39="","",VLOOKUP(_xlfn.DAYS(入力シート!$J$24,'従業員情報(給与以外)'!$C39)/365,入力リスト!$H$4:$I$12,2,2))</f>
        <v/>
      </c>
      <c r="Q39" s="236" t="str">
        <f>IF(D39="","",VLOOKUP('従業員情報(給与以外)'!$D39,入力シート!$AW$37:$BB$38,4,0))</f>
        <v/>
      </c>
      <c r="R39" s="236" t="str">
        <f>IF(A39="","",IF(E39="","非役職",VLOOKUP('従業員情報(給与以外)'!$E39,入力シート!$AH$37:$AO$62,5,0)))</f>
        <v/>
      </c>
      <c r="S39" s="116" t="str">
        <f>IF(OR(入力シート!$C$5&lt;&gt;入力リスト!$N$4,COUNTIF(入力シート!$J$16:$S$23,入力リスト!$K$4)=0),"",IF($A39="","",IF(ISERROR(AVERAGEIF(従業員の給与情報!$B:$B,$A39,従業員の給与情報!$C:$C)),0,IF(ISERROR(AVERAGEIF(従業員の給与情報!$B:$B,$A39,従業員の給与情報!$C:$C)),0,AVERAGEIF(従業員の給与情報!$B:$B,$A39,従業員の給与情報!$C:$C)))))</f>
        <v/>
      </c>
      <c r="T39" s="116" t="str">
        <f>IF(OR(入力シート!$C$5&lt;&gt;入力リスト!$N$4,COUNTIF(入力シート!$J$16:$S$23,入力リスト!$K$4)=0),"",IF(A39="","",IF(ISERROR(AVERAGEIF(従業員の給与情報!$B:$B,$A39,従業員の給与情報!$D:$D)),0,IF(ISERROR(AVERAGEIF(従業員の給与情報!$B:$B,$A39,従業員の給与情報!$D:$D)),0,AVERAGEIF(従業員の給与情報!$B:$B,$A39,従業員の給与情報!$D:$D)))))</f>
        <v/>
      </c>
      <c r="U39" s="116" t="str">
        <f>IF(OR(入力シート!$C$5&lt;&gt;入力リスト!$N$4,COUNTIF(入力シート!$J$16:$S$23,入力リスト!$K$4)=0),"",IF(A39="","",IF(ISERROR(AVERAGEIF(従業員の給与情報!$B:$B,$A39,従業員の給与情報!$E:$E)),0,IF(ISERROR(AVERAGEIF(従業員の給与情報!$B:$B,$A39,従業員の給与情報!$E:$E)),0,AVERAGEIF(従業員の給与情報!$B:$B,$A39,従業員の給与情報!$E:$E)))))</f>
        <v/>
      </c>
      <c r="V39" s="117" t="str">
        <f>IF(OR(入力シート!$C$5&lt;&gt;入力リスト!$N$4,COUNTIF(入力シート!$J$16:$S$23,入力リスト!$K$4)=0),"",IF(A39="","",IF(ISERROR(AVERAGEIF(従業員の給与情報!$B:$B,$A39,従業員の給与情報!$F:$F)),0,IF(ISERROR(AVERAGEIF(従業員の給与情報!$B:$B,$A39,従業員の給与情報!$F:$F)),0,AVERAGEIF(従業員の給与情報!$B:$B,$A39,従業員の給与情報!$F:$F)))))</f>
        <v/>
      </c>
      <c r="W39" s="182"/>
      <c r="X39" s="260"/>
    </row>
    <row r="40" spans="1:24" ht="19.5">
      <c r="A40" s="367"/>
      <c r="B40" s="364"/>
      <c r="C40" s="365"/>
      <c r="D40" s="366"/>
      <c r="E40" s="367"/>
      <c r="F40" s="372" t="str">
        <f>IF(G40,"この従業員番号は、すでに他のセルで入力されています。",IF(入力シート!$C$5=入力リスト!$N$5,"",IF(AND(A40="",B40="",C40="",D40="",E40=""),"",IF(OR(A40="",B40="",C40="",D40=""),IF(A40="","従業員番号","")&amp;IF(AND(A40="",OR(B40="",C40="",D40="")),",","")&amp;IF(B40="","雇用形態","")&amp;IF(AND(B40="",OR(C40="",D40="")),",","")&amp;IF(OR(入力シート!$J$18=入力リスト!$K$4,入力シート!$J$22=入力リスト!$K$4),IF(C40="","入社年月日",""),"")&amp;IF(AND(C40="",D40=""),",","")&amp;IF(D40="","性別","")&amp;IF(IF(A40="","従業員番号","")&amp;IF(B40="","雇用形態","")&amp;IF(OR(入力シート!$J$18=入力リスト!$K$4,入力シート!$J$22=入力リスト!$K$4),IF(C40="","入社年月日",""),"")&amp;IF(D40="","性別","")="","","が空白です。"),IF(J40,"入社年月日に「基準日」の翌日以降の日付が入力されています。","")&amp;IF(I40,"入社年月日に数値以外（又は1900/1/1以前の日付）が入力されています。","")&amp;IF(H40,"雇用形態"&amp;IF(OR(K40,L40),",",""),"")&amp;IF(K40,"性別"&amp;IF(L40,",",""),"")&amp;IF(L40,"役職","")&amp;IF(OR(H40,K40,L40),"に、［入力シート］(4)「貴社」欄と異なる文言が入力されています。","")))))</f>
        <v/>
      </c>
      <c r="G40" s="236" t="b">
        <f>COUNTIF($A$4:A39,$A40)&gt;0</f>
        <v>0</v>
      </c>
      <c r="H40" s="237" t="b">
        <f>IF(COUNTIF(入力シート!$J$16:$S$23,入力リスト!$K$4)=0,FALSE,IF(入力シート!$J$16=入力リスト!$K$5,FALSE,ISERROR(VLOOKUP(B40,入力シート!$S$37:$V$62,1,0))))</f>
        <v>0</v>
      </c>
      <c r="I40" s="237" t="b">
        <f>IF(AND(OR(入力シート!$J$18=入力リスト!$K$4,入力シート!$J$22=入力リスト!$K$4),入力シート!$J$24&lt;&gt;""),IF(ISERROR(C40+1),TRUE,IF(ISNUMBER(C40),FALSE,TRUE)),FALSE)</f>
        <v>0</v>
      </c>
      <c r="J40" s="237" t="b">
        <f>IF(AND(入力シート!$J$18=入力リスト!$K$4,入力シート!$J$22=入力リスト!$K$4),FALSE,IF(I40=TRUE,FALSE,IF(ISERROR(C40+1),FALSE,C40&gt;入力シート!$J$24)))</f>
        <v>0</v>
      </c>
      <c r="K40" s="237" t="b">
        <f>IF(COUNTIF(入力シート!$J$16:$S$23,入力リスト!$K$4)=0,FALSE,IF(AND(入力シート!$J$16&lt;&gt;入力リスト!$K$5,入力シート!$J$18&lt;&gt;入力リスト!$K$5,入力シート!$J$20&lt;&gt;入力リスト!$K$5,入力シート!$J$22&lt;&gt;入力リスト!$K$5),FALSE,ISERROR(VLOOKUP(D40,入力シート!$AW$37:$AY$38,1,0))))</f>
        <v>0</v>
      </c>
      <c r="L40" s="237" t="b">
        <f>IF(COUNTIF(入力シート!$J$16:$S$23,入力リスト!$K$4)=0,FALSE,IF(入力シート!$J$20=入力リスト!$K$5,FALSE,IF(E40="",FALSE,ISERROR(VLOOKUP(E40,入力シート!$AH$37:$AK$62,1,0)))))</f>
        <v>0</v>
      </c>
      <c r="M40" s="238" t="str">
        <f t="shared" si="0"/>
        <v/>
      </c>
      <c r="N40" s="236" t="str">
        <f>IF(B40="","",VLOOKUP('従業員情報(給与以外)'!$B40,入力シート!$S$37:$Z$62,5,0))</f>
        <v/>
      </c>
      <c r="O40" s="182" t="str">
        <f>IF(ISNUMBER(C40)=FALSE,"",IF(C40&gt;入力シート!$J$24,"",_xlfn.DAYS(入力シート!$J$24,'従業員情報(給与以外)'!$C40)/365))</f>
        <v/>
      </c>
      <c r="P40" s="237" t="str">
        <f>IF(O40="","",VLOOKUP(_xlfn.DAYS(入力シート!$J$24,'従業員情報(給与以外)'!$C40)/365,入力リスト!$H$4:$I$12,2,2))</f>
        <v/>
      </c>
      <c r="Q40" s="236" t="str">
        <f>IF(D40="","",VLOOKUP('従業員情報(給与以外)'!$D40,入力シート!$AW$37:$BB$38,4,0))</f>
        <v/>
      </c>
      <c r="R40" s="236" t="str">
        <f>IF(A40="","",IF(E40="","非役職",VLOOKUP('従業員情報(給与以外)'!$E40,入力シート!$AH$37:$AO$62,5,0)))</f>
        <v/>
      </c>
      <c r="S40" s="116" t="str">
        <f>IF(OR(入力シート!$C$5&lt;&gt;入力リスト!$N$4,COUNTIF(入力シート!$J$16:$S$23,入力リスト!$K$4)=0),"",IF($A40="","",IF(ISERROR(AVERAGEIF(従業員の給与情報!$B:$B,$A40,従業員の給与情報!$C:$C)),0,IF(ISERROR(AVERAGEIF(従業員の給与情報!$B:$B,$A40,従業員の給与情報!$C:$C)),0,AVERAGEIF(従業員の給与情報!$B:$B,$A40,従業員の給与情報!$C:$C)))))</f>
        <v/>
      </c>
      <c r="T40" s="116" t="str">
        <f>IF(OR(入力シート!$C$5&lt;&gt;入力リスト!$N$4,COUNTIF(入力シート!$J$16:$S$23,入力リスト!$K$4)=0),"",IF(A40="","",IF(ISERROR(AVERAGEIF(従業員の給与情報!$B:$B,$A40,従業員の給与情報!$D:$D)),0,IF(ISERROR(AVERAGEIF(従業員の給与情報!$B:$B,$A40,従業員の給与情報!$D:$D)),0,AVERAGEIF(従業員の給与情報!$B:$B,$A40,従業員の給与情報!$D:$D)))))</f>
        <v/>
      </c>
      <c r="U40" s="116" t="str">
        <f>IF(OR(入力シート!$C$5&lt;&gt;入力リスト!$N$4,COUNTIF(入力シート!$J$16:$S$23,入力リスト!$K$4)=0),"",IF(A40="","",IF(ISERROR(AVERAGEIF(従業員の給与情報!$B:$B,$A40,従業員の給与情報!$E:$E)),0,IF(ISERROR(AVERAGEIF(従業員の給与情報!$B:$B,$A40,従業員の給与情報!$E:$E)),0,AVERAGEIF(従業員の給与情報!$B:$B,$A40,従業員の給与情報!$E:$E)))))</f>
        <v/>
      </c>
      <c r="V40" s="117" t="str">
        <f>IF(OR(入力シート!$C$5&lt;&gt;入力リスト!$N$4,COUNTIF(入力シート!$J$16:$S$23,入力リスト!$K$4)=0),"",IF(A40="","",IF(ISERROR(AVERAGEIF(従業員の給与情報!$B:$B,$A40,従業員の給与情報!$F:$F)),0,IF(ISERROR(AVERAGEIF(従業員の給与情報!$B:$B,$A40,従業員の給与情報!$F:$F)),0,AVERAGEIF(従業員の給与情報!$B:$B,$A40,従業員の給与情報!$F:$F)))))</f>
        <v/>
      </c>
      <c r="W40" s="182"/>
      <c r="X40" s="260"/>
    </row>
    <row r="41" spans="1:24" ht="19.5">
      <c r="A41" s="367"/>
      <c r="B41" s="364"/>
      <c r="C41" s="365"/>
      <c r="D41" s="366"/>
      <c r="E41" s="367"/>
      <c r="F41" s="372" t="str">
        <f>IF(G41,"この従業員番号は、すでに他のセルで入力されています。",IF(入力シート!$C$5=入力リスト!$N$5,"",IF(AND(A41="",B41="",C41="",D41="",E41=""),"",IF(OR(A41="",B41="",C41="",D41=""),IF(A41="","従業員番号","")&amp;IF(AND(A41="",OR(B41="",C41="",D41="")),",","")&amp;IF(B41="","雇用形態","")&amp;IF(AND(B41="",OR(C41="",D41="")),",","")&amp;IF(OR(入力シート!$J$18=入力リスト!$K$4,入力シート!$J$22=入力リスト!$K$4),IF(C41="","入社年月日",""),"")&amp;IF(AND(C41="",D41=""),",","")&amp;IF(D41="","性別","")&amp;IF(IF(A41="","従業員番号","")&amp;IF(B41="","雇用形態","")&amp;IF(OR(入力シート!$J$18=入力リスト!$K$4,入力シート!$J$22=入力リスト!$K$4),IF(C41="","入社年月日",""),"")&amp;IF(D41="","性別","")="","","が空白です。"),IF(J41,"入社年月日に「基準日」の翌日以降の日付が入力されています。","")&amp;IF(I41,"入社年月日に数値以外（又は1900/1/1以前の日付）が入力されています。","")&amp;IF(H41,"雇用形態"&amp;IF(OR(K41,L41),",",""),"")&amp;IF(K41,"性別"&amp;IF(L41,",",""),"")&amp;IF(L41,"役職","")&amp;IF(OR(H41,K41,L41),"に、［入力シート］(4)「貴社」欄と異なる文言が入力されています。","")))))</f>
        <v/>
      </c>
      <c r="G41" s="236" t="b">
        <f>COUNTIF($A$4:A40,$A41)&gt;0</f>
        <v>0</v>
      </c>
      <c r="H41" s="237" t="b">
        <f>IF(COUNTIF(入力シート!$J$16:$S$23,入力リスト!$K$4)=0,FALSE,IF(入力シート!$J$16=入力リスト!$K$5,FALSE,ISERROR(VLOOKUP(B41,入力シート!$S$37:$V$62,1,0))))</f>
        <v>0</v>
      </c>
      <c r="I41" s="237" t="b">
        <f>IF(AND(OR(入力シート!$J$18=入力リスト!$K$4,入力シート!$J$22=入力リスト!$K$4),入力シート!$J$24&lt;&gt;""),IF(ISERROR(C41+1),TRUE,IF(ISNUMBER(C41),FALSE,TRUE)),FALSE)</f>
        <v>0</v>
      </c>
      <c r="J41" s="237" t="b">
        <f>IF(AND(入力シート!$J$18=入力リスト!$K$4,入力シート!$J$22=入力リスト!$K$4),FALSE,IF(I41=TRUE,FALSE,IF(ISERROR(C41+1),FALSE,C41&gt;入力シート!$J$24)))</f>
        <v>0</v>
      </c>
      <c r="K41" s="237" t="b">
        <f>IF(COUNTIF(入力シート!$J$16:$S$23,入力リスト!$K$4)=0,FALSE,IF(AND(入力シート!$J$16&lt;&gt;入力リスト!$K$5,入力シート!$J$18&lt;&gt;入力リスト!$K$5,入力シート!$J$20&lt;&gt;入力リスト!$K$5,入力シート!$J$22&lt;&gt;入力リスト!$K$5),FALSE,ISERROR(VLOOKUP(D41,入力シート!$AW$37:$AY$38,1,0))))</f>
        <v>0</v>
      </c>
      <c r="L41" s="237" t="b">
        <f>IF(COUNTIF(入力シート!$J$16:$S$23,入力リスト!$K$4)=0,FALSE,IF(入力シート!$J$20=入力リスト!$K$5,FALSE,IF(E41="",FALSE,ISERROR(VLOOKUP(E41,入力シート!$AH$37:$AK$62,1,0)))))</f>
        <v>0</v>
      </c>
      <c r="M41" s="238" t="str">
        <f t="shared" si="0"/>
        <v/>
      </c>
      <c r="N41" s="236" t="str">
        <f>IF(B41="","",VLOOKUP('従業員情報(給与以外)'!$B41,入力シート!$S$37:$Z$62,5,0))</f>
        <v/>
      </c>
      <c r="O41" s="182" t="str">
        <f>IF(ISNUMBER(C41)=FALSE,"",IF(C41&gt;入力シート!$J$24,"",_xlfn.DAYS(入力シート!$J$24,'従業員情報(給与以外)'!$C41)/365))</f>
        <v/>
      </c>
      <c r="P41" s="237" t="str">
        <f>IF(O41="","",VLOOKUP(_xlfn.DAYS(入力シート!$J$24,'従業員情報(給与以外)'!$C41)/365,入力リスト!$H$4:$I$12,2,2))</f>
        <v/>
      </c>
      <c r="Q41" s="236" t="str">
        <f>IF(D41="","",VLOOKUP('従業員情報(給与以外)'!$D41,入力シート!$AW$37:$BB$38,4,0))</f>
        <v/>
      </c>
      <c r="R41" s="236" t="str">
        <f>IF(A41="","",IF(E41="","非役職",VLOOKUP('従業員情報(給与以外)'!$E41,入力シート!$AH$37:$AO$62,5,0)))</f>
        <v/>
      </c>
      <c r="S41" s="116" t="str">
        <f>IF(OR(入力シート!$C$5&lt;&gt;入力リスト!$N$4,COUNTIF(入力シート!$J$16:$S$23,入力リスト!$K$4)=0),"",IF($A41="","",IF(ISERROR(AVERAGEIF(従業員の給与情報!$B:$B,$A41,従業員の給与情報!$C:$C)),0,IF(ISERROR(AVERAGEIF(従業員の給与情報!$B:$B,$A41,従業員の給与情報!$C:$C)),0,AVERAGEIF(従業員の給与情報!$B:$B,$A41,従業員の給与情報!$C:$C)))))</f>
        <v/>
      </c>
      <c r="T41" s="116" t="str">
        <f>IF(OR(入力シート!$C$5&lt;&gt;入力リスト!$N$4,COUNTIF(入力シート!$J$16:$S$23,入力リスト!$K$4)=0),"",IF(A41="","",IF(ISERROR(AVERAGEIF(従業員の給与情報!$B:$B,$A41,従業員の給与情報!$D:$D)),0,IF(ISERROR(AVERAGEIF(従業員の給与情報!$B:$B,$A41,従業員の給与情報!$D:$D)),0,AVERAGEIF(従業員の給与情報!$B:$B,$A41,従業員の給与情報!$D:$D)))))</f>
        <v/>
      </c>
      <c r="U41" s="116" t="str">
        <f>IF(OR(入力シート!$C$5&lt;&gt;入力リスト!$N$4,COUNTIF(入力シート!$J$16:$S$23,入力リスト!$K$4)=0),"",IF(A41="","",IF(ISERROR(AVERAGEIF(従業員の給与情報!$B:$B,$A41,従業員の給与情報!$E:$E)),0,IF(ISERROR(AVERAGEIF(従業員の給与情報!$B:$B,$A41,従業員の給与情報!$E:$E)),0,AVERAGEIF(従業員の給与情報!$B:$B,$A41,従業員の給与情報!$E:$E)))))</f>
        <v/>
      </c>
      <c r="V41" s="117" t="str">
        <f>IF(OR(入力シート!$C$5&lt;&gt;入力リスト!$N$4,COUNTIF(入力シート!$J$16:$S$23,入力リスト!$K$4)=0),"",IF(A41="","",IF(ISERROR(AVERAGEIF(従業員の給与情報!$B:$B,$A41,従業員の給与情報!$F:$F)),0,IF(ISERROR(AVERAGEIF(従業員の給与情報!$B:$B,$A41,従業員の給与情報!$F:$F)),0,AVERAGEIF(従業員の給与情報!$B:$B,$A41,従業員の給与情報!$F:$F)))))</f>
        <v/>
      </c>
      <c r="W41" s="182"/>
      <c r="X41" s="260"/>
    </row>
    <row r="42" spans="1:24" ht="19.5">
      <c r="A42" s="367"/>
      <c r="B42" s="364"/>
      <c r="C42" s="365"/>
      <c r="D42" s="366"/>
      <c r="E42" s="367"/>
      <c r="F42" s="372" t="str">
        <f>IF(G42,"この従業員番号は、すでに他のセルで入力されています。",IF(入力シート!$C$5=入力リスト!$N$5,"",IF(AND(A42="",B42="",C42="",D42="",E42=""),"",IF(OR(A42="",B42="",C42="",D42=""),IF(A42="","従業員番号","")&amp;IF(AND(A42="",OR(B42="",C42="",D42="")),",","")&amp;IF(B42="","雇用形態","")&amp;IF(AND(B42="",OR(C42="",D42="")),",","")&amp;IF(OR(入力シート!$J$18=入力リスト!$K$4,入力シート!$J$22=入力リスト!$K$4),IF(C42="","入社年月日",""),"")&amp;IF(AND(C42="",D42=""),",","")&amp;IF(D42="","性別","")&amp;IF(IF(A42="","従業員番号","")&amp;IF(B42="","雇用形態","")&amp;IF(OR(入力シート!$J$18=入力リスト!$K$4,入力シート!$J$22=入力リスト!$K$4),IF(C42="","入社年月日",""),"")&amp;IF(D42="","性別","")="","","が空白です。"),IF(J42,"入社年月日に「基準日」の翌日以降の日付が入力されています。","")&amp;IF(I42,"入社年月日に数値以外（又は1900/1/1以前の日付）が入力されています。","")&amp;IF(H42,"雇用形態"&amp;IF(OR(K42,L42),",",""),"")&amp;IF(K42,"性別"&amp;IF(L42,",",""),"")&amp;IF(L42,"役職","")&amp;IF(OR(H42,K42,L42),"に、［入力シート］(4)「貴社」欄と異なる文言が入力されています。","")))))</f>
        <v/>
      </c>
      <c r="G42" s="236" t="b">
        <f>COUNTIF($A$4:A41,$A42)&gt;0</f>
        <v>0</v>
      </c>
      <c r="H42" s="237" t="b">
        <f>IF(COUNTIF(入力シート!$J$16:$S$23,入力リスト!$K$4)=0,FALSE,IF(入力シート!$J$16=入力リスト!$K$5,FALSE,ISERROR(VLOOKUP(B42,入力シート!$S$37:$V$62,1,0))))</f>
        <v>0</v>
      </c>
      <c r="I42" s="237" t="b">
        <f>IF(AND(OR(入力シート!$J$18=入力リスト!$K$4,入力シート!$J$22=入力リスト!$K$4),入力シート!$J$24&lt;&gt;""),IF(ISERROR(C42+1),TRUE,IF(ISNUMBER(C42),FALSE,TRUE)),FALSE)</f>
        <v>0</v>
      </c>
      <c r="J42" s="237" t="b">
        <f>IF(AND(入力シート!$J$18=入力リスト!$K$4,入力シート!$J$22=入力リスト!$K$4),FALSE,IF(I42=TRUE,FALSE,IF(ISERROR(C42+1),FALSE,C42&gt;入力シート!$J$24)))</f>
        <v>0</v>
      </c>
      <c r="K42" s="237" t="b">
        <f>IF(COUNTIF(入力シート!$J$16:$S$23,入力リスト!$K$4)=0,FALSE,IF(AND(入力シート!$J$16&lt;&gt;入力リスト!$K$5,入力シート!$J$18&lt;&gt;入力リスト!$K$5,入力シート!$J$20&lt;&gt;入力リスト!$K$5,入力シート!$J$22&lt;&gt;入力リスト!$K$5),FALSE,ISERROR(VLOOKUP(D42,入力シート!$AW$37:$AY$38,1,0))))</f>
        <v>0</v>
      </c>
      <c r="L42" s="237" t="b">
        <f>IF(COUNTIF(入力シート!$J$16:$S$23,入力リスト!$K$4)=0,FALSE,IF(入力シート!$J$20=入力リスト!$K$5,FALSE,IF(E42="",FALSE,ISERROR(VLOOKUP(E42,入力シート!$AH$37:$AK$62,1,0)))))</f>
        <v>0</v>
      </c>
      <c r="M42" s="238" t="str">
        <f t="shared" si="0"/>
        <v/>
      </c>
      <c r="N42" s="236" t="str">
        <f>IF(B42="","",VLOOKUP('従業員情報(給与以外)'!$B42,入力シート!$S$37:$Z$62,5,0))</f>
        <v/>
      </c>
      <c r="O42" s="182" t="str">
        <f>IF(ISNUMBER(C42)=FALSE,"",IF(C42&gt;入力シート!$J$24,"",_xlfn.DAYS(入力シート!$J$24,'従業員情報(給与以外)'!$C42)/365))</f>
        <v/>
      </c>
      <c r="P42" s="237" t="str">
        <f>IF(O42="","",VLOOKUP(_xlfn.DAYS(入力シート!$J$24,'従業員情報(給与以外)'!$C42)/365,入力リスト!$H$4:$I$12,2,2))</f>
        <v/>
      </c>
      <c r="Q42" s="236" t="str">
        <f>IF(D42="","",VLOOKUP('従業員情報(給与以外)'!$D42,入力シート!$AW$37:$BB$38,4,0))</f>
        <v/>
      </c>
      <c r="R42" s="236" t="str">
        <f>IF(A42="","",IF(E42="","非役職",VLOOKUP('従業員情報(給与以外)'!$E42,入力シート!$AH$37:$AO$62,5,0)))</f>
        <v/>
      </c>
      <c r="S42" s="116" t="str">
        <f>IF(OR(入力シート!$C$5&lt;&gt;入力リスト!$N$4,COUNTIF(入力シート!$J$16:$S$23,入力リスト!$K$4)=0),"",IF($A42="","",IF(ISERROR(AVERAGEIF(従業員の給与情報!$B:$B,$A42,従業員の給与情報!$C:$C)),0,IF(ISERROR(AVERAGEIF(従業員の給与情報!$B:$B,$A42,従業員の給与情報!$C:$C)),0,AVERAGEIF(従業員の給与情報!$B:$B,$A42,従業員の給与情報!$C:$C)))))</f>
        <v/>
      </c>
      <c r="T42" s="116" t="str">
        <f>IF(OR(入力シート!$C$5&lt;&gt;入力リスト!$N$4,COUNTIF(入力シート!$J$16:$S$23,入力リスト!$K$4)=0),"",IF(A42="","",IF(ISERROR(AVERAGEIF(従業員の給与情報!$B:$B,$A42,従業員の給与情報!$D:$D)),0,IF(ISERROR(AVERAGEIF(従業員の給与情報!$B:$B,$A42,従業員の給与情報!$D:$D)),0,AVERAGEIF(従業員の給与情報!$B:$B,$A42,従業員の給与情報!$D:$D)))))</f>
        <v/>
      </c>
      <c r="U42" s="116" t="str">
        <f>IF(OR(入力シート!$C$5&lt;&gt;入力リスト!$N$4,COUNTIF(入力シート!$J$16:$S$23,入力リスト!$K$4)=0),"",IF(A42="","",IF(ISERROR(AVERAGEIF(従業員の給与情報!$B:$B,$A42,従業員の給与情報!$E:$E)),0,IF(ISERROR(AVERAGEIF(従業員の給与情報!$B:$B,$A42,従業員の給与情報!$E:$E)),0,AVERAGEIF(従業員の給与情報!$B:$B,$A42,従業員の給与情報!$E:$E)))))</f>
        <v/>
      </c>
      <c r="V42" s="117" t="str">
        <f>IF(OR(入力シート!$C$5&lt;&gt;入力リスト!$N$4,COUNTIF(入力シート!$J$16:$S$23,入力リスト!$K$4)=0),"",IF(A42="","",IF(ISERROR(AVERAGEIF(従業員の給与情報!$B:$B,$A42,従業員の給与情報!$F:$F)),0,IF(ISERROR(AVERAGEIF(従業員の給与情報!$B:$B,$A42,従業員の給与情報!$F:$F)),0,AVERAGEIF(従業員の給与情報!$B:$B,$A42,従業員の給与情報!$F:$F)))))</f>
        <v/>
      </c>
      <c r="W42" s="182"/>
      <c r="X42" s="260"/>
    </row>
    <row r="43" spans="1:24" ht="19.5">
      <c r="A43" s="367"/>
      <c r="B43" s="364"/>
      <c r="C43" s="365"/>
      <c r="D43" s="366"/>
      <c r="E43" s="367"/>
      <c r="F43" s="372" t="str">
        <f>IF(G43,"この従業員番号は、すでに他のセルで入力されています。",IF(入力シート!$C$5=入力リスト!$N$5,"",IF(AND(A43="",B43="",C43="",D43="",E43=""),"",IF(OR(A43="",B43="",C43="",D43=""),IF(A43="","従業員番号","")&amp;IF(AND(A43="",OR(B43="",C43="",D43="")),",","")&amp;IF(B43="","雇用形態","")&amp;IF(AND(B43="",OR(C43="",D43="")),",","")&amp;IF(OR(入力シート!$J$18=入力リスト!$K$4,入力シート!$J$22=入力リスト!$K$4),IF(C43="","入社年月日",""),"")&amp;IF(AND(C43="",D43=""),",","")&amp;IF(D43="","性別","")&amp;IF(IF(A43="","従業員番号","")&amp;IF(B43="","雇用形態","")&amp;IF(OR(入力シート!$J$18=入力リスト!$K$4,入力シート!$J$22=入力リスト!$K$4),IF(C43="","入社年月日",""),"")&amp;IF(D43="","性別","")="","","が空白です。"),IF(J43,"入社年月日に「基準日」の翌日以降の日付が入力されています。","")&amp;IF(I43,"入社年月日に数値以外（又は1900/1/1以前の日付）が入力されています。","")&amp;IF(H43,"雇用形態"&amp;IF(OR(K43,L43),",",""),"")&amp;IF(K43,"性別"&amp;IF(L43,",",""),"")&amp;IF(L43,"役職","")&amp;IF(OR(H43,K43,L43),"に、［入力シート］(4)「貴社」欄と異なる文言が入力されています。","")))))</f>
        <v/>
      </c>
      <c r="G43" s="236" t="b">
        <f>COUNTIF($A$4:A42,$A43)&gt;0</f>
        <v>0</v>
      </c>
      <c r="H43" s="237" t="b">
        <f>IF(COUNTIF(入力シート!$J$16:$S$23,入力リスト!$K$4)=0,FALSE,IF(入力シート!$J$16=入力リスト!$K$5,FALSE,ISERROR(VLOOKUP(B43,入力シート!$S$37:$V$62,1,0))))</f>
        <v>0</v>
      </c>
      <c r="I43" s="237" t="b">
        <f>IF(AND(OR(入力シート!$J$18=入力リスト!$K$4,入力シート!$J$22=入力リスト!$K$4),入力シート!$J$24&lt;&gt;""),IF(ISERROR(C43+1),TRUE,IF(ISNUMBER(C43),FALSE,TRUE)),FALSE)</f>
        <v>0</v>
      </c>
      <c r="J43" s="237" t="b">
        <f>IF(AND(入力シート!$J$18=入力リスト!$K$4,入力シート!$J$22=入力リスト!$K$4),FALSE,IF(I43=TRUE,FALSE,IF(ISERROR(C43+1),FALSE,C43&gt;入力シート!$J$24)))</f>
        <v>0</v>
      </c>
      <c r="K43" s="237" t="b">
        <f>IF(COUNTIF(入力シート!$J$16:$S$23,入力リスト!$K$4)=0,FALSE,IF(AND(入力シート!$J$16&lt;&gt;入力リスト!$K$5,入力シート!$J$18&lt;&gt;入力リスト!$K$5,入力シート!$J$20&lt;&gt;入力リスト!$K$5,入力シート!$J$22&lt;&gt;入力リスト!$K$5),FALSE,ISERROR(VLOOKUP(D43,入力シート!$AW$37:$AY$38,1,0))))</f>
        <v>0</v>
      </c>
      <c r="L43" s="237" t="b">
        <f>IF(COUNTIF(入力シート!$J$16:$S$23,入力リスト!$K$4)=0,FALSE,IF(入力シート!$J$20=入力リスト!$K$5,FALSE,IF(E43="",FALSE,ISERROR(VLOOKUP(E43,入力シート!$AH$37:$AK$62,1,0)))))</f>
        <v>0</v>
      </c>
      <c r="M43" s="238" t="str">
        <f t="shared" si="0"/>
        <v/>
      </c>
      <c r="N43" s="236" t="str">
        <f>IF(B43="","",VLOOKUP('従業員情報(給与以外)'!$B43,入力シート!$S$37:$Z$62,5,0))</f>
        <v/>
      </c>
      <c r="O43" s="182" t="str">
        <f>IF(ISNUMBER(C43)=FALSE,"",IF(C43&gt;入力シート!$J$24,"",_xlfn.DAYS(入力シート!$J$24,'従業員情報(給与以外)'!$C43)/365))</f>
        <v/>
      </c>
      <c r="P43" s="237" t="str">
        <f>IF(O43="","",VLOOKUP(_xlfn.DAYS(入力シート!$J$24,'従業員情報(給与以外)'!$C43)/365,入力リスト!$H$4:$I$12,2,2))</f>
        <v/>
      </c>
      <c r="Q43" s="236" t="str">
        <f>IF(D43="","",VLOOKUP('従業員情報(給与以外)'!$D43,入力シート!$AW$37:$BB$38,4,0))</f>
        <v/>
      </c>
      <c r="R43" s="236" t="str">
        <f>IF(A43="","",IF(E43="","非役職",VLOOKUP('従業員情報(給与以外)'!$E43,入力シート!$AH$37:$AO$62,5,0)))</f>
        <v/>
      </c>
      <c r="S43" s="116" t="str">
        <f>IF(OR(入力シート!$C$5&lt;&gt;入力リスト!$N$4,COUNTIF(入力シート!$J$16:$S$23,入力リスト!$K$4)=0),"",IF($A43="","",IF(ISERROR(AVERAGEIF(従業員の給与情報!$B:$B,$A43,従業員の給与情報!$C:$C)),0,IF(ISERROR(AVERAGEIF(従業員の給与情報!$B:$B,$A43,従業員の給与情報!$C:$C)),0,AVERAGEIF(従業員の給与情報!$B:$B,$A43,従業員の給与情報!$C:$C)))))</f>
        <v/>
      </c>
      <c r="T43" s="116" t="str">
        <f>IF(OR(入力シート!$C$5&lt;&gt;入力リスト!$N$4,COUNTIF(入力シート!$J$16:$S$23,入力リスト!$K$4)=0),"",IF(A43="","",IF(ISERROR(AVERAGEIF(従業員の給与情報!$B:$B,$A43,従業員の給与情報!$D:$D)),0,IF(ISERROR(AVERAGEIF(従業員の給与情報!$B:$B,$A43,従業員の給与情報!$D:$D)),0,AVERAGEIF(従業員の給与情報!$B:$B,$A43,従業員の給与情報!$D:$D)))))</f>
        <v/>
      </c>
      <c r="U43" s="116" t="str">
        <f>IF(OR(入力シート!$C$5&lt;&gt;入力リスト!$N$4,COUNTIF(入力シート!$J$16:$S$23,入力リスト!$K$4)=0),"",IF(A43="","",IF(ISERROR(AVERAGEIF(従業員の給与情報!$B:$B,$A43,従業員の給与情報!$E:$E)),0,IF(ISERROR(AVERAGEIF(従業員の給与情報!$B:$B,$A43,従業員の給与情報!$E:$E)),0,AVERAGEIF(従業員の給与情報!$B:$B,$A43,従業員の給与情報!$E:$E)))))</f>
        <v/>
      </c>
      <c r="V43" s="117" t="str">
        <f>IF(OR(入力シート!$C$5&lt;&gt;入力リスト!$N$4,COUNTIF(入力シート!$J$16:$S$23,入力リスト!$K$4)=0),"",IF(A43="","",IF(ISERROR(AVERAGEIF(従業員の給与情報!$B:$B,$A43,従業員の給与情報!$F:$F)),0,IF(ISERROR(AVERAGEIF(従業員の給与情報!$B:$B,$A43,従業員の給与情報!$F:$F)),0,AVERAGEIF(従業員の給与情報!$B:$B,$A43,従業員の給与情報!$F:$F)))))</f>
        <v/>
      </c>
      <c r="W43" s="182"/>
      <c r="X43" s="260"/>
    </row>
    <row r="44" spans="1:24" ht="19.5">
      <c r="A44" s="367"/>
      <c r="B44" s="364"/>
      <c r="C44" s="365"/>
      <c r="D44" s="366"/>
      <c r="E44" s="367"/>
      <c r="F44" s="372" t="str">
        <f>IF(G44,"この従業員番号は、すでに他のセルで入力されています。",IF(入力シート!$C$5=入力リスト!$N$5,"",IF(AND(A44="",B44="",C44="",D44="",E44=""),"",IF(OR(A44="",B44="",C44="",D44=""),IF(A44="","従業員番号","")&amp;IF(AND(A44="",OR(B44="",C44="",D44="")),",","")&amp;IF(B44="","雇用形態","")&amp;IF(AND(B44="",OR(C44="",D44="")),",","")&amp;IF(OR(入力シート!$J$18=入力リスト!$K$4,入力シート!$J$22=入力リスト!$K$4),IF(C44="","入社年月日",""),"")&amp;IF(AND(C44="",D44=""),",","")&amp;IF(D44="","性別","")&amp;IF(IF(A44="","従業員番号","")&amp;IF(B44="","雇用形態","")&amp;IF(OR(入力シート!$J$18=入力リスト!$K$4,入力シート!$J$22=入力リスト!$K$4),IF(C44="","入社年月日",""),"")&amp;IF(D44="","性別","")="","","が空白です。"),IF(J44,"入社年月日に「基準日」の翌日以降の日付が入力されています。","")&amp;IF(I44,"入社年月日に数値以外（又は1900/1/1以前の日付）が入力されています。","")&amp;IF(H44,"雇用形態"&amp;IF(OR(K44,L44),",",""),"")&amp;IF(K44,"性別"&amp;IF(L44,",",""),"")&amp;IF(L44,"役職","")&amp;IF(OR(H44,K44,L44),"に、［入力シート］(4)「貴社」欄と異なる文言が入力されています。","")))))</f>
        <v/>
      </c>
      <c r="G44" s="236" t="b">
        <f>COUNTIF($A$4:A43,$A44)&gt;0</f>
        <v>0</v>
      </c>
      <c r="H44" s="237" t="b">
        <f>IF(COUNTIF(入力シート!$J$16:$S$23,入力リスト!$K$4)=0,FALSE,IF(入力シート!$J$16=入力リスト!$K$5,FALSE,ISERROR(VLOOKUP(B44,入力シート!$S$37:$V$62,1,0))))</f>
        <v>0</v>
      </c>
      <c r="I44" s="237" t="b">
        <f>IF(AND(OR(入力シート!$J$18=入力リスト!$K$4,入力シート!$J$22=入力リスト!$K$4),入力シート!$J$24&lt;&gt;""),IF(ISERROR(C44+1),TRUE,IF(ISNUMBER(C44),FALSE,TRUE)),FALSE)</f>
        <v>0</v>
      </c>
      <c r="J44" s="237" t="b">
        <f>IF(AND(入力シート!$J$18=入力リスト!$K$4,入力シート!$J$22=入力リスト!$K$4),FALSE,IF(I44=TRUE,FALSE,IF(ISERROR(C44+1),FALSE,C44&gt;入力シート!$J$24)))</f>
        <v>0</v>
      </c>
      <c r="K44" s="237" t="b">
        <f>IF(COUNTIF(入力シート!$J$16:$S$23,入力リスト!$K$4)=0,FALSE,IF(AND(入力シート!$J$16&lt;&gt;入力リスト!$K$5,入力シート!$J$18&lt;&gt;入力リスト!$K$5,入力シート!$J$20&lt;&gt;入力リスト!$K$5,入力シート!$J$22&lt;&gt;入力リスト!$K$5),FALSE,ISERROR(VLOOKUP(D44,入力シート!$AW$37:$AY$38,1,0))))</f>
        <v>0</v>
      </c>
      <c r="L44" s="237" t="b">
        <f>IF(COUNTIF(入力シート!$J$16:$S$23,入力リスト!$K$4)=0,FALSE,IF(入力シート!$J$20=入力リスト!$K$5,FALSE,IF(E44="",FALSE,ISERROR(VLOOKUP(E44,入力シート!$AH$37:$AK$62,1,0)))))</f>
        <v>0</v>
      </c>
      <c r="M44" s="238" t="str">
        <f t="shared" si="0"/>
        <v/>
      </c>
      <c r="N44" s="236" t="str">
        <f>IF(B44="","",VLOOKUP('従業員情報(給与以外)'!$B44,入力シート!$S$37:$Z$62,5,0))</f>
        <v/>
      </c>
      <c r="O44" s="182" t="str">
        <f>IF(ISNUMBER(C44)=FALSE,"",IF(C44&gt;入力シート!$J$24,"",_xlfn.DAYS(入力シート!$J$24,'従業員情報(給与以外)'!$C44)/365))</f>
        <v/>
      </c>
      <c r="P44" s="237" t="str">
        <f>IF(O44="","",VLOOKUP(_xlfn.DAYS(入力シート!$J$24,'従業員情報(給与以外)'!$C44)/365,入力リスト!$H$4:$I$12,2,2))</f>
        <v/>
      </c>
      <c r="Q44" s="236" t="str">
        <f>IF(D44="","",VLOOKUP('従業員情報(給与以外)'!$D44,入力シート!$AW$37:$BB$38,4,0))</f>
        <v/>
      </c>
      <c r="R44" s="236" t="str">
        <f>IF(A44="","",IF(E44="","非役職",VLOOKUP('従業員情報(給与以外)'!$E44,入力シート!$AH$37:$AO$62,5,0)))</f>
        <v/>
      </c>
      <c r="S44" s="116" t="str">
        <f>IF(OR(入力シート!$C$5&lt;&gt;入力リスト!$N$4,COUNTIF(入力シート!$J$16:$S$23,入力リスト!$K$4)=0),"",IF($A44="","",IF(ISERROR(AVERAGEIF(従業員の給与情報!$B:$B,$A44,従業員の給与情報!$C:$C)),0,IF(ISERROR(AVERAGEIF(従業員の給与情報!$B:$B,$A44,従業員の給与情報!$C:$C)),0,AVERAGEIF(従業員の給与情報!$B:$B,$A44,従業員の給与情報!$C:$C)))))</f>
        <v/>
      </c>
      <c r="T44" s="116" t="str">
        <f>IF(OR(入力シート!$C$5&lt;&gt;入力リスト!$N$4,COUNTIF(入力シート!$J$16:$S$23,入力リスト!$K$4)=0),"",IF(A44="","",IF(ISERROR(AVERAGEIF(従業員の給与情報!$B:$B,$A44,従業員の給与情報!$D:$D)),0,IF(ISERROR(AVERAGEIF(従業員の給与情報!$B:$B,$A44,従業員の給与情報!$D:$D)),0,AVERAGEIF(従業員の給与情報!$B:$B,$A44,従業員の給与情報!$D:$D)))))</f>
        <v/>
      </c>
      <c r="U44" s="116" t="str">
        <f>IF(OR(入力シート!$C$5&lt;&gt;入力リスト!$N$4,COUNTIF(入力シート!$J$16:$S$23,入力リスト!$K$4)=0),"",IF(A44="","",IF(ISERROR(AVERAGEIF(従業員の給与情報!$B:$B,$A44,従業員の給与情報!$E:$E)),0,IF(ISERROR(AVERAGEIF(従業員の給与情報!$B:$B,$A44,従業員の給与情報!$E:$E)),0,AVERAGEIF(従業員の給与情報!$B:$B,$A44,従業員の給与情報!$E:$E)))))</f>
        <v/>
      </c>
      <c r="V44" s="117" t="str">
        <f>IF(OR(入力シート!$C$5&lt;&gt;入力リスト!$N$4,COUNTIF(入力シート!$J$16:$S$23,入力リスト!$K$4)=0),"",IF(A44="","",IF(ISERROR(AVERAGEIF(従業員の給与情報!$B:$B,$A44,従業員の給与情報!$F:$F)),0,IF(ISERROR(AVERAGEIF(従業員の給与情報!$B:$B,$A44,従業員の給与情報!$F:$F)),0,AVERAGEIF(従業員の給与情報!$B:$B,$A44,従業員の給与情報!$F:$F)))))</f>
        <v/>
      </c>
      <c r="W44" s="182"/>
      <c r="X44" s="260"/>
    </row>
    <row r="45" spans="1:24" ht="19.5">
      <c r="A45" s="367"/>
      <c r="B45" s="364"/>
      <c r="C45" s="365"/>
      <c r="D45" s="366"/>
      <c r="E45" s="367"/>
      <c r="F45" s="372" t="str">
        <f>IF(G45,"この従業員番号は、すでに他のセルで入力されています。",IF(入力シート!$C$5=入力リスト!$N$5,"",IF(AND(A45="",B45="",C45="",D45="",E45=""),"",IF(OR(A45="",B45="",C45="",D45=""),IF(A45="","従業員番号","")&amp;IF(AND(A45="",OR(B45="",C45="",D45="")),",","")&amp;IF(B45="","雇用形態","")&amp;IF(AND(B45="",OR(C45="",D45="")),",","")&amp;IF(OR(入力シート!$J$18=入力リスト!$K$4,入力シート!$J$22=入力リスト!$K$4),IF(C45="","入社年月日",""),"")&amp;IF(AND(C45="",D45=""),",","")&amp;IF(D45="","性別","")&amp;IF(IF(A45="","従業員番号","")&amp;IF(B45="","雇用形態","")&amp;IF(OR(入力シート!$J$18=入力リスト!$K$4,入力シート!$J$22=入力リスト!$K$4),IF(C45="","入社年月日",""),"")&amp;IF(D45="","性別","")="","","が空白です。"),IF(J45,"入社年月日に「基準日」の翌日以降の日付が入力されています。","")&amp;IF(I45,"入社年月日に数値以外（又は1900/1/1以前の日付）が入力されています。","")&amp;IF(H45,"雇用形態"&amp;IF(OR(K45,L45),",",""),"")&amp;IF(K45,"性別"&amp;IF(L45,",",""),"")&amp;IF(L45,"役職","")&amp;IF(OR(H45,K45,L45),"に、［入力シート］(4)「貴社」欄と異なる文言が入力されています。","")))))</f>
        <v/>
      </c>
      <c r="G45" s="236" t="b">
        <f>COUNTIF($A$4:A44,$A45)&gt;0</f>
        <v>0</v>
      </c>
      <c r="H45" s="237" t="b">
        <f>IF(COUNTIF(入力シート!$J$16:$S$23,入力リスト!$K$4)=0,FALSE,IF(入力シート!$J$16=入力リスト!$K$5,FALSE,ISERROR(VLOOKUP(B45,入力シート!$S$37:$V$62,1,0))))</f>
        <v>0</v>
      </c>
      <c r="I45" s="237" t="b">
        <f>IF(AND(OR(入力シート!$J$18=入力リスト!$K$4,入力シート!$J$22=入力リスト!$K$4),入力シート!$J$24&lt;&gt;""),IF(ISERROR(C45+1),TRUE,IF(ISNUMBER(C45),FALSE,TRUE)),FALSE)</f>
        <v>0</v>
      </c>
      <c r="J45" s="237" t="b">
        <f>IF(AND(入力シート!$J$18=入力リスト!$K$4,入力シート!$J$22=入力リスト!$K$4),FALSE,IF(I45=TRUE,FALSE,IF(ISERROR(C45+1),FALSE,C45&gt;入力シート!$J$24)))</f>
        <v>0</v>
      </c>
      <c r="K45" s="237" t="b">
        <f>IF(COUNTIF(入力シート!$J$16:$S$23,入力リスト!$K$4)=0,FALSE,IF(AND(入力シート!$J$16&lt;&gt;入力リスト!$K$5,入力シート!$J$18&lt;&gt;入力リスト!$K$5,入力シート!$J$20&lt;&gt;入力リスト!$K$5,入力シート!$J$22&lt;&gt;入力リスト!$K$5),FALSE,ISERROR(VLOOKUP(D45,入力シート!$AW$37:$AY$38,1,0))))</f>
        <v>0</v>
      </c>
      <c r="L45" s="237" t="b">
        <f>IF(COUNTIF(入力シート!$J$16:$S$23,入力リスト!$K$4)=0,FALSE,IF(入力シート!$J$20=入力リスト!$K$5,FALSE,IF(E45="",FALSE,ISERROR(VLOOKUP(E45,入力シート!$AH$37:$AK$62,1,0)))))</f>
        <v>0</v>
      </c>
      <c r="M45" s="238" t="str">
        <f t="shared" si="0"/>
        <v/>
      </c>
      <c r="N45" s="236" t="str">
        <f>IF(B45="","",VLOOKUP('従業員情報(給与以外)'!$B45,入力シート!$S$37:$Z$62,5,0))</f>
        <v/>
      </c>
      <c r="O45" s="182" t="str">
        <f>IF(ISNUMBER(C45)=FALSE,"",IF(C45&gt;入力シート!$J$24,"",_xlfn.DAYS(入力シート!$J$24,'従業員情報(給与以外)'!$C45)/365))</f>
        <v/>
      </c>
      <c r="P45" s="237" t="str">
        <f>IF(O45="","",VLOOKUP(_xlfn.DAYS(入力シート!$J$24,'従業員情報(給与以外)'!$C45)/365,入力リスト!$H$4:$I$12,2,2))</f>
        <v/>
      </c>
      <c r="Q45" s="236" t="str">
        <f>IF(D45="","",VLOOKUP('従業員情報(給与以外)'!$D45,入力シート!$AW$37:$BB$38,4,0))</f>
        <v/>
      </c>
      <c r="R45" s="236" t="str">
        <f>IF(A45="","",IF(E45="","非役職",VLOOKUP('従業員情報(給与以外)'!$E45,入力シート!$AH$37:$AO$62,5,0)))</f>
        <v/>
      </c>
      <c r="S45" s="116" t="str">
        <f>IF(OR(入力シート!$C$5&lt;&gt;入力リスト!$N$4,COUNTIF(入力シート!$J$16:$S$23,入力リスト!$K$4)=0),"",IF($A45="","",IF(ISERROR(AVERAGEIF(従業員の給与情報!$B:$B,$A45,従業員の給与情報!$C:$C)),0,IF(ISERROR(AVERAGEIF(従業員の給与情報!$B:$B,$A45,従業員の給与情報!$C:$C)),0,AVERAGEIF(従業員の給与情報!$B:$B,$A45,従業員の給与情報!$C:$C)))))</f>
        <v/>
      </c>
      <c r="T45" s="116" t="str">
        <f>IF(OR(入力シート!$C$5&lt;&gt;入力リスト!$N$4,COUNTIF(入力シート!$J$16:$S$23,入力リスト!$K$4)=0),"",IF(A45="","",IF(ISERROR(AVERAGEIF(従業員の給与情報!$B:$B,$A45,従業員の給与情報!$D:$D)),0,IF(ISERROR(AVERAGEIF(従業員の給与情報!$B:$B,$A45,従業員の給与情報!$D:$D)),0,AVERAGEIF(従業員の給与情報!$B:$B,$A45,従業員の給与情報!$D:$D)))))</f>
        <v/>
      </c>
      <c r="U45" s="116" t="str">
        <f>IF(OR(入力シート!$C$5&lt;&gt;入力リスト!$N$4,COUNTIF(入力シート!$J$16:$S$23,入力リスト!$K$4)=0),"",IF(A45="","",IF(ISERROR(AVERAGEIF(従業員の給与情報!$B:$B,$A45,従業員の給与情報!$E:$E)),0,IF(ISERROR(AVERAGEIF(従業員の給与情報!$B:$B,$A45,従業員の給与情報!$E:$E)),0,AVERAGEIF(従業員の給与情報!$B:$B,$A45,従業員の給与情報!$E:$E)))))</f>
        <v/>
      </c>
      <c r="V45" s="117" t="str">
        <f>IF(OR(入力シート!$C$5&lt;&gt;入力リスト!$N$4,COUNTIF(入力シート!$J$16:$S$23,入力リスト!$K$4)=0),"",IF(A45="","",IF(ISERROR(AVERAGEIF(従業員の給与情報!$B:$B,$A45,従業員の給与情報!$F:$F)),0,IF(ISERROR(AVERAGEIF(従業員の給与情報!$B:$B,$A45,従業員の給与情報!$F:$F)),0,AVERAGEIF(従業員の給与情報!$B:$B,$A45,従業員の給与情報!$F:$F)))))</f>
        <v/>
      </c>
      <c r="W45" s="182"/>
      <c r="X45" s="260"/>
    </row>
    <row r="46" spans="1:24" ht="19.5">
      <c r="A46" s="367"/>
      <c r="B46" s="364"/>
      <c r="C46" s="365"/>
      <c r="D46" s="366"/>
      <c r="E46" s="367"/>
      <c r="F46" s="372" t="str">
        <f>IF(G46,"この従業員番号は、すでに他のセルで入力されています。",IF(入力シート!$C$5=入力リスト!$N$5,"",IF(AND(A46="",B46="",C46="",D46="",E46=""),"",IF(OR(A46="",B46="",C46="",D46=""),IF(A46="","従業員番号","")&amp;IF(AND(A46="",OR(B46="",C46="",D46="")),",","")&amp;IF(B46="","雇用形態","")&amp;IF(AND(B46="",OR(C46="",D46="")),",","")&amp;IF(OR(入力シート!$J$18=入力リスト!$K$4,入力シート!$J$22=入力リスト!$K$4),IF(C46="","入社年月日",""),"")&amp;IF(AND(C46="",D46=""),",","")&amp;IF(D46="","性別","")&amp;IF(IF(A46="","従業員番号","")&amp;IF(B46="","雇用形態","")&amp;IF(OR(入力シート!$J$18=入力リスト!$K$4,入力シート!$J$22=入力リスト!$K$4),IF(C46="","入社年月日",""),"")&amp;IF(D46="","性別","")="","","が空白です。"),IF(J46,"入社年月日に「基準日」の翌日以降の日付が入力されています。","")&amp;IF(I46,"入社年月日に数値以外（又は1900/1/1以前の日付）が入力されています。","")&amp;IF(H46,"雇用形態"&amp;IF(OR(K46,L46),",",""),"")&amp;IF(K46,"性別"&amp;IF(L46,",",""),"")&amp;IF(L46,"役職","")&amp;IF(OR(H46,K46,L46),"に、［入力シート］(4)「貴社」欄と異なる文言が入力されています。","")))))</f>
        <v/>
      </c>
      <c r="G46" s="236" t="b">
        <f>COUNTIF($A$4:A45,$A46)&gt;0</f>
        <v>0</v>
      </c>
      <c r="H46" s="237" t="b">
        <f>IF(COUNTIF(入力シート!$J$16:$S$23,入力リスト!$K$4)=0,FALSE,IF(入力シート!$J$16=入力リスト!$K$5,FALSE,ISERROR(VLOOKUP(B46,入力シート!$S$37:$V$62,1,0))))</f>
        <v>0</v>
      </c>
      <c r="I46" s="237" t="b">
        <f>IF(AND(OR(入力シート!$J$18=入力リスト!$K$4,入力シート!$J$22=入力リスト!$K$4),入力シート!$J$24&lt;&gt;""),IF(ISERROR(C46+1),TRUE,IF(ISNUMBER(C46),FALSE,TRUE)),FALSE)</f>
        <v>0</v>
      </c>
      <c r="J46" s="237" t="b">
        <f>IF(AND(入力シート!$J$18=入力リスト!$K$4,入力シート!$J$22=入力リスト!$K$4),FALSE,IF(I46=TRUE,FALSE,IF(ISERROR(C46+1),FALSE,C46&gt;入力シート!$J$24)))</f>
        <v>0</v>
      </c>
      <c r="K46" s="237" t="b">
        <f>IF(COUNTIF(入力シート!$J$16:$S$23,入力リスト!$K$4)=0,FALSE,IF(AND(入力シート!$J$16&lt;&gt;入力リスト!$K$5,入力シート!$J$18&lt;&gt;入力リスト!$K$5,入力シート!$J$20&lt;&gt;入力リスト!$K$5,入力シート!$J$22&lt;&gt;入力リスト!$K$5),FALSE,ISERROR(VLOOKUP(D46,入力シート!$AW$37:$AY$38,1,0))))</f>
        <v>0</v>
      </c>
      <c r="L46" s="237" t="b">
        <f>IF(COUNTIF(入力シート!$J$16:$S$23,入力リスト!$K$4)=0,FALSE,IF(入力シート!$J$20=入力リスト!$K$5,FALSE,IF(E46="",FALSE,ISERROR(VLOOKUP(E46,入力シート!$AH$37:$AK$62,1,0)))))</f>
        <v>0</v>
      </c>
      <c r="M46" s="238" t="str">
        <f t="shared" si="0"/>
        <v/>
      </c>
      <c r="N46" s="236" t="str">
        <f>IF(B46="","",VLOOKUP('従業員情報(給与以外)'!$B46,入力シート!$S$37:$Z$62,5,0))</f>
        <v/>
      </c>
      <c r="O46" s="182" t="str">
        <f>IF(ISNUMBER(C46)=FALSE,"",IF(C46&gt;入力シート!$J$24,"",_xlfn.DAYS(入力シート!$J$24,'従業員情報(給与以外)'!$C46)/365))</f>
        <v/>
      </c>
      <c r="P46" s="237" t="str">
        <f>IF(O46="","",VLOOKUP(_xlfn.DAYS(入力シート!$J$24,'従業員情報(給与以外)'!$C46)/365,入力リスト!$H$4:$I$12,2,2))</f>
        <v/>
      </c>
      <c r="Q46" s="236" t="str">
        <f>IF(D46="","",VLOOKUP('従業員情報(給与以外)'!$D46,入力シート!$AW$37:$BB$38,4,0))</f>
        <v/>
      </c>
      <c r="R46" s="236" t="str">
        <f>IF(A46="","",IF(E46="","非役職",VLOOKUP('従業員情報(給与以外)'!$E46,入力シート!$AH$37:$AO$62,5,0)))</f>
        <v/>
      </c>
      <c r="S46" s="116" t="str">
        <f>IF(OR(入力シート!$C$5&lt;&gt;入力リスト!$N$4,COUNTIF(入力シート!$J$16:$S$23,入力リスト!$K$4)=0),"",IF($A46="","",IF(ISERROR(AVERAGEIF(従業員の給与情報!$B:$B,$A46,従業員の給与情報!$C:$C)),0,IF(ISERROR(AVERAGEIF(従業員の給与情報!$B:$B,$A46,従業員の給与情報!$C:$C)),0,AVERAGEIF(従業員の給与情報!$B:$B,$A46,従業員の給与情報!$C:$C)))))</f>
        <v/>
      </c>
      <c r="T46" s="116" t="str">
        <f>IF(OR(入力シート!$C$5&lt;&gt;入力リスト!$N$4,COUNTIF(入力シート!$J$16:$S$23,入力リスト!$K$4)=0),"",IF(A46="","",IF(ISERROR(AVERAGEIF(従業員の給与情報!$B:$B,$A46,従業員の給与情報!$D:$D)),0,IF(ISERROR(AVERAGEIF(従業員の給与情報!$B:$B,$A46,従業員の給与情報!$D:$D)),0,AVERAGEIF(従業員の給与情報!$B:$B,$A46,従業員の給与情報!$D:$D)))))</f>
        <v/>
      </c>
      <c r="U46" s="116" t="str">
        <f>IF(OR(入力シート!$C$5&lt;&gt;入力リスト!$N$4,COUNTIF(入力シート!$J$16:$S$23,入力リスト!$K$4)=0),"",IF(A46="","",IF(ISERROR(AVERAGEIF(従業員の給与情報!$B:$B,$A46,従業員の給与情報!$E:$E)),0,IF(ISERROR(AVERAGEIF(従業員の給与情報!$B:$B,$A46,従業員の給与情報!$E:$E)),0,AVERAGEIF(従業員の給与情報!$B:$B,$A46,従業員の給与情報!$E:$E)))))</f>
        <v/>
      </c>
      <c r="V46" s="117" t="str">
        <f>IF(OR(入力シート!$C$5&lt;&gt;入力リスト!$N$4,COUNTIF(入力シート!$J$16:$S$23,入力リスト!$K$4)=0),"",IF(A46="","",IF(ISERROR(AVERAGEIF(従業員の給与情報!$B:$B,$A46,従業員の給与情報!$F:$F)),0,IF(ISERROR(AVERAGEIF(従業員の給与情報!$B:$B,$A46,従業員の給与情報!$F:$F)),0,AVERAGEIF(従業員の給与情報!$B:$B,$A46,従業員の給与情報!$F:$F)))))</f>
        <v/>
      </c>
      <c r="W46" s="182"/>
      <c r="X46" s="260"/>
    </row>
    <row r="47" spans="1:24" ht="19.5">
      <c r="A47" s="367"/>
      <c r="B47" s="364"/>
      <c r="C47" s="365"/>
      <c r="D47" s="366"/>
      <c r="E47" s="367"/>
      <c r="F47" s="372" t="str">
        <f>IF(G47,"この従業員番号は、すでに他のセルで入力されています。",IF(入力シート!$C$5=入力リスト!$N$5,"",IF(AND(A47="",B47="",C47="",D47="",E47=""),"",IF(OR(A47="",B47="",C47="",D47=""),IF(A47="","従業員番号","")&amp;IF(AND(A47="",OR(B47="",C47="",D47="")),",","")&amp;IF(B47="","雇用形態","")&amp;IF(AND(B47="",OR(C47="",D47="")),",","")&amp;IF(OR(入力シート!$J$18=入力リスト!$K$4,入力シート!$J$22=入力リスト!$K$4),IF(C47="","入社年月日",""),"")&amp;IF(AND(C47="",D47=""),",","")&amp;IF(D47="","性別","")&amp;IF(IF(A47="","従業員番号","")&amp;IF(B47="","雇用形態","")&amp;IF(OR(入力シート!$J$18=入力リスト!$K$4,入力シート!$J$22=入力リスト!$K$4),IF(C47="","入社年月日",""),"")&amp;IF(D47="","性別","")="","","が空白です。"),IF(J47,"入社年月日に「基準日」の翌日以降の日付が入力されています。","")&amp;IF(I47,"入社年月日に数値以外（又は1900/1/1以前の日付）が入力されています。","")&amp;IF(H47,"雇用形態"&amp;IF(OR(K47,L47),",",""),"")&amp;IF(K47,"性別"&amp;IF(L47,",",""),"")&amp;IF(L47,"役職","")&amp;IF(OR(H47,K47,L47),"に、［入力シート］(4)「貴社」欄と異なる文言が入力されています。","")))))</f>
        <v/>
      </c>
      <c r="G47" s="236" t="b">
        <f>COUNTIF($A$4:A46,$A47)&gt;0</f>
        <v>0</v>
      </c>
      <c r="H47" s="237" t="b">
        <f>IF(COUNTIF(入力シート!$J$16:$S$23,入力リスト!$K$4)=0,FALSE,IF(入力シート!$J$16=入力リスト!$K$5,FALSE,ISERROR(VLOOKUP(B47,入力シート!$S$37:$V$62,1,0))))</f>
        <v>0</v>
      </c>
      <c r="I47" s="237" t="b">
        <f>IF(AND(OR(入力シート!$J$18=入力リスト!$K$4,入力シート!$J$22=入力リスト!$K$4),入力シート!$J$24&lt;&gt;""),IF(ISERROR(C47+1),TRUE,IF(ISNUMBER(C47),FALSE,TRUE)),FALSE)</f>
        <v>0</v>
      </c>
      <c r="J47" s="237" t="b">
        <f>IF(AND(入力シート!$J$18=入力リスト!$K$4,入力シート!$J$22=入力リスト!$K$4),FALSE,IF(I47=TRUE,FALSE,IF(ISERROR(C47+1),FALSE,C47&gt;入力シート!$J$24)))</f>
        <v>0</v>
      </c>
      <c r="K47" s="237" t="b">
        <f>IF(COUNTIF(入力シート!$J$16:$S$23,入力リスト!$K$4)=0,FALSE,IF(AND(入力シート!$J$16&lt;&gt;入力リスト!$K$5,入力シート!$J$18&lt;&gt;入力リスト!$K$5,入力シート!$J$20&lt;&gt;入力リスト!$K$5,入力シート!$J$22&lt;&gt;入力リスト!$K$5),FALSE,ISERROR(VLOOKUP(D47,入力シート!$AW$37:$AY$38,1,0))))</f>
        <v>0</v>
      </c>
      <c r="L47" s="237" t="b">
        <f>IF(COUNTIF(入力シート!$J$16:$S$23,入力リスト!$K$4)=0,FALSE,IF(入力シート!$J$20=入力リスト!$K$5,FALSE,IF(E47="",FALSE,ISERROR(VLOOKUP(E47,入力シート!$AH$37:$AK$62,1,0)))))</f>
        <v>0</v>
      </c>
      <c r="M47" s="238" t="str">
        <f t="shared" si="0"/>
        <v/>
      </c>
      <c r="N47" s="236" t="str">
        <f>IF(B47="","",VLOOKUP('従業員情報(給与以外)'!$B47,入力シート!$S$37:$Z$62,5,0))</f>
        <v/>
      </c>
      <c r="O47" s="182" t="str">
        <f>IF(ISNUMBER(C47)=FALSE,"",IF(C47&gt;入力シート!$J$24,"",_xlfn.DAYS(入力シート!$J$24,'従業員情報(給与以外)'!$C47)/365))</f>
        <v/>
      </c>
      <c r="P47" s="237" t="str">
        <f>IF(O47="","",VLOOKUP(_xlfn.DAYS(入力シート!$J$24,'従業員情報(給与以外)'!$C47)/365,入力リスト!$H$4:$I$12,2,2))</f>
        <v/>
      </c>
      <c r="Q47" s="236" t="str">
        <f>IF(D47="","",VLOOKUP('従業員情報(給与以外)'!$D47,入力シート!$AW$37:$BB$38,4,0))</f>
        <v/>
      </c>
      <c r="R47" s="236" t="str">
        <f>IF(A47="","",IF(E47="","非役職",VLOOKUP('従業員情報(給与以外)'!$E47,入力シート!$AH$37:$AO$62,5,0)))</f>
        <v/>
      </c>
      <c r="S47" s="116" t="str">
        <f>IF(OR(入力シート!$C$5&lt;&gt;入力リスト!$N$4,COUNTIF(入力シート!$J$16:$S$23,入力リスト!$K$4)=0),"",IF($A47="","",IF(ISERROR(AVERAGEIF(従業員の給与情報!$B:$B,$A47,従業員の給与情報!$C:$C)),0,IF(ISERROR(AVERAGEIF(従業員の給与情報!$B:$B,$A47,従業員の給与情報!$C:$C)),0,AVERAGEIF(従業員の給与情報!$B:$B,$A47,従業員の給与情報!$C:$C)))))</f>
        <v/>
      </c>
      <c r="T47" s="116" t="str">
        <f>IF(OR(入力シート!$C$5&lt;&gt;入力リスト!$N$4,COUNTIF(入力シート!$J$16:$S$23,入力リスト!$K$4)=0),"",IF(A47="","",IF(ISERROR(AVERAGEIF(従業員の給与情報!$B:$B,$A47,従業員の給与情報!$D:$D)),0,IF(ISERROR(AVERAGEIF(従業員の給与情報!$B:$B,$A47,従業員の給与情報!$D:$D)),0,AVERAGEIF(従業員の給与情報!$B:$B,$A47,従業員の給与情報!$D:$D)))))</f>
        <v/>
      </c>
      <c r="U47" s="116" t="str">
        <f>IF(OR(入力シート!$C$5&lt;&gt;入力リスト!$N$4,COUNTIF(入力シート!$J$16:$S$23,入力リスト!$K$4)=0),"",IF(A47="","",IF(ISERROR(AVERAGEIF(従業員の給与情報!$B:$B,$A47,従業員の給与情報!$E:$E)),0,IF(ISERROR(AVERAGEIF(従業員の給与情報!$B:$B,$A47,従業員の給与情報!$E:$E)),0,AVERAGEIF(従業員の給与情報!$B:$B,$A47,従業員の給与情報!$E:$E)))))</f>
        <v/>
      </c>
      <c r="V47" s="117" t="str">
        <f>IF(OR(入力シート!$C$5&lt;&gt;入力リスト!$N$4,COUNTIF(入力シート!$J$16:$S$23,入力リスト!$K$4)=0),"",IF(A47="","",IF(ISERROR(AVERAGEIF(従業員の給与情報!$B:$B,$A47,従業員の給与情報!$F:$F)),0,IF(ISERROR(AVERAGEIF(従業員の給与情報!$B:$B,$A47,従業員の給与情報!$F:$F)),0,AVERAGEIF(従業員の給与情報!$B:$B,$A47,従業員の給与情報!$F:$F)))))</f>
        <v/>
      </c>
      <c r="W47" s="182"/>
      <c r="X47" s="260"/>
    </row>
    <row r="48" spans="1:24" ht="19.5">
      <c r="A48" s="367"/>
      <c r="B48" s="364"/>
      <c r="C48" s="365"/>
      <c r="D48" s="366"/>
      <c r="E48" s="364"/>
      <c r="F48" s="372" t="str">
        <f>IF(G48,"この従業員番号は、すでに他のセルで入力されています。",IF(入力シート!$C$5=入力リスト!$N$5,"",IF(AND(A48="",B48="",C48="",D48="",E48=""),"",IF(OR(A48="",B48="",C48="",D48=""),IF(A48="","従業員番号","")&amp;IF(AND(A48="",OR(B48="",C48="",D48="")),",","")&amp;IF(B48="","雇用形態","")&amp;IF(AND(B48="",OR(C48="",D48="")),",","")&amp;IF(OR(入力シート!$J$18=入力リスト!$K$4,入力シート!$J$22=入力リスト!$K$4),IF(C48="","入社年月日",""),"")&amp;IF(AND(C48="",D48=""),",","")&amp;IF(D48="","性別","")&amp;IF(IF(A48="","従業員番号","")&amp;IF(B48="","雇用形態","")&amp;IF(OR(入力シート!$J$18=入力リスト!$K$4,入力シート!$J$22=入力リスト!$K$4),IF(C48="","入社年月日",""),"")&amp;IF(D48="","性別","")="","","が空白です。"),IF(J48,"入社年月日に「基準日」の翌日以降の日付が入力されています。","")&amp;IF(I48,"入社年月日に数値以外（又は1900/1/1以前の日付）が入力されています。","")&amp;IF(H48,"雇用形態"&amp;IF(OR(K48,L48),",",""),"")&amp;IF(K48,"性別"&amp;IF(L48,",",""),"")&amp;IF(L48,"役職","")&amp;IF(OR(H48,K48,L48),"に、［入力シート］(4)「貴社」欄と異なる文言が入力されています。","")))))</f>
        <v/>
      </c>
      <c r="G48" s="236" t="b">
        <f>COUNTIF($A$4:A47,$A48)&gt;0</f>
        <v>0</v>
      </c>
      <c r="H48" s="237" t="b">
        <f>IF(COUNTIF(入力シート!$J$16:$S$23,入力リスト!$K$4)=0,FALSE,IF(入力シート!$J$16=入力リスト!$K$5,FALSE,ISERROR(VLOOKUP(B48,入力シート!$S$37:$V$62,1,0))))</f>
        <v>0</v>
      </c>
      <c r="I48" s="237" t="b">
        <f>IF(AND(OR(入力シート!$J$18=入力リスト!$K$4,入力シート!$J$22=入力リスト!$K$4),入力シート!$J$24&lt;&gt;""),IF(ISERROR(C48+1),TRUE,IF(ISNUMBER(C48),FALSE,TRUE)),FALSE)</f>
        <v>0</v>
      </c>
      <c r="J48" s="237" t="b">
        <f>IF(AND(入力シート!$J$18=入力リスト!$K$4,入力シート!$J$22=入力リスト!$K$4),FALSE,IF(I48=TRUE,FALSE,IF(ISERROR(C48+1),FALSE,C48&gt;入力シート!$J$24)))</f>
        <v>0</v>
      </c>
      <c r="K48" s="237" t="b">
        <f>IF(COUNTIF(入力シート!$J$16:$S$23,入力リスト!$K$4)=0,FALSE,IF(AND(入力シート!$J$16&lt;&gt;入力リスト!$K$5,入力シート!$J$18&lt;&gt;入力リスト!$K$5,入力シート!$J$20&lt;&gt;入力リスト!$K$5,入力シート!$J$22&lt;&gt;入力リスト!$K$5),FALSE,ISERROR(VLOOKUP(D48,入力シート!$AW$37:$AY$38,1,0))))</f>
        <v>0</v>
      </c>
      <c r="L48" s="237" t="b">
        <f>IF(COUNTIF(入力シート!$J$16:$S$23,入力リスト!$K$4)=0,FALSE,IF(入力シート!$J$20=入力リスト!$K$5,FALSE,IF(E48="",FALSE,ISERROR(VLOOKUP(E48,入力シート!$AH$37:$AK$62,1,0)))))</f>
        <v>0</v>
      </c>
      <c r="M48" s="238" t="str">
        <f t="shared" si="0"/>
        <v/>
      </c>
      <c r="N48" s="236" t="str">
        <f>IF(B48="","",VLOOKUP('従業員情報(給与以外)'!$B48,入力シート!$S$37:$Z$62,5,0))</f>
        <v/>
      </c>
      <c r="O48" s="182" t="str">
        <f>IF(ISNUMBER(C48)=FALSE,"",IF(C48&gt;入力シート!$J$24,"",_xlfn.DAYS(入力シート!$J$24,'従業員情報(給与以外)'!$C48)/365))</f>
        <v/>
      </c>
      <c r="P48" s="237" t="str">
        <f>IF(O48="","",VLOOKUP(_xlfn.DAYS(入力シート!$J$24,'従業員情報(給与以外)'!$C48)/365,入力リスト!$H$4:$I$12,2,2))</f>
        <v/>
      </c>
      <c r="Q48" s="236" t="str">
        <f>IF(D48="","",VLOOKUP('従業員情報(給与以外)'!$D48,入力シート!$AW$37:$BB$38,4,0))</f>
        <v/>
      </c>
      <c r="R48" s="236" t="str">
        <f>IF(A48="","",IF(E48="","非役職",VLOOKUP('従業員情報(給与以外)'!$E48,入力シート!$AH$37:$AO$62,5,0)))</f>
        <v/>
      </c>
      <c r="S48" s="116" t="str">
        <f>IF(OR(入力シート!$C$5&lt;&gt;入力リスト!$N$4,COUNTIF(入力シート!$J$16:$S$23,入力リスト!$K$4)=0),"",IF($A48="","",IF(ISERROR(AVERAGEIF(従業員の給与情報!$B:$B,$A48,従業員の給与情報!$C:$C)),0,IF(ISERROR(AVERAGEIF(従業員の給与情報!$B:$B,$A48,従業員の給与情報!$C:$C)),0,AVERAGEIF(従業員の給与情報!$B:$B,$A48,従業員の給与情報!$C:$C)))))</f>
        <v/>
      </c>
      <c r="T48" s="116" t="str">
        <f>IF(OR(入力シート!$C$5&lt;&gt;入力リスト!$N$4,COUNTIF(入力シート!$J$16:$S$23,入力リスト!$K$4)=0),"",IF(A48="","",IF(ISERROR(AVERAGEIF(従業員の給与情報!$B:$B,$A48,従業員の給与情報!$D:$D)),0,IF(ISERROR(AVERAGEIF(従業員の給与情報!$B:$B,$A48,従業員の給与情報!$D:$D)),0,AVERAGEIF(従業員の給与情報!$B:$B,$A48,従業員の給与情報!$D:$D)))))</f>
        <v/>
      </c>
      <c r="U48" s="116" t="str">
        <f>IF(OR(入力シート!$C$5&lt;&gt;入力リスト!$N$4,COUNTIF(入力シート!$J$16:$S$23,入力リスト!$K$4)=0),"",IF(A48="","",IF(ISERROR(AVERAGEIF(従業員の給与情報!$B:$B,$A48,従業員の給与情報!$E:$E)),0,IF(ISERROR(AVERAGEIF(従業員の給与情報!$B:$B,$A48,従業員の給与情報!$E:$E)),0,AVERAGEIF(従業員の給与情報!$B:$B,$A48,従業員の給与情報!$E:$E)))))</f>
        <v/>
      </c>
      <c r="V48" s="117" t="str">
        <f>IF(OR(入力シート!$C$5&lt;&gt;入力リスト!$N$4,COUNTIF(入力シート!$J$16:$S$23,入力リスト!$K$4)=0),"",IF(A48="","",IF(ISERROR(AVERAGEIF(従業員の給与情報!$B:$B,$A48,従業員の給与情報!$F:$F)),0,IF(ISERROR(AVERAGEIF(従業員の給与情報!$B:$B,$A48,従業員の給与情報!$F:$F)),0,AVERAGEIF(従業員の給与情報!$B:$B,$A48,従業員の給与情報!$F:$F)))))</f>
        <v/>
      </c>
      <c r="W48" s="182"/>
      <c r="X48" s="260"/>
    </row>
    <row r="49" spans="1:24" ht="19.5">
      <c r="A49" s="367"/>
      <c r="B49" s="364"/>
      <c r="C49" s="365"/>
      <c r="D49" s="366"/>
      <c r="E49" s="367"/>
      <c r="F49" s="372" t="str">
        <f>IF(G49,"この従業員番号は、すでに他のセルで入力されています。",IF(入力シート!$C$5=入力リスト!$N$5,"",IF(AND(A49="",B49="",C49="",D49="",E49=""),"",IF(OR(A49="",B49="",C49="",D49=""),IF(A49="","従業員番号","")&amp;IF(AND(A49="",OR(B49="",C49="",D49="")),",","")&amp;IF(B49="","雇用形態","")&amp;IF(AND(B49="",OR(C49="",D49="")),",","")&amp;IF(OR(入力シート!$J$18=入力リスト!$K$4,入力シート!$J$22=入力リスト!$K$4),IF(C49="","入社年月日",""),"")&amp;IF(AND(C49="",D49=""),",","")&amp;IF(D49="","性別","")&amp;IF(IF(A49="","従業員番号","")&amp;IF(B49="","雇用形態","")&amp;IF(OR(入力シート!$J$18=入力リスト!$K$4,入力シート!$J$22=入力リスト!$K$4),IF(C49="","入社年月日",""),"")&amp;IF(D49="","性別","")="","","が空白です。"),IF(J49,"入社年月日に「基準日」の翌日以降の日付が入力されています。","")&amp;IF(I49,"入社年月日に数値以外（又は1900/1/1以前の日付）が入力されています。","")&amp;IF(H49,"雇用形態"&amp;IF(OR(K49,L49),",",""),"")&amp;IF(K49,"性別"&amp;IF(L49,",",""),"")&amp;IF(L49,"役職","")&amp;IF(OR(H49,K49,L49),"に、［入力シート］(4)「貴社」欄と異なる文言が入力されています。","")))))</f>
        <v/>
      </c>
      <c r="G49" s="236" t="b">
        <f>COUNTIF($A$4:A48,$A49)&gt;0</f>
        <v>0</v>
      </c>
      <c r="H49" s="237" t="b">
        <f>IF(COUNTIF(入力シート!$J$16:$S$23,入力リスト!$K$4)=0,FALSE,IF(入力シート!$J$16=入力リスト!$K$5,FALSE,ISERROR(VLOOKUP(B49,入力シート!$S$37:$V$62,1,0))))</f>
        <v>0</v>
      </c>
      <c r="I49" s="237" t="b">
        <f>IF(AND(OR(入力シート!$J$18=入力リスト!$K$4,入力シート!$J$22=入力リスト!$K$4),入力シート!$J$24&lt;&gt;""),IF(ISERROR(C49+1),TRUE,IF(ISNUMBER(C49),FALSE,TRUE)),FALSE)</f>
        <v>0</v>
      </c>
      <c r="J49" s="237" t="b">
        <f>IF(AND(入力シート!$J$18=入力リスト!$K$4,入力シート!$J$22=入力リスト!$K$4),FALSE,IF(I49=TRUE,FALSE,IF(ISERROR(C49+1),FALSE,C49&gt;入力シート!$J$24)))</f>
        <v>0</v>
      </c>
      <c r="K49" s="237" t="b">
        <f>IF(COUNTIF(入力シート!$J$16:$S$23,入力リスト!$K$4)=0,FALSE,IF(AND(入力シート!$J$16&lt;&gt;入力リスト!$K$5,入力シート!$J$18&lt;&gt;入力リスト!$K$5,入力シート!$J$20&lt;&gt;入力リスト!$K$5,入力シート!$J$22&lt;&gt;入力リスト!$K$5),FALSE,ISERROR(VLOOKUP(D49,入力シート!$AW$37:$AY$38,1,0))))</f>
        <v>0</v>
      </c>
      <c r="L49" s="237" t="b">
        <f>IF(COUNTIF(入力シート!$J$16:$S$23,入力リスト!$K$4)=0,FALSE,IF(入力シート!$J$20=入力リスト!$K$5,FALSE,IF(E49="",FALSE,ISERROR(VLOOKUP(E49,入力シート!$AH$37:$AK$62,1,0)))))</f>
        <v>0</v>
      </c>
      <c r="M49" s="238" t="str">
        <f t="shared" si="0"/>
        <v/>
      </c>
      <c r="N49" s="236" t="str">
        <f>IF(B49="","",VLOOKUP('従業員情報(給与以外)'!$B49,入力シート!$S$37:$Z$62,5,0))</f>
        <v/>
      </c>
      <c r="O49" s="182" t="str">
        <f>IF(ISNUMBER(C49)=FALSE,"",IF(C49&gt;入力シート!$J$24,"",_xlfn.DAYS(入力シート!$J$24,'従業員情報(給与以外)'!$C49)/365))</f>
        <v/>
      </c>
      <c r="P49" s="237" t="str">
        <f>IF(O49="","",VLOOKUP(_xlfn.DAYS(入力シート!$J$24,'従業員情報(給与以外)'!$C49)/365,入力リスト!$H$4:$I$12,2,2))</f>
        <v/>
      </c>
      <c r="Q49" s="236" t="str">
        <f>IF(D49="","",VLOOKUP('従業員情報(給与以外)'!$D49,入力シート!$AW$37:$BB$38,4,0))</f>
        <v/>
      </c>
      <c r="R49" s="236" t="str">
        <f>IF(A49="","",IF(E49="","非役職",VLOOKUP('従業員情報(給与以外)'!$E49,入力シート!$AH$37:$AO$62,5,0)))</f>
        <v/>
      </c>
      <c r="S49" s="116" t="str">
        <f>IF(OR(入力シート!$C$5&lt;&gt;入力リスト!$N$4,COUNTIF(入力シート!$J$16:$S$23,入力リスト!$K$4)=0),"",IF($A49="","",IF(ISERROR(AVERAGEIF(従業員の給与情報!$B:$B,$A49,従業員の給与情報!$C:$C)),0,IF(ISERROR(AVERAGEIF(従業員の給与情報!$B:$B,$A49,従業員の給与情報!$C:$C)),0,AVERAGEIF(従業員の給与情報!$B:$B,$A49,従業員の給与情報!$C:$C)))))</f>
        <v/>
      </c>
      <c r="T49" s="116" t="str">
        <f>IF(OR(入力シート!$C$5&lt;&gt;入力リスト!$N$4,COUNTIF(入力シート!$J$16:$S$23,入力リスト!$K$4)=0),"",IF(A49="","",IF(ISERROR(AVERAGEIF(従業員の給与情報!$B:$B,$A49,従業員の給与情報!$D:$D)),0,IF(ISERROR(AVERAGEIF(従業員の給与情報!$B:$B,$A49,従業員の給与情報!$D:$D)),0,AVERAGEIF(従業員の給与情報!$B:$B,$A49,従業員の給与情報!$D:$D)))))</f>
        <v/>
      </c>
      <c r="U49" s="116" t="str">
        <f>IF(OR(入力シート!$C$5&lt;&gt;入力リスト!$N$4,COUNTIF(入力シート!$J$16:$S$23,入力リスト!$K$4)=0),"",IF(A49="","",IF(ISERROR(AVERAGEIF(従業員の給与情報!$B:$B,$A49,従業員の給与情報!$E:$E)),0,IF(ISERROR(AVERAGEIF(従業員の給与情報!$B:$B,$A49,従業員の給与情報!$E:$E)),0,AVERAGEIF(従業員の給与情報!$B:$B,$A49,従業員の給与情報!$E:$E)))))</f>
        <v/>
      </c>
      <c r="V49" s="117" t="str">
        <f>IF(OR(入力シート!$C$5&lt;&gt;入力リスト!$N$4,COUNTIF(入力シート!$J$16:$S$23,入力リスト!$K$4)=0),"",IF(A49="","",IF(ISERROR(AVERAGEIF(従業員の給与情報!$B:$B,$A49,従業員の給与情報!$F:$F)),0,IF(ISERROR(AVERAGEIF(従業員の給与情報!$B:$B,$A49,従業員の給与情報!$F:$F)),0,AVERAGEIF(従業員の給与情報!$B:$B,$A49,従業員の給与情報!$F:$F)))))</f>
        <v/>
      </c>
      <c r="W49" s="182"/>
      <c r="X49" s="260"/>
    </row>
    <row r="50" spans="1:24" ht="19.5">
      <c r="A50" s="367"/>
      <c r="B50" s="364"/>
      <c r="C50" s="365"/>
      <c r="D50" s="366"/>
      <c r="E50" s="367"/>
      <c r="F50" s="372" t="str">
        <f>IF(G50,"この従業員番号は、すでに他のセルで入力されています。",IF(入力シート!$C$5=入力リスト!$N$5,"",IF(AND(A50="",B50="",C50="",D50="",E50=""),"",IF(OR(A50="",B50="",C50="",D50=""),IF(A50="","従業員番号","")&amp;IF(AND(A50="",OR(B50="",C50="",D50="")),",","")&amp;IF(B50="","雇用形態","")&amp;IF(AND(B50="",OR(C50="",D50="")),",","")&amp;IF(OR(入力シート!$J$18=入力リスト!$K$4,入力シート!$J$22=入力リスト!$K$4),IF(C50="","入社年月日",""),"")&amp;IF(AND(C50="",D50=""),",","")&amp;IF(D50="","性別","")&amp;IF(IF(A50="","従業員番号","")&amp;IF(B50="","雇用形態","")&amp;IF(OR(入力シート!$J$18=入力リスト!$K$4,入力シート!$J$22=入力リスト!$K$4),IF(C50="","入社年月日",""),"")&amp;IF(D50="","性別","")="","","が空白です。"),IF(J50,"入社年月日に「基準日」の翌日以降の日付が入力されています。","")&amp;IF(I50,"入社年月日に数値以外（又は1900/1/1以前の日付）が入力されています。","")&amp;IF(H50,"雇用形態"&amp;IF(OR(K50,L50),",",""),"")&amp;IF(K50,"性別"&amp;IF(L50,",",""),"")&amp;IF(L50,"役職","")&amp;IF(OR(H50,K50,L50),"に、［入力シート］(4)「貴社」欄と異なる文言が入力されています。","")))))</f>
        <v/>
      </c>
      <c r="G50" s="236" t="b">
        <f>COUNTIF($A$4:A49,$A50)&gt;0</f>
        <v>0</v>
      </c>
      <c r="H50" s="237" t="b">
        <f>IF(COUNTIF(入力シート!$J$16:$S$23,入力リスト!$K$4)=0,FALSE,IF(入力シート!$J$16=入力リスト!$K$5,FALSE,ISERROR(VLOOKUP(B50,入力シート!$S$37:$V$62,1,0))))</f>
        <v>0</v>
      </c>
      <c r="I50" s="237" t="b">
        <f>IF(AND(OR(入力シート!$J$18=入力リスト!$K$4,入力シート!$J$22=入力リスト!$K$4),入力シート!$J$24&lt;&gt;""),IF(ISERROR(C50+1),TRUE,IF(ISNUMBER(C50),FALSE,TRUE)),FALSE)</f>
        <v>0</v>
      </c>
      <c r="J50" s="237" t="b">
        <f>IF(AND(入力シート!$J$18=入力リスト!$K$4,入力シート!$J$22=入力リスト!$K$4),FALSE,IF(I50=TRUE,FALSE,IF(ISERROR(C50+1),FALSE,C50&gt;入力シート!$J$24)))</f>
        <v>0</v>
      </c>
      <c r="K50" s="237" t="b">
        <f>IF(COUNTIF(入力シート!$J$16:$S$23,入力リスト!$K$4)=0,FALSE,IF(AND(入力シート!$J$16&lt;&gt;入力リスト!$K$5,入力シート!$J$18&lt;&gt;入力リスト!$K$5,入力シート!$J$20&lt;&gt;入力リスト!$K$5,入力シート!$J$22&lt;&gt;入力リスト!$K$5),FALSE,ISERROR(VLOOKUP(D50,入力シート!$AW$37:$AY$38,1,0))))</f>
        <v>0</v>
      </c>
      <c r="L50" s="237" t="b">
        <f>IF(COUNTIF(入力シート!$J$16:$S$23,入力リスト!$K$4)=0,FALSE,IF(入力シート!$J$20=入力リスト!$K$5,FALSE,IF(E50="",FALSE,ISERROR(VLOOKUP(E50,入力シート!$AH$37:$AK$62,1,0)))))</f>
        <v>0</v>
      </c>
      <c r="M50" s="238" t="str">
        <f t="shared" si="0"/>
        <v/>
      </c>
      <c r="N50" s="236" t="str">
        <f>IF(B50="","",VLOOKUP('従業員情報(給与以外)'!$B50,入力シート!$S$37:$Z$62,5,0))</f>
        <v/>
      </c>
      <c r="O50" s="182" t="str">
        <f>IF(ISNUMBER(C50)=FALSE,"",IF(C50&gt;入力シート!$J$24,"",_xlfn.DAYS(入力シート!$J$24,'従業員情報(給与以外)'!$C50)/365))</f>
        <v/>
      </c>
      <c r="P50" s="237" t="str">
        <f>IF(O50="","",VLOOKUP(_xlfn.DAYS(入力シート!$J$24,'従業員情報(給与以外)'!$C50)/365,入力リスト!$H$4:$I$12,2,2))</f>
        <v/>
      </c>
      <c r="Q50" s="236" t="str">
        <f>IF(D50="","",VLOOKUP('従業員情報(給与以外)'!$D50,入力シート!$AW$37:$BB$38,4,0))</f>
        <v/>
      </c>
      <c r="R50" s="236" t="str">
        <f>IF(A50="","",IF(E50="","非役職",VLOOKUP('従業員情報(給与以外)'!$E50,入力シート!$AH$37:$AO$62,5,0)))</f>
        <v/>
      </c>
      <c r="S50" s="116" t="str">
        <f>IF(OR(入力シート!$C$5&lt;&gt;入力リスト!$N$4,COUNTIF(入力シート!$J$16:$S$23,入力リスト!$K$4)=0),"",IF($A50="","",IF(ISERROR(AVERAGEIF(従業員の給与情報!$B:$B,$A50,従業員の給与情報!$C:$C)),0,IF(ISERROR(AVERAGEIF(従業員の給与情報!$B:$B,$A50,従業員の給与情報!$C:$C)),0,AVERAGEIF(従業員の給与情報!$B:$B,$A50,従業員の給与情報!$C:$C)))))</f>
        <v/>
      </c>
      <c r="T50" s="116" t="str">
        <f>IF(OR(入力シート!$C$5&lt;&gt;入力リスト!$N$4,COUNTIF(入力シート!$J$16:$S$23,入力リスト!$K$4)=0),"",IF(A50="","",IF(ISERROR(AVERAGEIF(従業員の給与情報!$B:$B,$A50,従業員の給与情報!$D:$D)),0,IF(ISERROR(AVERAGEIF(従業員の給与情報!$B:$B,$A50,従業員の給与情報!$D:$D)),0,AVERAGEIF(従業員の給与情報!$B:$B,$A50,従業員の給与情報!$D:$D)))))</f>
        <v/>
      </c>
      <c r="U50" s="116" t="str">
        <f>IF(OR(入力シート!$C$5&lt;&gt;入力リスト!$N$4,COUNTIF(入力シート!$J$16:$S$23,入力リスト!$K$4)=0),"",IF(A50="","",IF(ISERROR(AVERAGEIF(従業員の給与情報!$B:$B,$A50,従業員の給与情報!$E:$E)),0,IF(ISERROR(AVERAGEIF(従業員の給与情報!$B:$B,$A50,従業員の給与情報!$E:$E)),0,AVERAGEIF(従業員の給与情報!$B:$B,$A50,従業員の給与情報!$E:$E)))))</f>
        <v/>
      </c>
      <c r="V50" s="117" t="str">
        <f>IF(OR(入力シート!$C$5&lt;&gt;入力リスト!$N$4,COUNTIF(入力シート!$J$16:$S$23,入力リスト!$K$4)=0),"",IF(A50="","",IF(ISERROR(AVERAGEIF(従業員の給与情報!$B:$B,$A50,従業員の給与情報!$F:$F)),0,IF(ISERROR(AVERAGEIF(従業員の給与情報!$B:$B,$A50,従業員の給与情報!$F:$F)),0,AVERAGEIF(従業員の給与情報!$B:$B,$A50,従業員の給与情報!$F:$F)))))</f>
        <v/>
      </c>
      <c r="W50" s="182"/>
      <c r="X50" s="260"/>
    </row>
    <row r="51" spans="1:24" ht="19.5">
      <c r="A51" s="367"/>
      <c r="B51" s="364"/>
      <c r="C51" s="365"/>
      <c r="D51" s="366"/>
      <c r="E51" s="367"/>
      <c r="F51" s="372" t="str">
        <f>IF(G51,"この従業員番号は、すでに他のセルで入力されています。",IF(入力シート!$C$5=入力リスト!$N$5,"",IF(AND(A51="",B51="",C51="",D51="",E51=""),"",IF(OR(A51="",B51="",C51="",D51=""),IF(A51="","従業員番号","")&amp;IF(AND(A51="",OR(B51="",C51="",D51="")),",","")&amp;IF(B51="","雇用形態","")&amp;IF(AND(B51="",OR(C51="",D51="")),",","")&amp;IF(OR(入力シート!$J$18=入力リスト!$K$4,入力シート!$J$22=入力リスト!$K$4),IF(C51="","入社年月日",""),"")&amp;IF(AND(C51="",D51=""),",","")&amp;IF(D51="","性別","")&amp;IF(IF(A51="","従業員番号","")&amp;IF(B51="","雇用形態","")&amp;IF(OR(入力シート!$J$18=入力リスト!$K$4,入力シート!$J$22=入力リスト!$K$4),IF(C51="","入社年月日",""),"")&amp;IF(D51="","性別","")="","","が空白です。"),IF(J51,"入社年月日に「基準日」の翌日以降の日付が入力されています。","")&amp;IF(I51,"入社年月日に数値以外（又は1900/1/1以前の日付）が入力されています。","")&amp;IF(H51,"雇用形態"&amp;IF(OR(K51,L51),",",""),"")&amp;IF(K51,"性別"&amp;IF(L51,",",""),"")&amp;IF(L51,"役職","")&amp;IF(OR(H51,K51,L51),"に、［入力シート］(4)「貴社」欄と異なる文言が入力されています。","")))))</f>
        <v/>
      </c>
      <c r="G51" s="236" t="b">
        <f>COUNTIF($A$4:A50,$A51)&gt;0</f>
        <v>0</v>
      </c>
      <c r="H51" s="237" t="b">
        <f>IF(COUNTIF(入力シート!$J$16:$S$23,入力リスト!$K$4)=0,FALSE,IF(入力シート!$J$16=入力リスト!$K$5,FALSE,ISERROR(VLOOKUP(B51,入力シート!$S$37:$V$62,1,0))))</f>
        <v>0</v>
      </c>
      <c r="I51" s="237" t="b">
        <f>IF(AND(OR(入力シート!$J$18=入力リスト!$K$4,入力シート!$J$22=入力リスト!$K$4),入力シート!$J$24&lt;&gt;""),IF(ISERROR(C51+1),TRUE,IF(ISNUMBER(C51),FALSE,TRUE)),FALSE)</f>
        <v>0</v>
      </c>
      <c r="J51" s="237" t="b">
        <f>IF(AND(入力シート!$J$18=入力リスト!$K$4,入力シート!$J$22=入力リスト!$K$4),FALSE,IF(I51=TRUE,FALSE,IF(ISERROR(C51+1),FALSE,C51&gt;入力シート!$J$24)))</f>
        <v>0</v>
      </c>
      <c r="K51" s="237" t="b">
        <f>IF(COUNTIF(入力シート!$J$16:$S$23,入力リスト!$K$4)=0,FALSE,IF(AND(入力シート!$J$16&lt;&gt;入力リスト!$K$5,入力シート!$J$18&lt;&gt;入力リスト!$K$5,入力シート!$J$20&lt;&gt;入力リスト!$K$5,入力シート!$J$22&lt;&gt;入力リスト!$K$5),FALSE,ISERROR(VLOOKUP(D51,入力シート!$AW$37:$AY$38,1,0))))</f>
        <v>0</v>
      </c>
      <c r="L51" s="237" t="b">
        <f>IF(COUNTIF(入力シート!$J$16:$S$23,入力リスト!$K$4)=0,FALSE,IF(入力シート!$J$20=入力リスト!$K$5,FALSE,IF(E51="",FALSE,ISERROR(VLOOKUP(E51,入力シート!$AH$37:$AK$62,1,0)))))</f>
        <v>0</v>
      </c>
      <c r="M51" s="238" t="str">
        <f t="shared" si="0"/>
        <v/>
      </c>
      <c r="N51" s="236" t="str">
        <f>IF(B51="","",VLOOKUP('従業員情報(給与以外)'!$B51,入力シート!$S$37:$Z$62,5,0))</f>
        <v/>
      </c>
      <c r="O51" s="182" t="str">
        <f>IF(ISNUMBER(C51)=FALSE,"",IF(C51&gt;入力シート!$J$24,"",_xlfn.DAYS(入力シート!$J$24,'従業員情報(給与以外)'!$C51)/365))</f>
        <v/>
      </c>
      <c r="P51" s="237" t="str">
        <f>IF(O51="","",VLOOKUP(_xlfn.DAYS(入力シート!$J$24,'従業員情報(給与以外)'!$C51)/365,入力リスト!$H$4:$I$12,2,2))</f>
        <v/>
      </c>
      <c r="Q51" s="236" t="str">
        <f>IF(D51="","",VLOOKUP('従業員情報(給与以外)'!$D51,入力シート!$AW$37:$BB$38,4,0))</f>
        <v/>
      </c>
      <c r="R51" s="236" t="str">
        <f>IF(A51="","",IF(E51="","非役職",VLOOKUP('従業員情報(給与以外)'!$E51,入力シート!$AH$37:$AO$62,5,0)))</f>
        <v/>
      </c>
      <c r="S51" s="116" t="str">
        <f>IF(OR(入力シート!$C$5&lt;&gt;入力リスト!$N$4,COUNTIF(入力シート!$J$16:$S$23,入力リスト!$K$4)=0),"",IF($A51="","",IF(ISERROR(AVERAGEIF(従業員の給与情報!$B:$B,$A51,従業員の給与情報!$C:$C)),0,IF(ISERROR(AVERAGEIF(従業員の給与情報!$B:$B,$A51,従業員の給与情報!$C:$C)),0,AVERAGEIF(従業員の給与情報!$B:$B,$A51,従業員の給与情報!$C:$C)))))</f>
        <v/>
      </c>
      <c r="T51" s="116" t="str">
        <f>IF(OR(入力シート!$C$5&lt;&gt;入力リスト!$N$4,COUNTIF(入力シート!$J$16:$S$23,入力リスト!$K$4)=0),"",IF(A51="","",IF(ISERROR(AVERAGEIF(従業員の給与情報!$B:$B,$A51,従業員の給与情報!$D:$D)),0,IF(ISERROR(AVERAGEIF(従業員の給与情報!$B:$B,$A51,従業員の給与情報!$D:$D)),0,AVERAGEIF(従業員の給与情報!$B:$B,$A51,従業員の給与情報!$D:$D)))))</f>
        <v/>
      </c>
      <c r="U51" s="116" t="str">
        <f>IF(OR(入力シート!$C$5&lt;&gt;入力リスト!$N$4,COUNTIF(入力シート!$J$16:$S$23,入力リスト!$K$4)=0),"",IF(A51="","",IF(ISERROR(AVERAGEIF(従業員の給与情報!$B:$B,$A51,従業員の給与情報!$E:$E)),0,IF(ISERROR(AVERAGEIF(従業員の給与情報!$B:$B,$A51,従業員の給与情報!$E:$E)),0,AVERAGEIF(従業員の給与情報!$B:$B,$A51,従業員の給与情報!$E:$E)))))</f>
        <v/>
      </c>
      <c r="V51" s="117" t="str">
        <f>IF(OR(入力シート!$C$5&lt;&gt;入力リスト!$N$4,COUNTIF(入力シート!$J$16:$S$23,入力リスト!$K$4)=0),"",IF(A51="","",IF(ISERROR(AVERAGEIF(従業員の給与情報!$B:$B,$A51,従業員の給与情報!$F:$F)),0,IF(ISERROR(AVERAGEIF(従業員の給与情報!$B:$B,$A51,従業員の給与情報!$F:$F)),0,AVERAGEIF(従業員の給与情報!$B:$B,$A51,従業員の給与情報!$F:$F)))))</f>
        <v/>
      </c>
      <c r="W51" s="182"/>
      <c r="X51" s="260"/>
    </row>
    <row r="52" spans="1:24" ht="19.5">
      <c r="A52" s="367"/>
      <c r="B52" s="364"/>
      <c r="C52" s="365"/>
      <c r="D52" s="366"/>
      <c r="E52" s="367"/>
      <c r="F52" s="372" t="str">
        <f>IF(G52,"この従業員番号は、すでに他のセルで入力されています。",IF(入力シート!$C$5=入力リスト!$N$5,"",IF(AND(A52="",B52="",C52="",D52="",E52=""),"",IF(OR(A52="",B52="",C52="",D52=""),IF(A52="","従業員番号","")&amp;IF(AND(A52="",OR(B52="",C52="",D52="")),",","")&amp;IF(B52="","雇用形態","")&amp;IF(AND(B52="",OR(C52="",D52="")),",","")&amp;IF(OR(入力シート!$J$18=入力リスト!$K$4,入力シート!$J$22=入力リスト!$K$4),IF(C52="","入社年月日",""),"")&amp;IF(AND(C52="",D52=""),",","")&amp;IF(D52="","性別","")&amp;IF(IF(A52="","従業員番号","")&amp;IF(B52="","雇用形態","")&amp;IF(OR(入力シート!$J$18=入力リスト!$K$4,入力シート!$J$22=入力リスト!$K$4),IF(C52="","入社年月日",""),"")&amp;IF(D52="","性別","")="","","が空白です。"),IF(J52,"入社年月日に「基準日」の翌日以降の日付が入力されています。","")&amp;IF(I52,"入社年月日に数値以外（又は1900/1/1以前の日付）が入力されています。","")&amp;IF(H52,"雇用形態"&amp;IF(OR(K52,L52),",",""),"")&amp;IF(K52,"性別"&amp;IF(L52,",",""),"")&amp;IF(L52,"役職","")&amp;IF(OR(H52,K52,L52),"に、［入力シート］(4)「貴社」欄と異なる文言が入力されています。","")))))</f>
        <v/>
      </c>
      <c r="G52" s="236" t="b">
        <f>COUNTIF($A$4:A51,$A52)&gt;0</f>
        <v>0</v>
      </c>
      <c r="H52" s="237" t="b">
        <f>IF(COUNTIF(入力シート!$J$16:$S$23,入力リスト!$K$4)=0,FALSE,IF(入力シート!$J$16=入力リスト!$K$5,FALSE,ISERROR(VLOOKUP(B52,入力シート!$S$37:$V$62,1,0))))</f>
        <v>0</v>
      </c>
      <c r="I52" s="237" t="b">
        <f>IF(AND(OR(入力シート!$J$18=入力リスト!$K$4,入力シート!$J$22=入力リスト!$K$4),入力シート!$J$24&lt;&gt;""),IF(ISERROR(C52+1),TRUE,IF(ISNUMBER(C52),FALSE,TRUE)),FALSE)</f>
        <v>0</v>
      </c>
      <c r="J52" s="237" t="b">
        <f>IF(AND(入力シート!$J$18=入力リスト!$K$4,入力シート!$J$22=入力リスト!$K$4),FALSE,IF(I52=TRUE,FALSE,IF(ISERROR(C52+1),FALSE,C52&gt;入力シート!$J$24)))</f>
        <v>0</v>
      </c>
      <c r="K52" s="237" t="b">
        <f>IF(COUNTIF(入力シート!$J$16:$S$23,入力リスト!$K$4)=0,FALSE,IF(AND(入力シート!$J$16&lt;&gt;入力リスト!$K$5,入力シート!$J$18&lt;&gt;入力リスト!$K$5,入力シート!$J$20&lt;&gt;入力リスト!$K$5,入力シート!$J$22&lt;&gt;入力リスト!$K$5),FALSE,ISERROR(VLOOKUP(D52,入力シート!$AW$37:$AY$38,1,0))))</f>
        <v>0</v>
      </c>
      <c r="L52" s="237" t="b">
        <f>IF(COUNTIF(入力シート!$J$16:$S$23,入力リスト!$K$4)=0,FALSE,IF(入力シート!$J$20=入力リスト!$K$5,FALSE,IF(E52="",FALSE,ISERROR(VLOOKUP(E52,入力シート!$AH$37:$AK$62,1,0)))))</f>
        <v>0</v>
      </c>
      <c r="M52" s="238" t="str">
        <f t="shared" si="0"/>
        <v/>
      </c>
      <c r="N52" s="236" t="str">
        <f>IF(B52="","",VLOOKUP('従業員情報(給与以外)'!$B52,入力シート!$S$37:$Z$62,5,0))</f>
        <v/>
      </c>
      <c r="O52" s="182" t="str">
        <f>IF(ISNUMBER(C52)=FALSE,"",IF(C52&gt;入力シート!$J$24,"",_xlfn.DAYS(入力シート!$J$24,'従業員情報(給与以外)'!$C52)/365))</f>
        <v/>
      </c>
      <c r="P52" s="237" t="str">
        <f>IF(O52="","",VLOOKUP(_xlfn.DAYS(入力シート!$J$24,'従業員情報(給与以外)'!$C52)/365,入力リスト!$H$4:$I$12,2,2))</f>
        <v/>
      </c>
      <c r="Q52" s="236" t="str">
        <f>IF(D52="","",VLOOKUP('従業員情報(給与以外)'!$D52,入力シート!$AW$37:$BB$38,4,0))</f>
        <v/>
      </c>
      <c r="R52" s="236" t="str">
        <f>IF(A52="","",IF(E52="","非役職",VLOOKUP('従業員情報(給与以外)'!$E52,入力シート!$AH$37:$AO$62,5,0)))</f>
        <v/>
      </c>
      <c r="S52" s="116" t="str">
        <f>IF(OR(入力シート!$C$5&lt;&gt;入力リスト!$N$4,COUNTIF(入力シート!$J$16:$S$23,入力リスト!$K$4)=0),"",IF($A52="","",IF(ISERROR(AVERAGEIF(従業員の給与情報!$B:$B,$A52,従業員の給与情報!$C:$C)),0,IF(ISERROR(AVERAGEIF(従業員の給与情報!$B:$B,$A52,従業員の給与情報!$C:$C)),0,AVERAGEIF(従業員の給与情報!$B:$B,$A52,従業員の給与情報!$C:$C)))))</f>
        <v/>
      </c>
      <c r="T52" s="116" t="str">
        <f>IF(OR(入力シート!$C$5&lt;&gt;入力リスト!$N$4,COUNTIF(入力シート!$J$16:$S$23,入力リスト!$K$4)=0),"",IF(A52="","",IF(ISERROR(AVERAGEIF(従業員の給与情報!$B:$B,$A52,従業員の給与情報!$D:$D)),0,IF(ISERROR(AVERAGEIF(従業員の給与情報!$B:$B,$A52,従業員の給与情報!$D:$D)),0,AVERAGEIF(従業員の給与情報!$B:$B,$A52,従業員の給与情報!$D:$D)))))</f>
        <v/>
      </c>
      <c r="U52" s="116" t="str">
        <f>IF(OR(入力シート!$C$5&lt;&gt;入力リスト!$N$4,COUNTIF(入力シート!$J$16:$S$23,入力リスト!$K$4)=0),"",IF(A52="","",IF(ISERROR(AVERAGEIF(従業員の給与情報!$B:$B,$A52,従業員の給与情報!$E:$E)),0,IF(ISERROR(AVERAGEIF(従業員の給与情報!$B:$B,$A52,従業員の給与情報!$E:$E)),0,AVERAGEIF(従業員の給与情報!$B:$B,$A52,従業員の給与情報!$E:$E)))))</f>
        <v/>
      </c>
      <c r="V52" s="117" t="str">
        <f>IF(OR(入力シート!$C$5&lt;&gt;入力リスト!$N$4,COUNTIF(入力シート!$J$16:$S$23,入力リスト!$K$4)=0),"",IF(A52="","",IF(ISERROR(AVERAGEIF(従業員の給与情報!$B:$B,$A52,従業員の給与情報!$F:$F)),0,IF(ISERROR(AVERAGEIF(従業員の給与情報!$B:$B,$A52,従業員の給与情報!$F:$F)),0,AVERAGEIF(従業員の給与情報!$B:$B,$A52,従業員の給与情報!$F:$F)))))</f>
        <v/>
      </c>
      <c r="W52" s="182"/>
      <c r="X52" s="260"/>
    </row>
    <row r="53" spans="1:24" ht="19.5">
      <c r="A53" s="367"/>
      <c r="B53" s="364"/>
      <c r="C53" s="365"/>
      <c r="D53" s="366"/>
      <c r="E53" s="367"/>
      <c r="F53" s="372" t="str">
        <f>IF(G53,"この従業員番号は、すでに他のセルで入力されています。",IF(入力シート!$C$5=入力リスト!$N$5,"",IF(AND(A53="",B53="",C53="",D53="",E53=""),"",IF(OR(A53="",B53="",C53="",D53=""),IF(A53="","従業員番号","")&amp;IF(AND(A53="",OR(B53="",C53="",D53="")),",","")&amp;IF(B53="","雇用形態","")&amp;IF(AND(B53="",OR(C53="",D53="")),",","")&amp;IF(OR(入力シート!$J$18=入力リスト!$K$4,入力シート!$J$22=入力リスト!$K$4),IF(C53="","入社年月日",""),"")&amp;IF(AND(C53="",D53=""),",","")&amp;IF(D53="","性別","")&amp;IF(IF(A53="","従業員番号","")&amp;IF(B53="","雇用形態","")&amp;IF(OR(入力シート!$J$18=入力リスト!$K$4,入力シート!$J$22=入力リスト!$K$4),IF(C53="","入社年月日",""),"")&amp;IF(D53="","性別","")="","","が空白です。"),IF(J53,"入社年月日に「基準日」の翌日以降の日付が入力されています。","")&amp;IF(I53,"入社年月日に数値以外（又は1900/1/1以前の日付）が入力されています。","")&amp;IF(H53,"雇用形態"&amp;IF(OR(K53,L53),",",""),"")&amp;IF(K53,"性別"&amp;IF(L53,",",""),"")&amp;IF(L53,"役職","")&amp;IF(OR(H53,K53,L53),"に、［入力シート］(4)「貴社」欄と異なる文言が入力されています。","")))))</f>
        <v/>
      </c>
      <c r="G53" s="236" t="b">
        <f>COUNTIF($A$4:A52,$A53)&gt;0</f>
        <v>0</v>
      </c>
      <c r="H53" s="237" t="b">
        <f>IF(COUNTIF(入力シート!$J$16:$S$23,入力リスト!$K$4)=0,FALSE,IF(入力シート!$J$16=入力リスト!$K$5,FALSE,ISERROR(VLOOKUP(B53,入力シート!$S$37:$V$62,1,0))))</f>
        <v>0</v>
      </c>
      <c r="I53" s="237" t="b">
        <f>IF(AND(OR(入力シート!$J$18=入力リスト!$K$4,入力シート!$J$22=入力リスト!$K$4),入力シート!$J$24&lt;&gt;""),IF(ISERROR(C53+1),TRUE,IF(ISNUMBER(C53),FALSE,TRUE)),FALSE)</f>
        <v>0</v>
      </c>
      <c r="J53" s="237" t="b">
        <f>IF(AND(入力シート!$J$18=入力リスト!$K$4,入力シート!$J$22=入力リスト!$K$4),FALSE,IF(I53=TRUE,FALSE,IF(ISERROR(C53+1),FALSE,C53&gt;入力シート!$J$24)))</f>
        <v>0</v>
      </c>
      <c r="K53" s="237" t="b">
        <f>IF(COUNTIF(入力シート!$J$16:$S$23,入力リスト!$K$4)=0,FALSE,IF(AND(入力シート!$J$16&lt;&gt;入力リスト!$K$5,入力シート!$J$18&lt;&gt;入力リスト!$K$5,入力シート!$J$20&lt;&gt;入力リスト!$K$5,入力シート!$J$22&lt;&gt;入力リスト!$K$5),FALSE,ISERROR(VLOOKUP(D53,入力シート!$AW$37:$AY$38,1,0))))</f>
        <v>0</v>
      </c>
      <c r="L53" s="237" t="b">
        <f>IF(COUNTIF(入力シート!$J$16:$S$23,入力リスト!$K$4)=0,FALSE,IF(入力シート!$J$20=入力リスト!$K$5,FALSE,IF(E53="",FALSE,ISERROR(VLOOKUP(E53,入力シート!$AH$37:$AK$62,1,0)))))</f>
        <v>0</v>
      </c>
      <c r="M53" s="238" t="str">
        <f t="shared" si="0"/>
        <v/>
      </c>
      <c r="N53" s="236" t="str">
        <f>IF(B53="","",VLOOKUP('従業員情報(給与以外)'!$B53,入力シート!$S$37:$Z$62,5,0))</f>
        <v/>
      </c>
      <c r="O53" s="182" t="str">
        <f>IF(ISNUMBER(C53)=FALSE,"",IF(C53&gt;入力シート!$J$24,"",_xlfn.DAYS(入力シート!$J$24,'従業員情報(給与以外)'!$C53)/365))</f>
        <v/>
      </c>
      <c r="P53" s="237" t="str">
        <f>IF(O53="","",VLOOKUP(_xlfn.DAYS(入力シート!$J$24,'従業員情報(給与以外)'!$C53)/365,入力リスト!$H$4:$I$12,2,2))</f>
        <v/>
      </c>
      <c r="Q53" s="236" t="str">
        <f>IF(D53="","",VLOOKUP('従業員情報(給与以外)'!$D53,入力シート!$AW$37:$BB$38,4,0))</f>
        <v/>
      </c>
      <c r="R53" s="236" t="str">
        <f>IF(A53="","",IF(E53="","非役職",VLOOKUP('従業員情報(給与以外)'!$E53,入力シート!$AH$37:$AO$62,5,0)))</f>
        <v/>
      </c>
      <c r="S53" s="116" t="str">
        <f>IF(OR(入力シート!$C$5&lt;&gt;入力リスト!$N$4,COUNTIF(入力シート!$J$16:$S$23,入力リスト!$K$4)=0),"",IF($A53="","",IF(ISERROR(AVERAGEIF(従業員の給与情報!$B:$B,$A53,従業員の給与情報!$C:$C)),0,IF(ISERROR(AVERAGEIF(従業員の給与情報!$B:$B,$A53,従業員の給与情報!$C:$C)),0,AVERAGEIF(従業員の給与情報!$B:$B,$A53,従業員の給与情報!$C:$C)))))</f>
        <v/>
      </c>
      <c r="T53" s="116" t="str">
        <f>IF(OR(入力シート!$C$5&lt;&gt;入力リスト!$N$4,COUNTIF(入力シート!$J$16:$S$23,入力リスト!$K$4)=0),"",IF(A53="","",IF(ISERROR(AVERAGEIF(従業員の給与情報!$B:$B,$A53,従業員の給与情報!$D:$D)),0,IF(ISERROR(AVERAGEIF(従業員の給与情報!$B:$B,$A53,従業員の給与情報!$D:$D)),0,AVERAGEIF(従業員の給与情報!$B:$B,$A53,従業員の給与情報!$D:$D)))))</f>
        <v/>
      </c>
      <c r="U53" s="116" t="str">
        <f>IF(OR(入力シート!$C$5&lt;&gt;入力リスト!$N$4,COUNTIF(入力シート!$J$16:$S$23,入力リスト!$K$4)=0),"",IF(A53="","",IF(ISERROR(AVERAGEIF(従業員の給与情報!$B:$B,$A53,従業員の給与情報!$E:$E)),0,IF(ISERROR(AVERAGEIF(従業員の給与情報!$B:$B,$A53,従業員の給与情報!$E:$E)),0,AVERAGEIF(従業員の給与情報!$B:$B,$A53,従業員の給与情報!$E:$E)))))</f>
        <v/>
      </c>
      <c r="V53" s="117" t="str">
        <f>IF(OR(入力シート!$C$5&lt;&gt;入力リスト!$N$4,COUNTIF(入力シート!$J$16:$S$23,入力リスト!$K$4)=0),"",IF(A53="","",IF(ISERROR(AVERAGEIF(従業員の給与情報!$B:$B,$A53,従業員の給与情報!$F:$F)),0,IF(ISERROR(AVERAGEIF(従業員の給与情報!$B:$B,$A53,従業員の給与情報!$F:$F)),0,AVERAGEIF(従業員の給与情報!$B:$B,$A53,従業員の給与情報!$F:$F)))))</f>
        <v/>
      </c>
      <c r="W53" s="182"/>
      <c r="X53" s="260"/>
    </row>
    <row r="54" spans="1:24" ht="19.5">
      <c r="A54" s="367"/>
      <c r="B54" s="364"/>
      <c r="C54" s="365"/>
      <c r="D54" s="366"/>
      <c r="E54" s="367"/>
      <c r="F54" s="372" t="str">
        <f>IF(G54,"この従業員番号は、すでに他のセルで入力されています。",IF(入力シート!$C$5=入力リスト!$N$5,"",IF(AND(A54="",B54="",C54="",D54="",E54=""),"",IF(OR(A54="",B54="",C54="",D54=""),IF(A54="","従業員番号","")&amp;IF(AND(A54="",OR(B54="",C54="",D54="")),",","")&amp;IF(B54="","雇用形態","")&amp;IF(AND(B54="",OR(C54="",D54="")),",","")&amp;IF(OR(入力シート!$J$18=入力リスト!$K$4,入力シート!$J$22=入力リスト!$K$4),IF(C54="","入社年月日",""),"")&amp;IF(AND(C54="",D54=""),",","")&amp;IF(D54="","性別","")&amp;IF(IF(A54="","従業員番号","")&amp;IF(B54="","雇用形態","")&amp;IF(OR(入力シート!$J$18=入力リスト!$K$4,入力シート!$J$22=入力リスト!$K$4),IF(C54="","入社年月日",""),"")&amp;IF(D54="","性別","")="","","が空白です。"),IF(J54,"入社年月日に「基準日」の翌日以降の日付が入力されています。","")&amp;IF(I54,"入社年月日に数値以外（又は1900/1/1以前の日付）が入力されています。","")&amp;IF(H54,"雇用形態"&amp;IF(OR(K54,L54),",",""),"")&amp;IF(K54,"性別"&amp;IF(L54,",",""),"")&amp;IF(L54,"役職","")&amp;IF(OR(H54,K54,L54),"に、［入力シート］(4)「貴社」欄と異なる文言が入力されています。","")))))</f>
        <v/>
      </c>
      <c r="G54" s="236" t="b">
        <f>COUNTIF($A$4:A53,$A54)&gt;0</f>
        <v>0</v>
      </c>
      <c r="H54" s="237" t="b">
        <f>IF(COUNTIF(入力シート!$J$16:$S$23,入力リスト!$K$4)=0,FALSE,IF(入力シート!$J$16=入力リスト!$K$5,FALSE,ISERROR(VLOOKUP(B54,入力シート!$S$37:$V$62,1,0))))</f>
        <v>0</v>
      </c>
      <c r="I54" s="237" t="b">
        <f>IF(AND(OR(入力シート!$J$18=入力リスト!$K$4,入力シート!$J$22=入力リスト!$K$4),入力シート!$J$24&lt;&gt;""),IF(ISERROR(C54+1),TRUE,IF(ISNUMBER(C54),FALSE,TRUE)),FALSE)</f>
        <v>0</v>
      </c>
      <c r="J54" s="237" t="b">
        <f>IF(AND(入力シート!$J$18=入力リスト!$K$4,入力シート!$J$22=入力リスト!$K$4),FALSE,IF(I54=TRUE,FALSE,IF(ISERROR(C54+1),FALSE,C54&gt;入力シート!$J$24)))</f>
        <v>0</v>
      </c>
      <c r="K54" s="237" t="b">
        <f>IF(COUNTIF(入力シート!$J$16:$S$23,入力リスト!$K$4)=0,FALSE,IF(AND(入力シート!$J$16&lt;&gt;入力リスト!$K$5,入力シート!$J$18&lt;&gt;入力リスト!$K$5,入力シート!$J$20&lt;&gt;入力リスト!$K$5,入力シート!$J$22&lt;&gt;入力リスト!$K$5),FALSE,ISERROR(VLOOKUP(D54,入力シート!$AW$37:$AY$38,1,0))))</f>
        <v>0</v>
      </c>
      <c r="L54" s="237" t="b">
        <f>IF(COUNTIF(入力シート!$J$16:$S$23,入力リスト!$K$4)=0,FALSE,IF(入力シート!$J$20=入力リスト!$K$5,FALSE,IF(E54="",FALSE,ISERROR(VLOOKUP(E54,入力シート!$AH$37:$AK$62,1,0)))))</f>
        <v>0</v>
      </c>
      <c r="M54" s="238" t="str">
        <f t="shared" si="0"/>
        <v/>
      </c>
      <c r="N54" s="236" t="str">
        <f>IF(B54="","",VLOOKUP('従業員情報(給与以外)'!$B54,入力シート!$S$37:$Z$62,5,0))</f>
        <v/>
      </c>
      <c r="O54" s="182" t="str">
        <f>IF(ISNUMBER(C54)=FALSE,"",IF(C54&gt;入力シート!$J$24,"",_xlfn.DAYS(入力シート!$J$24,'従業員情報(給与以外)'!$C54)/365))</f>
        <v/>
      </c>
      <c r="P54" s="237" t="str">
        <f>IF(O54="","",VLOOKUP(_xlfn.DAYS(入力シート!$J$24,'従業員情報(給与以外)'!$C54)/365,入力リスト!$H$4:$I$12,2,2))</f>
        <v/>
      </c>
      <c r="Q54" s="236" t="str">
        <f>IF(D54="","",VLOOKUP('従業員情報(給与以外)'!$D54,入力シート!$AW$37:$BB$38,4,0))</f>
        <v/>
      </c>
      <c r="R54" s="236" t="str">
        <f>IF(A54="","",IF(E54="","非役職",VLOOKUP('従業員情報(給与以外)'!$E54,入力シート!$AH$37:$AO$62,5,0)))</f>
        <v/>
      </c>
      <c r="S54" s="116" t="str">
        <f>IF(OR(入力シート!$C$5&lt;&gt;入力リスト!$N$4,COUNTIF(入力シート!$J$16:$S$23,入力リスト!$K$4)=0),"",IF($A54="","",IF(ISERROR(AVERAGEIF(従業員の給与情報!$B:$B,$A54,従業員の給与情報!$C:$C)),0,IF(ISERROR(AVERAGEIF(従業員の給与情報!$B:$B,$A54,従業員の給与情報!$C:$C)),0,AVERAGEIF(従業員の給与情報!$B:$B,$A54,従業員の給与情報!$C:$C)))))</f>
        <v/>
      </c>
      <c r="T54" s="116" t="str">
        <f>IF(OR(入力シート!$C$5&lt;&gt;入力リスト!$N$4,COUNTIF(入力シート!$J$16:$S$23,入力リスト!$K$4)=0),"",IF(A54="","",IF(ISERROR(AVERAGEIF(従業員の給与情報!$B:$B,$A54,従業員の給与情報!$D:$D)),0,IF(ISERROR(AVERAGEIF(従業員の給与情報!$B:$B,$A54,従業員の給与情報!$D:$D)),0,AVERAGEIF(従業員の給与情報!$B:$B,$A54,従業員の給与情報!$D:$D)))))</f>
        <v/>
      </c>
      <c r="U54" s="116" t="str">
        <f>IF(OR(入力シート!$C$5&lt;&gt;入力リスト!$N$4,COUNTIF(入力シート!$J$16:$S$23,入力リスト!$K$4)=0),"",IF(A54="","",IF(ISERROR(AVERAGEIF(従業員の給与情報!$B:$B,$A54,従業員の給与情報!$E:$E)),0,IF(ISERROR(AVERAGEIF(従業員の給与情報!$B:$B,$A54,従業員の給与情報!$E:$E)),0,AVERAGEIF(従業員の給与情報!$B:$B,$A54,従業員の給与情報!$E:$E)))))</f>
        <v/>
      </c>
      <c r="V54" s="117" t="str">
        <f>IF(OR(入力シート!$C$5&lt;&gt;入力リスト!$N$4,COUNTIF(入力シート!$J$16:$S$23,入力リスト!$K$4)=0),"",IF(A54="","",IF(ISERROR(AVERAGEIF(従業員の給与情報!$B:$B,$A54,従業員の給与情報!$F:$F)),0,IF(ISERROR(AVERAGEIF(従業員の給与情報!$B:$B,$A54,従業員の給与情報!$F:$F)),0,AVERAGEIF(従業員の給与情報!$B:$B,$A54,従業員の給与情報!$F:$F)))))</f>
        <v/>
      </c>
      <c r="W54" s="182"/>
      <c r="X54" s="260"/>
    </row>
    <row r="55" spans="1:24" ht="19.5">
      <c r="A55" s="367"/>
      <c r="B55" s="364"/>
      <c r="C55" s="365"/>
      <c r="D55" s="366"/>
      <c r="E55" s="367"/>
      <c r="F55" s="372" t="str">
        <f>IF(G55,"この従業員番号は、すでに他のセルで入力されています。",IF(入力シート!$C$5=入力リスト!$N$5,"",IF(AND(A55="",B55="",C55="",D55="",E55=""),"",IF(OR(A55="",B55="",C55="",D55=""),IF(A55="","従業員番号","")&amp;IF(AND(A55="",OR(B55="",C55="",D55="")),",","")&amp;IF(B55="","雇用形態","")&amp;IF(AND(B55="",OR(C55="",D55="")),",","")&amp;IF(OR(入力シート!$J$18=入力リスト!$K$4,入力シート!$J$22=入力リスト!$K$4),IF(C55="","入社年月日",""),"")&amp;IF(AND(C55="",D55=""),",","")&amp;IF(D55="","性別","")&amp;IF(IF(A55="","従業員番号","")&amp;IF(B55="","雇用形態","")&amp;IF(OR(入力シート!$J$18=入力リスト!$K$4,入力シート!$J$22=入力リスト!$K$4),IF(C55="","入社年月日",""),"")&amp;IF(D55="","性別","")="","","が空白です。"),IF(J55,"入社年月日に「基準日」の翌日以降の日付が入力されています。","")&amp;IF(I55,"入社年月日に数値以外（又は1900/1/1以前の日付）が入力されています。","")&amp;IF(H55,"雇用形態"&amp;IF(OR(K55,L55),",",""),"")&amp;IF(K55,"性別"&amp;IF(L55,",",""),"")&amp;IF(L55,"役職","")&amp;IF(OR(H55,K55,L55),"に、［入力シート］(4)「貴社」欄と異なる文言が入力されています。","")))))</f>
        <v/>
      </c>
      <c r="G55" s="236" t="b">
        <f>COUNTIF($A$4:A54,$A55)&gt;0</f>
        <v>0</v>
      </c>
      <c r="H55" s="237" t="b">
        <f>IF(COUNTIF(入力シート!$J$16:$S$23,入力リスト!$K$4)=0,FALSE,IF(入力シート!$J$16=入力リスト!$K$5,FALSE,ISERROR(VLOOKUP(B55,入力シート!$S$37:$V$62,1,0))))</f>
        <v>0</v>
      </c>
      <c r="I55" s="237" t="b">
        <f>IF(AND(OR(入力シート!$J$18=入力リスト!$K$4,入力シート!$J$22=入力リスト!$K$4),入力シート!$J$24&lt;&gt;""),IF(ISERROR(C55+1),TRUE,IF(ISNUMBER(C55),FALSE,TRUE)),FALSE)</f>
        <v>0</v>
      </c>
      <c r="J55" s="237" t="b">
        <f>IF(AND(入力シート!$J$18=入力リスト!$K$4,入力シート!$J$22=入力リスト!$K$4),FALSE,IF(I55=TRUE,FALSE,IF(ISERROR(C55+1),FALSE,C55&gt;入力シート!$J$24)))</f>
        <v>0</v>
      </c>
      <c r="K55" s="237" t="b">
        <f>IF(COUNTIF(入力シート!$J$16:$S$23,入力リスト!$K$4)=0,FALSE,IF(AND(入力シート!$J$16&lt;&gt;入力リスト!$K$5,入力シート!$J$18&lt;&gt;入力リスト!$K$5,入力シート!$J$20&lt;&gt;入力リスト!$K$5,入力シート!$J$22&lt;&gt;入力リスト!$K$5),FALSE,ISERROR(VLOOKUP(D55,入力シート!$AW$37:$AY$38,1,0))))</f>
        <v>0</v>
      </c>
      <c r="L55" s="237" t="b">
        <f>IF(COUNTIF(入力シート!$J$16:$S$23,入力リスト!$K$4)=0,FALSE,IF(入力シート!$J$20=入力リスト!$K$5,FALSE,IF(E55="",FALSE,ISERROR(VLOOKUP(E55,入力シート!$AH$37:$AK$62,1,0)))))</f>
        <v>0</v>
      </c>
      <c r="M55" s="238" t="str">
        <f t="shared" si="0"/>
        <v/>
      </c>
      <c r="N55" s="236" t="str">
        <f>IF(B55="","",VLOOKUP('従業員情報(給与以外)'!$B55,入力シート!$S$37:$Z$62,5,0))</f>
        <v/>
      </c>
      <c r="O55" s="182" t="str">
        <f>IF(ISNUMBER(C55)=FALSE,"",IF(C55&gt;入力シート!$J$24,"",_xlfn.DAYS(入力シート!$J$24,'従業員情報(給与以外)'!$C55)/365))</f>
        <v/>
      </c>
      <c r="P55" s="237" t="str">
        <f>IF(O55="","",VLOOKUP(_xlfn.DAYS(入力シート!$J$24,'従業員情報(給与以外)'!$C55)/365,入力リスト!$H$4:$I$12,2,2))</f>
        <v/>
      </c>
      <c r="Q55" s="236" t="str">
        <f>IF(D55="","",VLOOKUP('従業員情報(給与以外)'!$D55,入力シート!$AW$37:$BB$38,4,0))</f>
        <v/>
      </c>
      <c r="R55" s="236" t="str">
        <f>IF(A55="","",IF(E55="","非役職",VLOOKUP('従業員情報(給与以外)'!$E55,入力シート!$AH$37:$AO$62,5,0)))</f>
        <v/>
      </c>
      <c r="S55" s="116" t="str">
        <f>IF(OR(入力シート!$C$5&lt;&gt;入力リスト!$N$4,COUNTIF(入力シート!$J$16:$S$23,入力リスト!$K$4)=0),"",IF($A55="","",IF(ISERROR(AVERAGEIF(従業員の給与情報!$B:$B,$A55,従業員の給与情報!$C:$C)),0,IF(ISERROR(AVERAGEIF(従業員の給与情報!$B:$B,$A55,従業員の給与情報!$C:$C)),0,AVERAGEIF(従業員の給与情報!$B:$B,$A55,従業員の給与情報!$C:$C)))))</f>
        <v/>
      </c>
      <c r="T55" s="116" t="str">
        <f>IF(OR(入力シート!$C$5&lt;&gt;入力リスト!$N$4,COUNTIF(入力シート!$J$16:$S$23,入力リスト!$K$4)=0),"",IF(A55="","",IF(ISERROR(AVERAGEIF(従業員の給与情報!$B:$B,$A55,従業員の給与情報!$D:$D)),0,IF(ISERROR(AVERAGEIF(従業員の給与情報!$B:$B,$A55,従業員の給与情報!$D:$D)),0,AVERAGEIF(従業員の給与情報!$B:$B,$A55,従業員の給与情報!$D:$D)))))</f>
        <v/>
      </c>
      <c r="U55" s="116" t="str">
        <f>IF(OR(入力シート!$C$5&lt;&gt;入力リスト!$N$4,COUNTIF(入力シート!$J$16:$S$23,入力リスト!$K$4)=0),"",IF(A55="","",IF(ISERROR(AVERAGEIF(従業員の給与情報!$B:$B,$A55,従業員の給与情報!$E:$E)),0,IF(ISERROR(AVERAGEIF(従業員の給与情報!$B:$B,$A55,従業員の給与情報!$E:$E)),0,AVERAGEIF(従業員の給与情報!$B:$B,$A55,従業員の給与情報!$E:$E)))))</f>
        <v/>
      </c>
      <c r="V55" s="117" t="str">
        <f>IF(OR(入力シート!$C$5&lt;&gt;入力リスト!$N$4,COUNTIF(入力シート!$J$16:$S$23,入力リスト!$K$4)=0),"",IF(A55="","",IF(ISERROR(AVERAGEIF(従業員の給与情報!$B:$B,$A55,従業員の給与情報!$F:$F)),0,IF(ISERROR(AVERAGEIF(従業員の給与情報!$B:$B,$A55,従業員の給与情報!$F:$F)),0,AVERAGEIF(従業員の給与情報!$B:$B,$A55,従業員の給与情報!$F:$F)))))</f>
        <v/>
      </c>
      <c r="W55" s="182"/>
      <c r="X55" s="260"/>
    </row>
    <row r="56" spans="1:24" ht="19.5">
      <c r="A56" s="367"/>
      <c r="B56" s="364"/>
      <c r="C56" s="365"/>
      <c r="D56" s="366"/>
      <c r="E56" s="364"/>
      <c r="F56" s="372" t="str">
        <f>IF(G56,"この従業員番号は、すでに他のセルで入力されています。",IF(入力シート!$C$5=入力リスト!$N$5,"",IF(AND(A56="",B56="",C56="",D56="",E56=""),"",IF(OR(A56="",B56="",C56="",D56=""),IF(A56="","従業員番号","")&amp;IF(AND(A56="",OR(B56="",C56="",D56="")),",","")&amp;IF(B56="","雇用形態","")&amp;IF(AND(B56="",OR(C56="",D56="")),",","")&amp;IF(OR(入力シート!$J$18=入力リスト!$K$4,入力シート!$J$22=入力リスト!$K$4),IF(C56="","入社年月日",""),"")&amp;IF(AND(C56="",D56=""),",","")&amp;IF(D56="","性別","")&amp;IF(IF(A56="","従業員番号","")&amp;IF(B56="","雇用形態","")&amp;IF(OR(入力シート!$J$18=入力リスト!$K$4,入力シート!$J$22=入力リスト!$K$4),IF(C56="","入社年月日",""),"")&amp;IF(D56="","性別","")="","","が空白です。"),IF(J56,"入社年月日に「基準日」の翌日以降の日付が入力されています。","")&amp;IF(I56,"入社年月日に数値以外（又は1900/1/1以前の日付）が入力されています。","")&amp;IF(H56,"雇用形態"&amp;IF(OR(K56,L56),",",""),"")&amp;IF(K56,"性別"&amp;IF(L56,",",""),"")&amp;IF(L56,"役職","")&amp;IF(OR(H56,K56,L56),"に、［入力シート］(4)「貴社」欄と異なる文言が入力されています。","")))))</f>
        <v/>
      </c>
      <c r="G56" s="236" t="b">
        <f>COUNTIF($A$4:A55,$A56)&gt;0</f>
        <v>0</v>
      </c>
      <c r="H56" s="237" t="b">
        <f>IF(COUNTIF(入力シート!$J$16:$S$23,入力リスト!$K$4)=0,FALSE,IF(入力シート!$J$16=入力リスト!$K$5,FALSE,ISERROR(VLOOKUP(B56,入力シート!$S$37:$V$62,1,0))))</f>
        <v>0</v>
      </c>
      <c r="I56" s="237" t="b">
        <f>IF(AND(OR(入力シート!$J$18=入力リスト!$K$4,入力シート!$J$22=入力リスト!$K$4),入力シート!$J$24&lt;&gt;""),IF(ISERROR(C56+1),TRUE,IF(ISNUMBER(C56),FALSE,TRUE)),FALSE)</f>
        <v>0</v>
      </c>
      <c r="J56" s="237" t="b">
        <f>IF(AND(入力シート!$J$18=入力リスト!$K$4,入力シート!$J$22=入力リスト!$K$4),FALSE,IF(I56=TRUE,FALSE,IF(ISERROR(C56+1),FALSE,C56&gt;入力シート!$J$24)))</f>
        <v>0</v>
      </c>
      <c r="K56" s="237" t="b">
        <f>IF(COUNTIF(入力シート!$J$16:$S$23,入力リスト!$K$4)=0,FALSE,IF(AND(入力シート!$J$16&lt;&gt;入力リスト!$K$5,入力シート!$J$18&lt;&gt;入力リスト!$K$5,入力シート!$J$20&lt;&gt;入力リスト!$K$5,入力シート!$J$22&lt;&gt;入力リスト!$K$5),FALSE,ISERROR(VLOOKUP(D56,入力シート!$AW$37:$AY$38,1,0))))</f>
        <v>0</v>
      </c>
      <c r="L56" s="237" t="b">
        <f>IF(COUNTIF(入力シート!$J$16:$S$23,入力リスト!$K$4)=0,FALSE,IF(入力シート!$J$20=入力リスト!$K$5,FALSE,IF(E56="",FALSE,ISERROR(VLOOKUP(E56,入力シート!$AH$37:$AK$62,1,0)))))</f>
        <v>0</v>
      </c>
      <c r="M56" s="238" t="str">
        <f t="shared" si="0"/>
        <v/>
      </c>
      <c r="N56" s="236" t="str">
        <f>IF(B56="","",VLOOKUP('従業員情報(給与以外)'!$B56,入力シート!$S$37:$Z$62,5,0))</f>
        <v/>
      </c>
      <c r="O56" s="182" t="str">
        <f>IF(ISNUMBER(C56)=FALSE,"",IF(C56&gt;入力シート!$J$24,"",_xlfn.DAYS(入力シート!$J$24,'従業員情報(給与以外)'!$C56)/365))</f>
        <v/>
      </c>
      <c r="P56" s="237" t="str">
        <f>IF(O56="","",VLOOKUP(_xlfn.DAYS(入力シート!$J$24,'従業員情報(給与以外)'!$C56)/365,入力リスト!$H$4:$I$12,2,2))</f>
        <v/>
      </c>
      <c r="Q56" s="236" t="str">
        <f>IF(D56="","",VLOOKUP('従業員情報(給与以外)'!$D56,入力シート!$AW$37:$BB$38,4,0))</f>
        <v/>
      </c>
      <c r="R56" s="236" t="str">
        <f>IF(A56="","",IF(E56="","非役職",VLOOKUP('従業員情報(給与以外)'!$E56,入力シート!$AH$37:$AO$62,5,0)))</f>
        <v/>
      </c>
      <c r="S56" s="116" t="str">
        <f>IF(OR(入力シート!$C$5&lt;&gt;入力リスト!$N$4,COUNTIF(入力シート!$J$16:$S$23,入力リスト!$K$4)=0),"",IF($A56="","",IF(ISERROR(AVERAGEIF(従業員の給与情報!$B:$B,$A56,従業員の給与情報!$C:$C)),0,IF(ISERROR(AVERAGEIF(従業員の給与情報!$B:$B,$A56,従業員の給与情報!$C:$C)),0,AVERAGEIF(従業員の給与情報!$B:$B,$A56,従業員の給与情報!$C:$C)))))</f>
        <v/>
      </c>
      <c r="T56" s="116" t="str">
        <f>IF(OR(入力シート!$C$5&lt;&gt;入力リスト!$N$4,COUNTIF(入力シート!$J$16:$S$23,入力リスト!$K$4)=0),"",IF(A56="","",IF(ISERROR(AVERAGEIF(従業員の給与情報!$B:$B,$A56,従業員の給与情報!$D:$D)),0,IF(ISERROR(AVERAGEIF(従業員の給与情報!$B:$B,$A56,従業員の給与情報!$D:$D)),0,AVERAGEIF(従業員の給与情報!$B:$B,$A56,従業員の給与情報!$D:$D)))))</f>
        <v/>
      </c>
      <c r="U56" s="116" t="str">
        <f>IF(OR(入力シート!$C$5&lt;&gt;入力リスト!$N$4,COUNTIF(入力シート!$J$16:$S$23,入力リスト!$K$4)=0),"",IF(A56="","",IF(ISERROR(AVERAGEIF(従業員の給与情報!$B:$B,$A56,従業員の給与情報!$E:$E)),0,IF(ISERROR(AVERAGEIF(従業員の給与情報!$B:$B,$A56,従業員の給与情報!$E:$E)),0,AVERAGEIF(従業員の給与情報!$B:$B,$A56,従業員の給与情報!$E:$E)))))</f>
        <v/>
      </c>
      <c r="V56" s="117" t="str">
        <f>IF(OR(入力シート!$C$5&lt;&gt;入力リスト!$N$4,COUNTIF(入力シート!$J$16:$S$23,入力リスト!$K$4)=0),"",IF(A56="","",IF(ISERROR(AVERAGEIF(従業員の給与情報!$B:$B,$A56,従業員の給与情報!$F:$F)),0,IF(ISERROR(AVERAGEIF(従業員の給与情報!$B:$B,$A56,従業員の給与情報!$F:$F)),0,AVERAGEIF(従業員の給与情報!$B:$B,$A56,従業員の給与情報!$F:$F)))))</f>
        <v/>
      </c>
      <c r="W56" s="182"/>
      <c r="X56" s="260"/>
    </row>
    <row r="57" spans="1:24" ht="19.5">
      <c r="A57" s="367"/>
      <c r="B57" s="364"/>
      <c r="C57" s="365"/>
      <c r="D57" s="366"/>
      <c r="E57" s="367"/>
      <c r="F57" s="372" t="str">
        <f>IF(G57,"この従業員番号は、すでに他のセルで入力されています。",IF(入力シート!$C$5=入力リスト!$N$5,"",IF(AND(A57="",B57="",C57="",D57="",E57=""),"",IF(OR(A57="",B57="",C57="",D57=""),IF(A57="","従業員番号","")&amp;IF(AND(A57="",OR(B57="",C57="",D57="")),",","")&amp;IF(B57="","雇用形態","")&amp;IF(AND(B57="",OR(C57="",D57="")),",","")&amp;IF(OR(入力シート!$J$18=入力リスト!$K$4,入力シート!$J$22=入力リスト!$K$4),IF(C57="","入社年月日",""),"")&amp;IF(AND(C57="",D57=""),",","")&amp;IF(D57="","性別","")&amp;IF(IF(A57="","従業員番号","")&amp;IF(B57="","雇用形態","")&amp;IF(OR(入力シート!$J$18=入力リスト!$K$4,入力シート!$J$22=入力リスト!$K$4),IF(C57="","入社年月日",""),"")&amp;IF(D57="","性別","")="","","が空白です。"),IF(J57,"入社年月日に「基準日」の翌日以降の日付が入力されています。","")&amp;IF(I57,"入社年月日に数値以外（又は1900/1/1以前の日付）が入力されています。","")&amp;IF(H57,"雇用形態"&amp;IF(OR(K57,L57),",",""),"")&amp;IF(K57,"性別"&amp;IF(L57,",",""),"")&amp;IF(L57,"役職","")&amp;IF(OR(H57,K57,L57),"に、［入力シート］(4)「貴社」欄と異なる文言が入力されています。","")))))</f>
        <v/>
      </c>
      <c r="G57" s="236" t="b">
        <f>COUNTIF($A$4:A56,$A57)&gt;0</f>
        <v>0</v>
      </c>
      <c r="H57" s="237" t="b">
        <f>IF(COUNTIF(入力シート!$J$16:$S$23,入力リスト!$K$4)=0,FALSE,IF(入力シート!$J$16=入力リスト!$K$5,FALSE,ISERROR(VLOOKUP(B57,入力シート!$S$37:$V$62,1,0))))</f>
        <v>0</v>
      </c>
      <c r="I57" s="237" t="b">
        <f>IF(AND(OR(入力シート!$J$18=入力リスト!$K$4,入力シート!$J$22=入力リスト!$K$4),入力シート!$J$24&lt;&gt;""),IF(ISERROR(C57+1),TRUE,IF(ISNUMBER(C57),FALSE,TRUE)),FALSE)</f>
        <v>0</v>
      </c>
      <c r="J57" s="237" t="b">
        <f>IF(AND(入力シート!$J$18=入力リスト!$K$4,入力シート!$J$22=入力リスト!$K$4),FALSE,IF(I57=TRUE,FALSE,IF(ISERROR(C57+1),FALSE,C57&gt;入力シート!$J$24)))</f>
        <v>0</v>
      </c>
      <c r="K57" s="237" t="b">
        <f>IF(COUNTIF(入力シート!$J$16:$S$23,入力リスト!$K$4)=0,FALSE,IF(AND(入力シート!$J$16&lt;&gt;入力リスト!$K$5,入力シート!$J$18&lt;&gt;入力リスト!$K$5,入力シート!$J$20&lt;&gt;入力リスト!$K$5,入力シート!$J$22&lt;&gt;入力リスト!$K$5),FALSE,ISERROR(VLOOKUP(D57,入力シート!$AW$37:$AY$38,1,0))))</f>
        <v>0</v>
      </c>
      <c r="L57" s="237" t="b">
        <f>IF(COUNTIF(入力シート!$J$16:$S$23,入力リスト!$K$4)=0,FALSE,IF(入力シート!$J$20=入力リスト!$K$5,FALSE,IF(E57="",FALSE,ISERROR(VLOOKUP(E57,入力シート!$AH$37:$AK$62,1,0)))))</f>
        <v>0</v>
      </c>
      <c r="M57" s="238" t="str">
        <f t="shared" si="0"/>
        <v/>
      </c>
      <c r="N57" s="236" t="str">
        <f>IF(B57="","",VLOOKUP('従業員情報(給与以外)'!$B57,入力シート!$S$37:$Z$62,5,0))</f>
        <v/>
      </c>
      <c r="O57" s="182" t="str">
        <f>IF(ISNUMBER(C57)=FALSE,"",IF(C57&gt;入力シート!$J$24,"",_xlfn.DAYS(入力シート!$J$24,'従業員情報(給与以外)'!$C57)/365))</f>
        <v/>
      </c>
      <c r="P57" s="237" t="str">
        <f>IF(O57="","",VLOOKUP(_xlfn.DAYS(入力シート!$J$24,'従業員情報(給与以外)'!$C57)/365,入力リスト!$H$4:$I$12,2,2))</f>
        <v/>
      </c>
      <c r="Q57" s="236" t="str">
        <f>IF(D57="","",VLOOKUP('従業員情報(給与以外)'!$D57,入力シート!$AW$37:$BB$38,4,0))</f>
        <v/>
      </c>
      <c r="R57" s="236" t="str">
        <f>IF(A57="","",IF(E57="","非役職",VLOOKUP('従業員情報(給与以外)'!$E57,入力シート!$AH$37:$AO$62,5,0)))</f>
        <v/>
      </c>
      <c r="S57" s="116" t="str">
        <f>IF(OR(入力シート!$C$5&lt;&gt;入力リスト!$N$4,COUNTIF(入力シート!$J$16:$S$23,入力リスト!$K$4)=0),"",IF($A57="","",IF(ISERROR(AVERAGEIF(従業員の給与情報!$B:$B,$A57,従業員の給与情報!$C:$C)),0,IF(ISERROR(AVERAGEIF(従業員の給与情報!$B:$B,$A57,従業員の給与情報!$C:$C)),0,AVERAGEIF(従業員の給与情報!$B:$B,$A57,従業員の給与情報!$C:$C)))))</f>
        <v/>
      </c>
      <c r="T57" s="116" t="str">
        <f>IF(OR(入力シート!$C$5&lt;&gt;入力リスト!$N$4,COUNTIF(入力シート!$J$16:$S$23,入力リスト!$K$4)=0),"",IF(A57="","",IF(ISERROR(AVERAGEIF(従業員の給与情報!$B:$B,$A57,従業員の給与情報!$D:$D)),0,IF(ISERROR(AVERAGEIF(従業員の給与情報!$B:$B,$A57,従業員の給与情報!$D:$D)),0,AVERAGEIF(従業員の給与情報!$B:$B,$A57,従業員の給与情報!$D:$D)))))</f>
        <v/>
      </c>
      <c r="U57" s="116" t="str">
        <f>IF(OR(入力シート!$C$5&lt;&gt;入力リスト!$N$4,COUNTIF(入力シート!$J$16:$S$23,入力リスト!$K$4)=0),"",IF(A57="","",IF(ISERROR(AVERAGEIF(従業員の給与情報!$B:$B,$A57,従業員の給与情報!$E:$E)),0,IF(ISERROR(AVERAGEIF(従業員の給与情報!$B:$B,$A57,従業員の給与情報!$E:$E)),0,AVERAGEIF(従業員の給与情報!$B:$B,$A57,従業員の給与情報!$E:$E)))))</f>
        <v/>
      </c>
      <c r="V57" s="117" t="str">
        <f>IF(OR(入力シート!$C$5&lt;&gt;入力リスト!$N$4,COUNTIF(入力シート!$J$16:$S$23,入力リスト!$K$4)=0),"",IF(A57="","",IF(ISERROR(AVERAGEIF(従業員の給与情報!$B:$B,$A57,従業員の給与情報!$F:$F)),0,IF(ISERROR(AVERAGEIF(従業員の給与情報!$B:$B,$A57,従業員の給与情報!$F:$F)),0,AVERAGEIF(従業員の給与情報!$B:$B,$A57,従業員の給与情報!$F:$F)))))</f>
        <v/>
      </c>
      <c r="W57" s="182"/>
      <c r="X57" s="260"/>
    </row>
    <row r="58" spans="1:24" ht="19.5">
      <c r="A58" s="367"/>
      <c r="B58" s="364"/>
      <c r="C58" s="365"/>
      <c r="D58" s="366"/>
      <c r="E58" s="364"/>
      <c r="F58" s="372" t="str">
        <f>IF(G58,"この従業員番号は、すでに他のセルで入力されています。",IF(入力シート!$C$5=入力リスト!$N$5,"",IF(AND(A58="",B58="",C58="",D58="",E58=""),"",IF(OR(A58="",B58="",C58="",D58=""),IF(A58="","従業員番号","")&amp;IF(AND(A58="",OR(B58="",C58="",D58="")),",","")&amp;IF(B58="","雇用形態","")&amp;IF(AND(B58="",OR(C58="",D58="")),",","")&amp;IF(OR(入力シート!$J$18=入力リスト!$K$4,入力シート!$J$22=入力リスト!$K$4),IF(C58="","入社年月日",""),"")&amp;IF(AND(C58="",D58=""),",","")&amp;IF(D58="","性別","")&amp;IF(IF(A58="","従業員番号","")&amp;IF(B58="","雇用形態","")&amp;IF(OR(入力シート!$J$18=入力リスト!$K$4,入力シート!$J$22=入力リスト!$K$4),IF(C58="","入社年月日",""),"")&amp;IF(D58="","性別","")="","","が空白です。"),IF(J58,"入社年月日に「基準日」の翌日以降の日付が入力されています。","")&amp;IF(I58,"入社年月日に数値以外（又は1900/1/1以前の日付）が入力されています。","")&amp;IF(H58,"雇用形態"&amp;IF(OR(K58,L58),",",""),"")&amp;IF(K58,"性別"&amp;IF(L58,",",""),"")&amp;IF(L58,"役職","")&amp;IF(OR(H58,K58,L58),"に、［入力シート］(4)「貴社」欄と異なる文言が入力されています。","")))))</f>
        <v/>
      </c>
      <c r="G58" s="236" t="b">
        <f>COUNTIF($A$4:A57,$A58)&gt;0</f>
        <v>0</v>
      </c>
      <c r="H58" s="237" t="b">
        <f>IF(COUNTIF(入力シート!$J$16:$S$23,入力リスト!$K$4)=0,FALSE,IF(入力シート!$J$16=入力リスト!$K$5,FALSE,ISERROR(VLOOKUP(B58,入力シート!$S$37:$V$62,1,0))))</f>
        <v>0</v>
      </c>
      <c r="I58" s="237" t="b">
        <f>IF(AND(OR(入力シート!$J$18=入力リスト!$K$4,入力シート!$J$22=入力リスト!$K$4),入力シート!$J$24&lt;&gt;""),IF(ISERROR(C58+1),TRUE,IF(ISNUMBER(C58),FALSE,TRUE)),FALSE)</f>
        <v>0</v>
      </c>
      <c r="J58" s="237" t="b">
        <f>IF(AND(入力シート!$J$18=入力リスト!$K$4,入力シート!$J$22=入力リスト!$K$4),FALSE,IF(I58=TRUE,FALSE,IF(ISERROR(C58+1),FALSE,C58&gt;入力シート!$J$24)))</f>
        <v>0</v>
      </c>
      <c r="K58" s="237" t="b">
        <f>IF(COUNTIF(入力シート!$J$16:$S$23,入力リスト!$K$4)=0,FALSE,IF(AND(入力シート!$J$16&lt;&gt;入力リスト!$K$5,入力シート!$J$18&lt;&gt;入力リスト!$K$5,入力シート!$J$20&lt;&gt;入力リスト!$K$5,入力シート!$J$22&lt;&gt;入力リスト!$K$5),FALSE,ISERROR(VLOOKUP(D58,入力シート!$AW$37:$AY$38,1,0))))</f>
        <v>0</v>
      </c>
      <c r="L58" s="237" t="b">
        <f>IF(COUNTIF(入力シート!$J$16:$S$23,入力リスト!$K$4)=0,FALSE,IF(入力シート!$J$20=入力リスト!$K$5,FALSE,IF(E58="",FALSE,ISERROR(VLOOKUP(E58,入力シート!$AH$37:$AK$62,1,0)))))</f>
        <v>0</v>
      </c>
      <c r="M58" s="238" t="str">
        <f t="shared" si="0"/>
        <v/>
      </c>
      <c r="N58" s="236" t="str">
        <f>IF(B58="","",VLOOKUP('従業員情報(給与以外)'!$B58,入力シート!$S$37:$Z$62,5,0))</f>
        <v/>
      </c>
      <c r="O58" s="182" t="str">
        <f>IF(ISNUMBER(C58)=FALSE,"",IF(C58&gt;入力シート!$J$24,"",_xlfn.DAYS(入力シート!$J$24,'従業員情報(給与以外)'!$C58)/365))</f>
        <v/>
      </c>
      <c r="P58" s="237" t="str">
        <f>IF(O58="","",VLOOKUP(_xlfn.DAYS(入力シート!$J$24,'従業員情報(給与以外)'!$C58)/365,入力リスト!$H$4:$I$12,2,2))</f>
        <v/>
      </c>
      <c r="Q58" s="236" t="str">
        <f>IF(D58="","",VLOOKUP('従業員情報(給与以外)'!$D58,入力シート!$AW$37:$BB$38,4,0))</f>
        <v/>
      </c>
      <c r="R58" s="236" t="str">
        <f>IF(A58="","",IF(E58="","非役職",VLOOKUP('従業員情報(給与以外)'!$E58,入力シート!$AH$37:$AO$62,5,0)))</f>
        <v/>
      </c>
      <c r="S58" s="116" t="str">
        <f>IF(OR(入力シート!$C$5&lt;&gt;入力リスト!$N$4,COUNTIF(入力シート!$J$16:$S$23,入力リスト!$K$4)=0),"",IF($A58="","",IF(ISERROR(AVERAGEIF(従業員の給与情報!$B:$B,$A58,従業員の給与情報!$C:$C)),0,IF(ISERROR(AVERAGEIF(従業員の給与情報!$B:$B,$A58,従業員の給与情報!$C:$C)),0,AVERAGEIF(従業員の給与情報!$B:$B,$A58,従業員の給与情報!$C:$C)))))</f>
        <v/>
      </c>
      <c r="T58" s="116" t="str">
        <f>IF(OR(入力シート!$C$5&lt;&gt;入力リスト!$N$4,COUNTIF(入力シート!$J$16:$S$23,入力リスト!$K$4)=0),"",IF(A58="","",IF(ISERROR(AVERAGEIF(従業員の給与情報!$B:$B,$A58,従業員の給与情報!$D:$D)),0,IF(ISERROR(AVERAGEIF(従業員の給与情報!$B:$B,$A58,従業員の給与情報!$D:$D)),0,AVERAGEIF(従業員の給与情報!$B:$B,$A58,従業員の給与情報!$D:$D)))))</f>
        <v/>
      </c>
      <c r="U58" s="116" t="str">
        <f>IF(OR(入力シート!$C$5&lt;&gt;入力リスト!$N$4,COUNTIF(入力シート!$J$16:$S$23,入力リスト!$K$4)=0),"",IF(A58="","",IF(ISERROR(AVERAGEIF(従業員の給与情報!$B:$B,$A58,従業員の給与情報!$E:$E)),0,IF(ISERROR(AVERAGEIF(従業員の給与情報!$B:$B,$A58,従業員の給与情報!$E:$E)),0,AVERAGEIF(従業員の給与情報!$B:$B,$A58,従業員の給与情報!$E:$E)))))</f>
        <v/>
      </c>
      <c r="V58" s="117" t="str">
        <f>IF(OR(入力シート!$C$5&lt;&gt;入力リスト!$N$4,COUNTIF(入力シート!$J$16:$S$23,入力リスト!$K$4)=0),"",IF(A58="","",IF(ISERROR(AVERAGEIF(従業員の給与情報!$B:$B,$A58,従業員の給与情報!$F:$F)),0,IF(ISERROR(AVERAGEIF(従業員の給与情報!$B:$B,$A58,従業員の給与情報!$F:$F)),0,AVERAGEIF(従業員の給与情報!$B:$B,$A58,従業員の給与情報!$F:$F)))))</f>
        <v/>
      </c>
      <c r="W58" s="182"/>
      <c r="X58" s="260"/>
    </row>
    <row r="59" spans="1:24" ht="19.5">
      <c r="A59" s="367"/>
      <c r="B59" s="364"/>
      <c r="C59" s="365"/>
      <c r="D59" s="366"/>
      <c r="E59" s="367"/>
      <c r="F59" s="372" t="str">
        <f>IF(G59,"この従業員番号は、すでに他のセルで入力されています。",IF(入力シート!$C$5=入力リスト!$N$5,"",IF(AND(A59="",B59="",C59="",D59="",E59=""),"",IF(OR(A59="",B59="",C59="",D59=""),IF(A59="","従業員番号","")&amp;IF(AND(A59="",OR(B59="",C59="",D59="")),",","")&amp;IF(B59="","雇用形態","")&amp;IF(AND(B59="",OR(C59="",D59="")),",","")&amp;IF(OR(入力シート!$J$18=入力リスト!$K$4,入力シート!$J$22=入力リスト!$K$4),IF(C59="","入社年月日",""),"")&amp;IF(AND(C59="",D59=""),",","")&amp;IF(D59="","性別","")&amp;IF(IF(A59="","従業員番号","")&amp;IF(B59="","雇用形態","")&amp;IF(OR(入力シート!$J$18=入力リスト!$K$4,入力シート!$J$22=入力リスト!$K$4),IF(C59="","入社年月日",""),"")&amp;IF(D59="","性別","")="","","が空白です。"),IF(J59,"入社年月日に「基準日」の翌日以降の日付が入力されています。","")&amp;IF(I59,"入社年月日に数値以外（又は1900/1/1以前の日付）が入力されています。","")&amp;IF(H59,"雇用形態"&amp;IF(OR(K59,L59),",",""),"")&amp;IF(K59,"性別"&amp;IF(L59,",",""),"")&amp;IF(L59,"役職","")&amp;IF(OR(H59,K59,L59),"に、［入力シート］(4)「貴社」欄と異なる文言が入力されています。","")))))</f>
        <v/>
      </c>
      <c r="G59" s="236" t="b">
        <f>COUNTIF($A$4:A58,$A59)&gt;0</f>
        <v>0</v>
      </c>
      <c r="H59" s="237" t="b">
        <f>IF(COUNTIF(入力シート!$J$16:$S$23,入力リスト!$K$4)=0,FALSE,IF(入力シート!$J$16=入力リスト!$K$5,FALSE,ISERROR(VLOOKUP(B59,入力シート!$S$37:$V$62,1,0))))</f>
        <v>0</v>
      </c>
      <c r="I59" s="237" t="b">
        <f>IF(AND(OR(入力シート!$J$18=入力リスト!$K$4,入力シート!$J$22=入力リスト!$K$4),入力シート!$J$24&lt;&gt;""),IF(ISERROR(C59+1),TRUE,IF(ISNUMBER(C59),FALSE,TRUE)),FALSE)</f>
        <v>0</v>
      </c>
      <c r="J59" s="237" t="b">
        <f>IF(AND(入力シート!$J$18=入力リスト!$K$4,入力シート!$J$22=入力リスト!$K$4),FALSE,IF(I59=TRUE,FALSE,IF(ISERROR(C59+1),FALSE,C59&gt;入力シート!$J$24)))</f>
        <v>0</v>
      </c>
      <c r="K59" s="237" t="b">
        <f>IF(COUNTIF(入力シート!$J$16:$S$23,入力リスト!$K$4)=0,FALSE,IF(AND(入力シート!$J$16&lt;&gt;入力リスト!$K$5,入力シート!$J$18&lt;&gt;入力リスト!$K$5,入力シート!$J$20&lt;&gt;入力リスト!$K$5,入力シート!$J$22&lt;&gt;入力リスト!$K$5),FALSE,ISERROR(VLOOKUP(D59,入力シート!$AW$37:$AY$38,1,0))))</f>
        <v>0</v>
      </c>
      <c r="L59" s="237" t="b">
        <f>IF(COUNTIF(入力シート!$J$16:$S$23,入力リスト!$K$4)=0,FALSE,IF(入力シート!$J$20=入力リスト!$K$5,FALSE,IF(E59="",FALSE,ISERROR(VLOOKUP(E59,入力シート!$AH$37:$AK$62,1,0)))))</f>
        <v>0</v>
      </c>
      <c r="M59" s="238" t="str">
        <f t="shared" si="0"/>
        <v/>
      </c>
      <c r="N59" s="236" t="str">
        <f>IF(B59="","",VLOOKUP('従業員情報(給与以外)'!$B59,入力シート!$S$37:$Z$62,5,0))</f>
        <v/>
      </c>
      <c r="O59" s="182" t="str">
        <f>IF(ISNUMBER(C59)=FALSE,"",IF(C59&gt;入力シート!$J$24,"",_xlfn.DAYS(入力シート!$J$24,'従業員情報(給与以外)'!$C59)/365))</f>
        <v/>
      </c>
      <c r="P59" s="237" t="str">
        <f>IF(O59="","",VLOOKUP(_xlfn.DAYS(入力シート!$J$24,'従業員情報(給与以外)'!$C59)/365,入力リスト!$H$4:$I$12,2,2))</f>
        <v/>
      </c>
      <c r="Q59" s="236" t="str">
        <f>IF(D59="","",VLOOKUP('従業員情報(給与以外)'!$D59,入力シート!$AW$37:$BB$38,4,0))</f>
        <v/>
      </c>
      <c r="R59" s="236" t="str">
        <f>IF(A59="","",IF(E59="","非役職",VLOOKUP('従業員情報(給与以外)'!$E59,入力シート!$AH$37:$AO$62,5,0)))</f>
        <v/>
      </c>
      <c r="S59" s="116" t="str">
        <f>IF(OR(入力シート!$C$5&lt;&gt;入力リスト!$N$4,COUNTIF(入力シート!$J$16:$S$23,入力リスト!$K$4)=0),"",IF($A59="","",IF(ISERROR(AVERAGEIF(従業員の給与情報!$B:$B,$A59,従業員の給与情報!$C:$C)),0,IF(ISERROR(AVERAGEIF(従業員の給与情報!$B:$B,$A59,従業員の給与情報!$C:$C)),0,AVERAGEIF(従業員の給与情報!$B:$B,$A59,従業員の給与情報!$C:$C)))))</f>
        <v/>
      </c>
      <c r="T59" s="116" t="str">
        <f>IF(OR(入力シート!$C$5&lt;&gt;入力リスト!$N$4,COUNTIF(入力シート!$J$16:$S$23,入力リスト!$K$4)=0),"",IF(A59="","",IF(ISERROR(AVERAGEIF(従業員の給与情報!$B:$B,$A59,従業員の給与情報!$D:$D)),0,IF(ISERROR(AVERAGEIF(従業員の給与情報!$B:$B,$A59,従業員の給与情報!$D:$D)),0,AVERAGEIF(従業員の給与情報!$B:$B,$A59,従業員の給与情報!$D:$D)))))</f>
        <v/>
      </c>
      <c r="U59" s="116" t="str">
        <f>IF(OR(入力シート!$C$5&lt;&gt;入力リスト!$N$4,COUNTIF(入力シート!$J$16:$S$23,入力リスト!$K$4)=0),"",IF(A59="","",IF(ISERROR(AVERAGEIF(従業員の給与情報!$B:$B,$A59,従業員の給与情報!$E:$E)),0,IF(ISERROR(AVERAGEIF(従業員の給与情報!$B:$B,$A59,従業員の給与情報!$E:$E)),0,AVERAGEIF(従業員の給与情報!$B:$B,$A59,従業員の給与情報!$E:$E)))))</f>
        <v/>
      </c>
      <c r="V59" s="117" t="str">
        <f>IF(OR(入力シート!$C$5&lt;&gt;入力リスト!$N$4,COUNTIF(入力シート!$J$16:$S$23,入力リスト!$K$4)=0),"",IF(A59="","",IF(ISERROR(AVERAGEIF(従業員の給与情報!$B:$B,$A59,従業員の給与情報!$F:$F)),0,IF(ISERROR(AVERAGEIF(従業員の給与情報!$B:$B,$A59,従業員の給与情報!$F:$F)),0,AVERAGEIF(従業員の給与情報!$B:$B,$A59,従業員の給与情報!$F:$F)))))</f>
        <v/>
      </c>
      <c r="W59" s="182"/>
      <c r="X59" s="260"/>
    </row>
    <row r="60" spans="1:24" ht="19.5">
      <c r="A60" s="367"/>
      <c r="B60" s="364"/>
      <c r="C60" s="365"/>
      <c r="D60" s="366"/>
      <c r="E60" s="367"/>
      <c r="F60" s="372" t="str">
        <f>IF(G60,"この従業員番号は、すでに他のセルで入力されています。",IF(入力シート!$C$5=入力リスト!$N$5,"",IF(AND(A60="",B60="",C60="",D60="",E60=""),"",IF(OR(A60="",B60="",C60="",D60=""),IF(A60="","従業員番号","")&amp;IF(AND(A60="",OR(B60="",C60="",D60="")),",","")&amp;IF(B60="","雇用形態","")&amp;IF(AND(B60="",OR(C60="",D60="")),",","")&amp;IF(OR(入力シート!$J$18=入力リスト!$K$4,入力シート!$J$22=入力リスト!$K$4),IF(C60="","入社年月日",""),"")&amp;IF(AND(C60="",D60=""),",","")&amp;IF(D60="","性別","")&amp;IF(IF(A60="","従業員番号","")&amp;IF(B60="","雇用形態","")&amp;IF(OR(入力シート!$J$18=入力リスト!$K$4,入力シート!$J$22=入力リスト!$K$4),IF(C60="","入社年月日",""),"")&amp;IF(D60="","性別","")="","","が空白です。"),IF(J60,"入社年月日に「基準日」の翌日以降の日付が入力されています。","")&amp;IF(I60,"入社年月日に数値以外（又は1900/1/1以前の日付）が入力されています。","")&amp;IF(H60,"雇用形態"&amp;IF(OR(K60,L60),",",""),"")&amp;IF(K60,"性別"&amp;IF(L60,",",""),"")&amp;IF(L60,"役職","")&amp;IF(OR(H60,K60,L60),"に、［入力シート］(4)「貴社」欄と異なる文言が入力されています。","")))))</f>
        <v/>
      </c>
      <c r="G60" s="236" t="b">
        <f>COUNTIF($A$4:A59,$A60)&gt;0</f>
        <v>0</v>
      </c>
      <c r="H60" s="237" t="b">
        <f>IF(COUNTIF(入力シート!$J$16:$S$23,入力リスト!$K$4)=0,FALSE,IF(入力シート!$J$16=入力リスト!$K$5,FALSE,ISERROR(VLOOKUP(B60,入力シート!$S$37:$V$62,1,0))))</f>
        <v>0</v>
      </c>
      <c r="I60" s="237" t="b">
        <f>IF(AND(OR(入力シート!$J$18=入力リスト!$K$4,入力シート!$J$22=入力リスト!$K$4),入力シート!$J$24&lt;&gt;""),IF(ISERROR(C60+1),TRUE,IF(ISNUMBER(C60),FALSE,TRUE)),FALSE)</f>
        <v>0</v>
      </c>
      <c r="J60" s="237" t="b">
        <f>IF(AND(入力シート!$J$18=入力リスト!$K$4,入力シート!$J$22=入力リスト!$K$4),FALSE,IF(I60=TRUE,FALSE,IF(ISERROR(C60+1),FALSE,C60&gt;入力シート!$J$24)))</f>
        <v>0</v>
      </c>
      <c r="K60" s="237" t="b">
        <f>IF(COUNTIF(入力シート!$J$16:$S$23,入力リスト!$K$4)=0,FALSE,IF(AND(入力シート!$J$16&lt;&gt;入力リスト!$K$5,入力シート!$J$18&lt;&gt;入力リスト!$K$5,入力シート!$J$20&lt;&gt;入力リスト!$K$5,入力シート!$J$22&lt;&gt;入力リスト!$K$5),FALSE,ISERROR(VLOOKUP(D60,入力シート!$AW$37:$AY$38,1,0))))</f>
        <v>0</v>
      </c>
      <c r="L60" s="237" t="b">
        <f>IF(COUNTIF(入力シート!$J$16:$S$23,入力リスト!$K$4)=0,FALSE,IF(入力シート!$J$20=入力リスト!$K$5,FALSE,IF(E60="",FALSE,ISERROR(VLOOKUP(E60,入力シート!$AH$37:$AK$62,1,0)))))</f>
        <v>0</v>
      </c>
      <c r="M60" s="238" t="str">
        <f t="shared" si="0"/>
        <v/>
      </c>
      <c r="N60" s="236" t="str">
        <f>IF(B60="","",VLOOKUP('従業員情報(給与以外)'!$B60,入力シート!$S$37:$Z$62,5,0))</f>
        <v/>
      </c>
      <c r="O60" s="182" t="str">
        <f>IF(ISNUMBER(C60)=FALSE,"",IF(C60&gt;入力シート!$J$24,"",_xlfn.DAYS(入力シート!$J$24,'従業員情報(給与以外)'!$C60)/365))</f>
        <v/>
      </c>
      <c r="P60" s="237" t="str">
        <f>IF(O60="","",VLOOKUP(_xlfn.DAYS(入力シート!$J$24,'従業員情報(給与以外)'!$C60)/365,入力リスト!$H$4:$I$12,2,2))</f>
        <v/>
      </c>
      <c r="Q60" s="236" t="str">
        <f>IF(D60="","",VLOOKUP('従業員情報(給与以外)'!$D60,入力シート!$AW$37:$BB$38,4,0))</f>
        <v/>
      </c>
      <c r="R60" s="236" t="str">
        <f>IF(A60="","",IF(E60="","非役職",VLOOKUP('従業員情報(給与以外)'!$E60,入力シート!$AH$37:$AO$62,5,0)))</f>
        <v/>
      </c>
      <c r="S60" s="116" t="str">
        <f>IF(OR(入力シート!$C$5&lt;&gt;入力リスト!$N$4,COUNTIF(入力シート!$J$16:$S$23,入力リスト!$K$4)=0),"",IF($A60="","",IF(ISERROR(AVERAGEIF(従業員の給与情報!$B:$B,$A60,従業員の給与情報!$C:$C)),0,IF(ISERROR(AVERAGEIF(従業員の給与情報!$B:$B,$A60,従業員の給与情報!$C:$C)),0,AVERAGEIF(従業員の給与情報!$B:$B,$A60,従業員の給与情報!$C:$C)))))</f>
        <v/>
      </c>
      <c r="T60" s="116" t="str">
        <f>IF(OR(入力シート!$C$5&lt;&gt;入力リスト!$N$4,COUNTIF(入力シート!$J$16:$S$23,入力リスト!$K$4)=0),"",IF(A60="","",IF(ISERROR(AVERAGEIF(従業員の給与情報!$B:$B,$A60,従業員の給与情報!$D:$D)),0,IF(ISERROR(AVERAGEIF(従業員の給与情報!$B:$B,$A60,従業員の給与情報!$D:$D)),0,AVERAGEIF(従業員の給与情報!$B:$B,$A60,従業員の給与情報!$D:$D)))))</f>
        <v/>
      </c>
      <c r="U60" s="116" t="str">
        <f>IF(OR(入力シート!$C$5&lt;&gt;入力リスト!$N$4,COUNTIF(入力シート!$J$16:$S$23,入力リスト!$K$4)=0),"",IF(A60="","",IF(ISERROR(AVERAGEIF(従業員の給与情報!$B:$B,$A60,従業員の給与情報!$E:$E)),0,IF(ISERROR(AVERAGEIF(従業員の給与情報!$B:$B,$A60,従業員の給与情報!$E:$E)),0,AVERAGEIF(従業員の給与情報!$B:$B,$A60,従業員の給与情報!$E:$E)))))</f>
        <v/>
      </c>
      <c r="V60" s="117" t="str">
        <f>IF(OR(入力シート!$C$5&lt;&gt;入力リスト!$N$4,COUNTIF(入力シート!$J$16:$S$23,入力リスト!$K$4)=0),"",IF(A60="","",IF(ISERROR(AVERAGEIF(従業員の給与情報!$B:$B,$A60,従業員の給与情報!$F:$F)),0,IF(ISERROR(AVERAGEIF(従業員の給与情報!$B:$B,$A60,従業員の給与情報!$F:$F)),0,AVERAGEIF(従業員の給与情報!$B:$B,$A60,従業員の給与情報!$F:$F)))))</f>
        <v/>
      </c>
      <c r="W60" s="182"/>
      <c r="X60" s="260"/>
    </row>
    <row r="61" spans="1:24" ht="19.5">
      <c r="A61" s="367"/>
      <c r="B61" s="364"/>
      <c r="C61" s="365"/>
      <c r="D61" s="366"/>
      <c r="E61" s="367"/>
      <c r="F61" s="372" t="str">
        <f>IF(G61,"この従業員番号は、すでに他のセルで入力されています。",IF(入力シート!$C$5=入力リスト!$N$5,"",IF(AND(A61="",B61="",C61="",D61="",E61=""),"",IF(OR(A61="",B61="",C61="",D61=""),IF(A61="","従業員番号","")&amp;IF(AND(A61="",OR(B61="",C61="",D61="")),",","")&amp;IF(B61="","雇用形態","")&amp;IF(AND(B61="",OR(C61="",D61="")),",","")&amp;IF(OR(入力シート!$J$18=入力リスト!$K$4,入力シート!$J$22=入力リスト!$K$4),IF(C61="","入社年月日",""),"")&amp;IF(AND(C61="",D61=""),",","")&amp;IF(D61="","性別","")&amp;IF(IF(A61="","従業員番号","")&amp;IF(B61="","雇用形態","")&amp;IF(OR(入力シート!$J$18=入力リスト!$K$4,入力シート!$J$22=入力リスト!$K$4),IF(C61="","入社年月日",""),"")&amp;IF(D61="","性別","")="","","が空白です。"),IF(J61,"入社年月日に「基準日」の翌日以降の日付が入力されています。","")&amp;IF(I61,"入社年月日に数値以外（又は1900/1/1以前の日付）が入力されています。","")&amp;IF(H61,"雇用形態"&amp;IF(OR(K61,L61),",",""),"")&amp;IF(K61,"性別"&amp;IF(L61,",",""),"")&amp;IF(L61,"役職","")&amp;IF(OR(H61,K61,L61),"に、［入力シート］(4)「貴社」欄と異なる文言が入力されています。","")))))</f>
        <v/>
      </c>
      <c r="G61" s="236" t="b">
        <f>COUNTIF($A$4:A60,$A61)&gt;0</f>
        <v>0</v>
      </c>
      <c r="H61" s="237" t="b">
        <f>IF(COUNTIF(入力シート!$J$16:$S$23,入力リスト!$K$4)=0,FALSE,IF(入力シート!$J$16=入力リスト!$K$5,FALSE,ISERROR(VLOOKUP(B61,入力シート!$S$37:$V$62,1,0))))</f>
        <v>0</v>
      </c>
      <c r="I61" s="237" t="b">
        <f>IF(AND(OR(入力シート!$J$18=入力リスト!$K$4,入力シート!$J$22=入力リスト!$K$4),入力シート!$J$24&lt;&gt;""),IF(ISERROR(C61+1),TRUE,IF(ISNUMBER(C61),FALSE,TRUE)),FALSE)</f>
        <v>0</v>
      </c>
      <c r="J61" s="237" t="b">
        <f>IF(AND(入力シート!$J$18=入力リスト!$K$4,入力シート!$J$22=入力リスト!$K$4),FALSE,IF(I61=TRUE,FALSE,IF(ISERROR(C61+1),FALSE,C61&gt;入力シート!$J$24)))</f>
        <v>0</v>
      </c>
      <c r="K61" s="237" t="b">
        <f>IF(COUNTIF(入力シート!$J$16:$S$23,入力リスト!$K$4)=0,FALSE,IF(AND(入力シート!$J$16&lt;&gt;入力リスト!$K$5,入力シート!$J$18&lt;&gt;入力リスト!$K$5,入力シート!$J$20&lt;&gt;入力リスト!$K$5,入力シート!$J$22&lt;&gt;入力リスト!$K$5),FALSE,ISERROR(VLOOKUP(D61,入力シート!$AW$37:$AY$38,1,0))))</f>
        <v>0</v>
      </c>
      <c r="L61" s="237" t="b">
        <f>IF(COUNTIF(入力シート!$J$16:$S$23,入力リスト!$K$4)=0,FALSE,IF(入力シート!$J$20=入力リスト!$K$5,FALSE,IF(E61="",FALSE,ISERROR(VLOOKUP(E61,入力シート!$AH$37:$AK$62,1,0)))))</f>
        <v>0</v>
      </c>
      <c r="M61" s="238" t="str">
        <f t="shared" si="0"/>
        <v/>
      </c>
      <c r="N61" s="236" t="str">
        <f>IF(B61="","",VLOOKUP('従業員情報(給与以外)'!$B61,入力シート!$S$37:$Z$62,5,0))</f>
        <v/>
      </c>
      <c r="O61" s="182" t="str">
        <f>IF(ISNUMBER(C61)=FALSE,"",IF(C61&gt;入力シート!$J$24,"",_xlfn.DAYS(入力シート!$J$24,'従業員情報(給与以外)'!$C61)/365))</f>
        <v/>
      </c>
      <c r="P61" s="237" t="str">
        <f>IF(O61="","",VLOOKUP(_xlfn.DAYS(入力シート!$J$24,'従業員情報(給与以外)'!$C61)/365,入力リスト!$H$4:$I$12,2,2))</f>
        <v/>
      </c>
      <c r="Q61" s="236" t="str">
        <f>IF(D61="","",VLOOKUP('従業員情報(給与以外)'!$D61,入力シート!$AW$37:$BB$38,4,0))</f>
        <v/>
      </c>
      <c r="R61" s="236" t="str">
        <f>IF(A61="","",IF(E61="","非役職",VLOOKUP('従業員情報(給与以外)'!$E61,入力シート!$AH$37:$AO$62,5,0)))</f>
        <v/>
      </c>
      <c r="S61" s="116" t="str">
        <f>IF(OR(入力シート!$C$5&lt;&gt;入力リスト!$N$4,COUNTIF(入力シート!$J$16:$S$23,入力リスト!$K$4)=0),"",IF($A61="","",IF(ISERROR(AVERAGEIF(従業員の給与情報!$B:$B,$A61,従業員の給与情報!$C:$C)),0,IF(ISERROR(AVERAGEIF(従業員の給与情報!$B:$B,$A61,従業員の給与情報!$C:$C)),0,AVERAGEIF(従業員の給与情報!$B:$B,$A61,従業員の給与情報!$C:$C)))))</f>
        <v/>
      </c>
      <c r="T61" s="116" t="str">
        <f>IF(OR(入力シート!$C$5&lt;&gt;入力リスト!$N$4,COUNTIF(入力シート!$J$16:$S$23,入力リスト!$K$4)=0),"",IF(A61="","",IF(ISERROR(AVERAGEIF(従業員の給与情報!$B:$B,$A61,従業員の給与情報!$D:$D)),0,IF(ISERROR(AVERAGEIF(従業員の給与情報!$B:$B,$A61,従業員の給与情報!$D:$D)),0,AVERAGEIF(従業員の給与情報!$B:$B,$A61,従業員の給与情報!$D:$D)))))</f>
        <v/>
      </c>
      <c r="U61" s="116" t="str">
        <f>IF(OR(入力シート!$C$5&lt;&gt;入力リスト!$N$4,COUNTIF(入力シート!$J$16:$S$23,入力リスト!$K$4)=0),"",IF(A61="","",IF(ISERROR(AVERAGEIF(従業員の給与情報!$B:$B,$A61,従業員の給与情報!$E:$E)),0,IF(ISERROR(AVERAGEIF(従業員の給与情報!$B:$B,$A61,従業員の給与情報!$E:$E)),0,AVERAGEIF(従業員の給与情報!$B:$B,$A61,従業員の給与情報!$E:$E)))))</f>
        <v/>
      </c>
      <c r="V61" s="117" t="str">
        <f>IF(OR(入力シート!$C$5&lt;&gt;入力リスト!$N$4,COUNTIF(入力シート!$J$16:$S$23,入力リスト!$K$4)=0),"",IF(A61="","",IF(ISERROR(AVERAGEIF(従業員の給与情報!$B:$B,$A61,従業員の給与情報!$F:$F)),0,IF(ISERROR(AVERAGEIF(従業員の給与情報!$B:$B,$A61,従業員の給与情報!$F:$F)),0,AVERAGEIF(従業員の給与情報!$B:$B,$A61,従業員の給与情報!$F:$F)))))</f>
        <v/>
      </c>
      <c r="W61" s="182"/>
      <c r="X61" s="260"/>
    </row>
    <row r="62" spans="1:24" ht="19.5">
      <c r="A62" s="367"/>
      <c r="B62" s="364"/>
      <c r="C62" s="365"/>
      <c r="D62" s="366"/>
      <c r="E62" s="367"/>
      <c r="F62" s="372" t="str">
        <f>IF(G62,"この従業員番号は、すでに他のセルで入力されています。",IF(入力シート!$C$5=入力リスト!$N$5,"",IF(AND(A62="",B62="",C62="",D62="",E62=""),"",IF(OR(A62="",B62="",C62="",D62=""),IF(A62="","従業員番号","")&amp;IF(AND(A62="",OR(B62="",C62="",D62="")),",","")&amp;IF(B62="","雇用形態","")&amp;IF(AND(B62="",OR(C62="",D62="")),",","")&amp;IF(OR(入力シート!$J$18=入力リスト!$K$4,入力シート!$J$22=入力リスト!$K$4),IF(C62="","入社年月日",""),"")&amp;IF(AND(C62="",D62=""),",","")&amp;IF(D62="","性別","")&amp;IF(IF(A62="","従業員番号","")&amp;IF(B62="","雇用形態","")&amp;IF(OR(入力シート!$J$18=入力リスト!$K$4,入力シート!$J$22=入力リスト!$K$4),IF(C62="","入社年月日",""),"")&amp;IF(D62="","性別","")="","","が空白です。"),IF(J62,"入社年月日に「基準日」の翌日以降の日付が入力されています。","")&amp;IF(I62,"入社年月日に数値以外（又は1900/1/1以前の日付）が入力されています。","")&amp;IF(H62,"雇用形態"&amp;IF(OR(K62,L62),",",""),"")&amp;IF(K62,"性別"&amp;IF(L62,",",""),"")&amp;IF(L62,"役職","")&amp;IF(OR(H62,K62,L62),"に、［入力シート］(4)「貴社」欄と異なる文言が入力されています。","")))))</f>
        <v/>
      </c>
      <c r="G62" s="236" t="b">
        <f>COUNTIF($A$4:A61,$A62)&gt;0</f>
        <v>0</v>
      </c>
      <c r="H62" s="237" t="b">
        <f>IF(COUNTIF(入力シート!$J$16:$S$23,入力リスト!$K$4)=0,FALSE,IF(入力シート!$J$16=入力リスト!$K$5,FALSE,ISERROR(VLOOKUP(B62,入力シート!$S$37:$V$62,1,0))))</f>
        <v>0</v>
      </c>
      <c r="I62" s="237" t="b">
        <f>IF(AND(OR(入力シート!$J$18=入力リスト!$K$4,入力シート!$J$22=入力リスト!$K$4),入力シート!$J$24&lt;&gt;""),IF(ISERROR(C62+1),TRUE,IF(ISNUMBER(C62),FALSE,TRUE)),FALSE)</f>
        <v>0</v>
      </c>
      <c r="J62" s="237" t="b">
        <f>IF(AND(入力シート!$J$18=入力リスト!$K$4,入力シート!$J$22=入力リスト!$K$4),FALSE,IF(I62=TRUE,FALSE,IF(ISERROR(C62+1),FALSE,C62&gt;入力シート!$J$24)))</f>
        <v>0</v>
      </c>
      <c r="K62" s="237" t="b">
        <f>IF(COUNTIF(入力シート!$J$16:$S$23,入力リスト!$K$4)=0,FALSE,IF(AND(入力シート!$J$16&lt;&gt;入力リスト!$K$5,入力シート!$J$18&lt;&gt;入力リスト!$K$5,入力シート!$J$20&lt;&gt;入力リスト!$K$5,入力シート!$J$22&lt;&gt;入力リスト!$K$5),FALSE,ISERROR(VLOOKUP(D62,入力シート!$AW$37:$AY$38,1,0))))</f>
        <v>0</v>
      </c>
      <c r="L62" s="237" t="b">
        <f>IF(COUNTIF(入力シート!$J$16:$S$23,入力リスト!$K$4)=0,FALSE,IF(入力シート!$J$20=入力リスト!$K$5,FALSE,IF(E62="",FALSE,ISERROR(VLOOKUP(E62,入力シート!$AH$37:$AK$62,1,0)))))</f>
        <v>0</v>
      </c>
      <c r="M62" s="238" t="str">
        <f t="shared" si="0"/>
        <v/>
      </c>
      <c r="N62" s="236" t="str">
        <f>IF(B62="","",VLOOKUP('従業員情報(給与以外)'!$B62,入力シート!$S$37:$Z$62,5,0))</f>
        <v/>
      </c>
      <c r="O62" s="182" t="str">
        <f>IF(ISNUMBER(C62)=FALSE,"",IF(C62&gt;入力シート!$J$24,"",_xlfn.DAYS(入力シート!$J$24,'従業員情報(給与以外)'!$C62)/365))</f>
        <v/>
      </c>
      <c r="P62" s="237" t="str">
        <f>IF(O62="","",VLOOKUP(_xlfn.DAYS(入力シート!$J$24,'従業員情報(給与以外)'!$C62)/365,入力リスト!$H$4:$I$12,2,2))</f>
        <v/>
      </c>
      <c r="Q62" s="236" t="str">
        <f>IF(D62="","",VLOOKUP('従業員情報(給与以外)'!$D62,入力シート!$AW$37:$BB$38,4,0))</f>
        <v/>
      </c>
      <c r="R62" s="236" t="str">
        <f>IF(A62="","",IF(E62="","非役職",VLOOKUP('従業員情報(給与以外)'!$E62,入力シート!$AH$37:$AO$62,5,0)))</f>
        <v/>
      </c>
      <c r="S62" s="116" t="str">
        <f>IF(OR(入力シート!$C$5&lt;&gt;入力リスト!$N$4,COUNTIF(入力シート!$J$16:$S$23,入力リスト!$K$4)=0),"",IF($A62="","",IF(ISERROR(AVERAGEIF(従業員の給与情報!$B:$B,$A62,従業員の給与情報!$C:$C)),0,IF(ISERROR(AVERAGEIF(従業員の給与情報!$B:$B,$A62,従業員の給与情報!$C:$C)),0,AVERAGEIF(従業員の給与情報!$B:$B,$A62,従業員の給与情報!$C:$C)))))</f>
        <v/>
      </c>
      <c r="T62" s="116" t="str">
        <f>IF(OR(入力シート!$C$5&lt;&gt;入力リスト!$N$4,COUNTIF(入力シート!$J$16:$S$23,入力リスト!$K$4)=0),"",IF(A62="","",IF(ISERROR(AVERAGEIF(従業員の給与情報!$B:$B,$A62,従業員の給与情報!$D:$D)),0,IF(ISERROR(AVERAGEIF(従業員の給与情報!$B:$B,$A62,従業員の給与情報!$D:$D)),0,AVERAGEIF(従業員の給与情報!$B:$B,$A62,従業員の給与情報!$D:$D)))))</f>
        <v/>
      </c>
      <c r="U62" s="116" t="str">
        <f>IF(OR(入力シート!$C$5&lt;&gt;入力リスト!$N$4,COUNTIF(入力シート!$J$16:$S$23,入力リスト!$K$4)=0),"",IF(A62="","",IF(ISERROR(AVERAGEIF(従業員の給与情報!$B:$B,$A62,従業員の給与情報!$E:$E)),0,IF(ISERROR(AVERAGEIF(従業員の給与情報!$B:$B,$A62,従業員の給与情報!$E:$E)),0,AVERAGEIF(従業員の給与情報!$B:$B,$A62,従業員の給与情報!$E:$E)))))</f>
        <v/>
      </c>
      <c r="V62" s="117" t="str">
        <f>IF(OR(入力シート!$C$5&lt;&gt;入力リスト!$N$4,COUNTIF(入力シート!$J$16:$S$23,入力リスト!$K$4)=0),"",IF(A62="","",IF(ISERROR(AVERAGEIF(従業員の給与情報!$B:$B,$A62,従業員の給与情報!$F:$F)),0,IF(ISERROR(AVERAGEIF(従業員の給与情報!$B:$B,$A62,従業員の給与情報!$F:$F)),0,AVERAGEIF(従業員の給与情報!$B:$B,$A62,従業員の給与情報!$F:$F)))))</f>
        <v/>
      </c>
      <c r="W62" s="182"/>
      <c r="X62" s="260"/>
    </row>
    <row r="63" spans="1:24" ht="19.5">
      <c r="A63" s="367"/>
      <c r="B63" s="364"/>
      <c r="C63" s="365"/>
      <c r="D63" s="366"/>
      <c r="E63" s="367"/>
      <c r="F63" s="372" t="str">
        <f>IF(G63,"この従業員番号は、すでに他のセルで入力されています。",IF(入力シート!$C$5=入力リスト!$N$5,"",IF(AND(A63="",B63="",C63="",D63="",E63=""),"",IF(OR(A63="",B63="",C63="",D63=""),IF(A63="","従業員番号","")&amp;IF(AND(A63="",OR(B63="",C63="",D63="")),",","")&amp;IF(B63="","雇用形態","")&amp;IF(AND(B63="",OR(C63="",D63="")),",","")&amp;IF(OR(入力シート!$J$18=入力リスト!$K$4,入力シート!$J$22=入力リスト!$K$4),IF(C63="","入社年月日",""),"")&amp;IF(AND(C63="",D63=""),",","")&amp;IF(D63="","性別","")&amp;IF(IF(A63="","従業員番号","")&amp;IF(B63="","雇用形態","")&amp;IF(OR(入力シート!$J$18=入力リスト!$K$4,入力シート!$J$22=入力リスト!$K$4),IF(C63="","入社年月日",""),"")&amp;IF(D63="","性別","")="","","が空白です。"),IF(J63,"入社年月日に「基準日」の翌日以降の日付が入力されています。","")&amp;IF(I63,"入社年月日に数値以外（又は1900/1/1以前の日付）が入力されています。","")&amp;IF(H63,"雇用形態"&amp;IF(OR(K63,L63),",",""),"")&amp;IF(K63,"性別"&amp;IF(L63,",",""),"")&amp;IF(L63,"役職","")&amp;IF(OR(H63,K63,L63),"に、［入力シート］(4)「貴社」欄と異なる文言が入力されています。","")))))</f>
        <v/>
      </c>
      <c r="G63" s="236" t="b">
        <f>COUNTIF($A$4:A62,$A63)&gt;0</f>
        <v>0</v>
      </c>
      <c r="H63" s="237" t="b">
        <f>IF(COUNTIF(入力シート!$J$16:$S$23,入力リスト!$K$4)=0,FALSE,IF(入力シート!$J$16=入力リスト!$K$5,FALSE,ISERROR(VLOOKUP(B63,入力シート!$S$37:$V$62,1,0))))</f>
        <v>0</v>
      </c>
      <c r="I63" s="237" t="b">
        <f>IF(AND(OR(入力シート!$J$18=入力リスト!$K$4,入力シート!$J$22=入力リスト!$K$4),入力シート!$J$24&lt;&gt;""),IF(ISERROR(C63+1),TRUE,IF(ISNUMBER(C63),FALSE,TRUE)),FALSE)</f>
        <v>0</v>
      </c>
      <c r="J63" s="237" t="b">
        <f>IF(AND(入力シート!$J$18=入力リスト!$K$4,入力シート!$J$22=入力リスト!$K$4),FALSE,IF(I63=TRUE,FALSE,IF(ISERROR(C63+1),FALSE,C63&gt;入力シート!$J$24)))</f>
        <v>0</v>
      </c>
      <c r="K63" s="237" t="b">
        <f>IF(COUNTIF(入力シート!$J$16:$S$23,入力リスト!$K$4)=0,FALSE,IF(AND(入力シート!$J$16&lt;&gt;入力リスト!$K$5,入力シート!$J$18&lt;&gt;入力リスト!$K$5,入力シート!$J$20&lt;&gt;入力リスト!$K$5,入力シート!$J$22&lt;&gt;入力リスト!$K$5),FALSE,ISERROR(VLOOKUP(D63,入力シート!$AW$37:$AY$38,1,0))))</f>
        <v>0</v>
      </c>
      <c r="L63" s="237" t="b">
        <f>IF(COUNTIF(入力シート!$J$16:$S$23,入力リスト!$K$4)=0,FALSE,IF(入力シート!$J$20=入力リスト!$K$5,FALSE,IF(E63="",FALSE,ISERROR(VLOOKUP(E63,入力シート!$AH$37:$AK$62,1,0)))))</f>
        <v>0</v>
      </c>
      <c r="M63" s="238" t="str">
        <f t="shared" si="0"/>
        <v/>
      </c>
      <c r="N63" s="236" t="str">
        <f>IF(B63="","",VLOOKUP('従業員情報(給与以外)'!$B63,入力シート!$S$37:$Z$62,5,0))</f>
        <v/>
      </c>
      <c r="O63" s="182" t="str">
        <f>IF(ISNUMBER(C63)=FALSE,"",IF(C63&gt;入力シート!$J$24,"",_xlfn.DAYS(入力シート!$J$24,'従業員情報(給与以外)'!$C63)/365))</f>
        <v/>
      </c>
      <c r="P63" s="237" t="str">
        <f>IF(O63="","",VLOOKUP(_xlfn.DAYS(入力シート!$J$24,'従業員情報(給与以外)'!$C63)/365,入力リスト!$H$4:$I$12,2,2))</f>
        <v/>
      </c>
      <c r="Q63" s="236" t="str">
        <f>IF(D63="","",VLOOKUP('従業員情報(給与以外)'!$D63,入力シート!$AW$37:$BB$38,4,0))</f>
        <v/>
      </c>
      <c r="R63" s="236" t="str">
        <f>IF(A63="","",IF(E63="","非役職",VLOOKUP('従業員情報(給与以外)'!$E63,入力シート!$AH$37:$AO$62,5,0)))</f>
        <v/>
      </c>
      <c r="S63" s="116" t="str">
        <f>IF(OR(入力シート!$C$5&lt;&gt;入力リスト!$N$4,COUNTIF(入力シート!$J$16:$S$23,入力リスト!$K$4)=0),"",IF($A63="","",IF(ISERROR(AVERAGEIF(従業員の給与情報!$B:$B,$A63,従業員の給与情報!$C:$C)),0,IF(ISERROR(AVERAGEIF(従業員の給与情報!$B:$B,$A63,従業員の給与情報!$C:$C)),0,AVERAGEIF(従業員の給与情報!$B:$B,$A63,従業員の給与情報!$C:$C)))))</f>
        <v/>
      </c>
      <c r="T63" s="116" t="str">
        <f>IF(OR(入力シート!$C$5&lt;&gt;入力リスト!$N$4,COUNTIF(入力シート!$J$16:$S$23,入力リスト!$K$4)=0),"",IF(A63="","",IF(ISERROR(AVERAGEIF(従業員の給与情報!$B:$B,$A63,従業員の給与情報!$D:$D)),0,IF(ISERROR(AVERAGEIF(従業員の給与情報!$B:$B,$A63,従業員の給与情報!$D:$D)),0,AVERAGEIF(従業員の給与情報!$B:$B,$A63,従業員の給与情報!$D:$D)))))</f>
        <v/>
      </c>
      <c r="U63" s="116" t="str">
        <f>IF(OR(入力シート!$C$5&lt;&gt;入力リスト!$N$4,COUNTIF(入力シート!$J$16:$S$23,入力リスト!$K$4)=0),"",IF(A63="","",IF(ISERROR(AVERAGEIF(従業員の給与情報!$B:$B,$A63,従業員の給与情報!$E:$E)),0,IF(ISERROR(AVERAGEIF(従業員の給与情報!$B:$B,$A63,従業員の給与情報!$E:$E)),0,AVERAGEIF(従業員の給与情報!$B:$B,$A63,従業員の給与情報!$E:$E)))))</f>
        <v/>
      </c>
      <c r="V63" s="117" t="str">
        <f>IF(OR(入力シート!$C$5&lt;&gt;入力リスト!$N$4,COUNTIF(入力シート!$J$16:$S$23,入力リスト!$K$4)=0),"",IF(A63="","",IF(ISERROR(AVERAGEIF(従業員の給与情報!$B:$B,$A63,従業員の給与情報!$F:$F)),0,IF(ISERROR(AVERAGEIF(従業員の給与情報!$B:$B,$A63,従業員の給与情報!$F:$F)),0,AVERAGEIF(従業員の給与情報!$B:$B,$A63,従業員の給与情報!$F:$F)))))</f>
        <v/>
      </c>
      <c r="W63" s="182"/>
      <c r="X63" s="260"/>
    </row>
    <row r="64" spans="1:24" ht="19.5">
      <c r="A64" s="367"/>
      <c r="B64" s="364"/>
      <c r="C64" s="365"/>
      <c r="D64" s="366"/>
      <c r="E64" s="364"/>
      <c r="F64" s="372" t="str">
        <f>IF(G64,"この従業員番号は、すでに他のセルで入力されています。",IF(入力シート!$C$5=入力リスト!$N$5,"",IF(AND(A64="",B64="",C64="",D64="",E64=""),"",IF(OR(A64="",B64="",C64="",D64=""),IF(A64="","従業員番号","")&amp;IF(AND(A64="",OR(B64="",C64="",D64="")),",","")&amp;IF(B64="","雇用形態","")&amp;IF(AND(B64="",OR(C64="",D64="")),",","")&amp;IF(OR(入力シート!$J$18=入力リスト!$K$4,入力シート!$J$22=入力リスト!$K$4),IF(C64="","入社年月日",""),"")&amp;IF(AND(C64="",D64=""),",","")&amp;IF(D64="","性別","")&amp;IF(IF(A64="","従業員番号","")&amp;IF(B64="","雇用形態","")&amp;IF(OR(入力シート!$J$18=入力リスト!$K$4,入力シート!$J$22=入力リスト!$K$4),IF(C64="","入社年月日",""),"")&amp;IF(D64="","性別","")="","","が空白です。"),IF(J64,"入社年月日に「基準日」の翌日以降の日付が入力されています。","")&amp;IF(I64,"入社年月日に数値以外（又は1900/1/1以前の日付）が入力されています。","")&amp;IF(H64,"雇用形態"&amp;IF(OR(K64,L64),",",""),"")&amp;IF(K64,"性別"&amp;IF(L64,",",""),"")&amp;IF(L64,"役職","")&amp;IF(OR(H64,K64,L64),"に、［入力シート］(4)「貴社」欄と異なる文言が入力されています。","")))))</f>
        <v/>
      </c>
      <c r="G64" s="236" t="b">
        <f>COUNTIF($A$4:A63,$A64)&gt;0</f>
        <v>0</v>
      </c>
      <c r="H64" s="237" t="b">
        <f>IF(COUNTIF(入力シート!$J$16:$S$23,入力リスト!$K$4)=0,FALSE,IF(入力シート!$J$16=入力リスト!$K$5,FALSE,ISERROR(VLOOKUP(B64,入力シート!$S$37:$V$62,1,0))))</f>
        <v>0</v>
      </c>
      <c r="I64" s="237" t="b">
        <f>IF(AND(OR(入力シート!$J$18=入力リスト!$K$4,入力シート!$J$22=入力リスト!$K$4),入力シート!$J$24&lt;&gt;""),IF(ISERROR(C64+1),TRUE,IF(ISNUMBER(C64),FALSE,TRUE)),FALSE)</f>
        <v>0</v>
      </c>
      <c r="J64" s="237" t="b">
        <f>IF(AND(入力シート!$J$18=入力リスト!$K$4,入力シート!$J$22=入力リスト!$K$4),FALSE,IF(I64=TRUE,FALSE,IF(ISERROR(C64+1),FALSE,C64&gt;入力シート!$J$24)))</f>
        <v>0</v>
      </c>
      <c r="K64" s="237" t="b">
        <f>IF(COUNTIF(入力シート!$J$16:$S$23,入力リスト!$K$4)=0,FALSE,IF(AND(入力シート!$J$16&lt;&gt;入力リスト!$K$5,入力シート!$J$18&lt;&gt;入力リスト!$K$5,入力シート!$J$20&lt;&gt;入力リスト!$K$5,入力シート!$J$22&lt;&gt;入力リスト!$K$5),FALSE,ISERROR(VLOOKUP(D64,入力シート!$AW$37:$AY$38,1,0))))</f>
        <v>0</v>
      </c>
      <c r="L64" s="237" t="b">
        <f>IF(COUNTIF(入力シート!$J$16:$S$23,入力リスト!$K$4)=0,FALSE,IF(入力シート!$J$20=入力リスト!$K$5,FALSE,IF(E64="",FALSE,ISERROR(VLOOKUP(E64,入力シート!$AH$37:$AK$62,1,0)))))</f>
        <v>0</v>
      </c>
      <c r="M64" s="238" t="str">
        <f t="shared" si="0"/>
        <v/>
      </c>
      <c r="N64" s="236" t="str">
        <f>IF(B64="","",VLOOKUP('従業員情報(給与以外)'!$B64,入力シート!$S$37:$Z$62,5,0))</f>
        <v/>
      </c>
      <c r="O64" s="182" t="str">
        <f>IF(ISNUMBER(C64)=FALSE,"",IF(C64&gt;入力シート!$J$24,"",_xlfn.DAYS(入力シート!$J$24,'従業員情報(給与以外)'!$C64)/365))</f>
        <v/>
      </c>
      <c r="P64" s="237" t="str">
        <f>IF(O64="","",VLOOKUP(_xlfn.DAYS(入力シート!$J$24,'従業員情報(給与以外)'!$C64)/365,入力リスト!$H$4:$I$12,2,2))</f>
        <v/>
      </c>
      <c r="Q64" s="236" t="str">
        <f>IF(D64="","",VLOOKUP('従業員情報(給与以外)'!$D64,入力シート!$AW$37:$BB$38,4,0))</f>
        <v/>
      </c>
      <c r="R64" s="236" t="str">
        <f>IF(A64="","",IF(E64="","非役職",VLOOKUP('従業員情報(給与以外)'!$E64,入力シート!$AH$37:$AO$62,5,0)))</f>
        <v/>
      </c>
      <c r="S64" s="116" t="str">
        <f>IF(OR(入力シート!$C$5&lt;&gt;入力リスト!$N$4,COUNTIF(入力シート!$J$16:$S$23,入力リスト!$K$4)=0),"",IF($A64="","",IF(ISERROR(AVERAGEIF(従業員の給与情報!$B:$B,$A64,従業員の給与情報!$C:$C)),0,IF(ISERROR(AVERAGEIF(従業員の給与情報!$B:$B,$A64,従業員の給与情報!$C:$C)),0,AVERAGEIF(従業員の給与情報!$B:$B,$A64,従業員の給与情報!$C:$C)))))</f>
        <v/>
      </c>
      <c r="T64" s="116" t="str">
        <f>IF(OR(入力シート!$C$5&lt;&gt;入力リスト!$N$4,COUNTIF(入力シート!$J$16:$S$23,入力リスト!$K$4)=0),"",IF(A64="","",IF(ISERROR(AVERAGEIF(従業員の給与情報!$B:$B,$A64,従業員の給与情報!$D:$D)),0,IF(ISERROR(AVERAGEIF(従業員の給与情報!$B:$B,$A64,従業員の給与情報!$D:$D)),0,AVERAGEIF(従業員の給与情報!$B:$B,$A64,従業員の給与情報!$D:$D)))))</f>
        <v/>
      </c>
      <c r="U64" s="116" t="str">
        <f>IF(OR(入力シート!$C$5&lt;&gt;入力リスト!$N$4,COUNTIF(入力シート!$J$16:$S$23,入力リスト!$K$4)=0),"",IF(A64="","",IF(ISERROR(AVERAGEIF(従業員の給与情報!$B:$B,$A64,従業員の給与情報!$E:$E)),0,IF(ISERROR(AVERAGEIF(従業員の給与情報!$B:$B,$A64,従業員の給与情報!$E:$E)),0,AVERAGEIF(従業員の給与情報!$B:$B,$A64,従業員の給与情報!$E:$E)))))</f>
        <v/>
      </c>
      <c r="V64" s="117" t="str">
        <f>IF(OR(入力シート!$C$5&lt;&gt;入力リスト!$N$4,COUNTIF(入力シート!$J$16:$S$23,入力リスト!$K$4)=0),"",IF(A64="","",IF(ISERROR(AVERAGEIF(従業員の給与情報!$B:$B,$A64,従業員の給与情報!$F:$F)),0,IF(ISERROR(AVERAGEIF(従業員の給与情報!$B:$B,$A64,従業員の給与情報!$F:$F)),0,AVERAGEIF(従業員の給与情報!$B:$B,$A64,従業員の給与情報!$F:$F)))))</f>
        <v/>
      </c>
      <c r="W64" s="182"/>
      <c r="X64" s="260"/>
    </row>
    <row r="65" spans="1:24" ht="19.5">
      <c r="A65" s="367"/>
      <c r="B65" s="364"/>
      <c r="C65" s="365"/>
      <c r="D65" s="366"/>
      <c r="E65" s="364"/>
      <c r="F65" s="372" t="str">
        <f>IF(G65,"この従業員番号は、すでに他のセルで入力されています。",IF(入力シート!$C$5=入力リスト!$N$5,"",IF(AND(A65="",B65="",C65="",D65="",E65=""),"",IF(OR(A65="",B65="",C65="",D65=""),IF(A65="","従業員番号","")&amp;IF(AND(A65="",OR(B65="",C65="",D65="")),",","")&amp;IF(B65="","雇用形態","")&amp;IF(AND(B65="",OR(C65="",D65="")),",","")&amp;IF(OR(入力シート!$J$18=入力リスト!$K$4,入力シート!$J$22=入力リスト!$K$4),IF(C65="","入社年月日",""),"")&amp;IF(AND(C65="",D65=""),",","")&amp;IF(D65="","性別","")&amp;IF(IF(A65="","従業員番号","")&amp;IF(B65="","雇用形態","")&amp;IF(OR(入力シート!$J$18=入力リスト!$K$4,入力シート!$J$22=入力リスト!$K$4),IF(C65="","入社年月日",""),"")&amp;IF(D65="","性別","")="","","が空白です。"),IF(J65,"入社年月日に「基準日」の翌日以降の日付が入力されています。","")&amp;IF(I65,"入社年月日に数値以外（又は1900/1/1以前の日付）が入力されています。","")&amp;IF(H65,"雇用形態"&amp;IF(OR(K65,L65),",",""),"")&amp;IF(K65,"性別"&amp;IF(L65,",",""),"")&amp;IF(L65,"役職","")&amp;IF(OR(H65,K65,L65),"に、［入力シート］(4)「貴社」欄と異なる文言が入力されています。","")))))</f>
        <v/>
      </c>
      <c r="G65" s="236" t="b">
        <f>COUNTIF($A$4:A64,$A65)&gt;0</f>
        <v>0</v>
      </c>
      <c r="H65" s="237" t="b">
        <f>IF(COUNTIF(入力シート!$J$16:$S$23,入力リスト!$K$4)=0,FALSE,IF(入力シート!$J$16=入力リスト!$K$5,FALSE,ISERROR(VLOOKUP(B65,入力シート!$S$37:$V$62,1,0))))</f>
        <v>0</v>
      </c>
      <c r="I65" s="237" t="b">
        <f>IF(AND(OR(入力シート!$J$18=入力リスト!$K$4,入力シート!$J$22=入力リスト!$K$4),入力シート!$J$24&lt;&gt;""),IF(ISERROR(C65+1),TRUE,IF(ISNUMBER(C65),FALSE,TRUE)),FALSE)</f>
        <v>0</v>
      </c>
      <c r="J65" s="237" t="b">
        <f>IF(AND(入力シート!$J$18=入力リスト!$K$4,入力シート!$J$22=入力リスト!$K$4),FALSE,IF(I65=TRUE,FALSE,IF(ISERROR(C65+1),FALSE,C65&gt;入力シート!$J$24)))</f>
        <v>0</v>
      </c>
      <c r="K65" s="237" t="b">
        <f>IF(COUNTIF(入力シート!$J$16:$S$23,入力リスト!$K$4)=0,FALSE,IF(AND(入力シート!$J$16&lt;&gt;入力リスト!$K$5,入力シート!$J$18&lt;&gt;入力リスト!$K$5,入力シート!$J$20&lt;&gt;入力リスト!$K$5,入力シート!$J$22&lt;&gt;入力リスト!$K$5),FALSE,ISERROR(VLOOKUP(D65,入力シート!$AW$37:$AY$38,1,0))))</f>
        <v>0</v>
      </c>
      <c r="L65" s="237" t="b">
        <f>IF(COUNTIF(入力シート!$J$16:$S$23,入力リスト!$K$4)=0,FALSE,IF(入力シート!$J$20=入力リスト!$K$5,FALSE,IF(E65="",FALSE,ISERROR(VLOOKUP(E65,入力シート!$AH$37:$AK$62,1,0)))))</f>
        <v>0</v>
      </c>
      <c r="M65" s="238" t="str">
        <f t="shared" si="0"/>
        <v/>
      </c>
      <c r="N65" s="236" t="str">
        <f>IF(B65="","",VLOOKUP('従業員情報(給与以外)'!$B65,入力シート!$S$37:$Z$62,5,0))</f>
        <v/>
      </c>
      <c r="O65" s="182" t="str">
        <f>IF(ISNUMBER(C65)=FALSE,"",IF(C65&gt;入力シート!$J$24,"",_xlfn.DAYS(入力シート!$J$24,'従業員情報(給与以外)'!$C65)/365))</f>
        <v/>
      </c>
      <c r="P65" s="237" t="str">
        <f>IF(O65="","",VLOOKUP(_xlfn.DAYS(入力シート!$J$24,'従業員情報(給与以外)'!$C65)/365,入力リスト!$H$4:$I$12,2,2))</f>
        <v/>
      </c>
      <c r="Q65" s="236" t="str">
        <f>IF(D65="","",VLOOKUP('従業員情報(給与以外)'!$D65,入力シート!$AW$37:$BB$38,4,0))</f>
        <v/>
      </c>
      <c r="R65" s="236" t="str">
        <f>IF(A65="","",IF(E65="","非役職",VLOOKUP('従業員情報(給与以外)'!$E65,入力シート!$AH$37:$AO$62,5,0)))</f>
        <v/>
      </c>
      <c r="S65" s="116" t="str">
        <f>IF(OR(入力シート!$C$5&lt;&gt;入力リスト!$N$4,COUNTIF(入力シート!$J$16:$S$23,入力リスト!$K$4)=0),"",IF($A65="","",IF(ISERROR(AVERAGEIF(従業員の給与情報!$B:$B,$A65,従業員の給与情報!$C:$C)),0,IF(ISERROR(AVERAGEIF(従業員の給与情報!$B:$B,$A65,従業員の給与情報!$C:$C)),0,AVERAGEIF(従業員の給与情報!$B:$B,$A65,従業員の給与情報!$C:$C)))))</f>
        <v/>
      </c>
      <c r="T65" s="116" t="str">
        <f>IF(OR(入力シート!$C$5&lt;&gt;入力リスト!$N$4,COUNTIF(入力シート!$J$16:$S$23,入力リスト!$K$4)=0),"",IF(A65="","",IF(ISERROR(AVERAGEIF(従業員の給与情報!$B:$B,$A65,従業員の給与情報!$D:$D)),0,IF(ISERROR(AVERAGEIF(従業員の給与情報!$B:$B,$A65,従業員の給与情報!$D:$D)),0,AVERAGEIF(従業員の給与情報!$B:$B,$A65,従業員の給与情報!$D:$D)))))</f>
        <v/>
      </c>
      <c r="U65" s="116" t="str">
        <f>IF(OR(入力シート!$C$5&lt;&gt;入力リスト!$N$4,COUNTIF(入力シート!$J$16:$S$23,入力リスト!$K$4)=0),"",IF(A65="","",IF(ISERROR(AVERAGEIF(従業員の給与情報!$B:$B,$A65,従業員の給与情報!$E:$E)),0,IF(ISERROR(AVERAGEIF(従業員の給与情報!$B:$B,$A65,従業員の給与情報!$E:$E)),0,AVERAGEIF(従業員の給与情報!$B:$B,$A65,従業員の給与情報!$E:$E)))))</f>
        <v/>
      </c>
      <c r="V65" s="117" t="str">
        <f>IF(OR(入力シート!$C$5&lt;&gt;入力リスト!$N$4,COUNTIF(入力シート!$J$16:$S$23,入力リスト!$K$4)=0),"",IF(A65="","",IF(ISERROR(AVERAGEIF(従業員の給与情報!$B:$B,$A65,従業員の給与情報!$F:$F)),0,IF(ISERROR(AVERAGEIF(従業員の給与情報!$B:$B,$A65,従業員の給与情報!$F:$F)),0,AVERAGEIF(従業員の給与情報!$B:$B,$A65,従業員の給与情報!$F:$F)))))</f>
        <v/>
      </c>
      <c r="W65" s="182"/>
      <c r="X65" s="260"/>
    </row>
    <row r="66" spans="1:24" ht="19.5">
      <c r="A66" s="367"/>
      <c r="B66" s="364"/>
      <c r="C66" s="365"/>
      <c r="D66" s="366"/>
      <c r="E66" s="367"/>
      <c r="F66" s="372" t="str">
        <f>IF(G66,"この従業員番号は、すでに他のセルで入力されています。",IF(入力シート!$C$5=入力リスト!$N$5,"",IF(AND(A66="",B66="",C66="",D66="",E66=""),"",IF(OR(A66="",B66="",C66="",D66=""),IF(A66="","従業員番号","")&amp;IF(AND(A66="",OR(B66="",C66="",D66="")),",","")&amp;IF(B66="","雇用形態","")&amp;IF(AND(B66="",OR(C66="",D66="")),",","")&amp;IF(OR(入力シート!$J$18=入力リスト!$K$4,入力シート!$J$22=入力リスト!$K$4),IF(C66="","入社年月日",""),"")&amp;IF(AND(C66="",D66=""),",","")&amp;IF(D66="","性別","")&amp;IF(IF(A66="","従業員番号","")&amp;IF(B66="","雇用形態","")&amp;IF(OR(入力シート!$J$18=入力リスト!$K$4,入力シート!$J$22=入力リスト!$K$4),IF(C66="","入社年月日",""),"")&amp;IF(D66="","性別","")="","","が空白です。"),IF(J66,"入社年月日に「基準日」の翌日以降の日付が入力されています。","")&amp;IF(I66,"入社年月日に数値以外（又は1900/1/1以前の日付）が入力されています。","")&amp;IF(H66,"雇用形態"&amp;IF(OR(K66,L66),",",""),"")&amp;IF(K66,"性別"&amp;IF(L66,",",""),"")&amp;IF(L66,"役職","")&amp;IF(OR(H66,K66,L66),"に、［入力シート］(4)「貴社」欄と異なる文言が入力されています。","")))))</f>
        <v/>
      </c>
      <c r="G66" s="236" t="b">
        <f>COUNTIF($A$4:A65,$A66)&gt;0</f>
        <v>0</v>
      </c>
      <c r="H66" s="237" t="b">
        <f>IF(COUNTIF(入力シート!$J$16:$S$23,入力リスト!$K$4)=0,FALSE,IF(入力シート!$J$16=入力リスト!$K$5,FALSE,ISERROR(VLOOKUP(B66,入力シート!$S$37:$V$62,1,0))))</f>
        <v>0</v>
      </c>
      <c r="I66" s="237" t="b">
        <f>IF(AND(OR(入力シート!$J$18=入力リスト!$K$4,入力シート!$J$22=入力リスト!$K$4),入力シート!$J$24&lt;&gt;""),IF(ISERROR(C66+1),TRUE,IF(ISNUMBER(C66),FALSE,TRUE)),FALSE)</f>
        <v>0</v>
      </c>
      <c r="J66" s="237" t="b">
        <f>IF(AND(入力シート!$J$18=入力リスト!$K$4,入力シート!$J$22=入力リスト!$K$4),FALSE,IF(I66=TRUE,FALSE,IF(ISERROR(C66+1),FALSE,C66&gt;入力シート!$J$24)))</f>
        <v>0</v>
      </c>
      <c r="K66" s="237" t="b">
        <f>IF(COUNTIF(入力シート!$J$16:$S$23,入力リスト!$K$4)=0,FALSE,IF(AND(入力シート!$J$16&lt;&gt;入力リスト!$K$5,入力シート!$J$18&lt;&gt;入力リスト!$K$5,入力シート!$J$20&lt;&gt;入力リスト!$K$5,入力シート!$J$22&lt;&gt;入力リスト!$K$5),FALSE,ISERROR(VLOOKUP(D66,入力シート!$AW$37:$AY$38,1,0))))</f>
        <v>0</v>
      </c>
      <c r="L66" s="237" t="b">
        <f>IF(COUNTIF(入力シート!$J$16:$S$23,入力リスト!$K$4)=0,FALSE,IF(入力シート!$J$20=入力リスト!$K$5,FALSE,IF(E66="",FALSE,ISERROR(VLOOKUP(E66,入力シート!$AH$37:$AK$62,1,0)))))</f>
        <v>0</v>
      </c>
      <c r="M66" s="238" t="str">
        <f t="shared" si="0"/>
        <v/>
      </c>
      <c r="N66" s="236" t="str">
        <f>IF(B66="","",VLOOKUP('従業員情報(給与以外)'!$B66,入力シート!$S$37:$Z$62,5,0))</f>
        <v/>
      </c>
      <c r="O66" s="182" t="str">
        <f>IF(ISNUMBER(C66)=FALSE,"",IF(C66&gt;入力シート!$J$24,"",_xlfn.DAYS(入力シート!$J$24,'従業員情報(給与以外)'!$C66)/365))</f>
        <v/>
      </c>
      <c r="P66" s="237" t="str">
        <f>IF(O66="","",VLOOKUP(_xlfn.DAYS(入力シート!$J$24,'従業員情報(給与以外)'!$C66)/365,入力リスト!$H$4:$I$12,2,2))</f>
        <v/>
      </c>
      <c r="Q66" s="236" t="str">
        <f>IF(D66="","",VLOOKUP('従業員情報(給与以外)'!$D66,入力シート!$AW$37:$BB$38,4,0))</f>
        <v/>
      </c>
      <c r="R66" s="236" t="str">
        <f>IF(A66="","",IF(E66="","非役職",VLOOKUP('従業員情報(給与以外)'!$E66,入力シート!$AH$37:$AO$62,5,0)))</f>
        <v/>
      </c>
      <c r="S66" s="116" t="str">
        <f>IF(OR(入力シート!$C$5&lt;&gt;入力リスト!$N$4,COUNTIF(入力シート!$J$16:$S$23,入力リスト!$K$4)=0),"",IF($A66="","",IF(ISERROR(AVERAGEIF(従業員の給与情報!$B:$B,$A66,従業員の給与情報!$C:$C)),0,IF(ISERROR(AVERAGEIF(従業員の給与情報!$B:$B,$A66,従業員の給与情報!$C:$C)),0,AVERAGEIF(従業員の給与情報!$B:$B,$A66,従業員の給与情報!$C:$C)))))</f>
        <v/>
      </c>
      <c r="T66" s="116" t="str">
        <f>IF(OR(入力シート!$C$5&lt;&gt;入力リスト!$N$4,COUNTIF(入力シート!$J$16:$S$23,入力リスト!$K$4)=0),"",IF(A66="","",IF(ISERROR(AVERAGEIF(従業員の給与情報!$B:$B,$A66,従業員の給与情報!$D:$D)),0,IF(ISERROR(AVERAGEIF(従業員の給与情報!$B:$B,$A66,従業員の給与情報!$D:$D)),0,AVERAGEIF(従業員の給与情報!$B:$B,$A66,従業員の給与情報!$D:$D)))))</f>
        <v/>
      </c>
      <c r="U66" s="116" t="str">
        <f>IF(OR(入力シート!$C$5&lt;&gt;入力リスト!$N$4,COUNTIF(入力シート!$J$16:$S$23,入力リスト!$K$4)=0),"",IF(A66="","",IF(ISERROR(AVERAGEIF(従業員の給与情報!$B:$B,$A66,従業員の給与情報!$E:$E)),0,IF(ISERROR(AVERAGEIF(従業員の給与情報!$B:$B,$A66,従業員の給与情報!$E:$E)),0,AVERAGEIF(従業員の給与情報!$B:$B,$A66,従業員の給与情報!$E:$E)))))</f>
        <v/>
      </c>
      <c r="V66" s="117" t="str">
        <f>IF(OR(入力シート!$C$5&lt;&gt;入力リスト!$N$4,COUNTIF(入力シート!$J$16:$S$23,入力リスト!$K$4)=0),"",IF(A66="","",IF(ISERROR(AVERAGEIF(従業員の給与情報!$B:$B,$A66,従業員の給与情報!$F:$F)),0,IF(ISERROR(AVERAGEIF(従業員の給与情報!$B:$B,$A66,従業員の給与情報!$F:$F)),0,AVERAGEIF(従業員の給与情報!$B:$B,$A66,従業員の給与情報!$F:$F)))))</f>
        <v/>
      </c>
      <c r="W66" s="182"/>
      <c r="X66" s="260"/>
    </row>
    <row r="67" spans="1:24" ht="19.5">
      <c r="A67" s="367"/>
      <c r="B67" s="364"/>
      <c r="C67" s="365"/>
      <c r="D67" s="366"/>
      <c r="E67" s="367"/>
      <c r="F67" s="372" t="str">
        <f>IF(G67,"この従業員番号は、すでに他のセルで入力されています。",IF(入力シート!$C$5=入力リスト!$N$5,"",IF(AND(A67="",B67="",C67="",D67="",E67=""),"",IF(OR(A67="",B67="",C67="",D67=""),IF(A67="","従業員番号","")&amp;IF(AND(A67="",OR(B67="",C67="",D67="")),",","")&amp;IF(B67="","雇用形態","")&amp;IF(AND(B67="",OR(C67="",D67="")),",","")&amp;IF(OR(入力シート!$J$18=入力リスト!$K$4,入力シート!$J$22=入力リスト!$K$4),IF(C67="","入社年月日",""),"")&amp;IF(AND(C67="",D67=""),",","")&amp;IF(D67="","性別","")&amp;IF(IF(A67="","従業員番号","")&amp;IF(B67="","雇用形態","")&amp;IF(OR(入力シート!$J$18=入力リスト!$K$4,入力シート!$J$22=入力リスト!$K$4),IF(C67="","入社年月日",""),"")&amp;IF(D67="","性別","")="","","が空白です。"),IF(J67,"入社年月日に「基準日」の翌日以降の日付が入力されています。","")&amp;IF(I67,"入社年月日に数値以外（又は1900/1/1以前の日付）が入力されています。","")&amp;IF(H67,"雇用形態"&amp;IF(OR(K67,L67),",",""),"")&amp;IF(K67,"性別"&amp;IF(L67,",",""),"")&amp;IF(L67,"役職","")&amp;IF(OR(H67,K67,L67),"に、［入力シート］(4)「貴社」欄と異なる文言が入力されています。","")))))</f>
        <v/>
      </c>
      <c r="G67" s="236" t="b">
        <f>COUNTIF($A$4:A66,$A67)&gt;0</f>
        <v>0</v>
      </c>
      <c r="H67" s="237" t="b">
        <f>IF(COUNTIF(入力シート!$J$16:$S$23,入力リスト!$K$4)=0,FALSE,IF(入力シート!$J$16=入力リスト!$K$5,FALSE,ISERROR(VLOOKUP(B67,入力シート!$S$37:$V$62,1,0))))</f>
        <v>0</v>
      </c>
      <c r="I67" s="237" t="b">
        <f>IF(AND(OR(入力シート!$J$18=入力リスト!$K$4,入力シート!$J$22=入力リスト!$K$4),入力シート!$J$24&lt;&gt;""),IF(ISERROR(C67+1),TRUE,IF(ISNUMBER(C67),FALSE,TRUE)),FALSE)</f>
        <v>0</v>
      </c>
      <c r="J67" s="237" t="b">
        <f>IF(AND(入力シート!$J$18=入力リスト!$K$4,入力シート!$J$22=入力リスト!$K$4),FALSE,IF(I67=TRUE,FALSE,IF(ISERROR(C67+1),FALSE,C67&gt;入力シート!$J$24)))</f>
        <v>0</v>
      </c>
      <c r="K67" s="237" t="b">
        <f>IF(COUNTIF(入力シート!$J$16:$S$23,入力リスト!$K$4)=0,FALSE,IF(AND(入力シート!$J$16&lt;&gt;入力リスト!$K$5,入力シート!$J$18&lt;&gt;入力リスト!$K$5,入力シート!$J$20&lt;&gt;入力リスト!$K$5,入力シート!$J$22&lt;&gt;入力リスト!$K$5),FALSE,ISERROR(VLOOKUP(D67,入力シート!$AW$37:$AY$38,1,0))))</f>
        <v>0</v>
      </c>
      <c r="L67" s="237" t="b">
        <f>IF(COUNTIF(入力シート!$J$16:$S$23,入力リスト!$K$4)=0,FALSE,IF(入力シート!$J$20=入力リスト!$K$5,FALSE,IF(E67="",FALSE,ISERROR(VLOOKUP(E67,入力シート!$AH$37:$AK$62,1,0)))))</f>
        <v>0</v>
      </c>
      <c r="M67" s="238" t="str">
        <f t="shared" si="0"/>
        <v/>
      </c>
      <c r="N67" s="236" t="str">
        <f>IF(B67="","",VLOOKUP('従業員情報(給与以外)'!$B67,入力シート!$S$37:$Z$62,5,0))</f>
        <v/>
      </c>
      <c r="O67" s="182" t="str">
        <f>IF(ISNUMBER(C67)=FALSE,"",IF(C67&gt;入力シート!$J$24,"",_xlfn.DAYS(入力シート!$J$24,'従業員情報(給与以外)'!$C67)/365))</f>
        <v/>
      </c>
      <c r="P67" s="237" t="str">
        <f>IF(O67="","",VLOOKUP(_xlfn.DAYS(入力シート!$J$24,'従業員情報(給与以外)'!$C67)/365,入力リスト!$H$4:$I$12,2,2))</f>
        <v/>
      </c>
      <c r="Q67" s="236" t="str">
        <f>IF(D67="","",VLOOKUP('従業員情報(給与以外)'!$D67,入力シート!$AW$37:$BB$38,4,0))</f>
        <v/>
      </c>
      <c r="R67" s="236" t="str">
        <f>IF(A67="","",IF(E67="","非役職",VLOOKUP('従業員情報(給与以外)'!$E67,入力シート!$AH$37:$AO$62,5,0)))</f>
        <v/>
      </c>
      <c r="S67" s="116" t="str">
        <f>IF(OR(入力シート!$C$5&lt;&gt;入力リスト!$N$4,COUNTIF(入力シート!$J$16:$S$23,入力リスト!$K$4)=0),"",IF($A67="","",IF(ISERROR(AVERAGEIF(従業員の給与情報!$B:$B,$A67,従業員の給与情報!$C:$C)),0,IF(ISERROR(AVERAGEIF(従業員の給与情報!$B:$B,$A67,従業員の給与情報!$C:$C)),0,AVERAGEIF(従業員の給与情報!$B:$B,$A67,従業員の給与情報!$C:$C)))))</f>
        <v/>
      </c>
      <c r="T67" s="116" t="str">
        <f>IF(OR(入力シート!$C$5&lt;&gt;入力リスト!$N$4,COUNTIF(入力シート!$J$16:$S$23,入力リスト!$K$4)=0),"",IF(A67="","",IF(ISERROR(AVERAGEIF(従業員の給与情報!$B:$B,$A67,従業員の給与情報!$D:$D)),0,IF(ISERROR(AVERAGEIF(従業員の給与情報!$B:$B,$A67,従業員の給与情報!$D:$D)),0,AVERAGEIF(従業員の給与情報!$B:$B,$A67,従業員の給与情報!$D:$D)))))</f>
        <v/>
      </c>
      <c r="U67" s="116" t="str">
        <f>IF(OR(入力シート!$C$5&lt;&gt;入力リスト!$N$4,COUNTIF(入力シート!$J$16:$S$23,入力リスト!$K$4)=0),"",IF(A67="","",IF(ISERROR(AVERAGEIF(従業員の給与情報!$B:$B,$A67,従業員の給与情報!$E:$E)),0,IF(ISERROR(AVERAGEIF(従業員の給与情報!$B:$B,$A67,従業員の給与情報!$E:$E)),0,AVERAGEIF(従業員の給与情報!$B:$B,$A67,従業員の給与情報!$E:$E)))))</f>
        <v/>
      </c>
      <c r="V67" s="117" t="str">
        <f>IF(OR(入力シート!$C$5&lt;&gt;入力リスト!$N$4,COUNTIF(入力シート!$J$16:$S$23,入力リスト!$K$4)=0),"",IF(A67="","",IF(ISERROR(AVERAGEIF(従業員の給与情報!$B:$B,$A67,従業員の給与情報!$F:$F)),0,IF(ISERROR(AVERAGEIF(従業員の給与情報!$B:$B,$A67,従業員の給与情報!$F:$F)),0,AVERAGEIF(従業員の給与情報!$B:$B,$A67,従業員の給与情報!$F:$F)))))</f>
        <v/>
      </c>
      <c r="W67" s="182"/>
      <c r="X67" s="260"/>
    </row>
    <row r="68" spans="1:24" ht="19.5">
      <c r="A68" s="367"/>
      <c r="B68" s="364"/>
      <c r="C68" s="365"/>
      <c r="D68" s="366"/>
      <c r="E68" s="367"/>
      <c r="F68" s="372" t="str">
        <f>IF(G68,"この従業員番号は、すでに他のセルで入力されています。",IF(入力シート!$C$5=入力リスト!$N$5,"",IF(AND(A68="",B68="",C68="",D68="",E68=""),"",IF(OR(A68="",B68="",C68="",D68=""),IF(A68="","従業員番号","")&amp;IF(AND(A68="",OR(B68="",C68="",D68="")),",","")&amp;IF(B68="","雇用形態","")&amp;IF(AND(B68="",OR(C68="",D68="")),",","")&amp;IF(OR(入力シート!$J$18=入力リスト!$K$4,入力シート!$J$22=入力リスト!$K$4),IF(C68="","入社年月日",""),"")&amp;IF(AND(C68="",D68=""),",","")&amp;IF(D68="","性別","")&amp;IF(IF(A68="","従業員番号","")&amp;IF(B68="","雇用形態","")&amp;IF(OR(入力シート!$J$18=入力リスト!$K$4,入力シート!$J$22=入力リスト!$K$4),IF(C68="","入社年月日",""),"")&amp;IF(D68="","性別","")="","","が空白です。"),IF(J68,"入社年月日に「基準日」の翌日以降の日付が入力されています。","")&amp;IF(I68,"入社年月日に数値以外（又は1900/1/1以前の日付）が入力されています。","")&amp;IF(H68,"雇用形態"&amp;IF(OR(K68,L68),",",""),"")&amp;IF(K68,"性別"&amp;IF(L68,",",""),"")&amp;IF(L68,"役職","")&amp;IF(OR(H68,K68,L68),"に、［入力シート］(4)「貴社」欄と異なる文言が入力されています。","")))))</f>
        <v/>
      </c>
      <c r="G68" s="236" t="b">
        <f>COUNTIF($A$4:A67,$A68)&gt;0</f>
        <v>0</v>
      </c>
      <c r="H68" s="237" t="b">
        <f>IF(COUNTIF(入力シート!$J$16:$S$23,入力リスト!$K$4)=0,FALSE,IF(入力シート!$J$16=入力リスト!$K$5,FALSE,ISERROR(VLOOKUP(B68,入力シート!$S$37:$V$62,1,0))))</f>
        <v>0</v>
      </c>
      <c r="I68" s="237" t="b">
        <f>IF(AND(OR(入力シート!$J$18=入力リスト!$K$4,入力シート!$J$22=入力リスト!$K$4),入力シート!$J$24&lt;&gt;""),IF(ISERROR(C68+1),TRUE,IF(ISNUMBER(C68),FALSE,TRUE)),FALSE)</f>
        <v>0</v>
      </c>
      <c r="J68" s="237" t="b">
        <f>IF(AND(入力シート!$J$18=入力リスト!$K$4,入力シート!$J$22=入力リスト!$K$4),FALSE,IF(I68=TRUE,FALSE,IF(ISERROR(C68+1),FALSE,C68&gt;入力シート!$J$24)))</f>
        <v>0</v>
      </c>
      <c r="K68" s="237" t="b">
        <f>IF(COUNTIF(入力シート!$J$16:$S$23,入力リスト!$K$4)=0,FALSE,IF(AND(入力シート!$J$16&lt;&gt;入力リスト!$K$5,入力シート!$J$18&lt;&gt;入力リスト!$K$5,入力シート!$J$20&lt;&gt;入力リスト!$K$5,入力シート!$J$22&lt;&gt;入力リスト!$K$5),FALSE,ISERROR(VLOOKUP(D68,入力シート!$AW$37:$AY$38,1,0))))</f>
        <v>0</v>
      </c>
      <c r="L68" s="237" t="b">
        <f>IF(COUNTIF(入力シート!$J$16:$S$23,入力リスト!$K$4)=0,FALSE,IF(入力シート!$J$20=入力リスト!$K$5,FALSE,IF(E68="",FALSE,ISERROR(VLOOKUP(E68,入力シート!$AH$37:$AK$62,1,0)))))</f>
        <v>0</v>
      </c>
      <c r="M68" s="238" t="str">
        <f t="shared" si="0"/>
        <v/>
      </c>
      <c r="N68" s="236" t="str">
        <f>IF(B68="","",VLOOKUP('従業員情報(給与以外)'!$B68,入力シート!$S$37:$Z$62,5,0))</f>
        <v/>
      </c>
      <c r="O68" s="182" t="str">
        <f>IF(ISNUMBER(C68)=FALSE,"",IF(C68&gt;入力シート!$J$24,"",_xlfn.DAYS(入力シート!$J$24,'従業員情報(給与以外)'!$C68)/365))</f>
        <v/>
      </c>
      <c r="P68" s="237" t="str">
        <f>IF(O68="","",VLOOKUP(_xlfn.DAYS(入力シート!$J$24,'従業員情報(給与以外)'!$C68)/365,入力リスト!$H$4:$I$12,2,2))</f>
        <v/>
      </c>
      <c r="Q68" s="236" t="str">
        <f>IF(D68="","",VLOOKUP('従業員情報(給与以外)'!$D68,入力シート!$AW$37:$BB$38,4,0))</f>
        <v/>
      </c>
      <c r="R68" s="236" t="str">
        <f>IF(A68="","",IF(E68="","非役職",VLOOKUP('従業員情報(給与以外)'!$E68,入力シート!$AH$37:$AO$62,5,0)))</f>
        <v/>
      </c>
      <c r="S68" s="116" t="str">
        <f>IF(OR(入力シート!$C$5&lt;&gt;入力リスト!$N$4,COUNTIF(入力シート!$J$16:$S$23,入力リスト!$K$4)=0),"",IF($A68="","",IF(ISERROR(AVERAGEIF(従業員の給与情報!$B:$B,$A68,従業員の給与情報!$C:$C)),0,IF(ISERROR(AVERAGEIF(従業員の給与情報!$B:$B,$A68,従業員の給与情報!$C:$C)),0,AVERAGEIF(従業員の給与情報!$B:$B,$A68,従業員の給与情報!$C:$C)))))</f>
        <v/>
      </c>
      <c r="T68" s="116" t="str">
        <f>IF(OR(入力シート!$C$5&lt;&gt;入力リスト!$N$4,COUNTIF(入力シート!$J$16:$S$23,入力リスト!$K$4)=0),"",IF(A68="","",IF(ISERROR(AVERAGEIF(従業員の給与情報!$B:$B,$A68,従業員の給与情報!$D:$D)),0,IF(ISERROR(AVERAGEIF(従業員の給与情報!$B:$B,$A68,従業員の給与情報!$D:$D)),0,AVERAGEIF(従業員の給与情報!$B:$B,$A68,従業員の給与情報!$D:$D)))))</f>
        <v/>
      </c>
      <c r="U68" s="116" t="str">
        <f>IF(OR(入力シート!$C$5&lt;&gt;入力リスト!$N$4,COUNTIF(入力シート!$J$16:$S$23,入力リスト!$K$4)=0),"",IF(A68="","",IF(ISERROR(AVERAGEIF(従業員の給与情報!$B:$B,$A68,従業員の給与情報!$E:$E)),0,IF(ISERROR(AVERAGEIF(従業員の給与情報!$B:$B,$A68,従業員の給与情報!$E:$E)),0,AVERAGEIF(従業員の給与情報!$B:$B,$A68,従業員の給与情報!$E:$E)))))</f>
        <v/>
      </c>
      <c r="V68" s="117" t="str">
        <f>IF(OR(入力シート!$C$5&lt;&gt;入力リスト!$N$4,COUNTIF(入力シート!$J$16:$S$23,入力リスト!$K$4)=0),"",IF(A68="","",IF(ISERROR(AVERAGEIF(従業員の給与情報!$B:$B,$A68,従業員の給与情報!$F:$F)),0,IF(ISERROR(AVERAGEIF(従業員の給与情報!$B:$B,$A68,従業員の給与情報!$F:$F)),0,AVERAGEIF(従業員の給与情報!$B:$B,$A68,従業員の給与情報!$F:$F)))))</f>
        <v/>
      </c>
      <c r="W68" s="182"/>
      <c r="X68" s="260"/>
    </row>
    <row r="69" spans="1:24" ht="19.5">
      <c r="A69" s="367"/>
      <c r="B69" s="364"/>
      <c r="C69" s="365"/>
      <c r="D69" s="366"/>
      <c r="E69" s="367"/>
      <c r="F69" s="372" t="str">
        <f>IF(G69,"この従業員番号は、すでに他のセルで入力されています。",IF(入力シート!$C$5=入力リスト!$N$5,"",IF(AND(A69="",B69="",C69="",D69="",E69=""),"",IF(OR(A69="",B69="",C69="",D69=""),IF(A69="","従業員番号","")&amp;IF(AND(A69="",OR(B69="",C69="",D69="")),",","")&amp;IF(B69="","雇用形態","")&amp;IF(AND(B69="",OR(C69="",D69="")),",","")&amp;IF(OR(入力シート!$J$18=入力リスト!$K$4,入力シート!$J$22=入力リスト!$K$4),IF(C69="","入社年月日",""),"")&amp;IF(AND(C69="",D69=""),",","")&amp;IF(D69="","性別","")&amp;IF(IF(A69="","従業員番号","")&amp;IF(B69="","雇用形態","")&amp;IF(OR(入力シート!$J$18=入力リスト!$K$4,入力シート!$J$22=入力リスト!$K$4),IF(C69="","入社年月日",""),"")&amp;IF(D69="","性別","")="","","が空白です。"),IF(J69,"入社年月日に「基準日」の翌日以降の日付が入力されています。","")&amp;IF(I69,"入社年月日に数値以外（又は1900/1/1以前の日付）が入力されています。","")&amp;IF(H69,"雇用形態"&amp;IF(OR(K69,L69),",",""),"")&amp;IF(K69,"性別"&amp;IF(L69,",",""),"")&amp;IF(L69,"役職","")&amp;IF(OR(H69,K69,L69),"に、［入力シート］(4)「貴社」欄と異なる文言が入力されています。","")))))</f>
        <v/>
      </c>
      <c r="G69" s="236" t="b">
        <f>COUNTIF($A$4:A68,$A69)&gt;0</f>
        <v>0</v>
      </c>
      <c r="H69" s="237" t="b">
        <f>IF(COUNTIF(入力シート!$J$16:$S$23,入力リスト!$K$4)=0,FALSE,IF(入力シート!$J$16=入力リスト!$K$5,FALSE,ISERROR(VLOOKUP(B69,入力シート!$S$37:$V$62,1,0))))</f>
        <v>0</v>
      </c>
      <c r="I69" s="237" t="b">
        <f>IF(AND(OR(入力シート!$J$18=入力リスト!$K$4,入力シート!$J$22=入力リスト!$K$4),入力シート!$J$24&lt;&gt;""),IF(ISERROR(C69+1),TRUE,IF(ISNUMBER(C69),FALSE,TRUE)),FALSE)</f>
        <v>0</v>
      </c>
      <c r="J69" s="237" t="b">
        <f>IF(AND(入力シート!$J$18=入力リスト!$K$4,入力シート!$J$22=入力リスト!$K$4),FALSE,IF(I69=TRUE,FALSE,IF(ISERROR(C69+1),FALSE,C69&gt;入力シート!$J$24)))</f>
        <v>0</v>
      </c>
      <c r="K69" s="237" t="b">
        <f>IF(COUNTIF(入力シート!$J$16:$S$23,入力リスト!$K$4)=0,FALSE,IF(AND(入力シート!$J$16&lt;&gt;入力リスト!$K$5,入力シート!$J$18&lt;&gt;入力リスト!$K$5,入力シート!$J$20&lt;&gt;入力リスト!$K$5,入力シート!$J$22&lt;&gt;入力リスト!$K$5),FALSE,ISERROR(VLOOKUP(D69,入力シート!$AW$37:$AY$38,1,0))))</f>
        <v>0</v>
      </c>
      <c r="L69" s="237" t="b">
        <f>IF(COUNTIF(入力シート!$J$16:$S$23,入力リスト!$K$4)=0,FALSE,IF(入力シート!$J$20=入力リスト!$K$5,FALSE,IF(E69="",FALSE,ISERROR(VLOOKUP(E69,入力シート!$AH$37:$AK$62,1,0)))))</f>
        <v>0</v>
      </c>
      <c r="M69" s="238" t="str">
        <f t="shared" ref="M69:M132" si="1">IF(COUNTIF(F69,"*入社年月日に数値以外*"),"※1900/0/0以前は数値として認識されません。","")</f>
        <v/>
      </c>
      <c r="N69" s="236" t="str">
        <f>IF(B69="","",VLOOKUP('従業員情報(給与以外)'!$B69,入力シート!$S$37:$Z$62,5,0))</f>
        <v/>
      </c>
      <c r="O69" s="182" t="str">
        <f>IF(ISNUMBER(C69)=FALSE,"",IF(C69&gt;入力シート!$J$24,"",_xlfn.DAYS(入力シート!$J$24,'従業員情報(給与以外)'!$C69)/365))</f>
        <v/>
      </c>
      <c r="P69" s="237" t="str">
        <f>IF(O69="","",VLOOKUP(_xlfn.DAYS(入力シート!$J$24,'従業員情報(給与以外)'!$C69)/365,入力リスト!$H$4:$I$12,2,2))</f>
        <v/>
      </c>
      <c r="Q69" s="236" t="str">
        <f>IF(D69="","",VLOOKUP('従業員情報(給与以外)'!$D69,入力シート!$AW$37:$BB$38,4,0))</f>
        <v/>
      </c>
      <c r="R69" s="236" t="str">
        <f>IF(A69="","",IF(E69="","非役職",VLOOKUP('従業員情報(給与以外)'!$E69,入力シート!$AH$37:$AO$62,5,0)))</f>
        <v/>
      </c>
      <c r="S69" s="116" t="str">
        <f>IF(OR(入力シート!$C$5&lt;&gt;入力リスト!$N$4,COUNTIF(入力シート!$J$16:$S$23,入力リスト!$K$4)=0),"",IF($A69="","",IF(ISERROR(AVERAGEIF(従業員の給与情報!$B:$B,$A69,従業員の給与情報!$C:$C)),0,IF(ISERROR(AVERAGEIF(従業員の給与情報!$B:$B,$A69,従業員の給与情報!$C:$C)),0,AVERAGEIF(従業員の給与情報!$B:$B,$A69,従業員の給与情報!$C:$C)))))</f>
        <v/>
      </c>
      <c r="T69" s="116" t="str">
        <f>IF(OR(入力シート!$C$5&lt;&gt;入力リスト!$N$4,COUNTIF(入力シート!$J$16:$S$23,入力リスト!$K$4)=0),"",IF(A69="","",IF(ISERROR(AVERAGEIF(従業員の給与情報!$B:$B,$A69,従業員の給与情報!$D:$D)),0,IF(ISERROR(AVERAGEIF(従業員の給与情報!$B:$B,$A69,従業員の給与情報!$D:$D)),0,AVERAGEIF(従業員の給与情報!$B:$B,$A69,従業員の給与情報!$D:$D)))))</f>
        <v/>
      </c>
      <c r="U69" s="116" t="str">
        <f>IF(OR(入力シート!$C$5&lt;&gt;入力リスト!$N$4,COUNTIF(入力シート!$J$16:$S$23,入力リスト!$K$4)=0),"",IF(A69="","",IF(ISERROR(AVERAGEIF(従業員の給与情報!$B:$B,$A69,従業員の給与情報!$E:$E)),0,IF(ISERROR(AVERAGEIF(従業員の給与情報!$B:$B,$A69,従業員の給与情報!$E:$E)),0,AVERAGEIF(従業員の給与情報!$B:$B,$A69,従業員の給与情報!$E:$E)))))</f>
        <v/>
      </c>
      <c r="V69" s="117" t="str">
        <f>IF(OR(入力シート!$C$5&lt;&gt;入力リスト!$N$4,COUNTIF(入力シート!$J$16:$S$23,入力リスト!$K$4)=0),"",IF(A69="","",IF(ISERROR(AVERAGEIF(従業員の給与情報!$B:$B,$A69,従業員の給与情報!$F:$F)),0,IF(ISERROR(AVERAGEIF(従業員の給与情報!$B:$B,$A69,従業員の給与情報!$F:$F)),0,AVERAGEIF(従業員の給与情報!$B:$B,$A69,従業員の給与情報!$F:$F)))))</f>
        <v/>
      </c>
      <c r="W69" s="182"/>
      <c r="X69" s="260"/>
    </row>
    <row r="70" spans="1:24" ht="19.5">
      <c r="A70" s="367"/>
      <c r="B70" s="364"/>
      <c r="C70" s="365"/>
      <c r="D70" s="366"/>
      <c r="E70" s="367"/>
      <c r="F70" s="372" t="str">
        <f>IF(G70,"この従業員番号は、すでに他のセルで入力されています。",IF(入力シート!$C$5=入力リスト!$N$5,"",IF(AND(A70="",B70="",C70="",D70="",E70=""),"",IF(OR(A70="",B70="",C70="",D70=""),IF(A70="","従業員番号","")&amp;IF(AND(A70="",OR(B70="",C70="",D70="")),",","")&amp;IF(B70="","雇用形態","")&amp;IF(AND(B70="",OR(C70="",D70="")),",","")&amp;IF(OR(入力シート!$J$18=入力リスト!$K$4,入力シート!$J$22=入力リスト!$K$4),IF(C70="","入社年月日",""),"")&amp;IF(AND(C70="",D70=""),",","")&amp;IF(D70="","性別","")&amp;IF(IF(A70="","従業員番号","")&amp;IF(B70="","雇用形態","")&amp;IF(OR(入力シート!$J$18=入力リスト!$K$4,入力シート!$J$22=入力リスト!$K$4),IF(C70="","入社年月日",""),"")&amp;IF(D70="","性別","")="","","が空白です。"),IF(J70,"入社年月日に「基準日」の翌日以降の日付が入力されています。","")&amp;IF(I70,"入社年月日に数値以外（又は1900/1/1以前の日付）が入力されています。","")&amp;IF(H70,"雇用形態"&amp;IF(OR(K70,L70),",",""),"")&amp;IF(K70,"性別"&amp;IF(L70,",",""),"")&amp;IF(L70,"役職","")&amp;IF(OR(H70,K70,L70),"に、［入力シート］(4)「貴社」欄と異なる文言が入力されています。","")))))</f>
        <v/>
      </c>
      <c r="G70" s="236" t="b">
        <f>COUNTIF($A$4:A69,$A70)&gt;0</f>
        <v>0</v>
      </c>
      <c r="H70" s="237" t="b">
        <f>IF(COUNTIF(入力シート!$J$16:$S$23,入力リスト!$K$4)=0,FALSE,IF(入力シート!$J$16=入力リスト!$K$5,FALSE,ISERROR(VLOOKUP(B70,入力シート!$S$37:$V$62,1,0))))</f>
        <v>0</v>
      </c>
      <c r="I70" s="237" t="b">
        <f>IF(AND(OR(入力シート!$J$18=入力リスト!$K$4,入力シート!$J$22=入力リスト!$K$4),入力シート!$J$24&lt;&gt;""),IF(ISERROR(C70+1),TRUE,IF(ISNUMBER(C70),FALSE,TRUE)),FALSE)</f>
        <v>0</v>
      </c>
      <c r="J70" s="237" t="b">
        <f>IF(AND(入力シート!$J$18=入力リスト!$K$4,入力シート!$J$22=入力リスト!$K$4),FALSE,IF(I70=TRUE,FALSE,IF(ISERROR(C70+1),FALSE,C70&gt;入力シート!$J$24)))</f>
        <v>0</v>
      </c>
      <c r="K70" s="237" t="b">
        <f>IF(COUNTIF(入力シート!$J$16:$S$23,入力リスト!$K$4)=0,FALSE,IF(AND(入力シート!$J$16&lt;&gt;入力リスト!$K$5,入力シート!$J$18&lt;&gt;入力リスト!$K$5,入力シート!$J$20&lt;&gt;入力リスト!$K$5,入力シート!$J$22&lt;&gt;入力リスト!$K$5),FALSE,ISERROR(VLOOKUP(D70,入力シート!$AW$37:$AY$38,1,0))))</f>
        <v>0</v>
      </c>
      <c r="L70" s="237" t="b">
        <f>IF(COUNTIF(入力シート!$J$16:$S$23,入力リスト!$K$4)=0,FALSE,IF(入力シート!$J$20=入力リスト!$K$5,FALSE,IF(E70="",FALSE,ISERROR(VLOOKUP(E70,入力シート!$AH$37:$AK$62,1,0)))))</f>
        <v>0</v>
      </c>
      <c r="M70" s="238" t="str">
        <f t="shared" si="1"/>
        <v/>
      </c>
      <c r="N70" s="236" t="str">
        <f>IF(B70="","",VLOOKUP('従業員情報(給与以外)'!$B70,入力シート!$S$37:$Z$62,5,0))</f>
        <v/>
      </c>
      <c r="O70" s="182" t="str">
        <f>IF(ISNUMBER(C70)=FALSE,"",IF(C70&gt;入力シート!$J$24,"",_xlfn.DAYS(入力シート!$J$24,'従業員情報(給与以外)'!$C70)/365))</f>
        <v/>
      </c>
      <c r="P70" s="237" t="str">
        <f>IF(O70="","",VLOOKUP(_xlfn.DAYS(入力シート!$J$24,'従業員情報(給与以外)'!$C70)/365,入力リスト!$H$4:$I$12,2,2))</f>
        <v/>
      </c>
      <c r="Q70" s="236" t="str">
        <f>IF(D70="","",VLOOKUP('従業員情報(給与以外)'!$D70,入力シート!$AW$37:$BB$38,4,0))</f>
        <v/>
      </c>
      <c r="R70" s="236" t="str">
        <f>IF(A70="","",IF(E70="","非役職",VLOOKUP('従業員情報(給与以外)'!$E70,入力シート!$AH$37:$AO$62,5,0)))</f>
        <v/>
      </c>
      <c r="S70" s="116" t="str">
        <f>IF(OR(入力シート!$C$5&lt;&gt;入力リスト!$N$4,COUNTIF(入力シート!$J$16:$S$23,入力リスト!$K$4)=0),"",IF($A70="","",IF(ISERROR(AVERAGEIF(従業員の給与情報!$B:$B,$A70,従業員の給与情報!$C:$C)),0,IF(ISERROR(AVERAGEIF(従業員の給与情報!$B:$B,$A70,従業員の給与情報!$C:$C)),0,AVERAGEIF(従業員の給与情報!$B:$B,$A70,従業員の給与情報!$C:$C)))))</f>
        <v/>
      </c>
      <c r="T70" s="116" t="str">
        <f>IF(OR(入力シート!$C$5&lt;&gt;入力リスト!$N$4,COUNTIF(入力シート!$J$16:$S$23,入力リスト!$K$4)=0),"",IF(A70="","",IF(ISERROR(AVERAGEIF(従業員の給与情報!$B:$B,$A70,従業員の給与情報!$D:$D)),0,IF(ISERROR(AVERAGEIF(従業員の給与情報!$B:$B,$A70,従業員の給与情報!$D:$D)),0,AVERAGEIF(従業員の給与情報!$B:$B,$A70,従業員の給与情報!$D:$D)))))</f>
        <v/>
      </c>
      <c r="U70" s="116" t="str">
        <f>IF(OR(入力シート!$C$5&lt;&gt;入力リスト!$N$4,COUNTIF(入力シート!$J$16:$S$23,入力リスト!$K$4)=0),"",IF(A70="","",IF(ISERROR(AVERAGEIF(従業員の給与情報!$B:$B,$A70,従業員の給与情報!$E:$E)),0,IF(ISERROR(AVERAGEIF(従業員の給与情報!$B:$B,$A70,従業員の給与情報!$E:$E)),0,AVERAGEIF(従業員の給与情報!$B:$B,$A70,従業員の給与情報!$E:$E)))))</f>
        <v/>
      </c>
      <c r="V70" s="117" t="str">
        <f>IF(OR(入力シート!$C$5&lt;&gt;入力リスト!$N$4,COUNTIF(入力シート!$J$16:$S$23,入力リスト!$K$4)=0),"",IF(A70="","",IF(ISERROR(AVERAGEIF(従業員の給与情報!$B:$B,$A70,従業員の給与情報!$F:$F)),0,IF(ISERROR(AVERAGEIF(従業員の給与情報!$B:$B,$A70,従業員の給与情報!$F:$F)),0,AVERAGEIF(従業員の給与情報!$B:$B,$A70,従業員の給与情報!$F:$F)))))</f>
        <v/>
      </c>
      <c r="W70" s="182"/>
      <c r="X70" s="260"/>
    </row>
    <row r="71" spans="1:24" ht="19.5">
      <c r="A71" s="367"/>
      <c r="B71" s="364"/>
      <c r="C71" s="365"/>
      <c r="D71" s="366"/>
      <c r="E71" s="367"/>
      <c r="F71" s="372" t="str">
        <f>IF(G71,"この従業員番号は、すでに他のセルで入力されています。",IF(入力シート!$C$5=入力リスト!$N$5,"",IF(AND(A71="",B71="",C71="",D71="",E71=""),"",IF(OR(A71="",B71="",C71="",D71=""),IF(A71="","従業員番号","")&amp;IF(AND(A71="",OR(B71="",C71="",D71="")),",","")&amp;IF(B71="","雇用形態","")&amp;IF(AND(B71="",OR(C71="",D71="")),",","")&amp;IF(OR(入力シート!$J$18=入力リスト!$K$4,入力シート!$J$22=入力リスト!$K$4),IF(C71="","入社年月日",""),"")&amp;IF(AND(C71="",D71=""),",","")&amp;IF(D71="","性別","")&amp;IF(IF(A71="","従業員番号","")&amp;IF(B71="","雇用形態","")&amp;IF(OR(入力シート!$J$18=入力リスト!$K$4,入力シート!$J$22=入力リスト!$K$4),IF(C71="","入社年月日",""),"")&amp;IF(D71="","性別","")="","","が空白です。"),IF(J71,"入社年月日に「基準日」の翌日以降の日付が入力されています。","")&amp;IF(I71,"入社年月日に数値以外（又は1900/1/1以前の日付）が入力されています。","")&amp;IF(H71,"雇用形態"&amp;IF(OR(K71,L71),",",""),"")&amp;IF(K71,"性別"&amp;IF(L71,",",""),"")&amp;IF(L71,"役職","")&amp;IF(OR(H71,K71,L71),"に、［入力シート］(4)「貴社」欄と異なる文言が入力されています。","")))))</f>
        <v/>
      </c>
      <c r="G71" s="236" t="b">
        <f>COUNTIF($A$4:A70,$A71)&gt;0</f>
        <v>0</v>
      </c>
      <c r="H71" s="237" t="b">
        <f>IF(COUNTIF(入力シート!$J$16:$S$23,入力リスト!$K$4)=0,FALSE,IF(入力シート!$J$16=入力リスト!$K$5,FALSE,ISERROR(VLOOKUP(B71,入力シート!$S$37:$V$62,1,0))))</f>
        <v>0</v>
      </c>
      <c r="I71" s="237" t="b">
        <f>IF(AND(OR(入力シート!$J$18=入力リスト!$K$4,入力シート!$J$22=入力リスト!$K$4),入力シート!$J$24&lt;&gt;""),IF(ISERROR(C71+1),TRUE,IF(ISNUMBER(C71),FALSE,TRUE)),FALSE)</f>
        <v>0</v>
      </c>
      <c r="J71" s="237" t="b">
        <f>IF(AND(入力シート!$J$18=入力リスト!$K$4,入力シート!$J$22=入力リスト!$K$4),FALSE,IF(I71=TRUE,FALSE,IF(ISERROR(C71+1),FALSE,C71&gt;入力シート!$J$24)))</f>
        <v>0</v>
      </c>
      <c r="K71" s="237" t="b">
        <f>IF(COUNTIF(入力シート!$J$16:$S$23,入力リスト!$K$4)=0,FALSE,IF(AND(入力シート!$J$16&lt;&gt;入力リスト!$K$5,入力シート!$J$18&lt;&gt;入力リスト!$K$5,入力シート!$J$20&lt;&gt;入力リスト!$K$5,入力シート!$J$22&lt;&gt;入力リスト!$K$5),FALSE,ISERROR(VLOOKUP(D71,入力シート!$AW$37:$AY$38,1,0))))</f>
        <v>0</v>
      </c>
      <c r="L71" s="237" t="b">
        <f>IF(COUNTIF(入力シート!$J$16:$S$23,入力リスト!$K$4)=0,FALSE,IF(入力シート!$J$20=入力リスト!$K$5,FALSE,IF(E71="",FALSE,ISERROR(VLOOKUP(E71,入力シート!$AH$37:$AK$62,1,0)))))</f>
        <v>0</v>
      </c>
      <c r="M71" s="238" t="str">
        <f t="shared" si="1"/>
        <v/>
      </c>
      <c r="N71" s="236" t="str">
        <f>IF(B71="","",VLOOKUP('従業員情報(給与以外)'!$B71,入力シート!$S$37:$Z$62,5,0))</f>
        <v/>
      </c>
      <c r="O71" s="182" t="str">
        <f>IF(ISNUMBER(C71)=FALSE,"",IF(C71&gt;入力シート!$J$24,"",_xlfn.DAYS(入力シート!$J$24,'従業員情報(給与以外)'!$C71)/365))</f>
        <v/>
      </c>
      <c r="P71" s="237" t="str">
        <f>IF(O71="","",VLOOKUP(_xlfn.DAYS(入力シート!$J$24,'従業員情報(給与以外)'!$C71)/365,入力リスト!$H$4:$I$12,2,2))</f>
        <v/>
      </c>
      <c r="Q71" s="236" t="str">
        <f>IF(D71="","",VLOOKUP('従業員情報(給与以外)'!$D71,入力シート!$AW$37:$BB$38,4,0))</f>
        <v/>
      </c>
      <c r="R71" s="236" t="str">
        <f>IF(A71="","",IF(E71="","非役職",VLOOKUP('従業員情報(給与以外)'!$E71,入力シート!$AH$37:$AO$62,5,0)))</f>
        <v/>
      </c>
      <c r="S71" s="116" t="str">
        <f>IF(OR(入力シート!$C$5&lt;&gt;入力リスト!$N$4,COUNTIF(入力シート!$J$16:$S$23,入力リスト!$K$4)=0),"",IF($A71="","",IF(ISERROR(AVERAGEIF(従業員の給与情報!$B:$B,$A71,従業員の給与情報!$C:$C)),0,IF(ISERROR(AVERAGEIF(従業員の給与情報!$B:$B,$A71,従業員の給与情報!$C:$C)),0,AVERAGEIF(従業員の給与情報!$B:$B,$A71,従業員の給与情報!$C:$C)))))</f>
        <v/>
      </c>
      <c r="T71" s="116" t="str">
        <f>IF(OR(入力シート!$C$5&lt;&gt;入力リスト!$N$4,COUNTIF(入力シート!$J$16:$S$23,入力リスト!$K$4)=0),"",IF(A71="","",IF(ISERROR(AVERAGEIF(従業員の給与情報!$B:$B,$A71,従業員の給与情報!$D:$D)),0,IF(ISERROR(AVERAGEIF(従業員の給与情報!$B:$B,$A71,従業員の給与情報!$D:$D)),0,AVERAGEIF(従業員の給与情報!$B:$B,$A71,従業員の給与情報!$D:$D)))))</f>
        <v/>
      </c>
      <c r="U71" s="116" t="str">
        <f>IF(OR(入力シート!$C$5&lt;&gt;入力リスト!$N$4,COUNTIF(入力シート!$J$16:$S$23,入力リスト!$K$4)=0),"",IF(A71="","",IF(ISERROR(AVERAGEIF(従業員の給与情報!$B:$B,$A71,従業員の給与情報!$E:$E)),0,IF(ISERROR(AVERAGEIF(従業員の給与情報!$B:$B,$A71,従業員の給与情報!$E:$E)),0,AVERAGEIF(従業員の給与情報!$B:$B,$A71,従業員の給与情報!$E:$E)))))</f>
        <v/>
      </c>
      <c r="V71" s="117" t="str">
        <f>IF(OR(入力シート!$C$5&lt;&gt;入力リスト!$N$4,COUNTIF(入力シート!$J$16:$S$23,入力リスト!$K$4)=0),"",IF(A71="","",IF(ISERROR(AVERAGEIF(従業員の給与情報!$B:$B,$A71,従業員の給与情報!$F:$F)),0,IF(ISERROR(AVERAGEIF(従業員の給与情報!$B:$B,$A71,従業員の給与情報!$F:$F)),0,AVERAGEIF(従業員の給与情報!$B:$B,$A71,従業員の給与情報!$F:$F)))))</f>
        <v/>
      </c>
      <c r="W71" s="182"/>
      <c r="X71" s="260"/>
    </row>
    <row r="72" spans="1:24" ht="19.5">
      <c r="A72" s="367"/>
      <c r="B72" s="364"/>
      <c r="C72" s="365"/>
      <c r="D72" s="366"/>
      <c r="E72" s="364"/>
      <c r="F72" s="372" t="str">
        <f>IF(G72,"この従業員番号は、すでに他のセルで入力されています。",IF(入力シート!$C$5=入力リスト!$N$5,"",IF(AND(A72="",B72="",C72="",D72="",E72=""),"",IF(OR(A72="",B72="",C72="",D72=""),IF(A72="","従業員番号","")&amp;IF(AND(A72="",OR(B72="",C72="",D72="")),",","")&amp;IF(B72="","雇用形態","")&amp;IF(AND(B72="",OR(C72="",D72="")),",","")&amp;IF(OR(入力シート!$J$18=入力リスト!$K$4,入力シート!$J$22=入力リスト!$K$4),IF(C72="","入社年月日",""),"")&amp;IF(AND(C72="",D72=""),",","")&amp;IF(D72="","性別","")&amp;IF(IF(A72="","従業員番号","")&amp;IF(B72="","雇用形態","")&amp;IF(OR(入力シート!$J$18=入力リスト!$K$4,入力シート!$J$22=入力リスト!$K$4),IF(C72="","入社年月日",""),"")&amp;IF(D72="","性別","")="","","が空白です。"),IF(J72,"入社年月日に「基準日」の翌日以降の日付が入力されています。","")&amp;IF(I72,"入社年月日に数値以外（又は1900/1/1以前の日付）が入力されています。","")&amp;IF(H72,"雇用形態"&amp;IF(OR(K72,L72),",",""),"")&amp;IF(K72,"性別"&amp;IF(L72,",",""),"")&amp;IF(L72,"役職","")&amp;IF(OR(H72,K72,L72),"に、［入力シート］(4)「貴社」欄と異なる文言が入力されています。","")))))</f>
        <v/>
      </c>
      <c r="G72" s="236" t="b">
        <f>COUNTIF($A$4:A71,$A72)&gt;0</f>
        <v>0</v>
      </c>
      <c r="H72" s="237" t="b">
        <f>IF(COUNTIF(入力シート!$J$16:$S$23,入力リスト!$K$4)=0,FALSE,IF(入力シート!$J$16=入力リスト!$K$5,FALSE,ISERROR(VLOOKUP(B72,入力シート!$S$37:$V$62,1,0))))</f>
        <v>0</v>
      </c>
      <c r="I72" s="237" t="b">
        <f>IF(AND(OR(入力シート!$J$18=入力リスト!$K$4,入力シート!$J$22=入力リスト!$K$4),入力シート!$J$24&lt;&gt;""),IF(ISERROR(C72+1),TRUE,IF(ISNUMBER(C72),FALSE,TRUE)),FALSE)</f>
        <v>0</v>
      </c>
      <c r="J72" s="237" t="b">
        <f>IF(AND(入力シート!$J$18=入力リスト!$K$4,入力シート!$J$22=入力リスト!$K$4),FALSE,IF(I72=TRUE,FALSE,IF(ISERROR(C72+1),FALSE,C72&gt;入力シート!$J$24)))</f>
        <v>0</v>
      </c>
      <c r="K72" s="237" t="b">
        <f>IF(COUNTIF(入力シート!$J$16:$S$23,入力リスト!$K$4)=0,FALSE,IF(AND(入力シート!$J$16&lt;&gt;入力リスト!$K$5,入力シート!$J$18&lt;&gt;入力リスト!$K$5,入力シート!$J$20&lt;&gt;入力リスト!$K$5,入力シート!$J$22&lt;&gt;入力リスト!$K$5),FALSE,ISERROR(VLOOKUP(D72,入力シート!$AW$37:$AY$38,1,0))))</f>
        <v>0</v>
      </c>
      <c r="L72" s="237" t="b">
        <f>IF(COUNTIF(入力シート!$J$16:$S$23,入力リスト!$K$4)=0,FALSE,IF(入力シート!$J$20=入力リスト!$K$5,FALSE,IF(E72="",FALSE,ISERROR(VLOOKUP(E72,入力シート!$AH$37:$AK$62,1,0)))))</f>
        <v>0</v>
      </c>
      <c r="M72" s="238" t="str">
        <f t="shared" si="1"/>
        <v/>
      </c>
      <c r="N72" s="236" t="str">
        <f>IF(B72="","",VLOOKUP('従業員情報(給与以外)'!$B72,入力シート!$S$37:$Z$62,5,0))</f>
        <v/>
      </c>
      <c r="O72" s="182" t="str">
        <f>IF(ISNUMBER(C72)=FALSE,"",IF(C72&gt;入力シート!$J$24,"",_xlfn.DAYS(入力シート!$J$24,'従業員情報(給与以外)'!$C72)/365))</f>
        <v/>
      </c>
      <c r="P72" s="237" t="str">
        <f>IF(O72="","",VLOOKUP(_xlfn.DAYS(入力シート!$J$24,'従業員情報(給与以外)'!$C72)/365,入力リスト!$H$4:$I$12,2,2))</f>
        <v/>
      </c>
      <c r="Q72" s="236" t="str">
        <f>IF(D72="","",VLOOKUP('従業員情報(給与以外)'!$D72,入力シート!$AW$37:$BB$38,4,0))</f>
        <v/>
      </c>
      <c r="R72" s="236" t="str">
        <f>IF(A72="","",IF(E72="","非役職",VLOOKUP('従業員情報(給与以外)'!$E72,入力シート!$AH$37:$AO$62,5,0)))</f>
        <v/>
      </c>
      <c r="S72" s="116" t="str">
        <f>IF(OR(入力シート!$C$5&lt;&gt;入力リスト!$N$4,COUNTIF(入力シート!$J$16:$S$23,入力リスト!$K$4)=0),"",IF($A72="","",IF(ISERROR(AVERAGEIF(従業員の給与情報!$B:$B,$A72,従業員の給与情報!$C:$C)),0,IF(ISERROR(AVERAGEIF(従業員の給与情報!$B:$B,$A72,従業員の給与情報!$C:$C)),0,AVERAGEIF(従業員の給与情報!$B:$B,$A72,従業員の給与情報!$C:$C)))))</f>
        <v/>
      </c>
      <c r="T72" s="116" t="str">
        <f>IF(OR(入力シート!$C$5&lt;&gt;入力リスト!$N$4,COUNTIF(入力シート!$J$16:$S$23,入力リスト!$K$4)=0),"",IF(A72="","",IF(ISERROR(AVERAGEIF(従業員の給与情報!$B:$B,$A72,従業員の給与情報!$D:$D)),0,IF(ISERROR(AVERAGEIF(従業員の給与情報!$B:$B,$A72,従業員の給与情報!$D:$D)),0,AVERAGEIF(従業員の給与情報!$B:$B,$A72,従業員の給与情報!$D:$D)))))</f>
        <v/>
      </c>
      <c r="U72" s="116" t="str">
        <f>IF(OR(入力シート!$C$5&lt;&gt;入力リスト!$N$4,COUNTIF(入力シート!$J$16:$S$23,入力リスト!$K$4)=0),"",IF(A72="","",IF(ISERROR(AVERAGEIF(従業員の給与情報!$B:$B,$A72,従業員の給与情報!$E:$E)),0,IF(ISERROR(AVERAGEIF(従業員の給与情報!$B:$B,$A72,従業員の給与情報!$E:$E)),0,AVERAGEIF(従業員の給与情報!$B:$B,$A72,従業員の給与情報!$E:$E)))))</f>
        <v/>
      </c>
      <c r="V72" s="117" t="str">
        <f>IF(OR(入力シート!$C$5&lt;&gt;入力リスト!$N$4,COUNTIF(入力シート!$J$16:$S$23,入力リスト!$K$4)=0),"",IF(A72="","",IF(ISERROR(AVERAGEIF(従業員の給与情報!$B:$B,$A72,従業員の給与情報!$F:$F)),0,IF(ISERROR(AVERAGEIF(従業員の給与情報!$B:$B,$A72,従業員の給与情報!$F:$F)),0,AVERAGEIF(従業員の給与情報!$B:$B,$A72,従業員の給与情報!$F:$F)))))</f>
        <v/>
      </c>
      <c r="W72" s="182"/>
      <c r="X72" s="260"/>
    </row>
    <row r="73" spans="1:24" ht="19.5">
      <c r="A73" s="367"/>
      <c r="B73" s="364"/>
      <c r="C73" s="365"/>
      <c r="D73" s="366"/>
      <c r="E73" s="364"/>
      <c r="F73" s="372" t="str">
        <f>IF(G73,"この従業員番号は、すでに他のセルで入力されています。",IF(入力シート!$C$5=入力リスト!$N$5,"",IF(AND(A73="",B73="",C73="",D73="",E73=""),"",IF(OR(A73="",B73="",C73="",D73=""),IF(A73="","従業員番号","")&amp;IF(AND(A73="",OR(B73="",C73="",D73="")),",","")&amp;IF(B73="","雇用形態","")&amp;IF(AND(B73="",OR(C73="",D73="")),",","")&amp;IF(OR(入力シート!$J$18=入力リスト!$K$4,入力シート!$J$22=入力リスト!$K$4),IF(C73="","入社年月日",""),"")&amp;IF(AND(C73="",D73=""),",","")&amp;IF(D73="","性別","")&amp;IF(IF(A73="","従業員番号","")&amp;IF(B73="","雇用形態","")&amp;IF(OR(入力シート!$J$18=入力リスト!$K$4,入力シート!$J$22=入力リスト!$K$4),IF(C73="","入社年月日",""),"")&amp;IF(D73="","性別","")="","","が空白です。"),IF(J73,"入社年月日に「基準日」の翌日以降の日付が入力されています。","")&amp;IF(I73,"入社年月日に数値以外（又は1900/1/1以前の日付）が入力されています。","")&amp;IF(H73,"雇用形態"&amp;IF(OR(K73,L73),",",""),"")&amp;IF(K73,"性別"&amp;IF(L73,",",""),"")&amp;IF(L73,"役職","")&amp;IF(OR(H73,K73,L73),"に、［入力シート］(4)「貴社」欄と異なる文言が入力されています。","")))))</f>
        <v/>
      </c>
      <c r="G73" s="236" t="b">
        <f>COUNTIF($A$4:A72,$A73)&gt;0</f>
        <v>0</v>
      </c>
      <c r="H73" s="237" t="b">
        <f>IF(COUNTIF(入力シート!$J$16:$S$23,入力リスト!$K$4)=0,FALSE,IF(入力シート!$J$16=入力リスト!$K$5,FALSE,ISERROR(VLOOKUP(B73,入力シート!$S$37:$V$62,1,0))))</f>
        <v>0</v>
      </c>
      <c r="I73" s="237" t="b">
        <f>IF(AND(OR(入力シート!$J$18=入力リスト!$K$4,入力シート!$J$22=入力リスト!$K$4),入力シート!$J$24&lt;&gt;""),IF(ISERROR(C73+1),TRUE,IF(ISNUMBER(C73),FALSE,TRUE)),FALSE)</f>
        <v>0</v>
      </c>
      <c r="J73" s="237" t="b">
        <f>IF(AND(入力シート!$J$18=入力リスト!$K$4,入力シート!$J$22=入力リスト!$K$4),FALSE,IF(I73=TRUE,FALSE,IF(ISERROR(C73+1),FALSE,C73&gt;入力シート!$J$24)))</f>
        <v>0</v>
      </c>
      <c r="K73" s="237" t="b">
        <f>IF(COUNTIF(入力シート!$J$16:$S$23,入力リスト!$K$4)=0,FALSE,IF(AND(入力シート!$J$16&lt;&gt;入力リスト!$K$5,入力シート!$J$18&lt;&gt;入力リスト!$K$5,入力シート!$J$20&lt;&gt;入力リスト!$K$5,入力シート!$J$22&lt;&gt;入力リスト!$K$5),FALSE,ISERROR(VLOOKUP(D73,入力シート!$AW$37:$AY$38,1,0))))</f>
        <v>0</v>
      </c>
      <c r="L73" s="237" t="b">
        <f>IF(COUNTIF(入力シート!$J$16:$S$23,入力リスト!$K$4)=0,FALSE,IF(入力シート!$J$20=入力リスト!$K$5,FALSE,IF(E73="",FALSE,ISERROR(VLOOKUP(E73,入力シート!$AH$37:$AK$62,1,0)))))</f>
        <v>0</v>
      </c>
      <c r="M73" s="238" t="str">
        <f t="shared" si="1"/>
        <v/>
      </c>
      <c r="N73" s="236" t="str">
        <f>IF(B73="","",VLOOKUP('従業員情報(給与以外)'!$B73,入力シート!$S$37:$Z$62,5,0))</f>
        <v/>
      </c>
      <c r="O73" s="182" t="str">
        <f>IF(ISNUMBER(C73)=FALSE,"",IF(C73&gt;入力シート!$J$24,"",_xlfn.DAYS(入力シート!$J$24,'従業員情報(給与以外)'!$C73)/365))</f>
        <v/>
      </c>
      <c r="P73" s="237" t="str">
        <f>IF(O73="","",VLOOKUP(_xlfn.DAYS(入力シート!$J$24,'従業員情報(給与以外)'!$C73)/365,入力リスト!$H$4:$I$12,2,2))</f>
        <v/>
      </c>
      <c r="Q73" s="236" t="str">
        <f>IF(D73="","",VLOOKUP('従業員情報(給与以外)'!$D73,入力シート!$AW$37:$BB$38,4,0))</f>
        <v/>
      </c>
      <c r="R73" s="236" t="str">
        <f>IF(A73="","",IF(E73="","非役職",VLOOKUP('従業員情報(給与以外)'!$E73,入力シート!$AH$37:$AO$62,5,0)))</f>
        <v/>
      </c>
      <c r="S73" s="116" t="str">
        <f>IF(OR(入力シート!$C$5&lt;&gt;入力リスト!$N$4,COUNTIF(入力シート!$J$16:$S$23,入力リスト!$K$4)=0),"",IF($A73="","",IF(ISERROR(AVERAGEIF(従業員の給与情報!$B:$B,$A73,従業員の給与情報!$C:$C)),0,IF(ISERROR(AVERAGEIF(従業員の給与情報!$B:$B,$A73,従業員の給与情報!$C:$C)),0,AVERAGEIF(従業員の給与情報!$B:$B,$A73,従業員の給与情報!$C:$C)))))</f>
        <v/>
      </c>
      <c r="T73" s="116" t="str">
        <f>IF(OR(入力シート!$C$5&lt;&gt;入力リスト!$N$4,COUNTIF(入力シート!$J$16:$S$23,入力リスト!$K$4)=0),"",IF(A73="","",IF(ISERROR(AVERAGEIF(従業員の給与情報!$B:$B,$A73,従業員の給与情報!$D:$D)),0,IF(ISERROR(AVERAGEIF(従業員の給与情報!$B:$B,$A73,従業員の給与情報!$D:$D)),0,AVERAGEIF(従業員の給与情報!$B:$B,$A73,従業員の給与情報!$D:$D)))))</f>
        <v/>
      </c>
      <c r="U73" s="116" t="str">
        <f>IF(OR(入力シート!$C$5&lt;&gt;入力リスト!$N$4,COUNTIF(入力シート!$J$16:$S$23,入力リスト!$K$4)=0),"",IF(A73="","",IF(ISERROR(AVERAGEIF(従業員の給与情報!$B:$B,$A73,従業員の給与情報!$E:$E)),0,IF(ISERROR(AVERAGEIF(従業員の給与情報!$B:$B,$A73,従業員の給与情報!$E:$E)),0,AVERAGEIF(従業員の給与情報!$B:$B,$A73,従業員の給与情報!$E:$E)))))</f>
        <v/>
      </c>
      <c r="V73" s="117" t="str">
        <f>IF(OR(入力シート!$C$5&lt;&gt;入力リスト!$N$4,COUNTIF(入力シート!$J$16:$S$23,入力リスト!$K$4)=0),"",IF(A73="","",IF(ISERROR(AVERAGEIF(従業員の給与情報!$B:$B,$A73,従業員の給与情報!$F:$F)),0,IF(ISERROR(AVERAGEIF(従業員の給与情報!$B:$B,$A73,従業員の給与情報!$F:$F)),0,AVERAGEIF(従業員の給与情報!$B:$B,$A73,従業員の給与情報!$F:$F)))))</f>
        <v/>
      </c>
      <c r="W73" s="182"/>
      <c r="X73" s="260"/>
    </row>
    <row r="74" spans="1:24" ht="19.5">
      <c r="A74" s="367"/>
      <c r="B74" s="364"/>
      <c r="C74" s="365"/>
      <c r="D74" s="366"/>
      <c r="E74" s="364"/>
      <c r="F74" s="372" t="str">
        <f>IF(G74,"この従業員番号は、すでに他のセルで入力されています。",IF(入力シート!$C$5=入力リスト!$N$5,"",IF(AND(A74="",B74="",C74="",D74="",E74=""),"",IF(OR(A74="",B74="",C74="",D74=""),IF(A74="","従業員番号","")&amp;IF(AND(A74="",OR(B74="",C74="",D74="")),",","")&amp;IF(B74="","雇用形態","")&amp;IF(AND(B74="",OR(C74="",D74="")),",","")&amp;IF(OR(入力シート!$J$18=入力リスト!$K$4,入力シート!$J$22=入力リスト!$K$4),IF(C74="","入社年月日",""),"")&amp;IF(AND(C74="",D74=""),",","")&amp;IF(D74="","性別","")&amp;IF(IF(A74="","従業員番号","")&amp;IF(B74="","雇用形態","")&amp;IF(OR(入力シート!$J$18=入力リスト!$K$4,入力シート!$J$22=入力リスト!$K$4),IF(C74="","入社年月日",""),"")&amp;IF(D74="","性別","")="","","が空白です。"),IF(J74,"入社年月日に「基準日」の翌日以降の日付が入力されています。","")&amp;IF(I74,"入社年月日に数値以外（又は1900/1/1以前の日付）が入力されています。","")&amp;IF(H74,"雇用形態"&amp;IF(OR(K74,L74),",",""),"")&amp;IF(K74,"性別"&amp;IF(L74,",",""),"")&amp;IF(L74,"役職","")&amp;IF(OR(H74,K74,L74),"に、［入力シート］(4)「貴社」欄と異なる文言が入力されています。","")))))</f>
        <v/>
      </c>
      <c r="G74" s="236" t="b">
        <f>COUNTIF($A$4:A73,$A74)&gt;0</f>
        <v>0</v>
      </c>
      <c r="H74" s="237" t="b">
        <f>IF(COUNTIF(入力シート!$J$16:$S$23,入力リスト!$K$4)=0,FALSE,IF(入力シート!$J$16=入力リスト!$K$5,FALSE,ISERROR(VLOOKUP(B74,入力シート!$S$37:$V$62,1,0))))</f>
        <v>0</v>
      </c>
      <c r="I74" s="237" t="b">
        <f>IF(AND(OR(入力シート!$J$18=入力リスト!$K$4,入力シート!$J$22=入力リスト!$K$4),入力シート!$J$24&lt;&gt;""),IF(ISERROR(C74+1),TRUE,IF(ISNUMBER(C74),FALSE,TRUE)),FALSE)</f>
        <v>0</v>
      </c>
      <c r="J74" s="237" t="b">
        <f>IF(AND(入力シート!$J$18=入力リスト!$K$4,入力シート!$J$22=入力リスト!$K$4),FALSE,IF(I74=TRUE,FALSE,IF(ISERROR(C74+1),FALSE,C74&gt;入力シート!$J$24)))</f>
        <v>0</v>
      </c>
      <c r="K74" s="237" t="b">
        <f>IF(COUNTIF(入力シート!$J$16:$S$23,入力リスト!$K$4)=0,FALSE,IF(AND(入力シート!$J$16&lt;&gt;入力リスト!$K$5,入力シート!$J$18&lt;&gt;入力リスト!$K$5,入力シート!$J$20&lt;&gt;入力リスト!$K$5,入力シート!$J$22&lt;&gt;入力リスト!$K$5),FALSE,ISERROR(VLOOKUP(D74,入力シート!$AW$37:$AY$38,1,0))))</f>
        <v>0</v>
      </c>
      <c r="L74" s="237" t="b">
        <f>IF(COUNTIF(入力シート!$J$16:$S$23,入力リスト!$K$4)=0,FALSE,IF(入力シート!$J$20=入力リスト!$K$5,FALSE,IF(E74="",FALSE,ISERROR(VLOOKUP(E74,入力シート!$AH$37:$AK$62,1,0)))))</f>
        <v>0</v>
      </c>
      <c r="M74" s="238" t="str">
        <f t="shared" si="1"/>
        <v/>
      </c>
      <c r="N74" s="236" t="str">
        <f>IF(B74="","",VLOOKUP('従業員情報(給与以外)'!$B74,入力シート!$S$37:$Z$62,5,0))</f>
        <v/>
      </c>
      <c r="O74" s="182" t="str">
        <f>IF(ISNUMBER(C74)=FALSE,"",IF(C74&gt;入力シート!$J$24,"",_xlfn.DAYS(入力シート!$J$24,'従業員情報(給与以外)'!$C74)/365))</f>
        <v/>
      </c>
      <c r="P74" s="237" t="str">
        <f>IF(O74="","",VLOOKUP(_xlfn.DAYS(入力シート!$J$24,'従業員情報(給与以外)'!$C74)/365,入力リスト!$H$4:$I$12,2,2))</f>
        <v/>
      </c>
      <c r="Q74" s="236" t="str">
        <f>IF(D74="","",VLOOKUP('従業員情報(給与以外)'!$D74,入力シート!$AW$37:$BB$38,4,0))</f>
        <v/>
      </c>
      <c r="R74" s="236" t="str">
        <f>IF(A74="","",IF(E74="","非役職",VLOOKUP('従業員情報(給与以外)'!$E74,入力シート!$AH$37:$AO$62,5,0)))</f>
        <v/>
      </c>
      <c r="S74" s="116" t="str">
        <f>IF(OR(入力シート!$C$5&lt;&gt;入力リスト!$N$4,COUNTIF(入力シート!$J$16:$S$23,入力リスト!$K$4)=0),"",IF($A74="","",IF(ISERROR(AVERAGEIF(従業員の給与情報!$B:$B,$A74,従業員の給与情報!$C:$C)),0,IF(ISERROR(AVERAGEIF(従業員の給与情報!$B:$B,$A74,従業員の給与情報!$C:$C)),0,AVERAGEIF(従業員の給与情報!$B:$B,$A74,従業員の給与情報!$C:$C)))))</f>
        <v/>
      </c>
      <c r="T74" s="116" t="str">
        <f>IF(OR(入力シート!$C$5&lt;&gt;入力リスト!$N$4,COUNTIF(入力シート!$J$16:$S$23,入力リスト!$K$4)=0),"",IF(A74="","",IF(ISERROR(AVERAGEIF(従業員の給与情報!$B:$B,$A74,従業員の給与情報!$D:$D)),0,IF(ISERROR(AVERAGEIF(従業員の給与情報!$B:$B,$A74,従業員の給与情報!$D:$D)),0,AVERAGEIF(従業員の給与情報!$B:$B,$A74,従業員の給与情報!$D:$D)))))</f>
        <v/>
      </c>
      <c r="U74" s="116" t="str">
        <f>IF(OR(入力シート!$C$5&lt;&gt;入力リスト!$N$4,COUNTIF(入力シート!$J$16:$S$23,入力リスト!$K$4)=0),"",IF(A74="","",IF(ISERROR(AVERAGEIF(従業員の給与情報!$B:$B,$A74,従業員の給与情報!$E:$E)),0,IF(ISERROR(AVERAGEIF(従業員の給与情報!$B:$B,$A74,従業員の給与情報!$E:$E)),0,AVERAGEIF(従業員の給与情報!$B:$B,$A74,従業員の給与情報!$E:$E)))))</f>
        <v/>
      </c>
      <c r="V74" s="117" t="str">
        <f>IF(OR(入力シート!$C$5&lt;&gt;入力リスト!$N$4,COUNTIF(入力シート!$J$16:$S$23,入力リスト!$K$4)=0),"",IF(A74="","",IF(ISERROR(AVERAGEIF(従業員の給与情報!$B:$B,$A74,従業員の給与情報!$F:$F)),0,IF(ISERROR(AVERAGEIF(従業員の給与情報!$B:$B,$A74,従業員の給与情報!$F:$F)),0,AVERAGEIF(従業員の給与情報!$B:$B,$A74,従業員の給与情報!$F:$F)))))</f>
        <v/>
      </c>
      <c r="W74" s="182"/>
      <c r="X74" s="260"/>
    </row>
    <row r="75" spans="1:24" ht="19.5">
      <c r="A75" s="367"/>
      <c r="B75" s="364"/>
      <c r="C75" s="365"/>
      <c r="D75" s="366"/>
      <c r="E75" s="367"/>
      <c r="F75" s="372" t="str">
        <f>IF(G75,"この従業員番号は、すでに他のセルで入力されています。",IF(入力シート!$C$5=入力リスト!$N$5,"",IF(AND(A75="",B75="",C75="",D75="",E75=""),"",IF(OR(A75="",B75="",C75="",D75=""),IF(A75="","従業員番号","")&amp;IF(AND(A75="",OR(B75="",C75="",D75="")),",","")&amp;IF(B75="","雇用形態","")&amp;IF(AND(B75="",OR(C75="",D75="")),",","")&amp;IF(OR(入力シート!$J$18=入力リスト!$K$4,入力シート!$J$22=入力リスト!$K$4),IF(C75="","入社年月日",""),"")&amp;IF(AND(C75="",D75=""),",","")&amp;IF(D75="","性別","")&amp;IF(IF(A75="","従業員番号","")&amp;IF(B75="","雇用形態","")&amp;IF(OR(入力シート!$J$18=入力リスト!$K$4,入力シート!$J$22=入力リスト!$K$4),IF(C75="","入社年月日",""),"")&amp;IF(D75="","性別","")="","","が空白です。"),IF(J75,"入社年月日に「基準日」の翌日以降の日付が入力されています。","")&amp;IF(I75,"入社年月日に数値以外（又は1900/1/1以前の日付）が入力されています。","")&amp;IF(H75,"雇用形態"&amp;IF(OR(K75,L75),",",""),"")&amp;IF(K75,"性別"&amp;IF(L75,",",""),"")&amp;IF(L75,"役職","")&amp;IF(OR(H75,K75,L75),"に、［入力シート］(4)「貴社」欄と異なる文言が入力されています。","")))))</f>
        <v/>
      </c>
      <c r="G75" s="236" t="b">
        <f>COUNTIF($A$4:A74,$A75)&gt;0</f>
        <v>0</v>
      </c>
      <c r="H75" s="237" t="b">
        <f>IF(COUNTIF(入力シート!$J$16:$S$23,入力リスト!$K$4)=0,FALSE,IF(入力シート!$J$16=入力リスト!$K$5,FALSE,ISERROR(VLOOKUP(B75,入力シート!$S$37:$V$62,1,0))))</f>
        <v>0</v>
      </c>
      <c r="I75" s="237" t="b">
        <f>IF(AND(OR(入力シート!$J$18=入力リスト!$K$4,入力シート!$J$22=入力リスト!$K$4),入力シート!$J$24&lt;&gt;""),IF(ISERROR(C75+1),TRUE,IF(ISNUMBER(C75),FALSE,TRUE)),FALSE)</f>
        <v>0</v>
      </c>
      <c r="J75" s="237" t="b">
        <f>IF(AND(入力シート!$J$18=入力リスト!$K$4,入力シート!$J$22=入力リスト!$K$4),FALSE,IF(I75=TRUE,FALSE,IF(ISERROR(C75+1),FALSE,C75&gt;入力シート!$J$24)))</f>
        <v>0</v>
      </c>
      <c r="K75" s="237" t="b">
        <f>IF(COUNTIF(入力シート!$J$16:$S$23,入力リスト!$K$4)=0,FALSE,IF(AND(入力シート!$J$16&lt;&gt;入力リスト!$K$5,入力シート!$J$18&lt;&gt;入力リスト!$K$5,入力シート!$J$20&lt;&gt;入力リスト!$K$5,入力シート!$J$22&lt;&gt;入力リスト!$K$5),FALSE,ISERROR(VLOOKUP(D75,入力シート!$AW$37:$AY$38,1,0))))</f>
        <v>0</v>
      </c>
      <c r="L75" s="237" t="b">
        <f>IF(COUNTIF(入力シート!$J$16:$S$23,入力リスト!$K$4)=0,FALSE,IF(入力シート!$J$20=入力リスト!$K$5,FALSE,IF(E75="",FALSE,ISERROR(VLOOKUP(E75,入力シート!$AH$37:$AK$62,1,0)))))</f>
        <v>0</v>
      </c>
      <c r="M75" s="238" t="str">
        <f t="shared" si="1"/>
        <v/>
      </c>
      <c r="N75" s="236" t="str">
        <f>IF(B75="","",VLOOKUP('従業員情報(給与以外)'!$B75,入力シート!$S$37:$Z$62,5,0))</f>
        <v/>
      </c>
      <c r="O75" s="182" t="str">
        <f>IF(ISNUMBER(C75)=FALSE,"",IF(C75&gt;入力シート!$J$24,"",_xlfn.DAYS(入力シート!$J$24,'従業員情報(給与以外)'!$C75)/365))</f>
        <v/>
      </c>
      <c r="P75" s="237" t="str">
        <f>IF(O75="","",VLOOKUP(_xlfn.DAYS(入力シート!$J$24,'従業員情報(給与以外)'!$C75)/365,入力リスト!$H$4:$I$12,2,2))</f>
        <v/>
      </c>
      <c r="Q75" s="236" t="str">
        <f>IF(D75="","",VLOOKUP('従業員情報(給与以外)'!$D75,入力シート!$AW$37:$BB$38,4,0))</f>
        <v/>
      </c>
      <c r="R75" s="236" t="str">
        <f>IF(A75="","",IF(E75="","非役職",VLOOKUP('従業員情報(給与以外)'!$E75,入力シート!$AH$37:$AO$62,5,0)))</f>
        <v/>
      </c>
      <c r="S75" s="116" t="str">
        <f>IF(OR(入力シート!$C$5&lt;&gt;入力リスト!$N$4,COUNTIF(入力シート!$J$16:$S$23,入力リスト!$K$4)=0),"",IF($A75="","",IF(ISERROR(AVERAGEIF(従業員の給与情報!$B:$B,$A75,従業員の給与情報!$C:$C)),0,IF(ISERROR(AVERAGEIF(従業員の給与情報!$B:$B,$A75,従業員の給与情報!$C:$C)),0,AVERAGEIF(従業員の給与情報!$B:$B,$A75,従業員の給与情報!$C:$C)))))</f>
        <v/>
      </c>
      <c r="T75" s="116" t="str">
        <f>IF(OR(入力シート!$C$5&lt;&gt;入力リスト!$N$4,COUNTIF(入力シート!$J$16:$S$23,入力リスト!$K$4)=0),"",IF(A75="","",IF(ISERROR(AVERAGEIF(従業員の給与情報!$B:$B,$A75,従業員の給与情報!$D:$D)),0,IF(ISERROR(AVERAGEIF(従業員の給与情報!$B:$B,$A75,従業員の給与情報!$D:$D)),0,AVERAGEIF(従業員の給与情報!$B:$B,$A75,従業員の給与情報!$D:$D)))))</f>
        <v/>
      </c>
      <c r="U75" s="116" t="str">
        <f>IF(OR(入力シート!$C$5&lt;&gt;入力リスト!$N$4,COUNTIF(入力シート!$J$16:$S$23,入力リスト!$K$4)=0),"",IF(A75="","",IF(ISERROR(AVERAGEIF(従業員の給与情報!$B:$B,$A75,従業員の給与情報!$E:$E)),0,IF(ISERROR(AVERAGEIF(従業員の給与情報!$B:$B,$A75,従業員の給与情報!$E:$E)),0,AVERAGEIF(従業員の給与情報!$B:$B,$A75,従業員の給与情報!$E:$E)))))</f>
        <v/>
      </c>
      <c r="V75" s="117" t="str">
        <f>IF(OR(入力シート!$C$5&lt;&gt;入力リスト!$N$4,COUNTIF(入力シート!$J$16:$S$23,入力リスト!$K$4)=0),"",IF(A75="","",IF(ISERROR(AVERAGEIF(従業員の給与情報!$B:$B,$A75,従業員の給与情報!$F:$F)),0,IF(ISERROR(AVERAGEIF(従業員の給与情報!$B:$B,$A75,従業員の給与情報!$F:$F)),0,AVERAGEIF(従業員の給与情報!$B:$B,$A75,従業員の給与情報!$F:$F)))))</f>
        <v/>
      </c>
      <c r="W75" s="182"/>
      <c r="X75" s="260"/>
    </row>
    <row r="76" spans="1:24" ht="19.5">
      <c r="A76" s="367"/>
      <c r="B76" s="364"/>
      <c r="C76" s="365"/>
      <c r="D76" s="366"/>
      <c r="E76" s="367"/>
      <c r="F76" s="372" t="str">
        <f>IF(G76,"この従業員番号は、すでに他のセルで入力されています。",IF(入力シート!$C$5=入力リスト!$N$5,"",IF(AND(A76="",B76="",C76="",D76="",E76=""),"",IF(OR(A76="",B76="",C76="",D76=""),IF(A76="","従業員番号","")&amp;IF(AND(A76="",OR(B76="",C76="",D76="")),",","")&amp;IF(B76="","雇用形態","")&amp;IF(AND(B76="",OR(C76="",D76="")),",","")&amp;IF(OR(入力シート!$J$18=入力リスト!$K$4,入力シート!$J$22=入力リスト!$K$4),IF(C76="","入社年月日",""),"")&amp;IF(AND(C76="",D76=""),",","")&amp;IF(D76="","性別","")&amp;IF(IF(A76="","従業員番号","")&amp;IF(B76="","雇用形態","")&amp;IF(OR(入力シート!$J$18=入力リスト!$K$4,入力シート!$J$22=入力リスト!$K$4),IF(C76="","入社年月日",""),"")&amp;IF(D76="","性別","")="","","が空白です。"),IF(J76,"入社年月日に「基準日」の翌日以降の日付が入力されています。","")&amp;IF(I76,"入社年月日に数値以外（又は1900/1/1以前の日付）が入力されています。","")&amp;IF(H76,"雇用形態"&amp;IF(OR(K76,L76),",",""),"")&amp;IF(K76,"性別"&amp;IF(L76,",",""),"")&amp;IF(L76,"役職","")&amp;IF(OR(H76,K76,L76),"に、［入力シート］(4)「貴社」欄と異なる文言が入力されています。","")))))</f>
        <v/>
      </c>
      <c r="G76" s="236" t="b">
        <f>COUNTIF($A$4:A75,$A76)&gt;0</f>
        <v>0</v>
      </c>
      <c r="H76" s="237" t="b">
        <f>IF(COUNTIF(入力シート!$J$16:$S$23,入力リスト!$K$4)=0,FALSE,IF(入力シート!$J$16=入力リスト!$K$5,FALSE,ISERROR(VLOOKUP(B76,入力シート!$S$37:$V$62,1,0))))</f>
        <v>0</v>
      </c>
      <c r="I76" s="237" t="b">
        <f>IF(AND(OR(入力シート!$J$18=入力リスト!$K$4,入力シート!$J$22=入力リスト!$K$4),入力シート!$J$24&lt;&gt;""),IF(ISERROR(C76+1),TRUE,IF(ISNUMBER(C76),FALSE,TRUE)),FALSE)</f>
        <v>0</v>
      </c>
      <c r="J76" s="237" t="b">
        <f>IF(AND(入力シート!$J$18=入力リスト!$K$4,入力シート!$J$22=入力リスト!$K$4),FALSE,IF(I76=TRUE,FALSE,IF(ISERROR(C76+1),FALSE,C76&gt;入力シート!$J$24)))</f>
        <v>0</v>
      </c>
      <c r="K76" s="237" t="b">
        <f>IF(COUNTIF(入力シート!$J$16:$S$23,入力リスト!$K$4)=0,FALSE,IF(AND(入力シート!$J$16&lt;&gt;入力リスト!$K$5,入力シート!$J$18&lt;&gt;入力リスト!$K$5,入力シート!$J$20&lt;&gt;入力リスト!$K$5,入力シート!$J$22&lt;&gt;入力リスト!$K$5),FALSE,ISERROR(VLOOKUP(D76,入力シート!$AW$37:$AY$38,1,0))))</f>
        <v>0</v>
      </c>
      <c r="L76" s="237" t="b">
        <f>IF(COUNTIF(入力シート!$J$16:$S$23,入力リスト!$K$4)=0,FALSE,IF(入力シート!$J$20=入力リスト!$K$5,FALSE,IF(E76="",FALSE,ISERROR(VLOOKUP(E76,入力シート!$AH$37:$AK$62,1,0)))))</f>
        <v>0</v>
      </c>
      <c r="M76" s="238" t="str">
        <f t="shared" si="1"/>
        <v/>
      </c>
      <c r="N76" s="236" t="str">
        <f>IF(B76="","",VLOOKUP('従業員情報(給与以外)'!$B76,入力シート!$S$37:$Z$62,5,0))</f>
        <v/>
      </c>
      <c r="O76" s="182" t="str">
        <f>IF(ISNUMBER(C76)=FALSE,"",IF(C76&gt;入力シート!$J$24,"",_xlfn.DAYS(入力シート!$J$24,'従業員情報(給与以外)'!$C76)/365))</f>
        <v/>
      </c>
      <c r="P76" s="237" t="str">
        <f>IF(O76="","",VLOOKUP(_xlfn.DAYS(入力シート!$J$24,'従業員情報(給与以外)'!$C76)/365,入力リスト!$H$4:$I$12,2,2))</f>
        <v/>
      </c>
      <c r="Q76" s="236" t="str">
        <f>IF(D76="","",VLOOKUP('従業員情報(給与以外)'!$D76,入力シート!$AW$37:$BB$38,4,0))</f>
        <v/>
      </c>
      <c r="R76" s="236" t="str">
        <f>IF(A76="","",IF(E76="","非役職",VLOOKUP('従業員情報(給与以外)'!$E76,入力シート!$AH$37:$AO$62,5,0)))</f>
        <v/>
      </c>
      <c r="S76" s="116" t="str">
        <f>IF(OR(入力シート!$C$5&lt;&gt;入力リスト!$N$4,COUNTIF(入力シート!$J$16:$S$23,入力リスト!$K$4)=0),"",IF($A76="","",IF(ISERROR(AVERAGEIF(従業員の給与情報!$B:$B,$A76,従業員の給与情報!$C:$C)),0,IF(ISERROR(AVERAGEIF(従業員の給与情報!$B:$B,$A76,従業員の給与情報!$C:$C)),0,AVERAGEIF(従業員の給与情報!$B:$B,$A76,従業員の給与情報!$C:$C)))))</f>
        <v/>
      </c>
      <c r="T76" s="116" t="str">
        <f>IF(OR(入力シート!$C$5&lt;&gt;入力リスト!$N$4,COUNTIF(入力シート!$J$16:$S$23,入力リスト!$K$4)=0),"",IF(A76="","",IF(ISERROR(AVERAGEIF(従業員の給与情報!$B:$B,$A76,従業員の給与情報!$D:$D)),0,IF(ISERROR(AVERAGEIF(従業員の給与情報!$B:$B,$A76,従業員の給与情報!$D:$D)),0,AVERAGEIF(従業員の給与情報!$B:$B,$A76,従業員の給与情報!$D:$D)))))</f>
        <v/>
      </c>
      <c r="U76" s="116" t="str">
        <f>IF(OR(入力シート!$C$5&lt;&gt;入力リスト!$N$4,COUNTIF(入力シート!$J$16:$S$23,入力リスト!$K$4)=0),"",IF(A76="","",IF(ISERROR(AVERAGEIF(従業員の給与情報!$B:$B,$A76,従業員の給与情報!$E:$E)),0,IF(ISERROR(AVERAGEIF(従業員の給与情報!$B:$B,$A76,従業員の給与情報!$E:$E)),0,AVERAGEIF(従業員の給与情報!$B:$B,$A76,従業員の給与情報!$E:$E)))))</f>
        <v/>
      </c>
      <c r="V76" s="117" t="str">
        <f>IF(OR(入力シート!$C$5&lt;&gt;入力リスト!$N$4,COUNTIF(入力シート!$J$16:$S$23,入力リスト!$K$4)=0),"",IF(A76="","",IF(ISERROR(AVERAGEIF(従業員の給与情報!$B:$B,$A76,従業員の給与情報!$F:$F)),0,IF(ISERROR(AVERAGEIF(従業員の給与情報!$B:$B,$A76,従業員の給与情報!$F:$F)),0,AVERAGEIF(従業員の給与情報!$B:$B,$A76,従業員の給与情報!$F:$F)))))</f>
        <v/>
      </c>
      <c r="W76" s="182"/>
      <c r="X76" s="260"/>
    </row>
    <row r="77" spans="1:24" ht="19.5">
      <c r="A77" s="367"/>
      <c r="B77" s="364"/>
      <c r="C77" s="365"/>
      <c r="D77" s="366"/>
      <c r="E77" s="367"/>
      <c r="F77" s="372" t="str">
        <f>IF(G77,"この従業員番号は、すでに他のセルで入力されています。",IF(入力シート!$C$5=入力リスト!$N$5,"",IF(AND(A77="",B77="",C77="",D77="",E77=""),"",IF(OR(A77="",B77="",C77="",D77=""),IF(A77="","従業員番号","")&amp;IF(AND(A77="",OR(B77="",C77="",D77="")),",","")&amp;IF(B77="","雇用形態","")&amp;IF(AND(B77="",OR(C77="",D77="")),",","")&amp;IF(OR(入力シート!$J$18=入力リスト!$K$4,入力シート!$J$22=入力リスト!$K$4),IF(C77="","入社年月日",""),"")&amp;IF(AND(C77="",D77=""),",","")&amp;IF(D77="","性別","")&amp;IF(IF(A77="","従業員番号","")&amp;IF(B77="","雇用形態","")&amp;IF(OR(入力シート!$J$18=入力リスト!$K$4,入力シート!$J$22=入力リスト!$K$4),IF(C77="","入社年月日",""),"")&amp;IF(D77="","性別","")="","","が空白です。"),IF(J77,"入社年月日に「基準日」の翌日以降の日付が入力されています。","")&amp;IF(I77,"入社年月日に数値以外（又は1900/1/1以前の日付）が入力されています。","")&amp;IF(H77,"雇用形態"&amp;IF(OR(K77,L77),",",""),"")&amp;IF(K77,"性別"&amp;IF(L77,",",""),"")&amp;IF(L77,"役職","")&amp;IF(OR(H77,K77,L77),"に、［入力シート］(4)「貴社」欄と異なる文言が入力されています。","")))))</f>
        <v/>
      </c>
      <c r="G77" s="236" t="b">
        <f>COUNTIF($A$4:A76,$A77)&gt;0</f>
        <v>0</v>
      </c>
      <c r="H77" s="237" t="b">
        <f>IF(COUNTIF(入力シート!$J$16:$S$23,入力リスト!$K$4)=0,FALSE,IF(入力シート!$J$16=入力リスト!$K$5,FALSE,ISERROR(VLOOKUP(B77,入力シート!$S$37:$V$62,1,0))))</f>
        <v>0</v>
      </c>
      <c r="I77" s="237" t="b">
        <f>IF(AND(OR(入力シート!$J$18=入力リスト!$K$4,入力シート!$J$22=入力リスト!$K$4),入力シート!$J$24&lt;&gt;""),IF(ISERROR(C77+1),TRUE,IF(ISNUMBER(C77),FALSE,TRUE)),FALSE)</f>
        <v>0</v>
      </c>
      <c r="J77" s="237" t="b">
        <f>IF(AND(入力シート!$J$18=入力リスト!$K$4,入力シート!$J$22=入力リスト!$K$4),FALSE,IF(I77=TRUE,FALSE,IF(ISERROR(C77+1),FALSE,C77&gt;入力シート!$J$24)))</f>
        <v>0</v>
      </c>
      <c r="K77" s="237" t="b">
        <f>IF(COUNTIF(入力シート!$J$16:$S$23,入力リスト!$K$4)=0,FALSE,IF(AND(入力シート!$J$16&lt;&gt;入力リスト!$K$5,入力シート!$J$18&lt;&gt;入力リスト!$K$5,入力シート!$J$20&lt;&gt;入力リスト!$K$5,入力シート!$J$22&lt;&gt;入力リスト!$K$5),FALSE,ISERROR(VLOOKUP(D77,入力シート!$AW$37:$AY$38,1,0))))</f>
        <v>0</v>
      </c>
      <c r="L77" s="237" t="b">
        <f>IF(COUNTIF(入力シート!$J$16:$S$23,入力リスト!$K$4)=0,FALSE,IF(入力シート!$J$20=入力リスト!$K$5,FALSE,IF(E77="",FALSE,ISERROR(VLOOKUP(E77,入力シート!$AH$37:$AK$62,1,0)))))</f>
        <v>0</v>
      </c>
      <c r="M77" s="238" t="str">
        <f t="shared" si="1"/>
        <v/>
      </c>
      <c r="N77" s="236" t="str">
        <f>IF(B77="","",VLOOKUP('従業員情報(給与以外)'!$B77,入力シート!$S$37:$Z$62,5,0))</f>
        <v/>
      </c>
      <c r="O77" s="182" t="str">
        <f>IF(ISNUMBER(C77)=FALSE,"",IF(C77&gt;入力シート!$J$24,"",_xlfn.DAYS(入力シート!$J$24,'従業員情報(給与以外)'!$C77)/365))</f>
        <v/>
      </c>
      <c r="P77" s="237" t="str">
        <f>IF(O77="","",VLOOKUP(_xlfn.DAYS(入力シート!$J$24,'従業員情報(給与以外)'!$C77)/365,入力リスト!$H$4:$I$12,2,2))</f>
        <v/>
      </c>
      <c r="Q77" s="236" t="str">
        <f>IF(D77="","",VLOOKUP('従業員情報(給与以外)'!$D77,入力シート!$AW$37:$BB$38,4,0))</f>
        <v/>
      </c>
      <c r="R77" s="236" t="str">
        <f>IF(A77="","",IF(E77="","非役職",VLOOKUP('従業員情報(給与以外)'!$E77,入力シート!$AH$37:$AO$62,5,0)))</f>
        <v/>
      </c>
      <c r="S77" s="116" t="str">
        <f>IF(OR(入力シート!$C$5&lt;&gt;入力リスト!$N$4,COUNTIF(入力シート!$J$16:$S$23,入力リスト!$K$4)=0),"",IF($A77="","",IF(ISERROR(AVERAGEIF(従業員の給与情報!$B:$B,$A77,従業員の給与情報!$C:$C)),0,IF(ISERROR(AVERAGEIF(従業員の給与情報!$B:$B,$A77,従業員の給与情報!$C:$C)),0,AVERAGEIF(従業員の給与情報!$B:$B,$A77,従業員の給与情報!$C:$C)))))</f>
        <v/>
      </c>
      <c r="T77" s="116" t="str">
        <f>IF(OR(入力シート!$C$5&lt;&gt;入力リスト!$N$4,COUNTIF(入力シート!$J$16:$S$23,入力リスト!$K$4)=0),"",IF(A77="","",IF(ISERROR(AVERAGEIF(従業員の給与情報!$B:$B,$A77,従業員の給与情報!$D:$D)),0,IF(ISERROR(AVERAGEIF(従業員の給与情報!$B:$B,$A77,従業員の給与情報!$D:$D)),0,AVERAGEIF(従業員の給与情報!$B:$B,$A77,従業員の給与情報!$D:$D)))))</f>
        <v/>
      </c>
      <c r="U77" s="116" t="str">
        <f>IF(OR(入力シート!$C$5&lt;&gt;入力リスト!$N$4,COUNTIF(入力シート!$J$16:$S$23,入力リスト!$K$4)=0),"",IF(A77="","",IF(ISERROR(AVERAGEIF(従業員の給与情報!$B:$B,$A77,従業員の給与情報!$E:$E)),0,IF(ISERROR(AVERAGEIF(従業員の給与情報!$B:$B,$A77,従業員の給与情報!$E:$E)),0,AVERAGEIF(従業員の給与情報!$B:$B,$A77,従業員の給与情報!$E:$E)))))</f>
        <v/>
      </c>
      <c r="V77" s="117" t="str">
        <f>IF(OR(入力シート!$C$5&lt;&gt;入力リスト!$N$4,COUNTIF(入力シート!$J$16:$S$23,入力リスト!$K$4)=0),"",IF(A77="","",IF(ISERROR(AVERAGEIF(従業員の給与情報!$B:$B,$A77,従業員の給与情報!$F:$F)),0,IF(ISERROR(AVERAGEIF(従業員の給与情報!$B:$B,$A77,従業員の給与情報!$F:$F)),0,AVERAGEIF(従業員の給与情報!$B:$B,$A77,従業員の給与情報!$F:$F)))))</f>
        <v/>
      </c>
      <c r="W77" s="182"/>
      <c r="X77" s="260"/>
    </row>
    <row r="78" spans="1:24" ht="19.5">
      <c r="A78" s="367"/>
      <c r="B78" s="364"/>
      <c r="C78" s="365"/>
      <c r="D78" s="366"/>
      <c r="E78" s="367"/>
      <c r="F78" s="372" t="str">
        <f>IF(G78,"この従業員番号は、すでに他のセルで入力されています。",IF(入力シート!$C$5=入力リスト!$N$5,"",IF(AND(A78="",B78="",C78="",D78="",E78=""),"",IF(OR(A78="",B78="",C78="",D78=""),IF(A78="","従業員番号","")&amp;IF(AND(A78="",OR(B78="",C78="",D78="")),",","")&amp;IF(B78="","雇用形態","")&amp;IF(AND(B78="",OR(C78="",D78="")),",","")&amp;IF(OR(入力シート!$J$18=入力リスト!$K$4,入力シート!$J$22=入力リスト!$K$4),IF(C78="","入社年月日",""),"")&amp;IF(AND(C78="",D78=""),",","")&amp;IF(D78="","性別","")&amp;IF(IF(A78="","従業員番号","")&amp;IF(B78="","雇用形態","")&amp;IF(OR(入力シート!$J$18=入力リスト!$K$4,入力シート!$J$22=入力リスト!$K$4),IF(C78="","入社年月日",""),"")&amp;IF(D78="","性別","")="","","が空白です。"),IF(J78,"入社年月日に「基準日」の翌日以降の日付が入力されています。","")&amp;IF(I78,"入社年月日に数値以外（又は1900/1/1以前の日付）が入力されています。","")&amp;IF(H78,"雇用形態"&amp;IF(OR(K78,L78),",",""),"")&amp;IF(K78,"性別"&amp;IF(L78,",",""),"")&amp;IF(L78,"役職","")&amp;IF(OR(H78,K78,L78),"に、［入力シート］(4)「貴社」欄と異なる文言が入力されています。","")))))</f>
        <v/>
      </c>
      <c r="G78" s="236" t="b">
        <f>COUNTIF($A$4:A77,$A78)&gt;0</f>
        <v>0</v>
      </c>
      <c r="H78" s="237" t="b">
        <f>IF(COUNTIF(入力シート!$J$16:$S$23,入力リスト!$K$4)=0,FALSE,IF(入力シート!$J$16=入力リスト!$K$5,FALSE,ISERROR(VLOOKUP(B78,入力シート!$S$37:$V$62,1,0))))</f>
        <v>0</v>
      </c>
      <c r="I78" s="237" t="b">
        <f>IF(AND(OR(入力シート!$J$18=入力リスト!$K$4,入力シート!$J$22=入力リスト!$K$4),入力シート!$J$24&lt;&gt;""),IF(ISERROR(C78+1),TRUE,IF(ISNUMBER(C78),FALSE,TRUE)),FALSE)</f>
        <v>0</v>
      </c>
      <c r="J78" s="237" t="b">
        <f>IF(AND(入力シート!$J$18=入力リスト!$K$4,入力シート!$J$22=入力リスト!$K$4),FALSE,IF(I78=TRUE,FALSE,IF(ISERROR(C78+1),FALSE,C78&gt;入力シート!$J$24)))</f>
        <v>0</v>
      </c>
      <c r="K78" s="237" t="b">
        <f>IF(COUNTIF(入力シート!$J$16:$S$23,入力リスト!$K$4)=0,FALSE,IF(AND(入力シート!$J$16&lt;&gt;入力リスト!$K$5,入力シート!$J$18&lt;&gt;入力リスト!$K$5,入力シート!$J$20&lt;&gt;入力リスト!$K$5,入力シート!$J$22&lt;&gt;入力リスト!$K$5),FALSE,ISERROR(VLOOKUP(D78,入力シート!$AW$37:$AY$38,1,0))))</f>
        <v>0</v>
      </c>
      <c r="L78" s="237" t="b">
        <f>IF(COUNTIF(入力シート!$J$16:$S$23,入力リスト!$K$4)=0,FALSE,IF(入力シート!$J$20=入力リスト!$K$5,FALSE,IF(E78="",FALSE,ISERROR(VLOOKUP(E78,入力シート!$AH$37:$AK$62,1,0)))))</f>
        <v>0</v>
      </c>
      <c r="M78" s="238" t="str">
        <f t="shared" si="1"/>
        <v/>
      </c>
      <c r="N78" s="236" t="str">
        <f>IF(B78="","",VLOOKUP('従業員情報(給与以外)'!$B78,入力シート!$S$37:$Z$62,5,0))</f>
        <v/>
      </c>
      <c r="O78" s="182" t="str">
        <f>IF(ISNUMBER(C78)=FALSE,"",IF(C78&gt;入力シート!$J$24,"",_xlfn.DAYS(入力シート!$J$24,'従業員情報(給与以外)'!$C78)/365))</f>
        <v/>
      </c>
      <c r="P78" s="237" t="str">
        <f>IF(O78="","",VLOOKUP(_xlfn.DAYS(入力シート!$J$24,'従業員情報(給与以外)'!$C78)/365,入力リスト!$H$4:$I$12,2,2))</f>
        <v/>
      </c>
      <c r="Q78" s="236" t="str">
        <f>IF(D78="","",VLOOKUP('従業員情報(給与以外)'!$D78,入力シート!$AW$37:$BB$38,4,0))</f>
        <v/>
      </c>
      <c r="R78" s="236" t="str">
        <f>IF(A78="","",IF(E78="","非役職",VLOOKUP('従業員情報(給与以外)'!$E78,入力シート!$AH$37:$AO$62,5,0)))</f>
        <v/>
      </c>
      <c r="S78" s="116" t="str">
        <f>IF(OR(入力シート!$C$5&lt;&gt;入力リスト!$N$4,COUNTIF(入力シート!$J$16:$S$23,入力リスト!$K$4)=0),"",IF($A78="","",IF(ISERROR(AVERAGEIF(従業員の給与情報!$B:$B,$A78,従業員の給与情報!$C:$C)),0,IF(ISERROR(AVERAGEIF(従業員の給与情報!$B:$B,$A78,従業員の給与情報!$C:$C)),0,AVERAGEIF(従業員の給与情報!$B:$B,$A78,従業員の給与情報!$C:$C)))))</f>
        <v/>
      </c>
      <c r="T78" s="116" t="str">
        <f>IF(OR(入力シート!$C$5&lt;&gt;入力リスト!$N$4,COUNTIF(入力シート!$J$16:$S$23,入力リスト!$K$4)=0),"",IF(A78="","",IF(ISERROR(AVERAGEIF(従業員の給与情報!$B:$B,$A78,従業員の給与情報!$D:$D)),0,IF(ISERROR(AVERAGEIF(従業員の給与情報!$B:$B,$A78,従業員の給与情報!$D:$D)),0,AVERAGEIF(従業員の給与情報!$B:$B,$A78,従業員の給与情報!$D:$D)))))</f>
        <v/>
      </c>
      <c r="U78" s="116" t="str">
        <f>IF(OR(入力シート!$C$5&lt;&gt;入力リスト!$N$4,COUNTIF(入力シート!$J$16:$S$23,入力リスト!$K$4)=0),"",IF(A78="","",IF(ISERROR(AVERAGEIF(従業員の給与情報!$B:$B,$A78,従業員の給与情報!$E:$E)),0,IF(ISERROR(AVERAGEIF(従業員の給与情報!$B:$B,$A78,従業員の給与情報!$E:$E)),0,AVERAGEIF(従業員の給与情報!$B:$B,$A78,従業員の給与情報!$E:$E)))))</f>
        <v/>
      </c>
      <c r="V78" s="117" t="str">
        <f>IF(OR(入力シート!$C$5&lt;&gt;入力リスト!$N$4,COUNTIF(入力シート!$J$16:$S$23,入力リスト!$K$4)=0),"",IF(A78="","",IF(ISERROR(AVERAGEIF(従業員の給与情報!$B:$B,$A78,従業員の給与情報!$F:$F)),0,IF(ISERROR(AVERAGEIF(従業員の給与情報!$B:$B,$A78,従業員の給与情報!$F:$F)),0,AVERAGEIF(従業員の給与情報!$B:$B,$A78,従業員の給与情報!$F:$F)))))</f>
        <v/>
      </c>
      <c r="W78" s="182"/>
      <c r="X78" s="260"/>
    </row>
    <row r="79" spans="1:24" ht="19.5">
      <c r="A79" s="367"/>
      <c r="B79" s="364"/>
      <c r="C79" s="365"/>
      <c r="D79" s="366"/>
      <c r="E79" s="367"/>
      <c r="F79" s="372" t="str">
        <f>IF(G79,"この従業員番号は、すでに他のセルで入力されています。",IF(入力シート!$C$5=入力リスト!$N$5,"",IF(AND(A79="",B79="",C79="",D79="",E79=""),"",IF(OR(A79="",B79="",C79="",D79=""),IF(A79="","従業員番号","")&amp;IF(AND(A79="",OR(B79="",C79="",D79="")),",","")&amp;IF(B79="","雇用形態","")&amp;IF(AND(B79="",OR(C79="",D79="")),",","")&amp;IF(OR(入力シート!$J$18=入力リスト!$K$4,入力シート!$J$22=入力リスト!$K$4),IF(C79="","入社年月日",""),"")&amp;IF(AND(C79="",D79=""),",","")&amp;IF(D79="","性別","")&amp;IF(IF(A79="","従業員番号","")&amp;IF(B79="","雇用形態","")&amp;IF(OR(入力シート!$J$18=入力リスト!$K$4,入力シート!$J$22=入力リスト!$K$4),IF(C79="","入社年月日",""),"")&amp;IF(D79="","性別","")="","","が空白です。"),IF(J79,"入社年月日に「基準日」の翌日以降の日付が入力されています。","")&amp;IF(I79,"入社年月日に数値以外（又は1900/1/1以前の日付）が入力されています。","")&amp;IF(H79,"雇用形態"&amp;IF(OR(K79,L79),",",""),"")&amp;IF(K79,"性別"&amp;IF(L79,",",""),"")&amp;IF(L79,"役職","")&amp;IF(OR(H79,K79,L79),"に、［入力シート］(4)「貴社」欄と異なる文言が入力されています。","")))))</f>
        <v/>
      </c>
      <c r="G79" s="236" t="b">
        <f>COUNTIF($A$4:A78,$A79)&gt;0</f>
        <v>0</v>
      </c>
      <c r="H79" s="237" t="b">
        <f>IF(COUNTIF(入力シート!$J$16:$S$23,入力リスト!$K$4)=0,FALSE,IF(入力シート!$J$16=入力リスト!$K$5,FALSE,ISERROR(VLOOKUP(B79,入力シート!$S$37:$V$62,1,0))))</f>
        <v>0</v>
      </c>
      <c r="I79" s="237" t="b">
        <f>IF(AND(OR(入力シート!$J$18=入力リスト!$K$4,入力シート!$J$22=入力リスト!$K$4),入力シート!$J$24&lt;&gt;""),IF(ISERROR(C79+1),TRUE,IF(ISNUMBER(C79),FALSE,TRUE)),FALSE)</f>
        <v>0</v>
      </c>
      <c r="J79" s="237" t="b">
        <f>IF(AND(入力シート!$J$18=入力リスト!$K$4,入力シート!$J$22=入力リスト!$K$4),FALSE,IF(I79=TRUE,FALSE,IF(ISERROR(C79+1),FALSE,C79&gt;入力シート!$J$24)))</f>
        <v>0</v>
      </c>
      <c r="K79" s="237" t="b">
        <f>IF(COUNTIF(入力シート!$J$16:$S$23,入力リスト!$K$4)=0,FALSE,IF(AND(入力シート!$J$16&lt;&gt;入力リスト!$K$5,入力シート!$J$18&lt;&gt;入力リスト!$K$5,入力シート!$J$20&lt;&gt;入力リスト!$K$5,入力シート!$J$22&lt;&gt;入力リスト!$K$5),FALSE,ISERROR(VLOOKUP(D79,入力シート!$AW$37:$AY$38,1,0))))</f>
        <v>0</v>
      </c>
      <c r="L79" s="237" t="b">
        <f>IF(COUNTIF(入力シート!$J$16:$S$23,入力リスト!$K$4)=0,FALSE,IF(入力シート!$J$20=入力リスト!$K$5,FALSE,IF(E79="",FALSE,ISERROR(VLOOKUP(E79,入力シート!$AH$37:$AK$62,1,0)))))</f>
        <v>0</v>
      </c>
      <c r="M79" s="238" t="str">
        <f t="shared" si="1"/>
        <v/>
      </c>
      <c r="N79" s="236" t="str">
        <f>IF(B79="","",VLOOKUP('従業員情報(給与以外)'!$B79,入力シート!$S$37:$Z$62,5,0))</f>
        <v/>
      </c>
      <c r="O79" s="182" t="str">
        <f>IF(ISNUMBER(C79)=FALSE,"",IF(C79&gt;入力シート!$J$24,"",_xlfn.DAYS(入力シート!$J$24,'従業員情報(給与以外)'!$C79)/365))</f>
        <v/>
      </c>
      <c r="P79" s="237" t="str">
        <f>IF(O79="","",VLOOKUP(_xlfn.DAYS(入力シート!$J$24,'従業員情報(給与以外)'!$C79)/365,入力リスト!$H$4:$I$12,2,2))</f>
        <v/>
      </c>
      <c r="Q79" s="236" t="str">
        <f>IF(D79="","",VLOOKUP('従業員情報(給与以外)'!$D79,入力シート!$AW$37:$BB$38,4,0))</f>
        <v/>
      </c>
      <c r="R79" s="236" t="str">
        <f>IF(A79="","",IF(E79="","非役職",VLOOKUP('従業員情報(給与以外)'!$E79,入力シート!$AH$37:$AO$62,5,0)))</f>
        <v/>
      </c>
      <c r="S79" s="116" t="str">
        <f>IF(OR(入力シート!$C$5&lt;&gt;入力リスト!$N$4,COUNTIF(入力シート!$J$16:$S$23,入力リスト!$K$4)=0),"",IF($A79="","",IF(ISERROR(AVERAGEIF(従業員の給与情報!$B:$B,$A79,従業員の給与情報!$C:$C)),0,IF(ISERROR(AVERAGEIF(従業員の給与情報!$B:$B,$A79,従業員の給与情報!$C:$C)),0,AVERAGEIF(従業員の給与情報!$B:$B,$A79,従業員の給与情報!$C:$C)))))</f>
        <v/>
      </c>
      <c r="T79" s="116" t="str">
        <f>IF(OR(入力シート!$C$5&lt;&gt;入力リスト!$N$4,COUNTIF(入力シート!$J$16:$S$23,入力リスト!$K$4)=0),"",IF(A79="","",IF(ISERROR(AVERAGEIF(従業員の給与情報!$B:$B,$A79,従業員の給与情報!$D:$D)),0,IF(ISERROR(AVERAGEIF(従業員の給与情報!$B:$B,$A79,従業員の給与情報!$D:$D)),0,AVERAGEIF(従業員の給与情報!$B:$B,$A79,従業員の給与情報!$D:$D)))))</f>
        <v/>
      </c>
      <c r="U79" s="116" t="str">
        <f>IF(OR(入力シート!$C$5&lt;&gt;入力リスト!$N$4,COUNTIF(入力シート!$J$16:$S$23,入力リスト!$K$4)=0),"",IF(A79="","",IF(ISERROR(AVERAGEIF(従業員の給与情報!$B:$B,$A79,従業員の給与情報!$E:$E)),0,IF(ISERROR(AVERAGEIF(従業員の給与情報!$B:$B,$A79,従業員の給与情報!$E:$E)),0,AVERAGEIF(従業員の給与情報!$B:$B,$A79,従業員の給与情報!$E:$E)))))</f>
        <v/>
      </c>
      <c r="V79" s="117" t="str">
        <f>IF(OR(入力シート!$C$5&lt;&gt;入力リスト!$N$4,COUNTIF(入力シート!$J$16:$S$23,入力リスト!$K$4)=0),"",IF(A79="","",IF(ISERROR(AVERAGEIF(従業員の給与情報!$B:$B,$A79,従業員の給与情報!$F:$F)),0,IF(ISERROR(AVERAGEIF(従業員の給与情報!$B:$B,$A79,従業員の給与情報!$F:$F)),0,AVERAGEIF(従業員の給与情報!$B:$B,$A79,従業員の給与情報!$F:$F)))))</f>
        <v/>
      </c>
      <c r="W79" s="182"/>
      <c r="X79" s="260"/>
    </row>
    <row r="80" spans="1:24" ht="19.5">
      <c r="A80" s="367"/>
      <c r="B80" s="364"/>
      <c r="C80" s="365"/>
      <c r="D80" s="366"/>
      <c r="E80" s="367"/>
      <c r="F80" s="372" t="str">
        <f>IF(G80,"この従業員番号は、すでに他のセルで入力されています。",IF(入力シート!$C$5=入力リスト!$N$5,"",IF(AND(A80="",B80="",C80="",D80="",E80=""),"",IF(OR(A80="",B80="",C80="",D80=""),IF(A80="","従業員番号","")&amp;IF(AND(A80="",OR(B80="",C80="",D80="")),",","")&amp;IF(B80="","雇用形態","")&amp;IF(AND(B80="",OR(C80="",D80="")),",","")&amp;IF(OR(入力シート!$J$18=入力リスト!$K$4,入力シート!$J$22=入力リスト!$K$4),IF(C80="","入社年月日",""),"")&amp;IF(AND(C80="",D80=""),",","")&amp;IF(D80="","性別","")&amp;IF(IF(A80="","従業員番号","")&amp;IF(B80="","雇用形態","")&amp;IF(OR(入力シート!$J$18=入力リスト!$K$4,入力シート!$J$22=入力リスト!$K$4),IF(C80="","入社年月日",""),"")&amp;IF(D80="","性別","")="","","が空白です。"),IF(J80,"入社年月日に「基準日」の翌日以降の日付が入力されています。","")&amp;IF(I80,"入社年月日に数値以外（又は1900/1/1以前の日付）が入力されています。","")&amp;IF(H80,"雇用形態"&amp;IF(OR(K80,L80),",",""),"")&amp;IF(K80,"性別"&amp;IF(L80,",",""),"")&amp;IF(L80,"役職","")&amp;IF(OR(H80,K80,L80),"に、［入力シート］(4)「貴社」欄と異なる文言が入力されています。","")))))</f>
        <v/>
      </c>
      <c r="G80" s="236" t="b">
        <f>COUNTIF($A$4:A79,$A80)&gt;0</f>
        <v>0</v>
      </c>
      <c r="H80" s="237" t="b">
        <f>IF(COUNTIF(入力シート!$J$16:$S$23,入力リスト!$K$4)=0,FALSE,IF(入力シート!$J$16=入力リスト!$K$5,FALSE,ISERROR(VLOOKUP(B80,入力シート!$S$37:$V$62,1,0))))</f>
        <v>0</v>
      </c>
      <c r="I80" s="237" t="b">
        <f>IF(AND(OR(入力シート!$J$18=入力リスト!$K$4,入力シート!$J$22=入力リスト!$K$4),入力シート!$J$24&lt;&gt;""),IF(ISERROR(C80+1),TRUE,IF(ISNUMBER(C80),FALSE,TRUE)),FALSE)</f>
        <v>0</v>
      </c>
      <c r="J80" s="237" t="b">
        <f>IF(AND(入力シート!$J$18=入力リスト!$K$4,入力シート!$J$22=入力リスト!$K$4),FALSE,IF(I80=TRUE,FALSE,IF(ISERROR(C80+1),FALSE,C80&gt;入力シート!$J$24)))</f>
        <v>0</v>
      </c>
      <c r="K80" s="237" t="b">
        <f>IF(COUNTIF(入力シート!$J$16:$S$23,入力リスト!$K$4)=0,FALSE,IF(AND(入力シート!$J$16&lt;&gt;入力リスト!$K$5,入力シート!$J$18&lt;&gt;入力リスト!$K$5,入力シート!$J$20&lt;&gt;入力リスト!$K$5,入力シート!$J$22&lt;&gt;入力リスト!$K$5),FALSE,ISERROR(VLOOKUP(D80,入力シート!$AW$37:$AY$38,1,0))))</f>
        <v>0</v>
      </c>
      <c r="L80" s="237" t="b">
        <f>IF(COUNTIF(入力シート!$J$16:$S$23,入力リスト!$K$4)=0,FALSE,IF(入力シート!$J$20=入力リスト!$K$5,FALSE,IF(E80="",FALSE,ISERROR(VLOOKUP(E80,入力シート!$AH$37:$AK$62,1,0)))))</f>
        <v>0</v>
      </c>
      <c r="M80" s="238" t="str">
        <f t="shared" si="1"/>
        <v/>
      </c>
      <c r="N80" s="236" t="str">
        <f>IF(B80="","",VLOOKUP('従業員情報(給与以外)'!$B80,入力シート!$S$37:$Z$62,5,0))</f>
        <v/>
      </c>
      <c r="O80" s="182" t="str">
        <f>IF(ISNUMBER(C80)=FALSE,"",IF(C80&gt;入力シート!$J$24,"",_xlfn.DAYS(入力シート!$J$24,'従業員情報(給与以外)'!$C80)/365))</f>
        <v/>
      </c>
      <c r="P80" s="237" t="str">
        <f>IF(O80="","",VLOOKUP(_xlfn.DAYS(入力シート!$J$24,'従業員情報(給与以外)'!$C80)/365,入力リスト!$H$4:$I$12,2,2))</f>
        <v/>
      </c>
      <c r="Q80" s="236" t="str">
        <f>IF(D80="","",VLOOKUP('従業員情報(給与以外)'!$D80,入力シート!$AW$37:$BB$38,4,0))</f>
        <v/>
      </c>
      <c r="R80" s="236" t="str">
        <f>IF(A80="","",IF(E80="","非役職",VLOOKUP('従業員情報(給与以外)'!$E80,入力シート!$AH$37:$AO$62,5,0)))</f>
        <v/>
      </c>
      <c r="S80" s="116" t="str">
        <f>IF(OR(入力シート!$C$5&lt;&gt;入力リスト!$N$4,COUNTIF(入力シート!$J$16:$S$23,入力リスト!$K$4)=0),"",IF($A80="","",IF(ISERROR(AVERAGEIF(従業員の給与情報!$B:$B,$A80,従業員の給与情報!$C:$C)),0,IF(ISERROR(AVERAGEIF(従業員の給与情報!$B:$B,$A80,従業員の給与情報!$C:$C)),0,AVERAGEIF(従業員の給与情報!$B:$B,$A80,従業員の給与情報!$C:$C)))))</f>
        <v/>
      </c>
      <c r="T80" s="116" t="str">
        <f>IF(OR(入力シート!$C$5&lt;&gt;入力リスト!$N$4,COUNTIF(入力シート!$J$16:$S$23,入力リスト!$K$4)=0),"",IF(A80="","",IF(ISERROR(AVERAGEIF(従業員の給与情報!$B:$B,$A80,従業員の給与情報!$D:$D)),0,IF(ISERROR(AVERAGEIF(従業員の給与情報!$B:$B,$A80,従業員の給与情報!$D:$D)),0,AVERAGEIF(従業員の給与情報!$B:$B,$A80,従業員の給与情報!$D:$D)))))</f>
        <v/>
      </c>
      <c r="U80" s="116" t="str">
        <f>IF(OR(入力シート!$C$5&lt;&gt;入力リスト!$N$4,COUNTIF(入力シート!$J$16:$S$23,入力リスト!$K$4)=0),"",IF(A80="","",IF(ISERROR(AVERAGEIF(従業員の給与情報!$B:$B,$A80,従業員の給与情報!$E:$E)),0,IF(ISERROR(AVERAGEIF(従業員の給与情報!$B:$B,$A80,従業員の給与情報!$E:$E)),0,AVERAGEIF(従業員の給与情報!$B:$B,$A80,従業員の給与情報!$E:$E)))))</f>
        <v/>
      </c>
      <c r="V80" s="117" t="str">
        <f>IF(OR(入力シート!$C$5&lt;&gt;入力リスト!$N$4,COUNTIF(入力シート!$J$16:$S$23,入力リスト!$K$4)=0),"",IF(A80="","",IF(ISERROR(AVERAGEIF(従業員の給与情報!$B:$B,$A80,従業員の給与情報!$F:$F)),0,IF(ISERROR(AVERAGEIF(従業員の給与情報!$B:$B,$A80,従業員の給与情報!$F:$F)),0,AVERAGEIF(従業員の給与情報!$B:$B,$A80,従業員の給与情報!$F:$F)))))</f>
        <v/>
      </c>
      <c r="W80" s="182"/>
      <c r="X80" s="260"/>
    </row>
    <row r="81" spans="1:24" ht="19.5">
      <c r="A81" s="367"/>
      <c r="B81" s="364"/>
      <c r="C81" s="365"/>
      <c r="D81" s="366"/>
      <c r="E81" s="364"/>
      <c r="F81" s="372" t="str">
        <f>IF(G81,"この従業員番号は、すでに他のセルで入力されています。",IF(入力シート!$C$5=入力リスト!$N$5,"",IF(AND(A81="",B81="",C81="",D81="",E81=""),"",IF(OR(A81="",B81="",C81="",D81=""),IF(A81="","従業員番号","")&amp;IF(AND(A81="",OR(B81="",C81="",D81="")),",","")&amp;IF(B81="","雇用形態","")&amp;IF(AND(B81="",OR(C81="",D81="")),",","")&amp;IF(OR(入力シート!$J$18=入力リスト!$K$4,入力シート!$J$22=入力リスト!$K$4),IF(C81="","入社年月日",""),"")&amp;IF(AND(C81="",D81=""),",","")&amp;IF(D81="","性別","")&amp;IF(IF(A81="","従業員番号","")&amp;IF(B81="","雇用形態","")&amp;IF(OR(入力シート!$J$18=入力リスト!$K$4,入力シート!$J$22=入力リスト!$K$4),IF(C81="","入社年月日",""),"")&amp;IF(D81="","性別","")="","","が空白です。"),IF(J81,"入社年月日に「基準日」の翌日以降の日付が入力されています。","")&amp;IF(I81,"入社年月日に数値以外（又は1900/1/1以前の日付）が入力されています。","")&amp;IF(H81,"雇用形態"&amp;IF(OR(K81,L81),",",""),"")&amp;IF(K81,"性別"&amp;IF(L81,",",""),"")&amp;IF(L81,"役職","")&amp;IF(OR(H81,K81,L81),"に、［入力シート］(4)「貴社」欄と異なる文言が入力されています。","")))))</f>
        <v/>
      </c>
      <c r="G81" s="236" t="b">
        <f>COUNTIF($A$4:A80,$A81)&gt;0</f>
        <v>0</v>
      </c>
      <c r="H81" s="237" t="b">
        <f>IF(COUNTIF(入力シート!$J$16:$S$23,入力リスト!$K$4)=0,FALSE,IF(入力シート!$J$16=入力リスト!$K$5,FALSE,ISERROR(VLOOKUP(B81,入力シート!$S$37:$V$62,1,0))))</f>
        <v>0</v>
      </c>
      <c r="I81" s="237" t="b">
        <f>IF(AND(OR(入力シート!$J$18=入力リスト!$K$4,入力シート!$J$22=入力リスト!$K$4),入力シート!$J$24&lt;&gt;""),IF(ISERROR(C81+1),TRUE,IF(ISNUMBER(C81),FALSE,TRUE)),FALSE)</f>
        <v>0</v>
      </c>
      <c r="J81" s="237" t="b">
        <f>IF(AND(入力シート!$J$18=入力リスト!$K$4,入力シート!$J$22=入力リスト!$K$4),FALSE,IF(I81=TRUE,FALSE,IF(ISERROR(C81+1),FALSE,C81&gt;入力シート!$J$24)))</f>
        <v>0</v>
      </c>
      <c r="K81" s="237" t="b">
        <f>IF(COUNTIF(入力シート!$J$16:$S$23,入力リスト!$K$4)=0,FALSE,IF(AND(入力シート!$J$16&lt;&gt;入力リスト!$K$5,入力シート!$J$18&lt;&gt;入力リスト!$K$5,入力シート!$J$20&lt;&gt;入力リスト!$K$5,入力シート!$J$22&lt;&gt;入力リスト!$K$5),FALSE,ISERROR(VLOOKUP(D81,入力シート!$AW$37:$AY$38,1,0))))</f>
        <v>0</v>
      </c>
      <c r="L81" s="237" t="b">
        <f>IF(COUNTIF(入力シート!$J$16:$S$23,入力リスト!$K$4)=0,FALSE,IF(入力シート!$J$20=入力リスト!$K$5,FALSE,IF(E81="",FALSE,ISERROR(VLOOKUP(E81,入力シート!$AH$37:$AK$62,1,0)))))</f>
        <v>0</v>
      </c>
      <c r="M81" s="238" t="str">
        <f t="shared" si="1"/>
        <v/>
      </c>
      <c r="N81" s="236" t="str">
        <f>IF(B81="","",VLOOKUP('従業員情報(給与以外)'!$B81,入力シート!$S$37:$Z$62,5,0))</f>
        <v/>
      </c>
      <c r="O81" s="182" t="str">
        <f>IF(ISNUMBER(C81)=FALSE,"",IF(C81&gt;入力シート!$J$24,"",_xlfn.DAYS(入力シート!$J$24,'従業員情報(給与以外)'!$C81)/365))</f>
        <v/>
      </c>
      <c r="P81" s="237" t="str">
        <f>IF(O81="","",VLOOKUP(_xlfn.DAYS(入力シート!$J$24,'従業員情報(給与以外)'!$C81)/365,入力リスト!$H$4:$I$12,2,2))</f>
        <v/>
      </c>
      <c r="Q81" s="236" t="str">
        <f>IF(D81="","",VLOOKUP('従業員情報(給与以外)'!$D81,入力シート!$AW$37:$BB$38,4,0))</f>
        <v/>
      </c>
      <c r="R81" s="236" t="str">
        <f>IF(A81="","",IF(E81="","非役職",VLOOKUP('従業員情報(給与以外)'!$E81,入力シート!$AH$37:$AO$62,5,0)))</f>
        <v/>
      </c>
      <c r="S81" s="116" t="str">
        <f>IF(OR(入力シート!$C$5&lt;&gt;入力リスト!$N$4,COUNTIF(入力シート!$J$16:$S$23,入力リスト!$K$4)=0),"",IF($A81="","",IF(ISERROR(AVERAGEIF(従業員の給与情報!$B:$B,$A81,従業員の給与情報!$C:$C)),0,IF(ISERROR(AVERAGEIF(従業員の給与情報!$B:$B,$A81,従業員の給与情報!$C:$C)),0,AVERAGEIF(従業員の給与情報!$B:$B,$A81,従業員の給与情報!$C:$C)))))</f>
        <v/>
      </c>
      <c r="T81" s="116" t="str">
        <f>IF(OR(入力シート!$C$5&lt;&gt;入力リスト!$N$4,COUNTIF(入力シート!$J$16:$S$23,入力リスト!$K$4)=0),"",IF(A81="","",IF(ISERROR(AVERAGEIF(従業員の給与情報!$B:$B,$A81,従業員の給与情報!$D:$D)),0,IF(ISERROR(AVERAGEIF(従業員の給与情報!$B:$B,$A81,従業員の給与情報!$D:$D)),0,AVERAGEIF(従業員の給与情報!$B:$B,$A81,従業員の給与情報!$D:$D)))))</f>
        <v/>
      </c>
      <c r="U81" s="116" t="str">
        <f>IF(OR(入力シート!$C$5&lt;&gt;入力リスト!$N$4,COUNTIF(入力シート!$J$16:$S$23,入力リスト!$K$4)=0),"",IF(A81="","",IF(ISERROR(AVERAGEIF(従業員の給与情報!$B:$B,$A81,従業員の給与情報!$E:$E)),0,IF(ISERROR(AVERAGEIF(従業員の給与情報!$B:$B,$A81,従業員の給与情報!$E:$E)),0,AVERAGEIF(従業員の給与情報!$B:$B,$A81,従業員の給与情報!$E:$E)))))</f>
        <v/>
      </c>
      <c r="V81" s="117" t="str">
        <f>IF(OR(入力シート!$C$5&lt;&gt;入力リスト!$N$4,COUNTIF(入力シート!$J$16:$S$23,入力リスト!$K$4)=0),"",IF(A81="","",IF(ISERROR(AVERAGEIF(従業員の給与情報!$B:$B,$A81,従業員の給与情報!$F:$F)),0,IF(ISERROR(AVERAGEIF(従業員の給与情報!$B:$B,$A81,従業員の給与情報!$F:$F)),0,AVERAGEIF(従業員の給与情報!$B:$B,$A81,従業員の給与情報!$F:$F)))))</f>
        <v/>
      </c>
      <c r="W81" s="182"/>
      <c r="X81" s="260"/>
    </row>
    <row r="82" spans="1:24" ht="19.5">
      <c r="A82" s="367"/>
      <c r="B82" s="364"/>
      <c r="C82" s="365"/>
      <c r="D82" s="366"/>
      <c r="E82" s="367"/>
      <c r="F82" s="372" t="str">
        <f>IF(G82,"この従業員番号は、すでに他のセルで入力されています。",IF(入力シート!$C$5=入力リスト!$N$5,"",IF(AND(A82="",B82="",C82="",D82="",E82=""),"",IF(OR(A82="",B82="",C82="",D82=""),IF(A82="","従業員番号","")&amp;IF(AND(A82="",OR(B82="",C82="",D82="")),",","")&amp;IF(B82="","雇用形態","")&amp;IF(AND(B82="",OR(C82="",D82="")),",","")&amp;IF(OR(入力シート!$J$18=入力リスト!$K$4,入力シート!$J$22=入力リスト!$K$4),IF(C82="","入社年月日",""),"")&amp;IF(AND(C82="",D82=""),",","")&amp;IF(D82="","性別","")&amp;IF(IF(A82="","従業員番号","")&amp;IF(B82="","雇用形態","")&amp;IF(OR(入力シート!$J$18=入力リスト!$K$4,入力シート!$J$22=入力リスト!$K$4),IF(C82="","入社年月日",""),"")&amp;IF(D82="","性別","")="","","が空白です。"),IF(J82,"入社年月日に「基準日」の翌日以降の日付が入力されています。","")&amp;IF(I82,"入社年月日に数値以外（又は1900/1/1以前の日付）が入力されています。","")&amp;IF(H82,"雇用形態"&amp;IF(OR(K82,L82),",",""),"")&amp;IF(K82,"性別"&amp;IF(L82,",",""),"")&amp;IF(L82,"役職","")&amp;IF(OR(H82,K82,L82),"に、［入力シート］(4)「貴社」欄と異なる文言が入力されています。","")))))</f>
        <v/>
      </c>
      <c r="G82" s="236" t="b">
        <f>COUNTIF($A$4:A81,$A82)&gt;0</f>
        <v>0</v>
      </c>
      <c r="H82" s="237" t="b">
        <f>IF(COUNTIF(入力シート!$J$16:$S$23,入力リスト!$K$4)=0,FALSE,IF(入力シート!$J$16=入力リスト!$K$5,FALSE,ISERROR(VLOOKUP(B82,入力シート!$S$37:$V$62,1,0))))</f>
        <v>0</v>
      </c>
      <c r="I82" s="237" t="b">
        <f>IF(AND(OR(入力シート!$J$18=入力リスト!$K$4,入力シート!$J$22=入力リスト!$K$4),入力シート!$J$24&lt;&gt;""),IF(ISERROR(C82+1),TRUE,IF(ISNUMBER(C82),FALSE,TRUE)),FALSE)</f>
        <v>0</v>
      </c>
      <c r="J82" s="237" t="b">
        <f>IF(AND(入力シート!$J$18=入力リスト!$K$4,入力シート!$J$22=入力リスト!$K$4),FALSE,IF(I82=TRUE,FALSE,IF(ISERROR(C82+1),FALSE,C82&gt;入力シート!$J$24)))</f>
        <v>0</v>
      </c>
      <c r="K82" s="237" t="b">
        <f>IF(COUNTIF(入力シート!$J$16:$S$23,入力リスト!$K$4)=0,FALSE,IF(AND(入力シート!$J$16&lt;&gt;入力リスト!$K$5,入力シート!$J$18&lt;&gt;入力リスト!$K$5,入力シート!$J$20&lt;&gt;入力リスト!$K$5,入力シート!$J$22&lt;&gt;入力リスト!$K$5),FALSE,ISERROR(VLOOKUP(D82,入力シート!$AW$37:$AY$38,1,0))))</f>
        <v>0</v>
      </c>
      <c r="L82" s="237" t="b">
        <f>IF(COUNTIF(入力シート!$J$16:$S$23,入力リスト!$K$4)=0,FALSE,IF(入力シート!$J$20=入力リスト!$K$5,FALSE,IF(E82="",FALSE,ISERROR(VLOOKUP(E82,入力シート!$AH$37:$AK$62,1,0)))))</f>
        <v>0</v>
      </c>
      <c r="M82" s="238" t="str">
        <f t="shared" si="1"/>
        <v/>
      </c>
      <c r="N82" s="236" t="str">
        <f>IF(B82="","",VLOOKUP('従業員情報(給与以外)'!$B82,入力シート!$S$37:$Z$62,5,0))</f>
        <v/>
      </c>
      <c r="O82" s="182" t="str">
        <f>IF(ISNUMBER(C82)=FALSE,"",IF(C82&gt;入力シート!$J$24,"",_xlfn.DAYS(入力シート!$J$24,'従業員情報(給与以外)'!$C82)/365))</f>
        <v/>
      </c>
      <c r="P82" s="237" t="str">
        <f>IF(O82="","",VLOOKUP(_xlfn.DAYS(入力シート!$J$24,'従業員情報(給与以外)'!$C82)/365,入力リスト!$H$4:$I$12,2,2))</f>
        <v/>
      </c>
      <c r="Q82" s="236" t="str">
        <f>IF(D82="","",VLOOKUP('従業員情報(給与以外)'!$D82,入力シート!$AW$37:$BB$38,4,0))</f>
        <v/>
      </c>
      <c r="R82" s="236" t="str">
        <f>IF(A82="","",IF(E82="","非役職",VLOOKUP('従業員情報(給与以外)'!$E82,入力シート!$AH$37:$AO$62,5,0)))</f>
        <v/>
      </c>
      <c r="S82" s="116" t="str">
        <f>IF(OR(入力シート!$C$5&lt;&gt;入力リスト!$N$4,COUNTIF(入力シート!$J$16:$S$23,入力リスト!$K$4)=0),"",IF($A82="","",IF(ISERROR(AVERAGEIF(従業員の給与情報!$B:$B,$A82,従業員の給与情報!$C:$C)),0,IF(ISERROR(AVERAGEIF(従業員の給与情報!$B:$B,$A82,従業員の給与情報!$C:$C)),0,AVERAGEIF(従業員の給与情報!$B:$B,$A82,従業員の給与情報!$C:$C)))))</f>
        <v/>
      </c>
      <c r="T82" s="116" t="str">
        <f>IF(OR(入力シート!$C$5&lt;&gt;入力リスト!$N$4,COUNTIF(入力シート!$J$16:$S$23,入力リスト!$K$4)=0),"",IF(A82="","",IF(ISERROR(AVERAGEIF(従業員の給与情報!$B:$B,$A82,従業員の給与情報!$D:$D)),0,IF(ISERROR(AVERAGEIF(従業員の給与情報!$B:$B,$A82,従業員の給与情報!$D:$D)),0,AVERAGEIF(従業員の給与情報!$B:$B,$A82,従業員の給与情報!$D:$D)))))</f>
        <v/>
      </c>
      <c r="U82" s="116" t="str">
        <f>IF(OR(入力シート!$C$5&lt;&gt;入力リスト!$N$4,COUNTIF(入力シート!$J$16:$S$23,入力リスト!$K$4)=0),"",IF(A82="","",IF(ISERROR(AVERAGEIF(従業員の給与情報!$B:$B,$A82,従業員の給与情報!$E:$E)),0,IF(ISERROR(AVERAGEIF(従業員の給与情報!$B:$B,$A82,従業員の給与情報!$E:$E)),0,AVERAGEIF(従業員の給与情報!$B:$B,$A82,従業員の給与情報!$E:$E)))))</f>
        <v/>
      </c>
      <c r="V82" s="117" t="str">
        <f>IF(OR(入力シート!$C$5&lt;&gt;入力リスト!$N$4,COUNTIF(入力シート!$J$16:$S$23,入力リスト!$K$4)=0),"",IF(A82="","",IF(ISERROR(AVERAGEIF(従業員の給与情報!$B:$B,$A82,従業員の給与情報!$F:$F)),0,IF(ISERROR(AVERAGEIF(従業員の給与情報!$B:$B,$A82,従業員の給与情報!$F:$F)),0,AVERAGEIF(従業員の給与情報!$B:$B,$A82,従業員の給与情報!$F:$F)))))</f>
        <v/>
      </c>
      <c r="W82" s="182"/>
      <c r="X82" s="260"/>
    </row>
    <row r="83" spans="1:24" ht="19.5">
      <c r="A83" s="367"/>
      <c r="B83" s="364"/>
      <c r="C83" s="365"/>
      <c r="D83" s="366"/>
      <c r="E83" s="367"/>
      <c r="F83" s="372" t="str">
        <f>IF(G83,"この従業員番号は、すでに他のセルで入力されています。",IF(入力シート!$C$5=入力リスト!$N$5,"",IF(AND(A83="",B83="",C83="",D83="",E83=""),"",IF(OR(A83="",B83="",C83="",D83=""),IF(A83="","従業員番号","")&amp;IF(AND(A83="",OR(B83="",C83="",D83="")),",","")&amp;IF(B83="","雇用形態","")&amp;IF(AND(B83="",OR(C83="",D83="")),",","")&amp;IF(OR(入力シート!$J$18=入力リスト!$K$4,入力シート!$J$22=入力リスト!$K$4),IF(C83="","入社年月日",""),"")&amp;IF(AND(C83="",D83=""),",","")&amp;IF(D83="","性別","")&amp;IF(IF(A83="","従業員番号","")&amp;IF(B83="","雇用形態","")&amp;IF(OR(入力シート!$J$18=入力リスト!$K$4,入力シート!$J$22=入力リスト!$K$4),IF(C83="","入社年月日",""),"")&amp;IF(D83="","性別","")="","","が空白です。"),IF(J83,"入社年月日に「基準日」の翌日以降の日付が入力されています。","")&amp;IF(I83,"入社年月日に数値以外（又は1900/1/1以前の日付）が入力されています。","")&amp;IF(H83,"雇用形態"&amp;IF(OR(K83,L83),",",""),"")&amp;IF(K83,"性別"&amp;IF(L83,",",""),"")&amp;IF(L83,"役職","")&amp;IF(OR(H83,K83,L83),"に、［入力シート］(4)「貴社」欄と異なる文言が入力されています。","")))))</f>
        <v/>
      </c>
      <c r="G83" s="236" t="b">
        <f>COUNTIF($A$4:A82,$A83)&gt;0</f>
        <v>0</v>
      </c>
      <c r="H83" s="237" t="b">
        <f>IF(COUNTIF(入力シート!$J$16:$S$23,入力リスト!$K$4)=0,FALSE,IF(入力シート!$J$16=入力リスト!$K$5,FALSE,ISERROR(VLOOKUP(B83,入力シート!$S$37:$V$62,1,0))))</f>
        <v>0</v>
      </c>
      <c r="I83" s="237" t="b">
        <f>IF(AND(OR(入力シート!$J$18=入力リスト!$K$4,入力シート!$J$22=入力リスト!$K$4),入力シート!$J$24&lt;&gt;""),IF(ISERROR(C83+1),TRUE,IF(ISNUMBER(C83),FALSE,TRUE)),FALSE)</f>
        <v>0</v>
      </c>
      <c r="J83" s="237" t="b">
        <f>IF(AND(入力シート!$J$18=入力リスト!$K$4,入力シート!$J$22=入力リスト!$K$4),FALSE,IF(I83=TRUE,FALSE,IF(ISERROR(C83+1),FALSE,C83&gt;入力シート!$J$24)))</f>
        <v>0</v>
      </c>
      <c r="K83" s="237" t="b">
        <f>IF(COUNTIF(入力シート!$J$16:$S$23,入力リスト!$K$4)=0,FALSE,IF(AND(入力シート!$J$16&lt;&gt;入力リスト!$K$5,入力シート!$J$18&lt;&gt;入力リスト!$K$5,入力シート!$J$20&lt;&gt;入力リスト!$K$5,入力シート!$J$22&lt;&gt;入力リスト!$K$5),FALSE,ISERROR(VLOOKUP(D83,入力シート!$AW$37:$AY$38,1,0))))</f>
        <v>0</v>
      </c>
      <c r="L83" s="237" t="b">
        <f>IF(COUNTIF(入力シート!$J$16:$S$23,入力リスト!$K$4)=0,FALSE,IF(入力シート!$J$20=入力リスト!$K$5,FALSE,IF(E83="",FALSE,ISERROR(VLOOKUP(E83,入力シート!$AH$37:$AK$62,1,0)))))</f>
        <v>0</v>
      </c>
      <c r="M83" s="238" t="str">
        <f t="shared" si="1"/>
        <v/>
      </c>
      <c r="N83" s="236" t="str">
        <f>IF(B83="","",VLOOKUP('従業員情報(給与以外)'!$B83,入力シート!$S$37:$Z$62,5,0))</f>
        <v/>
      </c>
      <c r="O83" s="182" t="str">
        <f>IF(ISNUMBER(C83)=FALSE,"",IF(C83&gt;入力シート!$J$24,"",_xlfn.DAYS(入力シート!$J$24,'従業員情報(給与以外)'!$C83)/365))</f>
        <v/>
      </c>
      <c r="P83" s="237" t="str">
        <f>IF(O83="","",VLOOKUP(_xlfn.DAYS(入力シート!$J$24,'従業員情報(給与以外)'!$C83)/365,入力リスト!$H$4:$I$12,2,2))</f>
        <v/>
      </c>
      <c r="Q83" s="236" t="str">
        <f>IF(D83="","",VLOOKUP('従業員情報(給与以外)'!$D83,入力シート!$AW$37:$BB$38,4,0))</f>
        <v/>
      </c>
      <c r="R83" s="236" t="str">
        <f>IF(A83="","",IF(E83="","非役職",VLOOKUP('従業員情報(給与以外)'!$E83,入力シート!$AH$37:$AO$62,5,0)))</f>
        <v/>
      </c>
      <c r="S83" s="116" t="str">
        <f>IF(OR(入力シート!$C$5&lt;&gt;入力リスト!$N$4,COUNTIF(入力シート!$J$16:$S$23,入力リスト!$K$4)=0),"",IF($A83="","",IF(ISERROR(AVERAGEIF(従業員の給与情報!$B:$B,$A83,従業員の給与情報!$C:$C)),0,IF(ISERROR(AVERAGEIF(従業員の給与情報!$B:$B,$A83,従業員の給与情報!$C:$C)),0,AVERAGEIF(従業員の給与情報!$B:$B,$A83,従業員の給与情報!$C:$C)))))</f>
        <v/>
      </c>
      <c r="T83" s="116" t="str">
        <f>IF(OR(入力シート!$C$5&lt;&gt;入力リスト!$N$4,COUNTIF(入力シート!$J$16:$S$23,入力リスト!$K$4)=0),"",IF(A83="","",IF(ISERROR(AVERAGEIF(従業員の給与情報!$B:$B,$A83,従業員の給与情報!$D:$D)),0,IF(ISERROR(AVERAGEIF(従業員の給与情報!$B:$B,$A83,従業員の給与情報!$D:$D)),0,AVERAGEIF(従業員の給与情報!$B:$B,$A83,従業員の給与情報!$D:$D)))))</f>
        <v/>
      </c>
      <c r="U83" s="116" t="str">
        <f>IF(OR(入力シート!$C$5&lt;&gt;入力リスト!$N$4,COUNTIF(入力シート!$J$16:$S$23,入力リスト!$K$4)=0),"",IF(A83="","",IF(ISERROR(AVERAGEIF(従業員の給与情報!$B:$B,$A83,従業員の給与情報!$E:$E)),0,IF(ISERROR(AVERAGEIF(従業員の給与情報!$B:$B,$A83,従業員の給与情報!$E:$E)),0,AVERAGEIF(従業員の給与情報!$B:$B,$A83,従業員の給与情報!$E:$E)))))</f>
        <v/>
      </c>
      <c r="V83" s="117" t="str">
        <f>IF(OR(入力シート!$C$5&lt;&gt;入力リスト!$N$4,COUNTIF(入力シート!$J$16:$S$23,入力リスト!$K$4)=0),"",IF(A83="","",IF(ISERROR(AVERAGEIF(従業員の給与情報!$B:$B,$A83,従業員の給与情報!$F:$F)),0,IF(ISERROR(AVERAGEIF(従業員の給与情報!$B:$B,$A83,従業員の給与情報!$F:$F)),0,AVERAGEIF(従業員の給与情報!$B:$B,$A83,従業員の給与情報!$F:$F)))))</f>
        <v/>
      </c>
      <c r="W83" s="182"/>
      <c r="X83" s="260"/>
    </row>
    <row r="84" spans="1:24" ht="19.5">
      <c r="A84" s="367"/>
      <c r="B84" s="364"/>
      <c r="C84" s="365"/>
      <c r="D84" s="366"/>
      <c r="E84" s="367"/>
      <c r="F84" s="372" t="str">
        <f>IF(G84,"この従業員番号は、すでに他のセルで入力されています。",IF(入力シート!$C$5=入力リスト!$N$5,"",IF(AND(A84="",B84="",C84="",D84="",E84=""),"",IF(OR(A84="",B84="",C84="",D84=""),IF(A84="","従業員番号","")&amp;IF(AND(A84="",OR(B84="",C84="",D84="")),",","")&amp;IF(B84="","雇用形態","")&amp;IF(AND(B84="",OR(C84="",D84="")),",","")&amp;IF(OR(入力シート!$J$18=入力リスト!$K$4,入力シート!$J$22=入力リスト!$K$4),IF(C84="","入社年月日",""),"")&amp;IF(AND(C84="",D84=""),",","")&amp;IF(D84="","性別","")&amp;IF(IF(A84="","従業員番号","")&amp;IF(B84="","雇用形態","")&amp;IF(OR(入力シート!$J$18=入力リスト!$K$4,入力シート!$J$22=入力リスト!$K$4),IF(C84="","入社年月日",""),"")&amp;IF(D84="","性別","")="","","が空白です。"),IF(J84,"入社年月日に「基準日」の翌日以降の日付が入力されています。","")&amp;IF(I84,"入社年月日に数値以外（又は1900/1/1以前の日付）が入力されています。","")&amp;IF(H84,"雇用形態"&amp;IF(OR(K84,L84),",",""),"")&amp;IF(K84,"性別"&amp;IF(L84,",",""),"")&amp;IF(L84,"役職","")&amp;IF(OR(H84,K84,L84),"に、［入力シート］(4)「貴社」欄と異なる文言が入力されています。","")))))</f>
        <v/>
      </c>
      <c r="G84" s="236" t="b">
        <f>COUNTIF($A$4:A83,$A84)&gt;0</f>
        <v>0</v>
      </c>
      <c r="H84" s="237" t="b">
        <f>IF(COUNTIF(入力シート!$J$16:$S$23,入力リスト!$K$4)=0,FALSE,IF(入力シート!$J$16=入力リスト!$K$5,FALSE,ISERROR(VLOOKUP(B84,入力シート!$S$37:$V$62,1,0))))</f>
        <v>0</v>
      </c>
      <c r="I84" s="237" t="b">
        <f>IF(AND(OR(入力シート!$J$18=入力リスト!$K$4,入力シート!$J$22=入力リスト!$K$4),入力シート!$J$24&lt;&gt;""),IF(ISERROR(C84+1),TRUE,IF(ISNUMBER(C84),FALSE,TRUE)),FALSE)</f>
        <v>0</v>
      </c>
      <c r="J84" s="237" t="b">
        <f>IF(AND(入力シート!$J$18=入力リスト!$K$4,入力シート!$J$22=入力リスト!$K$4),FALSE,IF(I84=TRUE,FALSE,IF(ISERROR(C84+1),FALSE,C84&gt;入力シート!$J$24)))</f>
        <v>0</v>
      </c>
      <c r="K84" s="237" t="b">
        <f>IF(COUNTIF(入力シート!$J$16:$S$23,入力リスト!$K$4)=0,FALSE,IF(AND(入力シート!$J$16&lt;&gt;入力リスト!$K$5,入力シート!$J$18&lt;&gt;入力リスト!$K$5,入力シート!$J$20&lt;&gt;入力リスト!$K$5,入力シート!$J$22&lt;&gt;入力リスト!$K$5),FALSE,ISERROR(VLOOKUP(D84,入力シート!$AW$37:$AY$38,1,0))))</f>
        <v>0</v>
      </c>
      <c r="L84" s="237" t="b">
        <f>IF(COUNTIF(入力シート!$J$16:$S$23,入力リスト!$K$4)=0,FALSE,IF(入力シート!$J$20=入力リスト!$K$5,FALSE,IF(E84="",FALSE,ISERROR(VLOOKUP(E84,入力シート!$AH$37:$AK$62,1,0)))))</f>
        <v>0</v>
      </c>
      <c r="M84" s="238" t="str">
        <f t="shared" si="1"/>
        <v/>
      </c>
      <c r="N84" s="236" t="str">
        <f>IF(B84="","",VLOOKUP('従業員情報(給与以外)'!$B84,入力シート!$S$37:$Z$62,5,0))</f>
        <v/>
      </c>
      <c r="O84" s="182" t="str">
        <f>IF(ISNUMBER(C84)=FALSE,"",IF(C84&gt;入力シート!$J$24,"",_xlfn.DAYS(入力シート!$J$24,'従業員情報(給与以外)'!$C84)/365))</f>
        <v/>
      </c>
      <c r="P84" s="237" t="str">
        <f>IF(O84="","",VLOOKUP(_xlfn.DAYS(入力シート!$J$24,'従業員情報(給与以外)'!$C84)/365,入力リスト!$H$4:$I$12,2,2))</f>
        <v/>
      </c>
      <c r="Q84" s="236" t="str">
        <f>IF(D84="","",VLOOKUP('従業員情報(給与以外)'!$D84,入力シート!$AW$37:$BB$38,4,0))</f>
        <v/>
      </c>
      <c r="R84" s="236" t="str">
        <f>IF(A84="","",IF(E84="","非役職",VLOOKUP('従業員情報(給与以外)'!$E84,入力シート!$AH$37:$AO$62,5,0)))</f>
        <v/>
      </c>
      <c r="S84" s="116" t="str">
        <f>IF(OR(入力シート!$C$5&lt;&gt;入力リスト!$N$4,COUNTIF(入力シート!$J$16:$S$23,入力リスト!$K$4)=0),"",IF($A84="","",IF(ISERROR(AVERAGEIF(従業員の給与情報!$B:$B,$A84,従業員の給与情報!$C:$C)),0,IF(ISERROR(AVERAGEIF(従業員の給与情報!$B:$B,$A84,従業員の給与情報!$C:$C)),0,AVERAGEIF(従業員の給与情報!$B:$B,$A84,従業員の給与情報!$C:$C)))))</f>
        <v/>
      </c>
      <c r="T84" s="116" t="str">
        <f>IF(OR(入力シート!$C$5&lt;&gt;入力リスト!$N$4,COUNTIF(入力シート!$J$16:$S$23,入力リスト!$K$4)=0),"",IF(A84="","",IF(ISERROR(AVERAGEIF(従業員の給与情報!$B:$B,$A84,従業員の給与情報!$D:$D)),0,IF(ISERROR(AVERAGEIF(従業員の給与情報!$B:$B,$A84,従業員の給与情報!$D:$D)),0,AVERAGEIF(従業員の給与情報!$B:$B,$A84,従業員の給与情報!$D:$D)))))</f>
        <v/>
      </c>
      <c r="U84" s="116" t="str">
        <f>IF(OR(入力シート!$C$5&lt;&gt;入力リスト!$N$4,COUNTIF(入力シート!$J$16:$S$23,入力リスト!$K$4)=0),"",IF(A84="","",IF(ISERROR(AVERAGEIF(従業員の給与情報!$B:$B,$A84,従業員の給与情報!$E:$E)),0,IF(ISERROR(AVERAGEIF(従業員の給与情報!$B:$B,$A84,従業員の給与情報!$E:$E)),0,AVERAGEIF(従業員の給与情報!$B:$B,$A84,従業員の給与情報!$E:$E)))))</f>
        <v/>
      </c>
      <c r="V84" s="117" t="str">
        <f>IF(OR(入力シート!$C$5&lt;&gt;入力リスト!$N$4,COUNTIF(入力シート!$J$16:$S$23,入力リスト!$K$4)=0),"",IF(A84="","",IF(ISERROR(AVERAGEIF(従業員の給与情報!$B:$B,$A84,従業員の給与情報!$F:$F)),0,IF(ISERROR(AVERAGEIF(従業員の給与情報!$B:$B,$A84,従業員の給与情報!$F:$F)),0,AVERAGEIF(従業員の給与情報!$B:$B,$A84,従業員の給与情報!$F:$F)))))</f>
        <v/>
      </c>
      <c r="W84" s="182"/>
      <c r="X84" s="260"/>
    </row>
    <row r="85" spans="1:24" ht="19.5">
      <c r="A85" s="367"/>
      <c r="B85" s="364"/>
      <c r="C85" s="365"/>
      <c r="D85" s="366"/>
      <c r="E85" s="367"/>
      <c r="F85" s="372" t="str">
        <f>IF(G85,"この従業員番号は、すでに他のセルで入力されています。",IF(入力シート!$C$5=入力リスト!$N$5,"",IF(AND(A85="",B85="",C85="",D85="",E85=""),"",IF(OR(A85="",B85="",C85="",D85=""),IF(A85="","従業員番号","")&amp;IF(AND(A85="",OR(B85="",C85="",D85="")),",","")&amp;IF(B85="","雇用形態","")&amp;IF(AND(B85="",OR(C85="",D85="")),",","")&amp;IF(OR(入力シート!$J$18=入力リスト!$K$4,入力シート!$J$22=入力リスト!$K$4),IF(C85="","入社年月日",""),"")&amp;IF(AND(C85="",D85=""),",","")&amp;IF(D85="","性別","")&amp;IF(IF(A85="","従業員番号","")&amp;IF(B85="","雇用形態","")&amp;IF(OR(入力シート!$J$18=入力リスト!$K$4,入力シート!$J$22=入力リスト!$K$4),IF(C85="","入社年月日",""),"")&amp;IF(D85="","性別","")="","","が空白です。"),IF(J85,"入社年月日に「基準日」の翌日以降の日付が入力されています。","")&amp;IF(I85,"入社年月日に数値以外（又は1900/1/1以前の日付）が入力されています。","")&amp;IF(H85,"雇用形態"&amp;IF(OR(K85,L85),",",""),"")&amp;IF(K85,"性別"&amp;IF(L85,",",""),"")&amp;IF(L85,"役職","")&amp;IF(OR(H85,K85,L85),"に、［入力シート］(4)「貴社」欄と異なる文言が入力されています。","")))))</f>
        <v/>
      </c>
      <c r="G85" s="236" t="b">
        <f>COUNTIF($A$4:A84,$A85)&gt;0</f>
        <v>0</v>
      </c>
      <c r="H85" s="237" t="b">
        <f>IF(COUNTIF(入力シート!$J$16:$S$23,入力リスト!$K$4)=0,FALSE,IF(入力シート!$J$16=入力リスト!$K$5,FALSE,ISERROR(VLOOKUP(B85,入力シート!$S$37:$V$62,1,0))))</f>
        <v>0</v>
      </c>
      <c r="I85" s="237" t="b">
        <f>IF(AND(OR(入力シート!$J$18=入力リスト!$K$4,入力シート!$J$22=入力リスト!$K$4),入力シート!$J$24&lt;&gt;""),IF(ISERROR(C85+1),TRUE,IF(ISNUMBER(C85),FALSE,TRUE)),FALSE)</f>
        <v>0</v>
      </c>
      <c r="J85" s="237" t="b">
        <f>IF(AND(入力シート!$J$18=入力リスト!$K$4,入力シート!$J$22=入力リスト!$K$4),FALSE,IF(I85=TRUE,FALSE,IF(ISERROR(C85+1),FALSE,C85&gt;入力シート!$J$24)))</f>
        <v>0</v>
      </c>
      <c r="K85" s="237" t="b">
        <f>IF(COUNTIF(入力シート!$J$16:$S$23,入力リスト!$K$4)=0,FALSE,IF(AND(入力シート!$J$16&lt;&gt;入力リスト!$K$5,入力シート!$J$18&lt;&gt;入力リスト!$K$5,入力シート!$J$20&lt;&gt;入力リスト!$K$5,入力シート!$J$22&lt;&gt;入力リスト!$K$5),FALSE,ISERROR(VLOOKUP(D85,入力シート!$AW$37:$AY$38,1,0))))</f>
        <v>0</v>
      </c>
      <c r="L85" s="237" t="b">
        <f>IF(COUNTIF(入力シート!$J$16:$S$23,入力リスト!$K$4)=0,FALSE,IF(入力シート!$J$20=入力リスト!$K$5,FALSE,IF(E85="",FALSE,ISERROR(VLOOKUP(E85,入力シート!$AH$37:$AK$62,1,0)))))</f>
        <v>0</v>
      </c>
      <c r="M85" s="238" t="str">
        <f t="shared" si="1"/>
        <v/>
      </c>
      <c r="N85" s="236" t="str">
        <f>IF(B85="","",VLOOKUP('従業員情報(給与以外)'!$B85,入力シート!$S$37:$Z$62,5,0))</f>
        <v/>
      </c>
      <c r="O85" s="182" t="str">
        <f>IF(ISNUMBER(C85)=FALSE,"",IF(C85&gt;入力シート!$J$24,"",_xlfn.DAYS(入力シート!$J$24,'従業員情報(給与以外)'!$C85)/365))</f>
        <v/>
      </c>
      <c r="P85" s="237" t="str">
        <f>IF(O85="","",VLOOKUP(_xlfn.DAYS(入力シート!$J$24,'従業員情報(給与以外)'!$C85)/365,入力リスト!$H$4:$I$12,2,2))</f>
        <v/>
      </c>
      <c r="Q85" s="236" t="str">
        <f>IF(D85="","",VLOOKUP('従業員情報(給与以外)'!$D85,入力シート!$AW$37:$BB$38,4,0))</f>
        <v/>
      </c>
      <c r="R85" s="236" t="str">
        <f>IF(A85="","",IF(E85="","非役職",VLOOKUP('従業員情報(給与以外)'!$E85,入力シート!$AH$37:$AO$62,5,0)))</f>
        <v/>
      </c>
      <c r="S85" s="116" t="str">
        <f>IF(OR(入力シート!$C$5&lt;&gt;入力リスト!$N$4,COUNTIF(入力シート!$J$16:$S$23,入力リスト!$K$4)=0),"",IF($A85="","",IF(ISERROR(AVERAGEIF(従業員の給与情報!$B:$B,$A85,従業員の給与情報!$C:$C)),0,IF(ISERROR(AVERAGEIF(従業員の給与情報!$B:$B,$A85,従業員の給与情報!$C:$C)),0,AVERAGEIF(従業員の給与情報!$B:$B,$A85,従業員の給与情報!$C:$C)))))</f>
        <v/>
      </c>
      <c r="T85" s="116" t="str">
        <f>IF(OR(入力シート!$C$5&lt;&gt;入力リスト!$N$4,COUNTIF(入力シート!$J$16:$S$23,入力リスト!$K$4)=0),"",IF(A85="","",IF(ISERROR(AVERAGEIF(従業員の給与情報!$B:$B,$A85,従業員の給与情報!$D:$D)),0,IF(ISERROR(AVERAGEIF(従業員の給与情報!$B:$B,$A85,従業員の給与情報!$D:$D)),0,AVERAGEIF(従業員の給与情報!$B:$B,$A85,従業員の給与情報!$D:$D)))))</f>
        <v/>
      </c>
      <c r="U85" s="116" t="str">
        <f>IF(OR(入力シート!$C$5&lt;&gt;入力リスト!$N$4,COUNTIF(入力シート!$J$16:$S$23,入力リスト!$K$4)=0),"",IF(A85="","",IF(ISERROR(AVERAGEIF(従業員の給与情報!$B:$B,$A85,従業員の給与情報!$E:$E)),0,IF(ISERROR(AVERAGEIF(従業員の給与情報!$B:$B,$A85,従業員の給与情報!$E:$E)),0,AVERAGEIF(従業員の給与情報!$B:$B,$A85,従業員の給与情報!$E:$E)))))</f>
        <v/>
      </c>
      <c r="V85" s="117" t="str">
        <f>IF(OR(入力シート!$C$5&lt;&gt;入力リスト!$N$4,COUNTIF(入力シート!$J$16:$S$23,入力リスト!$K$4)=0),"",IF(A85="","",IF(ISERROR(AVERAGEIF(従業員の給与情報!$B:$B,$A85,従業員の給与情報!$F:$F)),0,IF(ISERROR(AVERAGEIF(従業員の給与情報!$B:$B,$A85,従業員の給与情報!$F:$F)),0,AVERAGEIF(従業員の給与情報!$B:$B,$A85,従業員の給与情報!$F:$F)))))</f>
        <v/>
      </c>
      <c r="W85" s="182"/>
      <c r="X85" s="260"/>
    </row>
    <row r="86" spans="1:24" ht="19.5">
      <c r="A86" s="367"/>
      <c r="B86" s="364"/>
      <c r="C86" s="365"/>
      <c r="D86" s="366"/>
      <c r="E86" s="367"/>
      <c r="F86" s="372" t="str">
        <f>IF(G86,"この従業員番号は、すでに他のセルで入力されています。",IF(入力シート!$C$5=入力リスト!$N$5,"",IF(AND(A86="",B86="",C86="",D86="",E86=""),"",IF(OR(A86="",B86="",C86="",D86=""),IF(A86="","従業員番号","")&amp;IF(AND(A86="",OR(B86="",C86="",D86="")),",","")&amp;IF(B86="","雇用形態","")&amp;IF(AND(B86="",OR(C86="",D86="")),",","")&amp;IF(OR(入力シート!$J$18=入力リスト!$K$4,入力シート!$J$22=入力リスト!$K$4),IF(C86="","入社年月日",""),"")&amp;IF(AND(C86="",D86=""),",","")&amp;IF(D86="","性別","")&amp;IF(IF(A86="","従業員番号","")&amp;IF(B86="","雇用形態","")&amp;IF(OR(入力シート!$J$18=入力リスト!$K$4,入力シート!$J$22=入力リスト!$K$4),IF(C86="","入社年月日",""),"")&amp;IF(D86="","性別","")="","","が空白です。"),IF(J86,"入社年月日に「基準日」の翌日以降の日付が入力されています。","")&amp;IF(I86,"入社年月日に数値以外（又は1900/1/1以前の日付）が入力されています。","")&amp;IF(H86,"雇用形態"&amp;IF(OR(K86,L86),",",""),"")&amp;IF(K86,"性別"&amp;IF(L86,",",""),"")&amp;IF(L86,"役職","")&amp;IF(OR(H86,K86,L86),"に、［入力シート］(4)「貴社」欄と異なる文言が入力されています。","")))))</f>
        <v/>
      </c>
      <c r="G86" s="236" t="b">
        <f>COUNTIF($A$4:A85,$A86)&gt;0</f>
        <v>0</v>
      </c>
      <c r="H86" s="237" t="b">
        <f>IF(COUNTIF(入力シート!$J$16:$S$23,入力リスト!$K$4)=0,FALSE,IF(入力シート!$J$16=入力リスト!$K$5,FALSE,ISERROR(VLOOKUP(B86,入力シート!$S$37:$V$62,1,0))))</f>
        <v>0</v>
      </c>
      <c r="I86" s="237" t="b">
        <f>IF(AND(OR(入力シート!$J$18=入力リスト!$K$4,入力シート!$J$22=入力リスト!$K$4),入力シート!$J$24&lt;&gt;""),IF(ISERROR(C86+1),TRUE,IF(ISNUMBER(C86),FALSE,TRUE)),FALSE)</f>
        <v>0</v>
      </c>
      <c r="J86" s="237" t="b">
        <f>IF(AND(入力シート!$J$18=入力リスト!$K$4,入力シート!$J$22=入力リスト!$K$4),FALSE,IF(I86=TRUE,FALSE,IF(ISERROR(C86+1),FALSE,C86&gt;入力シート!$J$24)))</f>
        <v>0</v>
      </c>
      <c r="K86" s="237" t="b">
        <f>IF(COUNTIF(入力シート!$J$16:$S$23,入力リスト!$K$4)=0,FALSE,IF(AND(入力シート!$J$16&lt;&gt;入力リスト!$K$5,入力シート!$J$18&lt;&gt;入力リスト!$K$5,入力シート!$J$20&lt;&gt;入力リスト!$K$5,入力シート!$J$22&lt;&gt;入力リスト!$K$5),FALSE,ISERROR(VLOOKUP(D86,入力シート!$AW$37:$AY$38,1,0))))</f>
        <v>0</v>
      </c>
      <c r="L86" s="237" t="b">
        <f>IF(COUNTIF(入力シート!$J$16:$S$23,入力リスト!$K$4)=0,FALSE,IF(入力シート!$J$20=入力リスト!$K$5,FALSE,IF(E86="",FALSE,ISERROR(VLOOKUP(E86,入力シート!$AH$37:$AK$62,1,0)))))</f>
        <v>0</v>
      </c>
      <c r="M86" s="238" t="str">
        <f t="shared" si="1"/>
        <v/>
      </c>
      <c r="N86" s="236" t="str">
        <f>IF(B86="","",VLOOKUP('従業員情報(給与以外)'!$B86,入力シート!$S$37:$Z$62,5,0))</f>
        <v/>
      </c>
      <c r="O86" s="182" t="str">
        <f>IF(ISNUMBER(C86)=FALSE,"",IF(C86&gt;入力シート!$J$24,"",_xlfn.DAYS(入力シート!$J$24,'従業員情報(給与以外)'!$C86)/365))</f>
        <v/>
      </c>
      <c r="P86" s="237" t="str">
        <f>IF(O86="","",VLOOKUP(_xlfn.DAYS(入力シート!$J$24,'従業員情報(給与以外)'!$C86)/365,入力リスト!$H$4:$I$12,2,2))</f>
        <v/>
      </c>
      <c r="Q86" s="236" t="str">
        <f>IF(D86="","",VLOOKUP('従業員情報(給与以外)'!$D86,入力シート!$AW$37:$BB$38,4,0))</f>
        <v/>
      </c>
      <c r="R86" s="236" t="str">
        <f>IF(A86="","",IF(E86="","非役職",VLOOKUP('従業員情報(給与以外)'!$E86,入力シート!$AH$37:$AO$62,5,0)))</f>
        <v/>
      </c>
      <c r="S86" s="116" t="str">
        <f>IF(OR(入力シート!$C$5&lt;&gt;入力リスト!$N$4,COUNTIF(入力シート!$J$16:$S$23,入力リスト!$K$4)=0),"",IF($A86="","",IF(ISERROR(AVERAGEIF(従業員の給与情報!$B:$B,$A86,従業員の給与情報!$C:$C)),0,IF(ISERROR(AVERAGEIF(従業員の給与情報!$B:$B,$A86,従業員の給与情報!$C:$C)),0,AVERAGEIF(従業員の給与情報!$B:$B,$A86,従業員の給与情報!$C:$C)))))</f>
        <v/>
      </c>
      <c r="T86" s="116" t="str">
        <f>IF(OR(入力シート!$C$5&lt;&gt;入力リスト!$N$4,COUNTIF(入力シート!$J$16:$S$23,入力リスト!$K$4)=0),"",IF(A86="","",IF(ISERROR(AVERAGEIF(従業員の給与情報!$B:$B,$A86,従業員の給与情報!$D:$D)),0,IF(ISERROR(AVERAGEIF(従業員の給与情報!$B:$B,$A86,従業員の給与情報!$D:$D)),0,AVERAGEIF(従業員の給与情報!$B:$B,$A86,従業員の給与情報!$D:$D)))))</f>
        <v/>
      </c>
      <c r="U86" s="116" t="str">
        <f>IF(OR(入力シート!$C$5&lt;&gt;入力リスト!$N$4,COUNTIF(入力シート!$J$16:$S$23,入力リスト!$K$4)=0),"",IF(A86="","",IF(ISERROR(AVERAGEIF(従業員の給与情報!$B:$B,$A86,従業員の給与情報!$E:$E)),0,IF(ISERROR(AVERAGEIF(従業員の給与情報!$B:$B,$A86,従業員の給与情報!$E:$E)),0,AVERAGEIF(従業員の給与情報!$B:$B,$A86,従業員の給与情報!$E:$E)))))</f>
        <v/>
      </c>
      <c r="V86" s="117" t="str">
        <f>IF(OR(入力シート!$C$5&lt;&gt;入力リスト!$N$4,COUNTIF(入力シート!$J$16:$S$23,入力リスト!$K$4)=0),"",IF(A86="","",IF(ISERROR(AVERAGEIF(従業員の給与情報!$B:$B,$A86,従業員の給与情報!$F:$F)),0,IF(ISERROR(AVERAGEIF(従業員の給与情報!$B:$B,$A86,従業員の給与情報!$F:$F)),0,AVERAGEIF(従業員の給与情報!$B:$B,$A86,従業員の給与情報!$F:$F)))))</f>
        <v/>
      </c>
      <c r="W86" s="182"/>
      <c r="X86" s="260"/>
    </row>
    <row r="87" spans="1:24" ht="19.5">
      <c r="A87" s="367"/>
      <c r="B87" s="364"/>
      <c r="C87" s="365"/>
      <c r="D87" s="366"/>
      <c r="E87" s="367"/>
      <c r="F87" s="372" t="str">
        <f>IF(G87,"この従業員番号は、すでに他のセルで入力されています。",IF(入力シート!$C$5=入力リスト!$N$5,"",IF(AND(A87="",B87="",C87="",D87="",E87=""),"",IF(OR(A87="",B87="",C87="",D87=""),IF(A87="","従業員番号","")&amp;IF(AND(A87="",OR(B87="",C87="",D87="")),",","")&amp;IF(B87="","雇用形態","")&amp;IF(AND(B87="",OR(C87="",D87="")),",","")&amp;IF(OR(入力シート!$J$18=入力リスト!$K$4,入力シート!$J$22=入力リスト!$K$4),IF(C87="","入社年月日",""),"")&amp;IF(AND(C87="",D87=""),",","")&amp;IF(D87="","性別","")&amp;IF(IF(A87="","従業員番号","")&amp;IF(B87="","雇用形態","")&amp;IF(OR(入力シート!$J$18=入力リスト!$K$4,入力シート!$J$22=入力リスト!$K$4),IF(C87="","入社年月日",""),"")&amp;IF(D87="","性別","")="","","が空白です。"),IF(J87,"入社年月日に「基準日」の翌日以降の日付が入力されています。","")&amp;IF(I87,"入社年月日に数値以外（又は1900/1/1以前の日付）が入力されています。","")&amp;IF(H87,"雇用形態"&amp;IF(OR(K87,L87),",",""),"")&amp;IF(K87,"性別"&amp;IF(L87,",",""),"")&amp;IF(L87,"役職","")&amp;IF(OR(H87,K87,L87),"に、［入力シート］(4)「貴社」欄と異なる文言が入力されています。","")))))</f>
        <v/>
      </c>
      <c r="G87" s="236" t="b">
        <f>COUNTIF($A$4:A86,$A87)&gt;0</f>
        <v>0</v>
      </c>
      <c r="H87" s="237" t="b">
        <f>IF(COUNTIF(入力シート!$J$16:$S$23,入力リスト!$K$4)=0,FALSE,IF(入力シート!$J$16=入力リスト!$K$5,FALSE,ISERROR(VLOOKUP(B87,入力シート!$S$37:$V$62,1,0))))</f>
        <v>0</v>
      </c>
      <c r="I87" s="237" t="b">
        <f>IF(AND(OR(入力シート!$J$18=入力リスト!$K$4,入力シート!$J$22=入力リスト!$K$4),入力シート!$J$24&lt;&gt;""),IF(ISERROR(C87+1),TRUE,IF(ISNUMBER(C87),FALSE,TRUE)),FALSE)</f>
        <v>0</v>
      </c>
      <c r="J87" s="237" t="b">
        <f>IF(AND(入力シート!$J$18=入力リスト!$K$4,入力シート!$J$22=入力リスト!$K$4),FALSE,IF(I87=TRUE,FALSE,IF(ISERROR(C87+1),FALSE,C87&gt;入力シート!$J$24)))</f>
        <v>0</v>
      </c>
      <c r="K87" s="237" t="b">
        <f>IF(COUNTIF(入力シート!$J$16:$S$23,入力リスト!$K$4)=0,FALSE,IF(AND(入力シート!$J$16&lt;&gt;入力リスト!$K$5,入力シート!$J$18&lt;&gt;入力リスト!$K$5,入力シート!$J$20&lt;&gt;入力リスト!$K$5,入力シート!$J$22&lt;&gt;入力リスト!$K$5),FALSE,ISERROR(VLOOKUP(D87,入力シート!$AW$37:$AY$38,1,0))))</f>
        <v>0</v>
      </c>
      <c r="L87" s="237" t="b">
        <f>IF(COUNTIF(入力シート!$J$16:$S$23,入力リスト!$K$4)=0,FALSE,IF(入力シート!$J$20=入力リスト!$K$5,FALSE,IF(E87="",FALSE,ISERROR(VLOOKUP(E87,入力シート!$AH$37:$AK$62,1,0)))))</f>
        <v>0</v>
      </c>
      <c r="M87" s="238" t="str">
        <f t="shared" si="1"/>
        <v/>
      </c>
      <c r="N87" s="236" t="str">
        <f>IF(B87="","",VLOOKUP('従業員情報(給与以外)'!$B87,入力シート!$S$37:$Z$62,5,0))</f>
        <v/>
      </c>
      <c r="O87" s="182" t="str">
        <f>IF(ISNUMBER(C87)=FALSE,"",IF(C87&gt;入力シート!$J$24,"",_xlfn.DAYS(入力シート!$J$24,'従業員情報(給与以外)'!$C87)/365))</f>
        <v/>
      </c>
      <c r="P87" s="237" t="str">
        <f>IF(O87="","",VLOOKUP(_xlfn.DAYS(入力シート!$J$24,'従業員情報(給与以外)'!$C87)/365,入力リスト!$H$4:$I$12,2,2))</f>
        <v/>
      </c>
      <c r="Q87" s="236" t="str">
        <f>IF(D87="","",VLOOKUP('従業員情報(給与以外)'!$D87,入力シート!$AW$37:$BB$38,4,0))</f>
        <v/>
      </c>
      <c r="R87" s="236" t="str">
        <f>IF(A87="","",IF(E87="","非役職",VLOOKUP('従業員情報(給与以外)'!$E87,入力シート!$AH$37:$AO$62,5,0)))</f>
        <v/>
      </c>
      <c r="S87" s="116" t="str">
        <f>IF(OR(入力シート!$C$5&lt;&gt;入力リスト!$N$4,COUNTIF(入力シート!$J$16:$S$23,入力リスト!$K$4)=0),"",IF($A87="","",IF(ISERROR(AVERAGEIF(従業員の給与情報!$B:$B,$A87,従業員の給与情報!$C:$C)),0,IF(ISERROR(AVERAGEIF(従業員の給与情報!$B:$B,$A87,従業員の給与情報!$C:$C)),0,AVERAGEIF(従業員の給与情報!$B:$B,$A87,従業員の給与情報!$C:$C)))))</f>
        <v/>
      </c>
      <c r="T87" s="116" t="str">
        <f>IF(OR(入力シート!$C$5&lt;&gt;入力リスト!$N$4,COUNTIF(入力シート!$J$16:$S$23,入力リスト!$K$4)=0),"",IF(A87="","",IF(ISERROR(AVERAGEIF(従業員の給与情報!$B:$B,$A87,従業員の給与情報!$D:$D)),0,IF(ISERROR(AVERAGEIF(従業員の給与情報!$B:$B,$A87,従業員の給与情報!$D:$D)),0,AVERAGEIF(従業員の給与情報!$B:$B,$A87,従業員の給与情報!$D:$D)))))</f>
        <v/>
      </c>
      <c r="U87" s="116" t="str">
        <f>IF(OR(入力シート!$C$5&lt;&gt;入力リスト!$N$4,COUNTIF(入力シート!$J$16:$S$23,入力リスト!$K$4)=0),"",IF(A87="","",IF(ISERROR(AVERAGEIF(従業員の給与情報!$B:$B,$A87,従業員の給与情報!$E:$E)),0,IF(ISERROR(AVERAGEIF(従業員の給与情報!$B:$B,$A87,従業員の給与情報!$E:$E)),0,AVERAGEIF(従業員の給与情報!$B:$B,$A87,従業員の給与情報!$E:$E)))))</f>
        <v/>
      </c>
      <c r="V87" s="117" t="str">
        <f>IF(OR(入力シート!$C$5&lt;&gt;入力リスト!$N$4,COUNTIF(入力シート!$J$16:$S$23,入力リスト!$K$4)=0),"",IF(A87="","",IF(ISERROR(AVERAGEIF(従業員の給与情報!$B:$B,$A87,従業員の給与情報!$F:$F)),0,IF(ISERROR(AVERAGEIF(従業員の給与情報!$B:$B,$A87,従業員の給与情報!$F:$F)),0,AVERAGEIF(従業員の給与情報!$B:$B,$A87,従業員の給与情報!$F:$F)))))</f>
        <v/>
      </c>
      <c r="W87" s="182"/>
      <c r="X87" s="260"/>
    </row>
    <row r="88" spans="1:24" ht="19.5">
      <c r="A88" s="367"/>
      <c r="B88" s="364"/>
      <c r="C88" s="365"/>
      <c r="D88" s="366"/>
      <c r="E88" s="367"/>
      <c r="F88" s="372" t="str">
        <f>IF(G88,"この従業員番号は、すでに他のセルで入力されています。",IF(入力シート!$C$5=入力リスト!$N$5,"",IF(AND(A88="",B88="",C88="",D88="",E88=""),"",IF(OR(A88="",B88="",C88="",D88=""),IF(A88="","従業員番号","")&amp;IF(AND(A88="",OR(B88="",C88="",D88="")),",","")&amp;IF(B88="","雇用形態","")&amp;IF(AND(B88="",OR(C88="",D88="")),",","")&amp;IF(OR(入力シート!$J$18=入力リスト!$K$4,入力シート!$J$22=入力リスト!$K$4),IF(C88="","入社年月日",""),"")&amp;IF(AND(C88="",D88=""),",","")&amp;IF(D88="","性別","")&amp;IF(IF(A88="","従業員番号","")&amp;IF(B88="","雇用形態","")&amp;IF(OR(入力シート!$J$18=入力リスト!$K$4,入力シート!$J$22=入力リスト!$K$4),IF(C88="","入社年月日",""),"")&amp;IF(D88="","性別","")="","","が空白です。"),IF(J88,"入社年月日に「基準日」の翌日以降の日付が入力されています。","")&amp;IF(I88,"入社年月日に数値以外（又は1900/1/1以前の日付）が入力されています。","")&amp;IF(H88,"雇用形態"&amp;IF(OR(K88,L88),",",""),"")&amp;IF(K88,"性別"&amp;IF(L88,",",""),"")&amp;IF(L88,"役職","")&amp;IF(OR(H88,K88,L88),"に、［入力シート］(4)「貴社」欄と異なる文言が入力されています。","")))))</f>
        <v/>
      </c>
      <c r="G88" s="236" t="b">
        <f>COUNTIF($A$4:A87,$A88)&gt;0</f>
        <v>0</v>
      </c>
      <c r="H88" s="237" t="b">
        <f>IF(COUNTIF(入力シート!$J$16:$S$23,入力リスト!$K$4)=0,FALSE,IF(入力シート!$J$16=入力リスト!$K$5,FALSE,ISERROR(VLOOKUP(B88,入力シート!$S$37:$V$62,1,0))))</f>
        <v>0</v>
      </c>
      <c r="I88" s="237" t="b">
        <f>IF(AND(OR(入力シート!$J$18=入力リスト!$K$4,入力シート!$J$22=入力リスト!$K$4),入力シート!$J$24&lt;&gt;""),IF(ISERROR(C88+1),TRUE,IF(ISNUMBER(C88),FALSE,TRUE)),FALSE)</f>
        <v>0</v>
      </c>
      <c r="J88" s="237" t="b">
        <f>IF(AND(入力シート!$J$18=入力リスト!$K$4,入力シート!$J$22=入力リスト!$K$4),FALSE,IF(I88=TRUE,FALSE,IF(ISERROR(C88+1),FALSE,C88&gt;入力シート!$J$24)))</f>
        <v>0</v>
      </c>
      <c r="K88" s="237" t="b">
        <f>IF(COUNTIF(入力シート!$J$16:$S$23,入力リスト!$K$4)=0,FALSE,IF(AND(入力シート!$J$16&lt;&gt;入力リスト!$K$5,入力シート!$J$18&lt;&gt;入力リスト!$K$5,入力シート!$J$20&lt;&gt;入力リスト!$K$5,入力シート!$J$22&lt;&gt;入力リスト!$K$5),FALSE,ISERROR(VLOOKUP(D88,入力シート!$AW$37:$AY$38,1,0))))</f>
        <v>0</v>
      </c>
      <c r="L88" s="237" t="b">
        <f>IF(COUNTIF(入力シート!$J$16:$S$23,入力リスト!$K$4)=0,FALSE,IF(入力シート!$J$20=入力リスト!$K$5,FALSE,IF(E88="",FALSE,ISERROR(VLOOKUP(E88,入力シート!$AH$37:$AK$62,1,0)))))</f>
        <v>0</v>
      </c>
      <c r="M88" s="238" t="str">
        <f t="shared" si="1"/>
        <v/>
      </c>
      <c r="N88" s="236" t="str">
        <f>IF(B88="","",VLOOKUP('従業員情報(給与以外)'!$B88,入力シート!$S$37:$Z$62,5,0))</f>
        <v/>
      </c>
      <c r="O88" s="182" t="str">
        <f>IF(ISNUMBER(C88)=FALSE,"",IF(C88&gt;入力シート!$J$24,"",_xlfn.DAYS(入力シート!$J$24,'従業員情報(給与以外)'!$C88)/365))</f>
        <v/>
      </c>
      <c r="P88" s="237" t="str">
        <f>IF(O88="","",VLOOKUP(_xlfn.DAYS(入力シート!$J$24,'従業員情報(給与以外)'!$C88)/365,入力リスト!$H$4:$I$12,2,2))</f>
        <v/>
      </c>
      <c r="Q88" s="236" t="str">
        <f>IF(D88="","",VLOOKUP('従業員情報(給与以外)'!$D88,入力シート!$AW$37:$BB$38,4,0))</f>
        <v/>
      </c>
      <c r="R88" s="236" t="str">
        <f>IF(A88="","",IF(E88="","非役職",VLOOKUP('従業員情報(給与以外)'!$E88,入力シート!$AH$37:$AO$62,5,0)))</f>
        <v/>
      </c>
      <c r="S88" s="116" t="str">
        <f>IF(OR(入力シート!$C$5&lt;&gt;入力リスト!$N$4,COUNTIF(入力シート!$J$16:$S$23,入力リスト!$K$4)=0),"",IF($A88="","",IF(ISERROR(AVERAGEIF(従業員の給与情報!$B:$B,$A88,従業員の給与情報!$C:$C)),0,IF(ISERROR(AVERAGEIF(従業員の給与情報!$B:$B,$A88,従業員の給与情報!$C:$C)),0,AVERAGEIF(従業員の給与情報!$B:$B,$A88,従業員の給与情報!$C:$C)))))</f>
        <v/>
      </c>
      <c r="T88" s="116" t="str">
        <f>IF(OR(入力シート!$C$5&lt;&gt;入力リスト!$N$4,COUNTIF(入力シート!$J$16:$S$23,入力リスト!$K$4)=0),"",IF(A88="","",IF(ISERROR(AVERAGEIF(従業員の給与情報!$B:$B,$A88,従業員の給与情報!$D:$D)),0,IF(ISERROR(AVERAGEIF(従業員の給与情報!$B:$B,$A88,従業員の給与情報!$D:$D)),0,AVERAGEIF(従業員の給与情報!$B:$B,$A88,従業員の給与情報!$D:$D)))))</f>
        <v/>
      </c>
      <c r="U88" s="116" t="str">
        <f>IF(OR(入力シート!$C$5&lt;&gt;入力リスト!$N$4,COUNTIF(入力シート!$J$16:$S$23,入力リスト!$K$4)=0),"",IF(A88="","",IF(ISERROR(AVERAGEIF(従業員の給与情報!$B:$B,$A88,従業員の給与情報!$E:$E)),0,IF(ISERROR(AVERAGEIF(従業員の給与情報!$B:$B,$A88,従業員の給与情報!$E:$E)),0,AVERAGEIF(従業員の給与情報!$B:$B,$A88,従業員の給与情報!$E:$E)))))</f>
        <v/>
      </c>
      <c r="V88" s="117" t="str">
        <f>IF(OR(入力シート!$C$5&lt;&gt;入力リスト!$N$4,COUNTIF(入力シート!$J$16:$S$23,入力リスト!$K$4)=0),"",IF(A88="","",IF(ISERROR(AVERAGEIF(従業員の給与情報!$B:$B,$A88,従業員の給与情報!$F:$F)),0,IF(ISERROR(AVERAGEIF(従業員の給与情報!$B:$B,$A88,従業員の給与情報!$F:$F)),0,AVERAGEIF(従業員の給与情報!$B:$B,$A88,従業員の給与情報!$F:$F)))))</f>
        <v/>
      </c>
      <c r="W88" s="182"/>
      <c r="X88" s="260"/>
    </row>
    <row r="89" spans="1:24" ht="19.5">
      <c r="A89" s="367"/>
      <c r="B89" s="364"/>
      <c r="C89" s="365"/>
      <c r="D89" s="366"/>
      <c r="E89" s="367"/>
      <c r="F89" s="372" t="str">
        <f>IF(G89,"この従業員番号は、すでに他のセルで入力されています。",IF(入力シート!$C$5=入力リスト!$N$5,"",IF(AND(A89="",B89="",C89="",D89="",E89=""),"",IF(OR(A89="",B89="",C89="",D89=""),IF(A89="","従業員番号","")&amp;IF(AND(A89="",OR(B89="",C89="",D89="")),",","")&amp;IF(B89="","雇用形態","")&amp;IF(AND(B89="",OR(C89="",D89="")),",","")&amp;IF(OR(入力シート!$J$18=入力リスト!$K$4,入力シート!$J$22=入力リスト!$K$4),IF(C89="","入社年月日",""),"")&amp;IF(AND(C89="",D89=""),",","")&amp;IF(D89="","性別","")&amp;IF(IF(A89="","従業員番号","")&amp;IF(B89="","雇用形態","")&amp;IF(OR(入力シート!$J$18=入力リスト!$K$4,入力シート!$J$22=入力リスト!$K$4),IF(C89="","入社年月日",""),"")&amp;IF(D89="","性別","")="","","が空白です。"),IF(J89,"入社年月日に「基準日」の翌日以降の日付が入力されています。","")&amp;IF(I89,"入社年月日に数値以外（又は1900/1/1以前の日付）が入力されています。","")&amp;IF(H89,"雇用形態"&amp;IF(OR(K89,L89),",",""),"")&amp;IF(K89,"性別"&amp;IF(L89,",",""),"")&amp;IF(L89,"役職","")&amp;IF(OR(H89,K89,L89),"に、［入力シート］(4)「貴社」欄と異なる文言が入力されています。","")))))</f>
        <v/>
      </c>
      <c r="G89" s="236" t="b">
        <f>COUNTIF($A$4:A88,$A89)&gt;0</f>
        <v>0</v>
      </c>
      <c r="H89" s="237" t="b">
        <f>IF(COUNTIF(入力シート!$J$16:$S$23,入力リスト!$K$4)=0,FALSE,IF(入力シート!$J$16=入力リスト!$K$5,FALSE,ISERROR(VLOOKUP(B89,入力シート!$S$37:$V$62,1,0))))</f>
        <v>0</v>
      </c>
      <c r="I89" s="237" t="b">
        <f>IF(AND(OR(入力シート!$J$18=入力リスト!$K$4,入力シート!$J$22=入力リスト!$K$4),入力シート!$J$24&lt;&gt;""),IF(ISERROR(C89+1),TRUE,IF(ISNUMBER(C89),FALSE,TRUE)),FALSE)</f>
        <v>0</v>
      </c>
      <c r="J89" s="237" t="b">
        <f>IF(AND(入力シート!$J$18=入力リスト!$K$4,入力シート!$J$22=入力リスト!$K$4),FALSE,IF(I89=TRUE,FALSE,IF(ISERROR(C89+1),FALSE,C89&gt;入力シート!$J$24)))</f>
        <v>0</v>
      </c>
      <c r="K89" s="237" t="b">
        <f>IF(COUNTIF(入力シート!$J$16:$S$23,入力リスト!$K$4)=0,FALSE,IF(AND(入力シート!$J$16&lt;&gt;入力リスト!$K$5,入力シート!$J$18&lt;&gt;入力リスト!$K$5,入力シート!$J$20&lt;&gt;入力リスト!$K$5,入力シート!$J$22&lt;&gt;入力リスト!$K$5),FALSE,ISERROR(VLOOKUP(D89,入力シート!$AW$37:$AY$38,1,0))))</f>
        <v>0</v>
      </c>
      <c r="L89" s="237" t="b">
        <f>IF(COUNTIF(入力シート!$J$16:$S$23,入力リスト!$K$4)=0,FALSE,IF(入力シート!$J$20=入力リスト!$K$5,FALSE,IF(E89="",FALSE,ISERROR(VLOOKUP(E89,入力シート!$AH$37:$AK$62,1,0)))))</f>
        <v>0</v>
      </c>
      <c r="M89" s="238" t="str">
        <f t="shared" si="1"/>
        <v/>
      </c>
      <c r="N89" s="236" t="str">
        <f>IF(B89="","",VLOOKUP('従業員情報(給与以外)'!$B89,入力シート!$S$37:$Z$62,5,0))</f>
        <v/>
      </c>
      <c r="O89" s="182" t="str">
        <f>IF(ISNUMBER(C89)=FALSE,"",IF(C89&gt;入力シート!$J$24,"",_xlfn.DAYS(入力シート!$J$24,'従業員情報(給与以外)'!$C89)/365))</f>
        <v/>
      </c>
      <c r="P89" s="237" t="str">
        <f>IF(O89="","",VLOOKUP(_xlfn.DAYS(入力シート!$J$24,'従業員情報(給与以外)'!$C89)/365,入力リスト!$H$4:$I$12,2,2))</f>
        <v/>
      </c>
      <c r="Q89" s="236" t="str">
        <f>IF(D89="","",VLOOKUP('従業員情報(給与以外)'!$D89,入力シート!$AW$37:$BB$38,4,0))</f>
        <v/>
      </c>
      <c r="R89" s="236" t="str">
        <f>IF(A89="","",IF(E89="","非役職",VLOOKUP('従業員情報(給与以外)'!$E89,入力シート!$AH$37:$AO$62,5,0)))</f>
        <v/>
      </c>
      <c r="S89" s="116" t="str">
        <f>IF(OR(入力シート!$C$5&lt;&gt;入力リスト!$N$4,COUNTIF(入力シート!$J$16:$S$23,入力リスト!$K$4)=0),"",IF($A89="","",IF(ISERROR(AVERAGEIF(従業員の給与情報!$B:$B,$A89,従業員の給与情報!$C:$C)),0,IF(ISERROR(AVERAGEIF(従業員の給与情報!$B:$B,$A89,従業員の給与情報!$C:$C)),0,AVERAGEIF(従業員の給与情報!$B:$B,$A89,従業員の給与情報!$C:$C)))))</f>
        <v/>
      </c>
      <c r="T89" s="116" t="str">
        <f>IF(OR(入力シート!$C$5&lt;&gt;入力リスト!$N$4,COUNTIF(入力シート!$J$16:$S$23,入力リスト!$K$4)=0),"",IF(A89="","",IF(ISERROR(AVERAGEIF(従業員の給与情報!$B:$B,$A89,従業員の給与情報!$D:$D)),0,IF(ISERROR(AVERAGEIF(従業員の給与情報!$B:$B,$A89,従業員の給与情報!$D:$D)),0,AVERAGEIF(従業員の給与情報!$B:$B,$A89,従業員の給与情報!$D:$D)))))</f>
        <v/>
      </c>
      <c r="U89" s="116" t="str">
        <f>IF(OR(入力シート!$C$5&lt;&gt;入力リスト!$N$4,COUNTIF(入力シート!$J$16:$S$23,入力リスト!$K$4)=0),"",IF(A89="","",IF(ISERROR(AVERAGEIF(従業員の給与情報!$B:$B,$A89,従業員の給与情報!$E:$E)),0,IF(ISERROR(AVERAGEIF(従業員の給与情報!$B:$B,$A89,従業員の給与情報!$E:$E)),0,AVERAGEIF(従業員の給与情報!$B:$B,$A89,従業員の給与情報!$E:$E)))))</f>
        <v/>
      </c>
      <c r="V89" s="117" t="str">
        <f>IF(OR(入力シート!$C$5&lt;&gt;入力リスト!$N$4,COUNTIF(入力シート!$J$16:$S$23,入力リスト!$K$4)=0),"",IF(A89="","",IF(ISERROR(AVERAGEIF(従業員の給与情報!$B:$B,$A89,従業員の給与情報!$F:$F)),0,IF(ISERROR(AVERAGEIF(従業員の給与情報!$B:$B,$A89,従業員の給与情報!$F:$F)),0,AVERAGEIF(従業員の給与情報!$B:$B,$A89,従業員の給与情報!$F:$F)))))</f>
        <v/>
      </c>
      <c r="W89" s="182"/>
      <c r="X89" s="260"/>
    </row>
    <row r="90" spans="1:24" ht="19.5">
      <c r="A90" s="367"/>
      <c r="B90" s="364"/>
      <c r="C90" s="365"/>
      <c r="D90" s="366"/>
      <c r="E90" s="367"/>
      <c r="F90" s="372" t="str">
        <f>IF(G90,"この従業員番号は、すでに他のセルで入力されています。",IF(入力シート!$C$5=入力リスト!$N$5,"",IF(AND(A90="",B90="",C90="",D90="",E90=""),"",IF(OR(A90="",B90="",C90="",D90=""),IF(A90="","従業員番号","")&amp;IF(AND(A90="",OR(B90="",C90="",D90="")),",","")&amp;IF(B90="","雇用形態","")&amp;IF(AND(B90="",OR(C90="",D90="")),",","")&amp;IF(OR(入力シート!$J$18=入力リスト!$K$4,入力シート!$J$22=入力リスト!$K$4),IF(C90="","入社年月日",""),"")&amp;IF(AND(C90="",D90=""),",","")&amp;IF(D90="","性別","")&amp;IF(IF(A90="","従業員番号","")&amp;IF(B90="","雇用形態","")&amp;IF(OR(入力シート!$J$18=入力リスト!$K$4,入力シート!$J$22=入力リスト!$K$4),IF(C90="","入社年月日",""),"")&amp;IF(D90="","性別","")="","","が空白です。"),IF(J90,"入社年月日に「基準日」の翌日以降の日付が入力されています。","")&amp;IF(I90,"入社年月日に数値以外（又は1900/1/1以前の日付）が入力されています。","")&amp;IF(H90,"雇用形態"&amp;IF(OR(K90,L90),",",""),"")&amp;IF(K90,"性別"&amp;IF(L90,",",""),"")&amp;IF(L90,"役職","")&amp;IF(OR(H90,K90,L90),"に、［入力シート］(4)「貴社」欄と異なる文言が入力されています。","")))))</f>
        <v/>
      </c>
      <c r="G90" s="236" t="b">
        <f>COUNTIF($A$4:A89,$A90)&gt;0</f>
        <v>0</v>
      </c>
      <c r="H90" s="237" t="b">
        <f>IF(COUNTIF(入力シート!$J$16:$S$23,入力リスト!$K$4)=0,FALSE,IF(入力シート!$J$16=入力リスト!$K$5,FALSE,ISERROR(VLOOKUP(B90,入力シート!$S$37:$V$62,1,0))))</f>
        <v>0</v>
      </c>
      <c r="I90" s="237" t="b">
        <f>IF(AND(OR(入力シート!$J$18=入力リスト!$K$4,入力シート!$J$22=入力リスト!$K$4),入力シート!$J$24&lt;&gt;""),IF(ISERROR(C90+1),TRUE,IF(ISNUMBER(C90),FALSE,TRUE)),FALSE)</f>
        <v>0</v>
      </c>
      <c r="J90" s="237" t="b">
        <f>IF(AND(入力シート!$J$18=入力リスト!$K$4,入力シート!$J$22=入力リスト!$K$4),FALSE,IF(I90=TRUE,FALSE,IF(ISERROR(C90+1),FALSE,C90&gt;入力シート!$J$24)))</f>
        <v>0</v>
      </c>
      <c r="K90" s="237" t="b">
        <f>IF(COUNTIF(入力シート!$J$16:$S$23,入力リスト!$K$4)=0,FALSE,IF(AND(入力シート!$J$16&lt;&gt;入力リスト!$K$5,入力シート!$J$18&lt;&gt;入力リスト!$K$5,入力シート!$J$20&lt;&gt;入力リスト!$K$5,入力シート!$J$22&lt;&gt;入力リスト!$K$5),FALSE,ISERROR(VLOOKUP(D90,入力シート!$AW$37:$AY$38,1,0))))</f>
        <v>0</v>
      </c>
      <c r="L90" s="237" t="b">
        <f>IF(COUNTIF(入力シート!$J$16:$S$23,入力リスト!$K$4)=0,FALSE,IF(入力シート!$J$20=入力リスト!$K$5,FALSE,IF(E90="",FALSE,ISERROR(VLOOKUP(E90,入力シート!$AH$37:$AK$62,1,0)))))</f>
        <v>0</v>
      </c>
      <c r="M90" s="238" t="str">
        <f t="shared" si="1"/>
        <v/>
      </c>
      <c r="N90" s="236" t="str">
        <f>IF(B90="","",VLOOKUP('従業員情報(給与以外)'!$B90,入力シート!$S$37:$Z$62,5,0))</f>
        <v/>
      </c>
      <c r="O90" s="182" t="str">
        <f>IF(ISNUMBER(C90)=FALSE,"",IF(C90&gt;入力シート!$J$24,"",_xlfn.DAYS(入力シート!$J$24,'従業員情報(給与以外)'!$C90)/365))</f>
        <v/>
      </c>
      <c r="P90" s="237" t="str">
        <f>IF(O90="","",VLOOKUP(_xlfn.DAYS(入力シート!$J$24,'従業員情報(給与以外)'!$C90)/365,入力リスト!$H$4:$I$12,2,2))</f>
        <v/>
      </c>
      <c r="Q90" s="236" t="str">
        <f>IF(D90="","",VLOOKUP('従業員情報(給与以外)'!$D90,入力シート!$AW$37:$BB$38,4,0))</f>
        <v/>
      </c>
      <c r="R90" s="236" t="str">
        <f>IF(A90="","",IF(E90="","非役職",VLOOKUP('従業員情報(給与以外)'!$E90,入力シート!$AH$37:$AO$62,5,0)))</f>
        <v/>
      </c>
      <c r="S90" s="116" t="str">
        <f>IF(OR(入力シート!$C$5&lt;&gt;入力リスト!$N$4,COUNTIF(入力シート!$J$16:$S$23,入力リスト!$K$4)=0),"",IF($A90="","",IF(ISERROR(AVERAGEIF(従業員の給与情報!$B:$B,$A90,従業員の給与情報!$C:$C)),0,IF(ISERROR(AVERAGEIF(従業員の給与情報!$B:$B,$A90,従業員の給与情報!$C:$C)),0,AVERAGEIF(従業員の給与情報!$B:$B,$A90,従業員の給与情報!$C:$C)))))</f>
        <v/>
      </c>
      <c r="T90" s="116" t="str">
        <f>IF(OR(入力シート!$C$5&lt;&gt;入力リスト!$N$4,COUNTIF(入力シート!$J$16:$S$23,入力リスト!$K$4)=0),"",IF(A90="","",IF(ISERROR(AVERAGEIF(従業員の給与情報!$B:$B,$A90,従業員の給与情報!$D:$D)),0,IF(ISERROR(AVERAGEIF(従業員の給与情報!$B:$B,$A90,従業員の給与情報!$D:$D)),0,AVERAGEIF(従業員の給与情報!$B:$B,$A90,従業員の給与情報!$D:$D)))))</f>
        <v/>
      </c>
      <c r="U90" s="116" t="str">
        <f>IF(OR(入力シート!$C$5&lt;&gt;入力リスト!$N$4,COUNTIF(入力シート!$J$16:$S$23,入力リスト!$K$4)=0),"",IF(A90="","",IF(ISERROR(AVERAGEIF(従業員の給与情報!$B:$B,$A90,従業員の給与情報!$E:$E)),0,IF(ISERROR(AVERAGEIF(従業員の給与情報!$B:$B,$A90,従業員の給与情報!$E:$E)),0,AVERAGEIF(従業員の給与情報!$B:$B,$A90,従業員の給与情報!$E:$E)))))</f>
        <v/>
      </c>
      <c r="V90" s="117" t="str">
        <f>IF(OR(入力シート!$C$5&lt;&gt;入力リスト!$N$4,COUNTIF(入力シート!$J$16:$S$23,入力リスト!$K$4)=0),"",IF(A90="","",IF(ISERROR(AVERAGEIF(従業員の給与情報!$B:$B,$A90,従業員の給与情報!$F:$F)),0,IF(ISERROR(AVERAGEIF(従業員の給与情報!$B:$B,$A90,従業員の給与情報!$F:$F)),0,AVERAGEIF(従業員の給与情報!$B:$B,$A90,従業員の給与情報!$F:$F)))))</f>
        <v/>
      </c>
      <c r="W90" s="182"/>
      <c r="X90" s="260"/>
    </row>
    <row r="91" spans="1:24" ht="19.5">
      <c r="A91" s="367"/>
      <c r="B91" s="364"/>
      <c r="C91" s="365"/>
      <c r="D91" s="366"/>
      <c r="E91" s="367"/>
      <c r="F91" s="372" t="str">
        <f>IF(G91,"この従業員番号は、すでに他のセルで入力されています。",IF(入力シート!$C$5=入力リスト!$N$5,"",IF(AND(A91="",B91="",C91="",D91="",E91=""),"",IF(OR(A91="",B91="",C91="",D91=""),IF(A91="","従業員番号","")&amp;IF(AND(A91="",OR(B91="",C91="",D91="")),",","")&amp;IF(B91="","雇用形態","")&amp;IF(AND(B91="",OR(C91="",D91="")),",","")&amp;IF(OR(入力シート!$J$18=入力リスト!$K$4,入力シート!$J$22=入力リスト!$K$4),IF(C91="","入社年月日",""),"")&amp;IF(AND(C91="",D91=""),",","")&amp;IF(D91="","性別","")&amp;IF(IF(A91="","従業員番号","")&amp;IF(B91="","雇用形態","")&amp;IF(OR(入力シート!$J$18=入力リスト!$K$4,入力シート!$J$22=入力リスト!$K$4),IF(C91="","入社年月日",""),"")&amp;IF(D91="","性別","")="","","が空白です。"),IF(J91,"入社年月日に「基準日」の翌日以降の日付が入力されています。","")&amp;IF(I91,"入社年月日に数値以外（又は1900/1/1以前の日付）が入力されています。","")&amp;IF(H91,"雇用形態"&amp;IF(OR(K91,L91),",",""),"")&amp;IF(K91,"性別"&amp;IF(L91,",",""),"")&amp;IF(L91,"役職","")&amp;IF(OR(H91,K91,L91),"に、［入力シート］(4)「貴社」欄と異なる文言が入力されています。","")))))</f>
        <v/>
      </c>
      <c r="G91" s="236" t="b">
        <f>COUNTIF($A$4:A90,$A91)&gt;0</f>
        <v>0</v>
      </c>
      <c r="H91" s="237" t="b">
        <f>IF(COUNTIF(入力シート!$J$16:$S$23,入力リスト!$K$4)=0,FALSE,IF(入力シート!$J$16=入力リスト!$K$5,FALSE,ISERROR(VLOOKUP(B91,入力シート!$S$37:$V$62,1,0))))</f>
        <v>0</v>
      </c>
      <c r="I91" s="237" t="b">
        <f>IF(AND(OR(入力シート!$J$18=入力リスト!$K$4,入力シート!$J$22=入力リスト!$K$4),入力シート!$J$24&lt;&gt;""),IF(ISERROR(C91+1),TRUE,IF(ISNUMBER(C91),FALSE,TRUE)),FALSE)</f>
        <v>0</v>
      </c>
      <c r="J91" s="237" t="b">
        <f>IF(AND(入力シート!$J$18=入力リスト!$K$4,入力シート!$J$22=入力リスト!$K$4),FALSE,IF(I91=TRUE,FALSE,IF(ISERROR(C91+1),FALSE,C91&gt;入力シート!$J$24)))</f>
        <v>0</v>
      </c>
      <c r="K91" s="237" t="b">
        <f>IF(COUNTIF(入力シート!$J$16:$S$23,入力リスト!$K$4)=0,FALSE,IF(AND(入力シート!$J$16&lt;&gt;入力リスト!$K$5,入力シート!$J$18&lt;&gt;入力リスト!$K$5,入力シート!$J$20&lt;&gt;入力リスト!$K$5,入力シート!$J$22&lt;&gt;入力リスト!$K$5),FALSE,ISERROR(VLOOKUP(D91,入力シート!$AW$37:$AY$38,1,0))))</f>
        <v>0</v>
      </c>
      <c r="L91" s="237" t="b">
        <f>IF(COUNTIF(入力シート!$J$16:$S$23,入力リスト!$K$4)=0,FALSE,IF(入力シート!$J$20=入力リスト!$K$5,FALSE,IF(E91="",FALSE,ISERROR(VLOOKUP(E91,入力シート!$AH$37:$AK$62,1,0)))))</f>
        <v>0</v>
      </c>
      <c r="M91" s="238" t="str">
        <f t="shared" si="1"/>
        <v/>
      </c>
      <c r="N91" s="236" t="str">
        <f>IF(B91="","",VLOOKUP('従業員情報(給与以外)'!$B91,入力シート!$S$37:$Z$62,5,0))</f>
        <v/>
      </c>
      <c r="O91" s="182" t="str">
        <f>IF(ISNUMBER(C91)=FALSE,"",IF(C91&gt;入力シート!$J$24,"",_xlfn.DAYS(入力シート!$J$24,'従業員情報(給与以外)'!$C91)/365))</f>
        <v/>
      </c>
      <c r="P91" s="237" t="str">
        <f>IF(O91="","",VLOOKUP(_xlfn.DAYS(入力シート!$J$24,'従業員情報(給与以外)'!$C91)/365,入力リスト!$H$4:$I$12,2,2))</f>
        <v/>
      </c>
      <c r="Q91" s="236" t="str">
        <f>IF(D91="","",VLOOKUP('従業員情報(給与以外)'!$D91,入力シート!$AW$37:$BB$38,4,0))</f>
        <v/>
      </c>
      <c r="R91" s="236" t="str">
        <f>IF(A91="","",IF(E91="","非役職",VLOOKUP('従業員情報(給与以外)'!$E91,入力シート!$AH$37:$AO$62,5,0)))</f>
        <v/>
      </c>
      <c r="S91" s="116" t="str">
        <f>IF(OR(入力シート!$C$5&lt;&gt;入力リスト!$N$4,COUNTIF(入力シート!$J$16:$S$23,入力リスト!$K$4)=0),"",IF($A91="","",IF(ISERROR(AVERAGEIF(従業員の給与情報!$B:$B,$A91,従業員の給与情報!$C:$C)),0,IF(ISERROR(AVERAGEIF(従業員の給与情報!$B:$B,$A91,従業員の給与情報!$C:$C)),0,AVERAGEIF(従業員の給与情報!$B:$B,$A91,従業員の給与情報!$C:$C)))))</f>
        <v/>
      </c>
      <c r="T91" s="116" t="str">
        <f>IF(OR(入力シート!$C$5&lt;&gt;入力リスト!$N$4,COUNTIF(入力シート!$J$16:$S$23,入力リスト!$K$4)=0),"",IF(A91="","",IF(ISERROR(AVERAGEIF(従業員の給与情報!$B:$B,$A91,従業員の給与情報!$D:$D)),0,IF(ISERROR(AVERAGEIF(従業員の給与情報!$B:$B,$A91,従業員の給与情報!$D:$D)),0,AVERAGEIF(従業員の給与情報!$B:$B,$A91,従業員の給与情報!$D:$D)))))</f>
        <v/>
      </c>
      <c r="U91" s="116" t="str">
        <f>IF(OR(入力シート!$C$5&lt;&gt;入力リスト!$N$4,COUNTIF(入力シート!$J$16:$S$23,入力リスト!$K$4)=0),"",IF(A91="","",IF(ISERROR(AVERAGEIF(従業員の給与情報!$B:$B,$A91,従業員の給与情報!$E:$E)),0,IF(ISERROR(AVERAGEIF(従業員の給与情報!$B:$B,$A91,従業員の給与情報!$E:$E)),0,AVERAGEIF(従業員の給与情報!$B:$B,$A91,従業員の給与情報!$E:$E)))))</f>
        <v/>
      </c>
      <c r="V91" s="117" t="str">
        <f>IF(OR(入力シート!$C$5&lt;&gt;入力リスト!$N$4,COUNTIF(入力シート!$J$16:$S$23,入力リスト!$K$4)=0),"",IF(A91="","",IF(ISERROR(AVERAGEIF(従業員の給与情報!$B:$B,$A91,従業員の給与情報!$F:$F)),0,IF(ISERROR(AVERAGEIF(従業員の給与情報!$B:$B,$A91,従業員の給与情報!$F:$F)),0,AVERAGEIF(従業員の給与情報!$B:$B,$A91,従業員の給与情報!$F:$F)))))</f>
        <v/>
      </c>
      <c r="W91" s="182"/>
      <c r="X91" s="260"/>
    </row>
    <row r="92" spans="1:24" ht="19.5">
      <c r="A92" s="367"/>
      <c r="B92" s="364"/>
      <c r="C92" s="365"/>
      <c r="D92" s="366"/>
      <c r="E92" s="367"/>
      <c r="F92" s="372" t="str">
        <f>IF(G92,"この従業員番号は、すでに他のセルで入力されています。",IF(入力シート!$C$5=入力リスト!$N$5,"",IF(AND(A92="",B92="",C92="",D92="",E92=""),"",IF(OR(A92="",B92="",C92="",D92=""),IF(A92="","従業員番号","")&amp;IF(AND(A92="",OR(B92="",C92="",D92="")),",","")&amp;IF(B92="","雇用形態","")&amp;IF(AND(B92="",OR(C92="",D92="")),",","")&amp;IF(OR(入力シート!$J$18=入力リスト!$K$4,入力シート!$J$22=入力リスト!$K$4),IF(C92="","入社年月日",""),"")&amp;IF(AND(C92="",D92=""),",","")&amp;IF(D92="","性別","")&amp;IF(IF(A92="","従業員番号","")&amp;IF(B92="","雇用形態","")&amp;IF(OR(入力シート!$J$18=入力リスト!$K$4,入力シート!$J$22=入力リスト!$K$4),IF(C92="","入社年月日",""),"")&amp;IF(D92="","性別","")="","","が空白です。"),IF(J92,"入社年月日に「基準日」の翌日以降の日付が入力されています。","")&amp;IF(I92,"入社年月日に数値以外（又は1900/1/1以前の日付）が入力されています。","")&amp;IF(H92,"雇用形態"&amp;IF(OR(K92,L92),",",""),"")&amp;IF(K92,"性別"&amp;IF(L92,",",""),"")&amp;IF(L92,"役職","")&amp;IF(OR(H92,K92,L92),"に、［入力シート］(4)「貴社」欄と異なる文言が入力されています。","")))))</f>
        <v/>
      </c>
      <c r="G92" s="236" t="b">
        <f>COUNTIF($A$4:A91,$A92)&gt;0</f>
        <v>0</v>
      </c>
      <c r="H92" s="237" t="b">
        <f>IF(COUNTIF(入力シート!$J$16:$S$23,入力リスト!$K$4)=0,FALSE,IF(入力シート!$J$16=入力リスト!$K$5,FALSE,ISERROR(VLOOKUP(B92,入力シート!$S$37:$V$62,1,0))))</f>
        <v>0</v>
      </c>
      <c r="I92" s="237" t="b">
        <f>IF(AND(OR(入力シート!$J$18=入力リスト!$K$4,入力シート!$J$22=入力リスト!$K$4),入力シート!$J$24&lt;&gt;""),IF(ISERROR(C92+1),TRUE,IF(ISNUMBER(C92),FALSE,TRUE)),FALSE)</f>
        <v>0</v>
      </c>
      <c r="J92" s="237" t="b">
        <f>IF(AND(入力シート!$J$18=入力リスト!$K$4,入力シート!$J$22=入力リスト!$K$4),FALSE,IF(I92=TRUE,FALSE,IF(ISERROR(C92+1),FALSE,C92&gt;入力シート!$J$24)))</f>
        <v>0</v>
      </c>
      <c r="K92" s="237" t="b">
        <f>IF(COUNTIF(入力シート!$J$16:$S$23,入力リスト!$K$4)=0,FALSE,IF(AND(入力シート!$J$16&lt;&gt;入力リスト!$K$5,入力シート!$J$18&lt;&gt;入力リスト!$K$5,入力シート!$J$20&lt;&gt;入力リスト!$K$5,入力シート!$J$22&lt;&gt;入力リスト!$K$5),FALSE,ISERROR(VLOOKUP(D92,入力シート!$AW$37:$AY$38,1,0))))</f>
        <v>0</v>
      </c>
      <c r="L92" s="237" t="b">
        <f>IF(COUNTIF(入力シート!$J$16:$S$23,入力リスト!$K$4)=0,FALSE,IF(入力シート!$J$20=入力リスト!$K$5,FALSE,IF(E92="",FALSE,ISERROR(VLOOKUP(E92,入力シート!$AH$37:$AK$62,1,0)))))</f>
        <v>0</v>
      </c>
      <c r="M92" s="238" t="str">
        <f t="shared" si="1"/>
        <v/>
      </c>
      <c r="N92" s="236" t="str">
        <f>IF(B92="","",VLOOKUP('従業員情報(給与以外)'!$B92,入力シート!$S$37:$Z$62,5,0))</f>
        <v/>
      </c>
      <c r="O92" s="182" t="str">
        <f>IF(ISNUMBER(C92)=FALSE,"",IF(C92&gt;入力シート!$J$24,"",_xlfn.DAYS(入力シート!$J$24,'従業員情報(給与以外)'!$C92)/365))</f>
        <v/>
      </c>
      <c r="P92" s="237" t="str">
        <f>IF(O92="","",VLOOKUP(_xlfn.DAYS(入力シート!$J$24,'従業員情報(給与以外)'!$C92)/365,入力リスト!$H$4:$I$12,2,2))</f>
        <v/>
      </c>
      <c r="Q92" s="236" t="str">
        <f>IF(D92="","",VLOOKUP('従業員情報(給与以外)'!$D92,入力シート!$AW$37:$BB$38,4,0))</f>
        <v/>
      </c>
      <c r="R92" s="236" t="str">
        <f>IF(A92="","",IF(E92="","非役職",VLOOKUP('従業員情報(給与以外)'!$E92,入力シート!$AH$37:$AO$62,5,0)))</f>
        <v/>
      </c>
      <c r="S92" s="116" t="str">
        <f>IF(OR(入力シート!$C$5&lt;&gt;入力リスト!$N$4,COUNTIF(入力シート!$J$16:$S$23,入力リスト!$K$4)=0),"",IF($A92="","",IF(ISERROR(AVERAGEIF(従業員の給与情報!$B:$B,$A92,従業員の給与情報!$C:$C)),0,IF(ISERROR(AVERAGEIF(従業員の給与情報!$B:$B,$A92,従業員の給与情報!$C:$C)),0,AVERAGEIF(従業員の給与情報!$B:$B,$A92,従業員の給与情報!$C:$C)))))</f>
        <v/>
      </c>
      <c r="T92" s="116" t="str">
        <f>IF(OR(入力シート!$C$5&lt;&gt;入力リスト!$N$4,COUNTIF(入力シート!$J$16:$S$23,入力リスト!$K$4)=0),"",IF(A92="","",IF(ISERROR(AVERAGEIF(従業員の給与情報!$B:$B,$A92,従業員の給与情報!$D:$D)),0,IF(ISERROR(AVERAGEIF(従業員の給与情報!$B:$B,$A92,従業員の給与情報!$D:$D)),0,AVERAGEIF(従業員の給与情報!$B:$B,$A92,従業員の給与情報!$D:$D)))))</f>
        <v/>
      </c>
      <c r="U92" s="116" t="str">
        <f>IF(OR(入力シート!$C$5&lt;&gt;入力リスト!$N$4,COUNTIF(入力シート!$J$16:$S$23,入力リスト!$K$4)=0),"",IF(A92="","",IF(ISERROR(AVERAGEIF(従業員の給与情報!$B:$B,$A92,従業員の給与情報!$E:$E)),0,IF(ISERROR(AVERAGEIF(従業員の給与情報!$B:$B,$A92,従業員の給与情報!$E:$E)),0,AVERAGEIF(従業員の給与情報!$B:$B,$A92,従業員の給与情報!$E:$E)))))</f>
        <v/>
      </c>
      <c r="V92" s="117" t="str">
        <f>IF(OR(入力シート!$C$5&lt;&gt;入力リスト!$N$4,COUNTIF(入力シート!$J$16:$S$23,入力リスト!$K$4)=0),"",IF(A92="","",IF(ISERROR(AVERAGEIF(従業員の給与情報!$B:$B,$A92,従業員の給与情報!$F:$F)),0,IF(ISERROR(AVERAGEIF(従業員の給与情報!$B:$B,$A92,従業員の給与情報!$F:$F)),0,AVERAGEIF(従業員の給与情報!$B:$B,$A92,従業員の給与情報!$F:$F)))))</f>
        <v/>
      </c>
      <c r="W92" s="182"/>
      <c r="X92" s="260"/>
    </row>
    <row r="93" spans="1:24" ht="19.5">
      <c r="A93" s="367"/>
      <c r="B93" s="364"/>
      <c r="C93" s="365"/>
      <c r="D93" s="366"/>
      <c r="E93" s="367"/>
      <c r="F93" s="372" t="str">
        <f>IF(G93,"この従業員番号は、すでに他のセルで入力されています。",IF(入力シート!$C$5=入力リスト!$N$5,"",IF(AND(A93="",B93="",C93="",D93="",E93=""),"",IF(OR(A93="",B93="",C93="",D93=""),IF(A93="","従業員番号","")&amp;IF(AND(A93="",OR(B93="",C93="",D93="")),",","")&amp;IF(B93="","雇用形態","")&amp;IF(AND(B93="",OR(C93="",D93="")),",","")&amp;IF(OR(入力シート!$J$18=入力リスト!$K$4,入力シート!$J$22=入力リスト!$K$4),IF(C93="","入社年月日",""),"")&amp;IF(AND(C93="",D93=""),",","")&amp;IF(D93="","性別","")&amp;IF(IF(A93="","従業員番号","")&amp;IF(B93="","雇用形態","")&amp;IF(OR(入力シート!$J$18=入力リスト!$K$4,入力シート!$J$22=入力リスト!$K$4),IF(C93="","入社年月日",""),"")&amp;IF(D93="","性別","")="","","が空白です。"),IF(J93,"入社年月日に「基準日」の翌日以降の日付が入力されています。","")&amp;IF(I93,"入社年月日に数値以外（又は1900/1/1以前の日付）が入力されています。","")&amp;IF(H93,"雇用形態"&amp;IF(OR(K93,L93),",",""),"")&amp;IF(K93,"性別"&amp;IF(L93,",",""),"")&amp;IF(L93,"役職","")&amp;IF(OR(H93,K93,L93),"に、［入力シート］(4)「貴社」欄と異なる文言が入力されています。","")))))</f>
        <v/>
      </c>
      <c r="G93" s="236" t="b">
        <f>COUNTIF($A$4:A92,$A93)&gt;0</f>
        <v>0</v>
      </c>
      <c r="H93" s="237" t="b">
        <f>IF(COUNTIF(入力シート!$J$16:$S$23,入力リスト!$K$4)=0,FALSE,IF(入力シート!$J$16=入力リスト!$K$5,FALSE,ISERROR(VLOOKUP(B93,入力シート!$S$37:$V$62,1,0))))</f>
        <v>0</v>
      </c>
      <c r="I93" s="237" t="b">
        <f>IF(AND(OR(入力シート!$J$18=入力リスト!$K$4,入力シート!$J$22=入力リスト!$K$4),入力シート!$J$24&lt;&gt;""),IF(ISERROR(C93+1),TRUE,IF(ISNUMBER(C93),FALSE,TRUE)),FALSE)</f>
        <v>0</v>
      </c>
      <c r="J93" s="237" t="b">
        <f>IF(AND(入力シート!$J$18=入力リスト!$K$4,入力シート!$J$22=入力リスト!$K$4),FALSE,IF(I93=TRUE,FALSE,IF(ISERROR(C93+1),FALSE,C93&gt;入力シート!$J$24)))</f>
        <v>0</v>
      </c>
      <c r="K93" s="237" t="b">
        <f>IF(COUNTIF(入力シート!$J$16:$S$23,入力リスト!$K$4)=0,FALSE,IF(AND(入力シート!$J$16&lt;&gt;入力リスト!$K$5,入力シート!$J$18&lt;&gt;入力リスト!$K$5,入力シート!$J$20&lt;&gt;入力リスト!$K$5,入力シート!$J$22&lt;&gt;入力リスト!$K$5),FALSE,ISERROR(VLOOKUP(D93,入力シート!$AW$37:$AY$38,1,0))))</f>
        <v>0</v>
      </c>
      <c r="L93" s="237" t="b">
        <f>IF(COUNTIF(入力シート!$J$16:$S$23,入力リスト!$K$4)=0,FALSE,IF(入力シート!$J$20=入力リスト!$K$5,FALSE,IF(E93="",FALSE,ISERROR(VLOOKUP(E93,入力シート!$AH$37:$AK$62,1,0)))))</f>
        <v>0</v>
      </c>
      <c r="M93" s="238" t="str">
        <f t="shared" si="1"/>
        <v/>
      </c>
      <c r="N93" s="236" t="str">
        <f>IF(B93="","",VLOOKUP('従業員情報(給与以外)'!$B93,入力シート!$S$37:$Z$62,5,0))</f>
        <v/>
      </c>
      <c r="O93" s="182" t="str">
        <f>IF(ISNUMBER(C93)=FALSE,"",IF(C93&gt;入力シート!$J$24,"",_xlfn.DAYS(入力シート!$J$24,'従業員情報(給与以外)'!$C93)/365))</f>
        <v/>
      </c>
      <c r="P93" s="237" t="str">
        <f>IF(O93="","",VLOOKUP(_xlfn.DAYS(入力シート!$J$24,'従業員情報(給与以外)'!$C93)/365,入力リスト!$H$4:$I$12,2,2))</f>
        <v/>
      </c>
      <c r="Q93" s="236" t="str">
        <f>IF(D93="","",VLOOKUP('従業員情報(給与以外)'!$D93,入力シート!$AW$37:$BB$38,4,0))</f>
        <v/>
      </c>
      <c r="R93" s="236" t="str">
        <f>IF(A93="","",IF(E93="","非役職",VLOOKUP('従業員情報(給与以外)'!$E93,入力シート!$AH$37:$AO$62,5,0)))</f>
        <v/>
      </c>
      <c r="S93" s="116" t="str">
        <f>IF(OR(入力シート!$C$5&lt;&gt;入力リスト!$N$4,COUNTIF(入力シート!$J$16:$S$23,入力リスト!$K$4)=0),"",IF($A93="","",IF(ISERROR(AVERAGEIF(従業員の給与情報!$B:$B,$A93,従業員の給与情報!$C:$C)),0,IF(ISERROR(AVERAGEIF(従業員の給与情報!$B:$B,$A93,従業員の給与情報!$C:$C)),0,AVERAGEIF(従業員の給与情報!$B:$B,$A93,従業員の給与情報!$C:$C)))))</f>
        <v/>
      </c>
      <c r="T93" s="116" t="str">
        <f>IF(OR(入力シート!$C$5&lt;&gt;入力リスト!$N$4,COUNTIF(入力シート!$J$16:$S$23,入力リスト!$K$4)=0),"",IF(A93="","",IF(ISERROR(AVERAGEIF(従業員の給与情報!$B:$B,$A93,従業員の給与情報!$D:$D)),0,IF(ISERROR(AVERAGEIF(従業員の給与情報!$B:$B,$A93,従業員の給与情報!$D:$D)),0,AVERAGEIF(従業員の給与情報!$B:$B,$A93,従業員の給与情報!$D:$D)))))</f>
        <v/>
      </c>
      <c r="U93" s="116" t="str">
        <f>IF(OR(入力シート!$C$5&lt;&gt;入力リスト!$N$4,COUNTIF(入力シート!$J$16:$S$23,入力リスト!$K$4)=0),"",IF(A93="","",IF(ISERROR(AVERAGEIF(従業員の給与情報!$B:$B,$A93,従業員の給与情報!$E:$E)),0,IF(ISERROR(AVERAGEIF(従業員の給与情報!$B:$B,$A93,従業員の給与情報!$E:$E)),0,AVERAGEIF(従業員の給与情報!$B:$B,$A93,従業員の給与情報!$E:$E)))))</f>
        <v/>
      </c>
      <c r="V93" s="117" t="str">
        <f>IF(OR(入力シート!$C$5&lt;&gt;入力リスト!$N$4,COUNTIF(入力シート!$J$16:$S$23,入力リスト!$K$4)=0),"",IF(A93="","",IF(ISERROR(AVERAGEIF(従業員の給与情報!$B:$B,$A93,従業員の給与情報!$F:$F)),0,IF(ISERROR(AVERAGEIF(従業員の給与情報!$B:$B,$A93,従業員の給与情報!$F:$F)),0,AVERAGEIF(従業員の給与情報!$B:$B,$A93,従業員の給与情報!$F:$F)))))</f>
        <v/>
      </c>
      <c r="W93" s="182"/>
      <c r="X93" s="260"/>
    </row>
    <row r="94" spans="1:24" ht="19.5">
      <c r="A94" s="367"/>
      <c r="B94" s="364"/>
      <c r="C94" s="365"/>
      <c r="D94" s="366"/>
      <c r="E94" s="367"/>
      <c r="F94" s="372" t="str">
        <f>IF(G94,"この従業員番号は、すでに他のセルで入力されています。",IF(入力シート!$C$5=入力リスト!$N$5,"",IF(AND(A94="",B94="",C94="",D94="",E94=""),"",IF(OR(A94="",B94="",C94="",D94=""),IF(A94="","従業員番号","")&amp;IF(AND(A94="",OR(B94="",C94="",D94="")),",","")&amp;IF(B94="","雇用形態","")&amp;IF(AND(B94="",OR(C94="",D94="")),",","")&amp;IF(OR(入力シート!$J$18=入力リスト!$K$4,入力シート!$J$22=入力リスト!$K$4),IF(C94="","入社年月日",""),"")&amp;IF(AND(C94="",D94=""),",","")&amp;IF(D94="","性別","")&amp;IF(IF(A94="","従業員番号","")&amp;IF(B94="","雇用形態","")&amp;IF(OR(入力シート!$J$18=入力リスト!$K$4,入力シート!$J$22=入力リスト!$K$4),IF(C94="","入社年月日",""),"")&amp;IF(D94="","性別","")="","","が空白です。"),IF(J94,"入社年月日に「基準日」の翌日以降の日付が入力されています。","")&amp;IF(I94,"入社年月日に数値以外（又は1900/1/1以前の日付）が入力されています。","")&amp;IF(H94,"雇用形態"&amp;IF(OR(K94,L94),",",""),"")&amp;IF(K94,"性別"&amp;IF(L94,",",""),"")&amp;IF(L94,"役職","")&amp;IF(OR(H94,K94,L94),"に、［入力シート］(4)「貴社」欄と異なる文言が入力されています。","")))))</f>
        <v/>
      </c>
      <c r="G94" s="236" t="b">
        <f>COUNTIF($A$4:A93,$A94)&gt;0</f>
        <v>0</v>
      </c>
      <c r="H94" s="237" t="b">
        <f>IF(COUNTIF(入力シート!$J$16:$S$23,入力リスト!$K$4)=0,FALSE,IF(入力シート!$J$16=入力リスト!$K$5,FALSE,ISERROR(VLOOKUP(B94,入力シート!$S$37:$V$62,1,0))))</f>
        <v>0</v>
      </c>
      <c r="I94" s="237" t="b">
        <f>IF(AND(OR(入力シート!$J$18=入力リスト!$K$4,入力シート!$J$22=入力リスト!$K$4),入力シート!$J$24&lt;&gt;""),IF(ISERROR(C94+1),TRUE,IF(ISNUMBER(C94),FALSE,TRUE)),FALSE)</f>
        <v>0</v>
      </c>
      <c r="J94" s="237" t="b">
        <f>IF(AND(入力シート!$J$18=入力リスト!$K$4,入力シート!$J$22=入力リスト!$K$4),FALSE,IF(I94=TRUE,FALSE,IF(ISERROR(C94+1),FALSE,C94&gt;入力シート!$J$24)))</f>
        <v>0</v>
      </c>
      <c r="K94" s="237" t="b">
        <f>IF(COUNTIF(入力シート!$J$16:$S$23,入力リスト!$K$4)=0,FALSE,IF(AND(入力シート!$J$16&lt;&gt;入力リスト!$K$5,入力シート!$J$18&lt;&gt;入力リスト!$K$5,入力シート!$J$20&lt;&gt;入力リスト!$K$5,入力シート!$J$22&lt;&gt;入力リスト!$K$5),FALSE,ISERROR(VLOOKUP(D94,入力シート!$AW$37:$AY$38,1,0))))</f>
        <v>0</v>
      </c>
      <c r="L94" s="237" t="b">
        <f>IF(COUNTIF(入力シート!$J$16:$S$23,入力リスト!$K$4)=0,FALSE,IF(入力シート!$J$20=入力リスト!$K$5,FALSE,IF(E94="",FALSE,ISERROR(VLOOKUP(E94,入力シート!$AH$37:$AK$62,1,0)))))</f>
        <v>0</v>
      </c>
      <c r="M94" s="238" t="str">
        <f t="shared" si="1"/>
        <v/>
      </c>
      <c r="N94" s="236" t="str">
        <f>IF(B94="","",VLOOKUP('従業員情報(給与以外)'!$B94,入力シート!$S$37:$Z$62,5,0))</f>
        <v/>
      </c>
      <c r="O94" s="182" t="str">
        <f>IF(ISNUMBER(C94)=FALSE,"",IF(C94&gt;入力シート!$J$24,"",_xlfn.DAYS(入力シート!$J$24,'従業員情報(給与以外)'!$C94)/365))</f>
        <v/>
      </c>
      <c r="P94" s="237" t="str">
        <f>IF(O94="","",VLOOKUP(_xlfn.DAYS(入力シート!$J$24,'従業員情報(給与以外)'!$C94)/365,入力リスト!$H$4:$I$12,2,2))</f>
        <v/>
      </c>
      <c r="Q94" s="236" t="str">
        <f>IF(D94="","",VLOOKUP('従業員情報(給与以外)'!$D94,入力シート!$AW$37:$BB$38,4,0))</f>
        <v/>
      </c>
      <c r="R94" s="236" t="str">
        <f>IF(A94="","",IF(E94="","非役職",VLOOKUP('従業員情報(給与以外)'!$E94,入力シート!$AH$37:$AO$62,5,0)))</f>
        <v/>
      </c>
      <c r="S94" s="116" t="str">
        <f>IF(OR(入力シート!$C$5&lt;&gt;入力リスト!$N$4,COUNTIF(入力シート!$J$16:$S$23,入力リスト!$K$4)=0),"",IF($A94="","",IF(ISERROR(AVERAGEIF(従業員の給与情報!$B:$B,$A94,従業員の給与情報!$C:$C)),0,IF(ISERROR(AVERAGEIF(従業員の給与情報!$B:$B,$A94,従業員の給与情報!$C:$C)),0,AVERAGEIF(従業員の給与情報!$B:$B,$A94,従業員の給与情報!$C:$C)))))</f>
        <v/>
      </c>
      <c r="T94" s="116" t="str">
        <f>IF(OR(入力シート!$C$5&lt;&gt;入力リスト!$N$4,COUNTIF(入力シート!$J$16:$S$23,入力リスト!$K$4)=0),"",IF(A94="","",IF(ISERROR(AVERAGEIF(従業員の給与情報!$B:$B,$A94,従業員の給与情報!$D:$D)),0,IF(ISERROR(AVERAGEIF(従業員の給与情報!$B:$B,$A94,従業員の給与情報!$D:$D)),0,AVERAGEIF(従業員の給与情報!$B:$B,$A94,従業員の給与情報!$D:$D)))))</f>
        <v/>
      </c>
      <c r="U94" s="116" t="str">
        <f>IF(OR(入力シート!$C$5&lt;&gt;入力リスト!$N$4,COUNTIF(入力シート!$J$16:$S$23,入力リスト!$K$4)=0),"",IF(A94="","",IF(ISERROR(AVERAGEIF(従業員の給与情報!$B:$B,$A94,従業員の給与情報!$E:$E)),0,IF(ISERROR(AVERAGEIF(従業員の給与情報!$B:$B,$A94,従業員の給与情報!$E:$E)),0,AVERAGEIF(従業員の給与情報!$B:$B,$A94,従業員の給与情報!$E:$E)))))</f>
        <v/>
      </c>
      <c r="V94" s="117" t="str">
        <f>IF(OR(入力シート!$C$5&lt;&gt;入力リスト!$N$4,COUNTIF(入力シート!$J$16:$S$23,入力リスト!$K$4)=0),"",IF(A94="","",IF(ISERROR(AVERAGEIF(従業員の給与情報!$B:$B,$A94,従業員の給与情報!$F:$F)),0,IF(ISERROR(AVERAGEIF(従業員の給与情報!$B:$B,$A94,従業員の給与情報!$F:$F)),0,AVERAGEIF(従業員の給与情報!$B:$B,$A94,従業員の給与情報!$F:$F)))))</f>
        <v/>
      </c>
      <c r="W94" s="182"/>
      <c r="X94" s="260"/>
    </row>
    <row r="95" spans="1:24" ht="19.5">
      <c r="A95" s="367"/>
      <c r="B95" s="364"/>
      <c r="C95" s="365"/>
      <c r="D95" s="366"/>
      <c r="E95" s="367"/>
      <c r="F95" s="372" t="str">
        <f>IF(G95,"この従業員番号は、すでに他のセルで入力されています。",IF(入力シート!$C$5=入力リスト!$N$5,"",IF(AND(A95="",B95="",C95="",D95="",E95=""),"",IF(OR(A95="",B95="",C95="",D95=""),IF(A95="","従業員番号","")&amp;IF(AND(A95="",OR(B95="",C95="",D95="")),",","")&amp;IF(B95="","雇用形態","")&amp;IF(AND(B95="",OR(C95="",D95="")),",","")&amp;IF(OR(入力シート!$J$18=入力リスト!$K$4,入力シート!$J$22=入力リスト!$K$4),IF(C95="","入社年月日",""),"")&amp;IF(AND(C95="",D95=""),",","")&amp;IF(D95="","性別","")&amp;IF(IF(A95="","従業員番号","")&amp;IF(B95="","雇用形態","")&amp;IF(OR(入力シート!$J$18=入力リスト!$K$4,入力シート!$J$22=入力リスト!$K$4),IF(C95="","入社年月日",""),"")&amp;IF(D95="","性別","")="","","が空白です。"),IF(J95,"入社年月日に「基準日」の翌日以降の日付が入力されています。","")&amp;IF(I95,"入社年月日に数値以外（又は1900/1/1以前の日付）が入力されています。","")&amp;IF(H95,"雇用形態"&amp;IF(OR(K95,L95),",",""),"")&amp;IF(K95,"性別"&amp;IF(L95,",",""),"")&amp;IF(L95,"役職","")&amp;IF(OR(H95,K95,L95),"に、［入力シート］(4)「貴社」欄と異なる文言が入力されています。","")))))</f>
        <v/>
      </c>
      <c r="G95" s="236" t="b">
        <f>COUNTIF($A$4:A94,$A95)&gt;0</f>
        <v>0</v>
      </c>
      <c r="H95" s="237" t="b">
        <f>IF(COUNTIF(入力シート!$J$16:$S$23,入力リスト!$K$4)=0,FALSE,IF(入力シート!$J$16=入力リスト!$K$5,FALSE,ISERROR(VLOOKUP(B95,入力シート!$S$37:$V$62,1,0))))</f>
        <v>0</v>
      </c>
      <c r="I95" s="237" t="b">
        <f>IF(AND(OR(入力シート!$J$18=入力リスト!$K$4,入力シート!$J$22=入力リスト!$K$4),入力シート!$J$24&lt;&gt;""),IF(ISERROR(C95+1),TRUE,IF(ISNUMBER(C95),FALSE,TRUE)),FALSE)</f>
        <v>0</v>
      </c>
      <c r="J95" s="237" t="b">
        <f>IF(AND(入力シート!$J$18=入力リスト!$K$4,入力シート!$J$22=入力リスト!$K$4),FALSE,IF(I95=TRUE,FALSE,IF(ISERROR(C95+1),FALSE,C95&gt;入力シート!$J$24)))</f>
        <v>0</v>
      </c>
      <c r="K95" s="237" t="b">
        <f>IF(COUNTIF(入力シート!$J$16:$S$23,入力リスト!$K$4)=0,FALSE,IF(AND(入力シート!$J$16&lt;&gt;入力リスト!$K$5,入力シート!$J$18&lt;&gt;入力リスト!$K$5,入力シート!$J$20&lt;&gt;入力リスト!$K$5,入力シート!$J$22&lt;&gt;入力リスト!$K$5),FALSE,ISERROR(VLOOKUP(D95,入力シート!$AW$37:$AY$38,1,0))))</f>
        <v>0</v>
      </c>
      <c r="L95" s="237" t="b">
        <f>IF(COUNTIF(入力シート!$J$16:$S$23,入力リスト!$K$4)=0,FALSE,IF(入力シート!$J$20=入力リスト!$K$5,FALSE,IF(E95="",FALSE,ISERROR(VLOOKUP(E95,入力シート!$AH$37:$AK$62,1,0)))))</f>
        <v>0</v>
      </c>
      <c r="M95" s="238" t="str">
        <f t="shared" si="1"/>
        <v/>
      </c>
      <c r="N95" s="236" t="str">
        <f>IF(B95="","",VLOOKUP('従業員情報(給与以外)'!$B95,入力シート!$S$37:$Z$62,5,0))</f>
        <v/>
      </c>
      <c r="O95" s="182" t="str">
        <f>IF(ISNUMBER(C95)=FALSE,"",IF(C95&gt;入力シート!$J$24,"",_xlfn.DAYS(入力シート!$J$24,'従業員情報(給与以外)'!$C95)/365))</f>
        <v/>
      </c>
      <c r="P95" s="237" t="str">
        <f>IF(O95="","",VLOOKUP(_xlfn.DAYS(入力シート!$J$24,'従業員情報(給与以外)'!$C95)/365,入力リスト!$H$4:$I$12,2,2))</f>
        <v/>
      </c>
      <c r="Q95" s="236" t="str">
        <f>IF(D95="","",VLOOKUP('従業員情報(給与以外)'!$D95,入力シート!$AW$37:$BB$38,4,0))</f>
        <v/>
      </c>
      <c r="R95" s="236" t="str">
        <f>IF(A95="","",IF(E95="","非役職",VLOOKUP('従業員情報(給与以外)'!$E95,入力シート!$AH$37:$AO$62,5,0)))</f>
        <v/>
      </c>
      <c r="S95" s="116" t="str">
        <f>IF(OR(入力シート!$C$5&lt;&gt;入力リスト!$N$4,COUNTIF(入力シート!$J$16:$S$23,入力リスト!$K$4)=0),"",IF($A95="","",IF(ISERROR(AVERAGEIF(従業員の給与情報!$B:$B,$A95,従業員の給与情報!$C:$C)),0,IF(ISERROR(AVERAGEIF(従業員の給与情報!$B:$B,$A95,従業員の給与情報!$C:$C)),0,AVERAGEIF(従業員の給与情報!$B:$B,$A95,従業員の給与情報!$C:$C)))))</f>
        <v/>
      </c>
      <c r="T95" s="116" t="str">
        <f>IF(OR(入力シート!$C$5&lt;&gt;入力リスト!$N$4,COUNTIF(入力シート!$J$16:$S$23,入力リスト!$K$4)=0),"",IF(A95="","",IF(ISERROR(AVERAGEIF(従業員の給与情報!$B:$B,$A95,従業員の給与情報!$D:$D)),0,IF(ISERROR(AVERAGEIF(従業員の給与情報!$B:$B,$A95,従業員の給与情報!$D:$D)),0,AVERAGEIF(従業員の給与情報!$B:$B,$A95,従業員の給与情報!$D:$D)))))</f>
        <v/>
      </c>
      <c r="U95" s="116" t="str">
        <f>IF(OR(入力シート!$C$5&lt;&gt;入力リスト!$N$4,COUNTIF(入力シート!$J$16:$S$23,入力リスト!$K$4)=0),"",IF(A95="","",IF(ISERROR(AVERAGEIF(従業員の給与情報!$B:$B,$A95,従業員の給与情報!$E:$E)),0,IF(ISERROR(AVERAGEIF(従業員の給与情報!$B:$B,$A95,従業員の給与情報!$E:$E)),0,AVERAGEIF(従業員の給与情報!$B:$B,$A95,従業員の給与情報!$E:$E)))))</f>
        <v/>
      </c>
      <c r="V95" s="117" t="str">
        <f>IF(OR(入力シート!$C$5&lt;&gt;入力リスト!$N$4,COUNTIF(入力シート!$J$16:$S$23,入力リスト!$K$4)=0),"",IF(A95="","",IF(ISERROR(AVERAGEIF(従業員の給与情報!$B:$B,$A95,従業員の給与情報!$F:$F)),0,IF(ISERROR(AVERAGEIF(従業員の給与情報!$B:$B,$A95,従業員の給与情報!$F:$F)),0,AVERAGEIF(従業員の給与情報!$B:$B,$A95,従業員の給与情報!$F:$F)))))</f>
        <v/>
      </c>
      <c r="W95" s="182"/>
      <c r="X95" s="260"/>
    </row>
    <row r="96" spans="1:24" ht="19.5">
      <c r="A96" s="367"/>
      <c r="B96" s="364"/>
      <c r="C96" s="365"/>
      <c r="D96" s="366"/>
      <c r="E96" s="367"/>
      <c r="F96" s="372" t="str">
        <f>IF(G96,"この従業員番号は、すでに他のセルで入力されています。",IF(入力シート!$C$5=入力リスト!$N$5,"",IF(AND(A96="",B96="",C96="",D96="",E96=""),"",IF(OR(A96="",B96="",C96="",D96=""),IF(A96="","従業員番号","")&amp;IF(AND(A96="",OR(B96="",C96="",D96="")),",","")&amp;IF(B96="","雇用形態","")&amp;IF(AND(B96="",OR(C96="",D96="")),",","")&amp;IF(OR(入力シート!$J$18=入力リスト!$K$4,入力シート!$J$22=入力リスト!$K$4),IF(C96="","入社年月日",""),"")&amp;IF(AND(C96="",D96=""),",","")&amp;IF(D96="","性別","")&amp;IF(IF(A96="","従業員番号","")&amp;IF(B96="","雇用形態","")&amp;IF(OR(入力シート!$J$18=入力リスト!$K$4,入力シート!$J$22=入力リスト!$K$4),IF(C96="","入社年月日",""),"")&amp;IF(D96="","性別","")="","","が空白です。"),IF(J96,"入社年月日に「基準日」の翌日以降の日付が入力されています。","")&amp;IF(I96,"入社年月日に数値以外（又は1900/1/1以前の日付）が入力されています。","")&amp;IF(H96,"雇用形態"&amp;IF(OR(K96,L96),",",""),"")&amp;IF(K96,"性別"&amp;IF(L96,",",""),"")&amp;IF(L96,"役職","")&amp;IF(OR(H96,K96,L96),"に、［入力シート］(4)「貴社」欄と異なる文言が入力されています。","")))))</f>
        <v/>
      </c>
      <c r="G96" s="236" t="b">
        <f>COUNTIF($A$4:A95,$A96)&gt;0</f>
        <v>0</v>
      </c>
      <c r="H96" s="237" t="b">
        <f>IF(COUNTIF(入力シート!$J$16:$S$23,入力リスト!$K$4)=0,FALSE,IF(入力シート!$J$16=入力リスト!$K$5,FALSE,ISERROR(VLOOKUP(B96,入力シート!$S$37:$V$62,1,0))))</f>
        <v>0</v>
      </c>
      <c r="I96" s="237" t="b">
        <f>IF(AND(OR(入力シート!$J$18=入力リスト!$K$4,入力シート!$J$22=入力リスト!$K$4),入力シート!$J$24&lt;&gt;""),IF(ISERROR(C96+1),TRUE,IF(ISNUMBER(C96),FALSE,TRUE)),FALSE)</f>
        <v>0</v>
      </c>
      <c r="J96" s="237" t="b">
        <f>IF(AND(入力シート!$J$18=入力リスト!$K$4,入力シート!$J$22=入力リスト!$K$4),FALSE,IF(I96=TRUE,FALSE,IF(ISERROR(C96+1),FALSE,C96&gt;入力シート!$J$24)))</f>
        <v>0</v>
      </c>
      <c r="K96" s="237" t="b">
        <f>IF(COUNTIF(入力シート!$J$16:$S$23,入力リスト!$K$4)=0,FALSE,IF(AND(入力シート!$J$16&lt;&gt;入力リスト!$K$5,入力シート!$J$18&lt;&gt;入力リスト!$K$5,入力シート!$J$20&lt;&gt;入力リスト!$K$5,入力シート!$J$22&lt;&gt;入力リスト!$K$5),FALSE,ISERROR(VLOOKUP(D96,入力シート!$AW$37:$AY$38,1,0))))</f>
        <v>0</v>
      </c>
      <c r="L96" s="237" t="b">
        <f>IF(COUNTIF(入力シート!$J$16:$S$23,入力リスト!$K$4)=0,FALSE,IF(入力シート!$J$20=入力リスト!$K$5,FALSE,IF(E96="",FALSE,ISERROR(VLOOKUP(E96,入力シート!$AH$37:$AK$62,1,0)))))</f>
        <v>0</v>
      </c>
      <c r="M96" s="238" t="str">
        <f t="shared" si="1"/>
        <v/>
      </c>
      <c r="N96" s="236" t="str">
        <f>IF(B96="","",VLOOKUP('従業員情報(給与以外)'!$B96,入力シート!$S$37:$Z$62,5,0))</f>
        <v/>
      </c>
      <c r="O96" s="182" t="str">
        <f>IF(ISNUMBER(C96)=FALSE,"",IF(C96&gt;入力シート!$J$24,"",_xlfn.DAYS(入力シート!$J$24,'従業員情報(給与以外)'!$C96)/365))</f>
        <v/>
      </c>
      <c r="P96" s="237" t="str">
        <f>IF(O96="","",VLOOKUP(_xlfn.DAYS(入力シート!$J$24,'従業員情報(給与以外)'!$C96)/365,入力リスト!$H$4:$I$12,2,2))</f>
        <v/>
      </c>
      <c r="Q96" s="236" t="str">
        <f>IF(D96="","",VLOOKUP('従業員情報(給与以外)'!$D96,入力シート!$AW$37:$BB$38,4,0))</f>
        <v/>
      </c>
      <c r="R96" s="236" t="str">
        <f>IF(A96="","",IF(E96="","非役職",VLOOKUP('従業員情報(給与以外)'!$E96,入力シート!$AH$37:$AO$62,5,0)))</f>
        <v/>
      </c>
      <c r="S96" s="116" t="str">
        <f>IF(OR(入力シート!$C$5&lt;&gt;入力リスト!$N$4,COUNTIF(入力シート!$J$16:$S$23,入力リスト!$K$4)=0),"",IF($A96="","",IF(ISERROR(AVERAGEIF(従業員の給与情報!$B:$B,$A96,従業員の給与情報!$C:$C)),0,IF(ISERROR(AVERAGEIF(従業員の給与情報!$B:$B,$A96,従業員の給与情報!$C:$C)),0,AVERAGEIF(従業員の給与情報!$B:$B,$A96,従業員の給与情報!$C:$C)))))</f>
        <v/>
      </c>
      <c r="T96" s="116" t="str">
        <f>IF(OR(入力シート!$C$5&lt;&gt;入力リスト!$N$4,COUNTIF(入力シート!$J$16:$S$23,入力リスト!$K$4)=0),"",IF(A96="","",IF(ISERROR(AVERAGEIF(従業員の給与情報!$B:$B,$A96,従業員の給与情報!$D:$D)),0,IF(ISERROR(AVERAGEIF(従業員の給与情報!$B:$B,$A96,従業員の給与情報!$D:$D)),0,AVERAGEIF(従業員の給与情報!$B:$B,$A96,従業員の給与情報!$D:$D)))))</f>
        <v/>
      </c>
      <c r="U96" s="116" t="str">
        <f>IF(OR(入力シート!$C$5&lt;&gt;入力リスト!$N$4,COUNTIF(入力シート!$J$16:$S$23,入力リスト!$K$4)=0),"",IF(A96="","",IF(ISERROR(AVERAGEIF(従業員の給与情報!$B:$B,$A96,従業員の給与情報!$E:$E)),0,IF(ISERROR(AVERAGEIF(従業員の給与情報!$B:$B,$A96,従業員の給与情報!$E:$E)),0,AVERAGEIF(従業員の給与情報!$B:$B,$A96,従業員の給与情報!$E:$E)))))</f>
        <v/>
      </c>
      <c r="V96" s="117" t="str">
        <f>IF(OR(入力シート!$C$5&lt;&gt;入力リスト!$N$4,COUNTIF(入力シート!$J$16:$S$23,入力リスト!$K$4)=0),"",IF(A96="","",IF(ISERROR(AVERAGEIF(従業員の給与情報!$B:$B,$A96,従業員の給与情報!$F:$F)),0,IF(ISERROR(AVERAGEIF(従業員の給与情報!$B:$B,$A96,従業員の給与情報!$F:$F)),0,AVERAGEIF(従業員の給与情報!$B:$B,$A96,従業員の給与情報!$F:$F)))))</f>
        <v/>
      </c>
      <c r="W96" s="182"/>
      <c r="X96" s="260"/>
    </row>
    <row r="97" spans="1:24" ht="19.5">
      <c r="A97" s="367"/>
      <c r="B97" s="364"/>
      <c r="C97" s="365"/>
      <c r="D97" s="366"/>
      <c r="E97" s="364"/>
      <c r="F97" s="372" t="str">
        <f>IF(G97,"この従業員番号は、すでに他のセルで入力されています。",IF(入力シート!$C$5=入力リスト!$N$5,"",IF(AND(A97="",B97="",C97="",D97="",E97=""),"",IF(OR(A97="",B97="",C97="",D97=""),IF(A97="","従業員番号","")&amp;IF(AND(A97="",OR(B97="",C97="",D97="")),",","")&amp;IF(B97="","雇用形態","")&amp;IF(AND(B97="",OR(C97="",D97="")),",","")&amp;IF(OR(入力シート!$J$18=入力リスト!$K$4,入力シート!$J$22=入力リスト!$K$4),IF(C97="","入社年月日",""),"")&amp;IF(AND(C97="",D97=""),",","")&amp;IF(D97="","性別","")&amp;IF(IF(A97="","従業員番号","")&amp;IF(B97="","雇用形態","")&amp;IF(OR(入力シート!$J$18=入力リスト!$K$4,入力シート!$J$22=入力リスト!$K$4),IF(C97="","入社年月日",""),"")&amp;IF(D97="","性別","")="","","が空白です。"),IF(J97,"入社年月日に「基準日」の翌日以降の日付が入力されています。","")&amp;IF(I97,"入社年月日に数値以外（又は1900/1/1以前の日付）が入力されています。","")&amp;IF(H97,"雇用形態"&amp;IF(OR(K97,L97),",",""),"")&amp;IF(K97,"性別"&amp;IF(L97,",",""),"")&amp;IF(L97,"役職","")&amp;IF(OR(H97,K97,L97),"に、［入力シート］(4)「貴社」欄と異なる文言が入力されています。","")))))</f>
        <v/>
      </c>
      <c r="G97" s="236" t="b">
        <f>COUNTIF($A$4:A96,$A97)&gt;0</f>
        <v>0</v>
      </c>
      <c r="H97" s="237" t="b">
        <f>IF(COUNTIF(入力シート!$J$16:$S$23,入力リスト!$K$4)=0,FALSE,IF(入力シート!$J$16=入力リスト!$K$5,FALSE,ISERROR(VLOOKUP(B97,入力シート!$S$37:$V$62,1,0))))</f>
        <v>0</v>
      </c>
      <c r="I97" s="237" t="b">
        <f>IF(AND(OR(入力シート!$J$18=入力リスト!$K$4,入力シート!$J$22=入力リスト!$K$4),入力シート!$J$24&lt;&gt;""),IF(ISERROR(C97+1),TRUE,IF(ISNUMBER(C97),FALSE,TRUE)),FALSE)</f>
        <v>0</v>
      </c>
      <c r="J97" s="237" t="b">
        <f>IF(AND(入力シート!$J$18=入力リスト!$K$4,入力シート!$J$22=入力リスト!$K$4),FALSE,IF(I97=TRUE,FALSE,IF(ISERROR(C97+1),FALSE,C97&gt;入力シート!$J$24)))</f>
        <v>0</v>
      </c>
      <c r="K97" s="237" t="b">
        <f>IF(COUNTIF(入力シート!$J$16:$S$23,入力リスト!$K$4)=0,FALSE,IF(AND(入力シート!$J$16&lt;&gt;入力リスト!$K$5,入力シート!$J$18&lt;&gt;入力リスト!$K$5,入力シート!$J$20&lt;&gt;入力リスト!$K$5,入力シート!$J$22&lt;&gt;入力リスト!$K$5),FALSE,ISERROR(VLOOKUP(D97,入力シート!$AW$37:$AY$38,1,0))))</f>
        <v>0</v>
      </c>
      <c r="L97" s="237" t="b">
        <f>IF(COUNTIF(入力シート!$J$16:$S$23,入力リスト!$K$4)=0,FALSE,IF(入力シート!$J$20=入力リスト!$K$5,FALSE,IF(E97="",FALSE,ISERROR(VLOOKUP(E97,入力シート!$AH$37:$AK$62,1,0)))))</f>
        <v>0</v>
      </c>
      <c r="M97" s="238" t="str">
        <f t="shared" si="1"/>
        <v/>
      </c>
      <c r="N97" s="236" t="str">
        <f>IF(B97="","",VLOOKUP('従業員情報(給与以外)'!$B97,入力シート!$S$37:$Z$62,5,0))</f>
        <v/>
      </c>
      <c r="O97" s="182" t="str">
        <f>IF(ISNUMBER(C97)=FALSE,"",IF(C97&gt;入力シート!$J$24,"",_xlfn.DAYS(入力シート!$J$24,'従業員情報(給与以外)'!$C97)/365))</f>
        <v/>
      </c>
      <c r="P97" s="237" t="str">
        <f>IF(O97="","",VLOOKUP(_xlfn.DAYS(入力シート!$J$24,'従業員情報(給与以外)'!$C97)/365,入力リスト!$H$4:$I$12,2,2))</f>
        <v/>
      </c>
      <c r="Q97" s="236" t="str">
        <f>IF(D97="","",VLOOKUP('従業員情報(給与以外)'!$D97,入力シート!$AW$37:$BB$38,4,0))</f>
        <v/>
      </c>
      <c r="R97" s="236" t="str">
        <f>IF(A97="","",IF(E97="","非役職",VLOOKUP('従業員情報(給与以外)'!$E97,入力シート!$AH$37:$AO$62,5,0)))</f>
        <v/>
      </c>
      <c r="S97" s="116" t="str">
        <f>IF(OR(入力シート!$C$5&lt;&gt;入力リスト!$N$4,COUNTIF(入力シート!$J$16:$S$23,入力リスト!$K$4)=0),"",IF($A97="","",IF(ISERROR(AVERAGEIF(従業員の給与情報!$B:$B,$A97,従業員の給与情報!$C:$C)),0,IF(ISERROR(AVERAGEIF(従業員の給与情報!$B:$B,$A97,従業員の給与情報!$C:$C)),0,AVERAGEIF(従業員の給与情報!$B:$B,$A97,従業員の給与情報!$C:$C)))))</f>
        <v/>
      </c>
      <c r="T97" s="116" t="str">
        <f>IF(OR(入力シート!$C$5&lt;&gt;入力リスト!$N$4,COUNTIF(入力シート!$J$16:$S$23,入力リスト!$K$4)=0),"",IF(A97="","",IF(ISERROR(AVERAGEIF(従業員の給与情報!$B:$B,$A97,従業員の給与情報!$D:$D)),0,IF(ISERROR(AVERAGEIF(従業員の給与情報!$B:$B,$A97,従業員の給与情報!$D:$D)),0,AVERAGEIF(従業員の給与情報!$B:$B,$A97,従業員の給与情報!$D:$D)))))</f>
        <v/>
      </c>
      <c r="U97" s="116" t="str">
        <f>IF(OR(入力シート!$C$5&lt;&gt;入力リスト!$N$4,COUNTIF(入力シート!$J$16:$S$23,入力リスト!$K$4)=0),"",IF(A97="","",IF(ISERROR(AVERAGEIF(従業員の給与情報!$B:$B,$A97,従業員の給与情報!$E:$E)),0,IF(ISERROR(AVERAGEIF(従業員の給与情報!$B:$B,$A97,従業員の給与情報!$E:$E)),0,AVERAGEIF(従業員の給与情報!$B:$B,$A97,従業員の給与情報!$E:$E)))))</f>
        <v/>
      </c>
      <c r="V97" s="117" t="str">
        <f>IF(OR(入力シート!$C$5&lt;&gt;入力リスト!$N$4,COUNTIF(入力シート!$J$16:$S$23,入力リスト!$K$4)=0),"",IF(A97="","",IF(ISERROR(AVERAGEIF(従業員の給与情報!$B:$B,$A97,従業員の給与情報!$F:$F)),0,IF(ISERROR(AVERAGEIF(従業員の給与情報!$B:$B,$A97,従業員の給与情報!$F:$F)),0,AVERAGEIF(従業員の給与情報!$B:$B,$A97,従業員の給与情報!$F:$F)))))</f>
        <v/>
      </c>
      <c r="W97" s="182"/>
      <c r="X97" s="260"/>
    </row>
    <row r="98" spans="1:24" ht="19.5">
      <c r="A98" s="367"/>
      <c r="B98" s="364"/>
      <c r="C98" s="365"/>
      <c r="D98" s="366"/>
      <c r="E98" s="367"/>
      <c r="F98" s="372" t="str">
        <f>IF(G98,"この従業員番号は、すでに他のセルで入力されています。",IF(入力シート!$C$5=入力リスト!$N$5,"",IF(AND(A98="",B98="",C98="",D98="",E98=""),"",IF(OR(A98="",B98="",C98="",D98=""),IF(A98="","従業員番号","")&amp;IF(AND(A98="",OR(B98="",C98="",D98="")),",","")&amp;IF(B98="","雇用形態","")&amp;IF(AND(B98="",OR(C98="",D98="")),",","")&amp;IF(OR(入力シート!$J$18=入力リスト!$K$4,入力シート!$J$22=入力リスト!$K$4),IF(C98="","入社年月日",""),"")&amp;IF(AND(C98="",D98=""),",","")&amp;IF(D98="","性別","")&amp;IF(IF(A98="","従業員番号","")&amp;IF(B98="","雇用形態","")&amp;IF(OR(入力シート!$J$18=入力リスト!$K$4,入力シート!$J$22=入力リスト!$K$4),IF(C98="","入社年月日",""),"")&amp;IF(D98="","性別","")="","","が空白です。"),IF(J98,"入社年月日に「基準日」の翌日以降の日付が入力されています。","")&amp;IF(I98,"入社年月日に数値以外（又は1900/1/1以前の日付）が入力されています。","")&amp;IF(H98,"雇用形態"&amp;IF(OR(K98,L98),",",""),"")&amp;IF(K98,"性別"&amp;IF(L98,",",""),"")&amp;IF(L98,"役職","")&amp;IF(OR(H98,K98,L98),"に、［入力シート］(4)「貴社」欄と異なる文言が入力されています。","")))))</f>
        <v/>
      </c>
      <c r="G98" s="236" t="b">
        <f>COUNTIF($A$4:A97,$A98)&gt;0</f>
        <v>0</v>
      </c>
      <c r="H98" s="237" t="b">
        <f>IF(COUNTIF(入力シート!$J$16:$S$23,入力リスト!$K$4)=0,FALSE,IF(入力シート!$J$16=入力リスト!$K$5,FALSE,ISERROR(VLOOKUP(B98,入力シート!$S$37:$V$62,1,0))))</f>
        <v>0</v>
      </c>
      <c r="I98" s="237" t="b">
        <f>IF(AND(OR(入力シート!$J$18=入力リスト!$K$4,入力シート!$J$22=入力リスト!$K$4),入力シート!$J$24&lt;&gt;""),IF(ISERROR(C98+1),TRUE,IF(ISNUMBER(C98),FALSE,TRUE)),FALSE)</f>
        <v>0</v>
      </c>
      <c r="J98" s="237" t="b">
        <f>IF(AND(入力シート!$J$18=入力リスト!$K$4,入力シート!$J$22=入力リスト!$K$4),FALSE,IF(I98=TRUE,FALSE,IF(ISERROR(C98+1),FALSE,C98&gt;入力シート!$J$24)))</f>
        <v>0</v>
      </c>
      <c r="K98" s="237" t="b">
        <f>IF(COUNTIF(入力シート!$J$16:$S$23,入力リスト!$K$4)=0,FALSE,IF(AND(入力シート!$J$16&lt;&gt;入力リスト!$K$5,入力シート!$J$18&lt;&gt;入力リスト!$K$5,入力シート!$J$20&lt;&gt;入力リスト!$K$5,入力シート!$J$22&lt;&gt;入力リスト!$K$5),FALSE,ISERROR(VLOOKUP(D98,入力シート!$AW$37:$AY$38,1,0))))</f>
        <v>0</v>
      </c>
      <c r="L98" s="237" t="b">
        <f>IF(COUNTIF(入力シート!$J$16:$S$23,入力リスト!$K$4)=0,FALSE,IF(入力シート!$J$20=入力リスト!$K$5,FALSE,IF(E98="",FALSE,ISERROR(VLOOKUP(E98,入力シート!$AH$37:$AK$62,1,0)))))</f>
        <v>0</v>
      </c>
      <c r="M98" s="238" t="str">
        <f t="shared" si="1"/>
        <v/>
      </c>
      <c r="N98" s="236" t="str">
        <f>IF(B98="","",VLOOKUP('従業員情報(給与以外)'!$B98,入力シート!$S$37:$Z$62,5,0))</f>
        <v/>
      </c>
      <c r="O98" s="182" t="str">
        <f>IF(ISNUMBER(C98)=FALSE,"",IF(C98&gt;入力シート!$J$24,"",_xlfn.DAYS(入力シート!$J$24,'従業員情報(給与以外)'!$C98)/365))</f>
        <v/>
      </c>
      <c r="P98" s="237" t="str">
        <f>IF(O98="","",VLOOKUP(_xlfn.DAYS(入力シート!$J$24,'従業員情報(給与以外)'!$C98)/365,入力リスト!$H$4:$I$12,2,2))</f>
        <v/>
      </c>
      <c r="Q98" s="236" t="str">
        <f>IF(D98="","",VLOOKUP('従業員情報(給与以外)'!$D98,入力シート!$AW$37:$BB$38,4,0))</f>
        <v/>
      </c>
      <c r="R98" s="236" t="str">
        <f>IF(A98="","",IF(E98="","非役職",VLOOKUP('従業員情報(給与以外)'!$E98,入力シート!$AH$37:$AO$62,5,0)))</f>
        <v/>
      </c>
      <c r="S98" s="116" t="str">
        <f>IF(OR(入力シート!$C$5&lt;&gt;入力リスト!$N$4,COUNTIF(入力シート!$J$16:$S$23,入力リスト!$K$4)=0),"",IF($A98="","",IF(ISERROR(AVERAGEIF(従業員の給与情報!$B:$B,$A98,従業員の給与情報!$C:$C)),0,IF(ISERROR(AVERAGEIF(従業員の給与情報!$B:$B,$A98,従業員の給与情報!$C:$C)),0,AVERAGEIF(従業員の給与情報!$B:$B,$A98,従業員の給与情報!$C:$C)))))</f>
        <v/>
      </c>
      <c r="T98" s="116" t="str">
        <f>IF(OR(入力シート!$C$5&lt;&gt;入力リスト!$N$4,COUNTIF(入力シート!$J$16:$S$23,入力リスト!$K$4)=0),"",IF(A98="","",IF(ISERROR(AVERAGEIF(従業員の給与情報!$B:$B,$A98,従業員の給与情報!$D:$D)),0,IF(ISERROR(AVERAGEIF(従業員の給与情報!$B:$B,$A98,従業員の給与情報!$D:$D)),0,AVERAGEIF(従業員の給与情報!$B:$B,$A98,従業員の給与情報!$D:$D)))))</f>
        <v/>
      </c>
      <c r="U98" s="116" t="str">
        <f>IF(OR(入力シート!$C$5&lt;&gt;入力リスト!$N$4,COUNTIF(入力シート!$J$16:$S$23,入力リスト!$K$4)=0),"",IF(A98="","",IF(ISERROR(AVERAGEIF(従業員の給与情報!$B:$B,$A98,従業員の給与情報!$E:$E)),0,IF(ISERROR(AVERAGEIF(従業員の給与情報!$B:$B,$A98,従業員の給与情報!$E:$E)),0,AVERAGEIF(従業員の給与情報!$B:$B,$A98,従業員の給与情報!$E:$E)))))</f>
        <v/>
      </c>
      <c r="V98" s="117" t="str">
        <f>IF(OR(入力シート!$C$5&lt;&gt;入力リスト!$N$4,COUNTIF(入力シート!$J$16:$S$23,入力リスト!$K$4)=0),"",IF(A98="","",IF(ISERROR(AVERAGEIF(従業員の給与情報!$B:$B,$A98,従業員の給与情報!$F:$F)),0,IF(ISERROR(AVERAGEIF(従業員の給与情報!$B:$B,$A98,従業員の給与情報!$F:$F)),0,AVERAGEIF(従業員の給与情報!$B:$B,$A98,従業員の給与情報!$F:$F)))))</f>
        <v/>
      </c>
      <c r="W98" s="182"/>
      <c r="X98" s="260"/>
    </row>
    <row r="99" spans="1:24" ht="19.5">
      <c r="A99" s="367"/>
      <c r="B99" s="364"/>
      <c r="C99" s="365"/>
      <c r="D99" s="366"/>
      <c r="E99" s="367"/>
      <c r="F99" s="372" t="str">
        <f>IF(G99,"この従業員番号は、すでに他のセルで入力されています。",IF(入力シート!$C$5=入力リスト!$N$5,"",IF(AND(A99="",B99="",C99="",D99="",E99=""),"",IF(OR(A99="",B99="",C99="",D99=""),IF(A99="","従業員番号","")&amp;IF(AND(A99="",OR(B99="",C99="",D99="")),",","")&amp;IF(B99="","雇用形態","")&amp;IF(AND(B99="",OR(C99="",D99="")),",","")&amp;IF(OR(入力シート!$J$18=入力リスト!$K$4,入力シート!$J$22=入力リスト!$K$4),IF(C99="","入社年月日",""),"")&amp;IF(AND(C99="",D99=""),",","")&amp;IF(D99="","性別","")&amp;IF(IF(A99="","従業員番号","")&amp;IF(B99="","雇用形態","")&amp;IF(OR(入力シート!$J$18=入力リスト!$K$4,入力シート!$J$22=入力リスト!$K$4),IF(C99="","入社年月日",""),"")&amp;IF(D99="","性別","")="","","が空白です。"),IF(J99,"入社年月日に「基準日」の翌日以降の日付が入力されています。","")&amp;IF(I99,"入社年月日に数値以外（又は1900/1/1以前の日付）が入力されています。","")&amp;IF(H99,"雇用形態"&amp;IF(OR(K99,L99),",",""),"")&amp;IF(K99,"性別"&amp;IF(L99,",",""),"")&amp;IF(L99,"役職","")&amp;IF(OR(H99,K99,L99),"に、［入力シート］(4)「貴社」欄と異なる文言が入力されています。","")))))</f>
        <v/>
      </c>
      <c r="G99" s="236" t="b">
        <f>COUNTIF($A$4:A98,$A99)&gt;0</f>
        <v>0</v>
      </c>
      <c r="H99" s="237" t="b">
        <f>IF(COUNTIF(入力シート!$J$16:$S$23,入力リスト!$K$4)=0,FALSE,IF(入力シート!$J$16=入力リスト!$K$5,FALSE,ISERROR(VLOOKUP(B99,入力シート!$S$37:$V$62,1,0))))</f>
        <v>0</v>
      </c>
      <c r="I99" s="237" t="b">
        <f>IF(AND(OR(入力シート!$J$18=入力リスト!$K$4,入力シート!$J$22=入力リスト!$K$4),入力シート!$J$24&lt;&gt;""),IF(ISERROR(C99+1),TRUE,IF(ISNUMBER(C99),FALSE,TRUE)),FALSE)</f>
        <v>0</v>
      </c>
      <c r="J99" s="237" t="b">
        <f>IF(AND(入力シート!$J$18=入力リスト!$K$4,入力シート!$J$22=入力リスト!$K$4),FALSE,IF(I99=TRUE,FALSE,IF(ISERROR(C99+1),FALSE,C99&gt;入力シート!$J$24)))</f>
        <v>0</v>
      </c>
      <c r="K99" s="237" t="b">
        <f>IF(COUNTIF(入力シート!$J$16:$S$23,入力リスト!$K$4)=0,FALSE,IF(AND(入力シート!$J$16&lt;&gt;入力リスト!$K$5,入力シート!$J$18&lt;&gt;入力リスト!$K$5,入力シート!$J$20&lt;&gt;入力リスト!$K$5,入力シート!$J$22&lt;&gt;入力リスト!$K$5),FALSE,ISERROR(VLOOKUP(D99,入力シート!$AW$37:$AY$38,1,0))))</f>
        <v>0</v>
      </c>
      <c r="L99" s="237" t="b">
        <f>IF(COUNTIF(入力シート!$J$16:$S$23,入力リスト!$K$4)=0,FALSE,IF(入力シート!$J$20=入力リスト!$K$5,FALSE,IF(E99="",FALSE,ISERROR(VLOOKUP(E99,入力シート!$AH$37:$AK$62,1,0)))))</f>
        <v>0</v>
      </c>
      <c r="M99" s="238" t="str">
        <f t="shared" si="1"/>
        <v/>
      </c>
      <c r="N99" s="236" t="str">
        <f>IF(B99="","",VLOOKUP('従業員情報(給与以外)'!$B99,入力シート!$S$37:$Z$62,5,0))</f>
        <v/>
      </c>
      <c r="O99" s="182" t="str">
        <f>IF(ISNUMBER(C99)=FALSE,"",IF(C99&gt;入力シート!$J$24,"",_xlfn.DAYS(入力シート!$J$24,'従業員情報(給与以外)'!$C99)/365))</f>
        <v/>
      </c>
      <c r="P99" s="237" t="str">
        <f>IF(O99="","",VLOOKUP(_xlfn.DAYS(入力シート!$J$24,'従業員情報(給与以外)'!$C99)/365,入力リスト!$H$4:$I$12,2,2))</f>
        <v/>
      </c>
      <c r="Q99" s="236" t="str">
        <f>IF(D99="","",VLOOKUP('従業員情報(給与以外)'!$D99,入力シート!$AW$37:$BB$38,4,0))</f>
        <v/>
      </c>
      <c r="R99" s="236" t="str">
        <f>IF(A99="","",IF(E99="","非役職",VLOOKUP('従業員情報(給与以外)'!$E99,入力シート!$AH$37:$AO$62,5,0)))</f>
        <v/>
      </c>
      <c r="S99" s="116" t="str">
        <f>IF(OR(入力シート!$C$5&lt;&gt;入力リスト!$N$4,COUNTIF(入力シート!$J$16:$S$23,入力リスト!$K$4)=0),"",IF($A99="","",IF(ISERROR(AVERAGEIF(従業員の給与情報!$B:$B,$A99,従業員の給与情報!$C:$C)),0,IF(ISERROR(AVERAGEIF(従業員の給与情報!$B:$B,$A99,従業員の給与情報!$C:$C)),0,AVERAGEIF(従業員の給与情報!$B:$B,$A99,従業員の給与情報!$C:$C)))))</f>
        <v/>
      </c>
      <c r="T99" s="116" t="str">
        <f>IF(OR(入力シート!$C$5&lt;&gt;入力リスト!$N$4,COUNTIF(入力シート!$J$16:$S$23,入力リスト!$K$4)=0),"",IF(A99="","",IF(ISERROR(AVERAGEIF(従業員の給与情報!$B:$B,$A99,従業員の給与情報!$D:$D)),0,IF(ISERROR(AVERAGEIF(従業員の給与情報!$B:$B,$A99,従業員の給与情報!$D:$D)),0,AVERAGEIF(従業員の給与情報!$B:$B,$A99,従業員の給与情報!$D:$D)))))</f>
        <v/>
      </c>
      <c r="U99" s="116" t="str">
        <f>IF(OR(入力シート!$C$5&lt;&gt;入力リスト!$N$4,COUNTIF(入力シート!$J$16:$S$23,入力リスト!$K$4)=0),"",IF(A99="","",IF(ISERROR(AVERAGEIF(従業員の給与情報!$B:$B,$A99,従業員の給与情報!$E:$E)),0,IF(ISERROR(AVERAGEIF(従業員の給与情報!$B:$B,$A99,従業員の給与情報!$E:$E)),0,AVERAGEIF(従業員の給与情報!$B:$B,$A99,従業員の給与情報!$E:$E)))))</f>
        <v/>
      </c>
      <c r="V99" s="117" t="str">
        <f>IF(OR(入力シート!$C$5&lt;&gt;入力リスト!$N$4,COUNTIF(入力シート!$J$16:$S$23,入力リスト!$K$4)=0),"",IF(A99="","",IF(ISERROR(AVERAGEIF(従業員の給与情報!$B:$B,$A99,従業員の給与情報!$F:$F)),0,IF(ISERROR(AVERAGEIF(従業員の給与情報!$B:$B,$A99,従業員の給与情報!$F:$F)),0,AVERAGEIF(従業員の給与情報!$B:$B,$A99,従業員の給与情報!$F:$F)))))</f>
        <v/>
      </c>
      <c r="W99" s="182"/>
      <c r="X99" s="260"/>
    </row>
    <row r="100" spans="1:24" ht="19.5">
      <c r="A100" s="367"/>
      <c r="B100" s="364"/>
      <c r="C100" s="365"/>
      <c r="D100" s="366"/>
      <c r="E100" s="367"/>
      <c r="F100" s="372" t="str">
        <f>IF(G100,"この従業員番号は、すでに他のセルで入力されています。",IF(入力シート!$C$5=入力リスト!$N$5,"",IF(AND(A100="",B100="",C100="",D100="",E100=""),"",IF(OR(A100="",B100="",C100="",D100=""),IF(A100="","従業員番号","")&amp;IF(AND(A100="",OR(B100="",C100="",D100="")),",","")&amp;IF(B100="","雇用形態","")&amp;IF(AND(B100="",OR(C100="",D100="")),",","")&amp;IF(OR(入力シート!$J$18=入力リスト!$K$4,入力シート!$J$22=入力リスト!$K$4),IF(C100="","入社年月日",""),"")&amp;IF(AND(C100="",D100=""),",","")&amp;IF(D100="","性別","")&amp;IF(IF(A100="","従業員番号","")&amp;IF(B100="","雇用形態","")&amp;IF(OR(入力シート!$J$18=入力リスト!$K$4,入力シート!$J$22=入力リスト!$K$4),IF(C100="","入社年月日",""),"")&amp;IF(D100="","性別","")="","","が空白です。"),IF(J100,"入社年月日に「基準日」の翌日以降の日付が入力されています。","")&amp;IF(I100,"入社年月日に数値以外（又は1900/1/1以前の日付）が入力されています。","")&amp;IF(H100,"雇用形態"&amp;IF(OR(K100,L100),",",""),"")&amp;IF(K100,"性別"&amp;IF(L100,",",""),"")&amp;IF(L100,"役職","")&amp;IF(OR(H100,K100,L100),"に、［入力シート］(4)「貴社」欄と異なる文言が入力されています。","")))))</f>
        <v/>
      </c>
      <c r="G100" s="236" t="b">
        <f>COUNTIF($A$4:A99,$A100)&gt;0</f>
        <v>0</v>
      </c>
      <c r="H100" s="237" t="b">
        <f>IF(COUNTIF(入力シート!$J$16:$S$23,入力リスト!$K$4)=0,FALSE,IF(入力シート!$J$16=入力リスト!$K$5,FALSE,ISERROR(VLOOKUP(B100,入力シート!$S$37:$V$62,1,0))))</f>
        <v>0</v>
      </c>
      <c r="I100" s="237" t="b">
        <f>IF(AND(OR(入力シート!$J$18=入力リスト!$K$4,入力シート!$J$22=入力リスト!$K$4),入力シート!$J$24&lt;&gt;""),IF(ISERROR(C100+1),TRUE,IF(ISNUMBER(C100),FALSE,TRUE)),FALSE)</f>
        <v>0</v>
      </c>
      <c r="J100" s="237" t="b">
        <f>IF(AND(入力シート!$J$18=入力リスト!$K$4,入力シート!$J$22=入力リスト!$K$4),FALSE,IF(I100=TRUE,FALSE,IF(ISERROR(C100+1),FALSE,C100&gt;入力シート!$J$24)))</f>
        <v>0</v>
      </c>
      <c r="K100" s="237" t="b">
        <f>IF(COUNTIF(入力シート!$J$16:$S$23,入力リスト!$K$4)=0,FALSE,IF(AND(入力シート!$J$16&lt;&gt;入力リスト!$K$5,入力シート!$J$18&lt;&gt;入力リスト!$K$5,入力シート!$J$20&lt;&gt;入力リスト!$K$5,入力シート!$J$22&lt;&gt;入力リスト!$K$5),FALSE,ISERROR(VLOOKUP(D100,入力シート!$AW$37:$AY$38,1,0))))</f>
        <v>0</v>
      </c>
      <c r="L100" s="237" t="b">
        <f>IF(COUNTIF(入力シート!$J$16:$S$23,入力リスト!$K$4)=0,FALSE,IF(入力シート!$J$20=入力リスト!$K$5,FALSE,IF(E100="",FALSE,ISERROR(VLOOKUP(E100,入力シート!$AH$37:$AK$62,1,0)))))</f>
        <v>0</v>
      </c>
      <c r="M100" s="238" t="str">
        <f t="shared" si="1"/>
        <v/>
      </c>
      <c r="N100" s="236" t="str">
        <f>IF(B100="","",VLOOKUP('従業員情報(給与以外)'!$B100,入力シート!$S$37:$Z$62,5,0))</f>
        <v/>
      </c>
      <c r="O100" s="182" t="str">
        <f>IF(ISNUMBER(C100)=FALSE,"",IF(C100&gt;入力シート!$J$24,"",_xlfn.DAYS(入力シート!$J$24,'従業員情報(給与以外)'!$C100)/365))</f>
        <v/>
      </c>
      <c r="P100" s="237" t="str">
        <f>IF(O100="","",VLOOKUP(_xlfn.DAYS(入力シート!$J$24,'従業員情報(給与以外)'!$C100)/365,入力リスト!$H$4:$I$12,2,2))</f>
        <v/>
      </c>
      <c r="Q100" s="236" t="str">
        <f>IF(D100="","",VLOOKUP('従業員情報(給与以外)'!$D100,入力シート!$AW$37:$BB$38,4,0))</f>
        <v/>
      </c>
      <c r="R100" s="236" t="str">
        <f>IF(A100="","",IF(E100="","非役職",VLOOKUP('従業員情報(給与以外)'!$E100,入力シート!$AH$37:$AO$62,5,0)))</f>
        <v/>
      </c>
      <c r="S100" s="116" t="str">
        <f>IF(OR(入力シート!$C$5&lt;&gt;入力リスト!$N$4,COUNTIF(入力シート!$J$16:$S$23,入力リスト!$K$4)=0),"",IF($A100="","",IF(ISERROR(AVERAGEIF(従業員の給与情報!$B:$B,$A100,従業員の給与情報!$C:$C)),0,IF(ISERROR(AVERAGEIF(従業員の給与情報!$B:$B,$A100,従業員の給与情報!$C:$C)),0,AVERAGEIF(従業員の給与情報!$B:$B,$A100,従業員の給与情報!$C:$C)))))</f>
        <v/>
      </c>
      <c r="T100" s="116" t="str">
        <f>IF(OR(入力シート!$C$5&lt;&gt;入力リスト!$N$4,COUNTIF(入力シート!$J$16:$S$23,入力リスト!$K$4)=0),"",IF(A100="","",IF(ISERROR(AVERAGEIF(従業員の給与情報!$B:$B,$A100,従業員の給与情報!$D:$D)),0,IF(ISERROR(AVERAGEIF(従業員の給与情報!$B:$B,$A100,従業員の給与情報!$D:$D)),0,AVERAGEIF(従業員の給与情報!$B:$B,$A100,従業員の給与情報!$D:$D)))))</f>
        <v/>
      </c>
      <c r="U100" s="116" t="str">
        <f>IF(OR(入力シート!$C$5&lt;&gt;入力リスト!$N$4,COUNTIF(入力シート!$J$16:$S$23,入力リスト!$K$4)=0),"",IF(A100="","",IF(ISERROR(AVERAGEIF(従業員の給与情報!$B:$B,$A100,従業員の給与情報!$E:$E)),0,IF(ISERROR(AVERAGEIF(従業員の給与情報!$B:$B,$A100,従業員の給与情報!$E:$E)),0,AVERAGEIF(従業員の給与情報!$B:$B,$A100,従業員の給与情報!$E:$E)))))</f>
        <v/>
      </c>
      <c r="V100" s="117" t="str">
        <f>IF(OR(入力シート!$C$5&lt;&gt;入力リスト!$N$4,COUNTIF(入力シート!$J$16:$S$23,入力リスト!$K$4)=0),"",IF(A100="","",IF(ISERROR(AVERAGEIF(従業員の給与情報!$B:$B,$A100,従業員の給与情報!$F:$F)),0,IF(ISERROR(AVERAGEIF(従業員の給与情報!$B:$B,$A100,従業員の給与情報!$F:$F)),0,AVERAGEIF(従業員の給与情報!$B:$B,$A100,従業員の給与情報!$F:$F)))))</f>
        <v/>
      </c>
      <c r="W100" s="182"/>
      <c r="X100" s="260"/>
    </row>
    <row r="101" spans="1:24" ht="19.5">
      <c r="A101" s="367"/>
      <c r="B101" s="364"/>
      <c r="C101" s="365"/>
      <c r="D101" s="366"/>
      <c r="E101" s="364"/>
      <c r="F101" s="372" t="str">
        <f>IF(G101,"この従業員番号は、すでに他のセルで入力されています。",IF(入力シート!$C$5=入力リスト!$N$5,"",IF(AND(A101="",B101="",C101="",D101="",E101=""),"",IF(OR(A101="",B101="",C101="",D101=""),IF(A101="","従業員番号","")&amp;IF(AND(A101="",OR(B101="",C101="",D101="")),",","")&amp;IF(B101="","雇用形態","")&amp;IF(AND(B101="",OR(C101="",D101="")),",","")&amp;IF(OR(入力シート!$J$18=入力リスト!$K$4,入力シート!$J$22=入力リスト!$K$4),IF(C101="","入社年月日",""),"")&amp;IF(AND(C101="",D101=""),",","")&amp;IF(D101="","性別","")&amp;IF(IF(A101="","従業員番号","")&amp;IF(B101="","雇用形態","")&amp;IF(OR(入力シート!$J$18=入力リスト!$K$4,入力シート!$J$22=入力リスト!$K$4),IF(C101="","入社年月日",""),"")&amp;IF(D101="","性別","")="","","が空白です。"),IF(J101,"入社年月日に「基準日」の翌日以降の日付が入力されています。","")&amp;IF(I101,"入社年月日に数値以外（又は1900/1/1以前の日付）が入力されています。","")&amp;IF(H101,"雇用形態"&amp;IF(OR(K101,L101),",",""),"")&amp;IF(K101,"性別"&amp;IF(L101,",",""),"")&amp;IF(L101,"役職","")&amp;IF(OR(H101,K101,L101),"に、［入力シート］(4)「貴社」欄と異なる文言が入力されています。","")))))</f>
        <v/>
      </c>
      <c r="G101" s="236" t="b">
        <f>COUNTIF($A$4:A100,$A101)&gt;0</f>
        <v>0</v>
      </c>
      <c r="H101" s="237" t="b">
        <f>IF(COUNTIF(入力シート!$J$16:$S$23,入力リスト!$K$4)=0,FALSE,IF(入力シート!$J$16=入力リスト!$K$5,FALSE,ISERROR(VLOOKUP(B101,入力シート!$S$37:$V$62,1,0))))</f>
        <v>0</v>
      </c>
      <c r="I101" s="237" t="b">
        <f>IF(AND(OR(入力シート!$J$18=入力リスト!$K$4,入力シート!$J$22=入力リスト!$K$4),入力シート!$J$24&lt;&gt;""),IF(ISERROR(C101+1),TRUE,IF(ISNUMBER(C101),FALSE,TRUE)),FALSE)</f>
        <v>0</v>
      </c>
      <c r="J101" s="237" t="b">
        <f>IF(AND(入力シート!$J$18=入力リスト!$K$4,入力シート!$J$22=入力リスト!$K$4),FALSE,IF(I101=TRUE,FALSE,IF(ISERROR(C101+1),FALSE,C101&gt;入力シート!$J$24)))</f>
        <v>0</v>
      </c>
      <c r="K101" s="237" t="b">
        <f>IF(COUNTIF(入力シート!$J$16:$S$23,入力リスト!$K$4)=0,FALSE,IF(AND(入力シート!$J$16&lt;&gt;入力リスト!$K$5,入力シート!$J$18&lt;&gt;入力リスト!$K$5,入力シート!$J$20&lt;&gt;入力リスト!$K$5,入力シート!$J$22&lt;&gt;入力リスト!$K$5),FALSE,ISERROR(VLOOKUP(D101,入力シート!$AW$37:$AY$38,1,0))))</f>
        <v>0</v>
      </c>
      <c r="L101" s="237" t="b">
        <f>IF(COUNTIF(入力シート!$J$16:$S$23,入力リスト!$K$4)=0,FALSE,IF(入力シート!$J$20=入力リスト!$K$5,FALSE,IF(E101="",FALSE,ISERROR(VLOOKUP(E101,入力シート!$AH$37:$AK$62,1,0)))))</f>
        <v>0</v>
      </c>
      <c r="M101" s="238" t="str">
        <f t="shared" si="1"/>
        <v/>
      </c>
      <c r="N101" s="236" t="str">
        <f>IF(B101="","",VLOOKUP('従業員情報(給与以外)'!$B101,入力シート!$S$37:$Z$62,5,0))</f>
        <v/>
      </c>
      <c r="O101" s="182" t="str">
        <f>IF(ISNUMBER(C101)=FALSE,"",IF(C101&gt;入力シート!$J$24,"",_xlfn.DAYS(入力シート!$J$24,'従業員情報(給与以外)'!$C101)/365))</f>
        <v/>
      </c>
      <c r="P101" s="237" t="str">
        <f>IF(O101="","",VLOOKUP(_xlfn.DAYS(入力シート!$J$24,'従業員情報(給与以外)'!$C101)/365,入力リスト!$H$4:$I$12,2,2))</f>
        <v/>
      </c>
      <c r="Q101" s="236" t="str">
        <f>IF(D101="","",VLOOKUP('従業員情報(給与以外)'!$D101,入力シート!$AW$37:$BB$38,4,0))</f>
        <v/>
      </c>
      <c r="R101" s="236" t="str">
        <f>IF(A101="","",IF(E101="","非役職",VLOOKUP('従業員情報(給与以外)'!$E101,入力シート!$AH$37:$AO$62,5,0)))</f>
        <v/>
      </c>
      <c r="S101" s="116" t="str">
        <f>IF(OR(入力シート!$C$5&lt;&gt;入力リスト!$N$4,COUNTIF(入力シート!$J$16:$S$23,入力リスト!$K$4)=0),"",IF($A101="","",IF(ISERROR(AVERAGEIF(従業員の給与情報!$B:$B,$A101,従業員の給与情報!$C:$C)),0,IF(ISERROR(AVERAGEIF(従業員の給与情報!$B:$B,$A101,従業員の給与情報!$C:$C)),0,AVERAGEIF(従業員の給与情報!$B:$B,$A101,従業員の給与情報!$C:$C)))))</f>
        <v/>
      </c>
      <c r="T101" s="116" t="str">
        <f>IF(OR(入力シート!$C$5&lt;&gt;入力リスト!$N$4,COUNTIF(入力シート!$J$16:$S$23,入力リスト!$K$4)=0),"",IF(A101="","",IF(ISERROR(AVERAGEIF(従業員の給与情報!$B:$B,$A101,従業員の給与情報!$D:$D)),0,IF(ISERROR(AVERAGEIF(従業員の給与情報!$B:$B,$A101,従業員の給与情報!$D:$D)),0,AVERAGEIF(従業員の給与情報!$B:$B,$A101,従業員の給与情報!$D:$D)))))</f>
        <v/>
      </c>
      <c r="U101" s="116" t="str">
        <f>IF(OR(入力シート!$C$5&lt;&gt;入力リスト!$N$4,COUNTIF(入力シート!$J$16:$S$23,入力リスト!$K$4)=0),"",IF(A101="","",IF(ISERROR(AVERAGEIF(従業員の給与情報!$B:$B,$A101,従業員の給与情報!$E:$E)),0,IF(ISERROR(AVERAGEIF(従業員の給与情報!$B:$B,$A101,従業員の給与情報!$E:$E)),0,AVERAGEIF(従業員の給与情報!$B:$B,$A101,従業員の給与情報!$E:$E)))))</f>
        <v/>
      </c>
      <c r="V101" s="117" t="str">
        <f>IF(OR(入力シート!$C$5&lt;&gt;入力リスト!$N$4,COUNTIF(入力シート!$J$16:$S$23,入力リスト!$K$4)=0),"",IF(A101="","",IF(ISERROR(AVERAGEIF(従業員の給与情報!$B:$B,$A101,従業員の給与情報!$F:$F)),0,IF(ISERROR(AVERAGEIF(従業員の給与情報!$B:$B,$A101,従業員の給与情報!$F:$F)),0,AVERAGEIF(従業員の給与情報!$B:$B,$A101,従業員の給与情報!$F:$F)))))</f>
        <v/>
      </c>
      <c r="W101" s="182"/>
      <c r="X101" s="260"/>
    </row>
    <row r="102" spans="1:24" ht="19.5">
      <c r="A102" s="367"/>
      <c r="B102" s="364"/>
      <c r="C102" s="365"/>
      <c r="D102" s="366"/>
      <c r="E102" s="367"/>
      <c r="F102" s="372" t="str">
        <f>IF(G102,"この従業員番号は、すでに他のセルで入力されています。",IF(入力シート!$C$5=入力リスト!$N$5,"",IF(AND(A102="",B102="",C102="",D102="",E102=""),"",IF(OR(A102="",B102="",C102="",D102=""),IF(A102="","従業員番号","")&amp;IF(AND(A102="",OR(B102="",C102="",D102="")),",","")&amp;IF(B102="","雇用形態","")&amp;IF(AND(B102="",OR(C102="",D102="")),",","")&amp;IF(OR(入力シート!$J$18=入力リスト!$K$4,入力シート!$J$22=入力リスト!$K$4),IF(C102="","入社年月日",""),"")&amp;IF(AND(C102="",D102=""),",","")&amp;IF(D102="","性別","")&amp;IF(IF(A102="","従業員番号","")&amp;IF(B102="","雇用形態","")&amp;IF(OR(入力シート!$J$18=入力リスト!$K$4,入力シート!$J$22=入力リスト!$K$4),IF(C102="","入社年月日",""),"")&amp;IF(D102="","性別","")="","","が空白です。"),IF(J102,"入社年月日に「基準日」の翌日以降の日付が入力されています。","")&amp;IF(I102,"入社年月日に数値以外（又は1900/1/1以前の日付）が入力されています。","")&amp;IF(H102,"雇用形態"&amp;IF(OR(K102,L102),",",""),"")&amp;IF(K102,"性別"&amp;IF(L102,",",""),"")&amp;IF(L102,"役職","")&amp;IF(OR(H102,K102,L102),"に、［入力シート］(4)「貴社」欄と異なる文言が入力されています。","")))))</f>
        <v/>
      </c>
      <c r="G102" s="236" t="b">
        <f>COUNTIF($A$4:A101,$A102)&gt;0</f>
        <v>0</v>
      </c>
      <c r="H102" s="237" t="b">
        <f>IF(COUNTIF(入力シート!$J$16:$S$23,入力リスト!$K$4)=0,FALSE,IF(入力シート!$J$16=入力リスト!$K$5,FALSE,ISERROR(VLOOKUP(B102,入力シート!$S$37:$V$62,1,0))))</f>
        <v>0</v>
      </c>
      <c r="I102" s="237" t="b">
        <f>IF(AND(OR(入力シート!$J$18=入力リスト!$K$4,入力シート!$J$22=入力リスト!$K$4),入力シート!$J$24&lt;&gt;""),IF(ISERROR(C102+1),TRUE,IF(ISNUMBER(C102),FALSE,TRUE)),FALSE)</f>
        <v>0</v>
      </c>
      <c r="J102" s="237" t="b">
        <f>IF(AND(入力シート!$J$18=入力リスト!$K$4,入力シート!$J$22=入力リスト!$K$4),FALSE,IF(I102=TRUE,FALSE,IF(ISERROR(C102+1),FALSE,C102&gt;入力シート!$J$24)))</f>
        <v>0</v>
      </c>
      <c r="K102" s="237" t="b">
        <f>IF(COUNTIF(入力シート!$J$16:$S$23,入力リスト!$K$4)=0,FALSE,IF(AND(入力シート!$J$16&lt;&gt;入力リスト!$K$5,入力シート!$J$18&lt;&gt;入力リスト!$K$5,入力シート!$J$20&lt;&gt;入力リスト!$K$5,入力シート!$J$22&lt;&gt;入力リスト!$K$5),FALSE,ISERROR(VLOOKUP(D102,入力シート!$AW$37:$AY$38,1,0))))</f>
        <v>0</v>
      </c>
      <c r="L102" s="237" t="b">
        <f>IF(COUNTIF(入力シート!$J$16:$S$23,入力リスト!$K$4)=0,FALSE,IF(入力シート!$J$20=入力リスト!$K$5,FALSE,IF(E102="",FALSE,ISERROR(VLOOKUP(E102,入力シート!$AH$37:$AK$62,1,0)))))</f>
        <v>0</v>
      </c>
      <c r="M102" s="238" t="str">
        <f t="shared" si="1"/>
        <v/>
      </c>
      <c r="N102" s="236" t="str">
        <f>IF(B102="","",VLOOKUP('従業員情報(給与以外)'!$B102,入力シート!$S$37:$Z$62,5,0))</f>
        <v/>
      </c>
      <c r="O102" s="182" t="str">
        <f>IF(ISNUMBER(C102)=FALSE,"",IF(C102&gt;入力シート!$J$24,"",_xlfn.DAYS(入力シート!$J$24,'従業員情報(給与以外)'!$C102)/365))</f>
        <v/>
      </c>
      <c r="P102" s="237" t="str">
        <f>IF(O102="","",VLOOKUP(_xlfn.DAYS(入力シート!$J$24,'従業員情報(給与以外)'!$C102)/365,入力リスト!$H$4:$I$12,2,2))</f>
        <v/>
      </c>
      <c r="Q102" s="236" t="str">
        <f>IF(D102="","",VLOOKUP('従業員情報(給与以外)'!$D102,入力シート!$AW$37:$BB$38,4,0))</f>
        <v/>
      </c>
      <c r="R102" s="236" t="str">
        <f>IF(A102="","",IF(E102="","非役職",VLOOKUP('従業員情報(給与以外)'!$E102,入力シート!$AH$37:$AO$62,5,0)))</f>
        <v/>
      </c>
      <c r="S102" s="116" t="str">
        <f>IF(OR(入力シート!$C$5&lt;&gt;入力リスト!$N$4,COUNTIF(入力シート!$J$16:$S$23,入力リスト!$K$4)=0),"",IF($A102="","",IF(ISERROR(AVERAGEIF(従業員の給与情報!$B:$B,$A102,従業員の給与情報!$C:$C)),0,IF(ISERROR(AVERAGEIF(従業員の給与情報!$B:$B,$A102,従業員の給与情報!$C:$C)),0,AVERAGEIF(従業員の給与情報!$B:$B,$A102,従業員の給与情報!$C:$C)))))</f>
        <v/>
      </c>
      <c r="T102" s="116" t="str">
        <f>IF(OR(入力シート!$C$5&lt;&gt;入力リスト!$N$4,COUNTIF(入力シート!$J$16:$S$23,入力リスト!$K$4)=0),"",IF(A102="","",IF(ISERROR(AVERAGEIF(従業員の給与情報!$B:$B,$A102,従業員の給与情報!$D:$D)),0,IF(ISERROR(AVERAGEIF(従業員の給与情報!$B:$B,$A102,従業員の給与情報!$D:$D)),0,AVERAGEIF(従業員の給与情報!$B:$B,$A102,従業員の給与情報!$D:$D)))))</f>
        <v/>
      </c>
      <c r="U102" s="116" t="str">
        <f>IF(OR(入力シート!$C$5&lt;&gt;入力リスト!$N$4,COUNTIF(入力シート!$J$16:$S$23,入力リスト!$K$4)=0),"",IF(A102="","",IF(ISERROR(AVERAGEIF(従業員の給与情報!$B:$B,$A102,従業員の給与情報!$E:$E)),0,IF(ISERROR(AVERAGEIF(従業員の給与情報!$B:$B,$A102,従業員の給与情報!$E:$E)),0,AVERAGEIF(従業員の給与情報!$B:$B,$A102,従業員の給与情報!$E:$E)))))</f>
        <v/>
      </c>
      <c r="V102" s="117" t="str">
        <f>IF(OR(入力シート!$C$5&lt;&gt;入力リスト!$N$4,COUNTIF(入力シート!$J$16:$S$23,入力リスト!$K$4)=0),"",IF(A102="","",IF(ISERROR(AVERAGEIF(従業員の給与情報!$B:$B,$A102,従業員の給与情報!$F:$F)),0,IF(ISERROR(AVERAGEIF(従業員の給与情報!$B:$B,$A102,従業員の給与情報!$F:$F)),0,AVERAGEIF(従業員の給与情報!$B:$B,$A102,従業員の給与情報!$F:$F)))))</f>
        <v/>
      </c>
      <c r="W102" s="182"/>
      <c r="X102" s="260"/>
    </row>
    <row r="103" spans="1:24" ht="19.5">
      <c r="A103" s="367"/>
      <c r="B103" s="364"/>
      <c r="C103" s="365"/>
      <c r="D103" s="366"/>
      <c r="E103" s="367"/>
      <c r="F103" s="372" t="str">
        <f>IF(G103,"この従業員番号は、すでに他のセルで入力されています。",IF(入力シート!$C$5=入力リスト!$N$5,"",IF(AND(A103="",B103="",C103="",D103="",E103=""),"",IF(OR(A103="",B103="",C103="",D103=""),IF(A103="","従業員番号","")&amp;IF(AND(A103="",OR(B103="",C103="",D103="")),",","")&amp;IF(B103="","雇用形態","")&amp;IF(AND(B103="",OR(C103="",D103="")),",","")&amp;IF(OR(入力シート!$J$18=入力リスト!$K$4,入力シート!$J$22=入力リスト!$K$4),IF(C103="","入社年月日",""),"")&amp;IF(AND(C103="",D103=""),",","")&amp;IF(D103="","性別","")&amp;IF(IF(A103="","従業員番号","")&amp;IF(B103="","雇用形態","")&amp;IF(OR(入力シート!$J$18=入力リスト!$K$4,入力シート!$J$22=入力リスト!$K$4),IF(C103="","入社年月日",""),"")&amp;IF(D103="","性別","")="","","が空白です。"),IF(J103,"入社年月日に「基準日」の翌日以降の日付が入力されています。","")&amp;IF(I103,"入社年月日に数値以外（又は1900/1/1以前の日付）が入力されています。","")&amp;IF(H103,"雇用形態"&amp;IF(OR(K103,L103),",",""),"")&amp;IF(K103,"性別"&amp;IF(L103,",",""),"")&amp;IF(L103,"役職","")&amp;IF(OR(H103,K103,L103),"に、［入力シート］(4)「貴社」欄と異なる文言が入力されています。","")))))</f>
        <v/>
      </c>
      <c r="G103" s="236" t="b">
        <f>COUNTIF($A$4:A102,$A103)&gt;0</f>
        <v>0</v>
      </c>
      <c r="H103" s="237" t="b">
        <f>IF(COUNTIF(入力シート!$J$16:$S$23,入力リスト!$K$4)=0,FALSE,IF(入力シート!$J$16=入力リスト!$K$5,FALSE,ISERROR(VLOOKUP(B103,入力シート!$S$37:$V$62,1,0))))</f>
        <v>0</v>
      </c>
      <c r="I103" s="237" t="b">
        <f>IF(AND(OR(入力シート!$J$18=入力リスト!$K$4,入力シート!$J$22=入力リスト!$K$4),入力シート!$J$24&lt;&gt;""),IF(ISERROR(C103+1),TRUE,IF(ISNUMBER(C103),FALSE,TRUE)),FALSE)</f>
        <v>0</v>
      </c>
      <c r="J103" s="237" t="b">
        <f>IF(AND(入力シート!$J$18=入力リスト!$K$4,入力シート!$J$22=入力リスト!$K$4),FALSE,IF(I103=TRUE,FALSE,IF(ISERROR(C103+1),FALSE,C103&gt;入力シート!$J$24)))</f>
        <v>0</v>
      </c>
      <c r="K103" s="237" t="b">
        <f>IF(COUNTIF(入力シート!$J$16:$S$23,入力リスト!$K$4)=0,FALSE,IF(AND(入力シート!$J$16&lt;&gt;入力リスト!$K$5,入力シート!$J$18&lt;&gt;入力リスト!$K$5,入力シート!$J$20&lt;&gt;入力リスト!$K$5,入力シート!$J$22&lt;&gt;入力リスト!$K$5),FALSE,ISERROR(VLOOKUP(D103,入力シート!$AW$37:$AY$38,1,0))))</f>
        <v>0</v>
      </c>
      <c r="L103" s="237" t="b">
        <f>IF(COUNTIF(入力シート!$J$16:$S$23,入力リスト!$K$4)=0,FALSE,IF(入力シート!$J$20=入力リスト!$K$5,FALSE,IF(E103="",FALSE,ISERROR(VLOOKUP(E103,入力シート!$AH$37:$AK$62,1,0)))))</f>
        <v>0</v>
      </c>
      <c r="M103" s="238" t="str">
        <f t="shared" si="1"/>
        <v/>
      </c>
      <c r="N103" s="236" t="str">
        <f>IF(B103="","",VLOOKUP('従業員情報(給与以外)'!$B103,入力シート!$S$37:$Z$62,5,0))</f>
        <v/>
      </c>
      <c r="O103" s="182" t="str">
        <f>IF(ISNUMBER(C103)=FALSE,"",IF(C103&gt;入力シート!$J$24,"",_xlfn.DAYS(入力シート!$J$24,'従業員情報(給与以外)'!$C103)/365))</f>
        <v/>
      </c>
      <c r="P103" s="237" t="str">
        <f>IF(O103="","",VLOOKUP(_xlfn.DAYS(入力シート!$J$24,'従業員情報(給与以外)'!$C103)/365,入力リスト!$H$4:$I$12,2,2))</f>
        <v/>
      </c>
      <c r="Q103" s="236" t="str">
        <f>IF(D103="","",VLOOKUP('従業員情報(給与以外)'!$D103,入力シート!$AW$37:$BB$38,4,0))</f>
        <v/>
      </c>
      <c r="R103" s="236" t="str">
        <f>IF(A103="","",IF(E103="","非役職",VLOOKUP('従業員情報(給与以外)'!$E103,入力シート!$AH$37:$AO$62,5,0)))</f>
        <v/>
      </c>
      <c r="S103" s="116" t="str">
        <f>IF(OR(入力シート!$C$5&lt;&gt;入力リスト!$N$4,COUNTIF(入力シート!$J$16:$S$23,入力リスト!$K$4)=0),"",IF($A103="","",IF(ISERROR(AVERAGEIF(従業員の給与情報!$B:$B,$A103,従業員の給与情報!$C:$C)),0,IF(ISERROR(AVERAGEIF(従業員の給与情報!$B:$B,$A103,従業員の給与情報!$C:$C)),0,AVERAGEIF(従業員の給与情報!$B:$B,$A103,従業員の給与情報!$C:$C)))))</f>
        <v/>
      </c>
      <c r="T103" s="116" t="str">
        <f>IF(OR(入力シート!$C$5&lt;&gt;入力リスト!$N$4,COUNTIF(入力シート!$J$16:$S$23,入力リスト!$K$4)=0),"",IF(A103="","",IF(ISERROR(AVERAGEIF(従業員の給与情報!$B:$B,$A103,従業員の給与情報!$D:$D)),0,IF(ISERROR(AVERAGEIF(従業員の給与情報!$B:$B,$A103,従業員の給与情報!$D:$D)),0,AVERAGEIF(従業員の給与情報!$B:$B,$A103,従業員の給与情報!$D:$D)))))</f>
        <v/>
      </c>
      <c r="U103" s="116" t="str">
        <f>IF(OR(入力シート!$C$5&lt;&gt;入力リスト!$N$4,COUNTIF(入力シート!$J$16:$S$23,入力リスト!$K$4)=0),"",IF(A103="","",IF(ISERROR(AVERAGEIF(従業員の給与情報!$B:$B,$A103,従業員の給与情報!$E:$E)),0,IF(ISERROR(AVERAGEIF(従業員の給与情報!$B:$B,$A103,従業員の給与情報!$E:$E)),0,AVERAGEIF(従業員の給与情報!$B:$B,$A103,従業員の給与情報!$E:$E)))))</f>
        <v/>
      </c>
      <c r="V103" s="117" t="str">
        <f>IF(OR(入力シート!$C$5&lt;&gt;入力リスト!$N$4,COUNTIF(入力シート!$J$16:$S$23,入力リスト!$K$4)=0),"",IF(A103="","",IF(ISERROR(AVERAGEIF(従業員の給与情報!$B:$B,$A103,従業員の給与情報!$F:$F)),0,IF(ISERROR(AVERAGEIF(従業員の給与情報!$B:$B,$A103,従業員の給与情報!$F:$F)),0,AVERAGEIF(従業員の給与情報!$B:$B,$A103,従業員の給与情報!$F:$F)))))</f>
        <v/>
      </c>
      <c r="W103" s="182"/>
      <c r="X103" s="260"/>
    </row>
    <row r="104" spans="1:24" ht="19.5">
      <c r="A104" s="367"/>
      <c r="B104" s="364"/>
      <c r="C104" s="365"/>
      <c r="D104" s="366"/>
      <c r="E104" s="367"/>
      <c r="F104" s="372" t="str">
        <f>IF(G104,"この従業員番号は、すでに他のセルで入力されています。",IF(入力シート!$C$5=入力リスト!$N$5,"",IF(AND(A104="",B104="",C104="",D104="",E104=""),"",IF(OR(A104="",B104="",C104="",D104=""),IF(A104="","従業員番号","")&amp;IF(AND(A104="",OR(B104="",C104="",D104="")),",","")&amp;IF(B104="","雇用形態","")&amp;IF(AND(B104="",OR(C104="",D104="")),",","")&amp;IF(OR(入力シート!$J$18=入力リスト!$K$4,入力シート!$J$22=入力リスト!$K$4),IF(C104="","入社年月日",""),"")&amp;IF(AND(C104="",D104=""),",","")&amp;IF(D104="","性別","")&amp;IF(IF(A104="","従業員番号","")&amp;IF(B104="","雇用形態","")&amp;IF(OR(入力シート!$J$18=入力リスト!$K$4,入力シート!$J$22=入力リスト!$K$4),IF(C104="","入社年月日",""),"")&amp;IF(D104="","性別","")="","","が空白です。"),IF(J104,"入社年月日に「基準日」の翌日以降の日付が入力されています。","")&amp;IF(I104,"入社年月日に数値以外（又は1900/1/1以前の日付）が入力されています。","")&amp;IF(H104,"雇用形態"&amp;IF(OR(K104,L104),",",""),"")&amp;IF(K104,"性別"&amp;IF(L104,",",""),"")&amp;IF(L104,"役職","")&amp;IF(OR(H104,K104,L104),"に、［入力シート］(4)「貴社」欄と異なる文言が入力されています。","")))))</f>
        <v/>
      </c>
      <c r="G104" s="236" t="b">
        <f>COUNTIF($A$4:A103,$A104)&gt;0</f>
        <v>0</v>
      </c>
      <c r="H104" s="237" t="b">
        <f>IF(COUNTIF(入力シート!$J$16:$S$23,入力リスト!$K$4)=0,FALSE,IF(入力シート!$J$16=入力リスト!$K$5,FALSE,ISERROR(VLOOKUP(B104,入力シート!$S$37:$V$62,1,0))))</f>
        <v>0</v>
      </c>
      <c r="I104" s="237" t="b">
        <f>IF(AND(OR(入力シート!$J$18=入力リスト!$K$4,入力シート!$J$22=入力リスト!$K$4),入力シート!$J$24&lt;&gt;""),IF(ISERROR(C104+1),TRUE,IF(ISNUMBER(C104),FALSE,TRUE)),FALSE)</f>
        <v>0</v>
      </c>
      <c r="J104" s="237" t="b">
        <f>IF(AND(入力シート!$J$18=入力リスト!$K$4,入力シート!$J$22=入力リスト!$K$4),FALSE,IF(I104=TRUE,FALSE,IF(ISERROR(C104+1),FALSE,C104&gt;入力シート!$J$24)))</f>
        <v>0</v>
      </c>
      <c r="K104" s="237" t="b">
        <f>IF(COUNTIF(入力シート!$J$16:$S$23,入力リスト!$K$4)=0,FALSE,IF(AND(入力シート!$J$16&lt;&gt;入力リスト!$K$5,入力シート!$J$18&lt;&gt;入力リスト!$K$5,入力シート!$J$20&lt;&gt;入力リスト!$K$5,入力シート!$J$22&lt;&gt;入力リスト!$K$5),FALSE,ISERROR(VLOOKUP(D104,入力シート!$AW$37:$AY$38,1,0))))</f>
        <v>0</v>
      </c>
      <c r="L104" s="237" t="b">
        <f>IF(COUNTIF(入力シート!$J$16:$S$23,入力リスト!$K$4)=0,FALSE,IF(入力シート!$J$20=入力リスト!$K$5,FALSE,IF(E104="",FALSE,ISERROR(VLOOKUP(E104,入力シート!$AH$37:$AK$62,1,0)))))</f>
        <v>0</v>
      </c>
      <c r="M104" s="238" t="str">
        <f t="shared" si="1"/>
        <v/>
      </c>
      <c r="N104" s="236" t="str">
        <f>IF(B104="","",VLOOKUP('従業員情報(給与以外)'!$B104,入力シート!$S$37:$Z$62,5,0))</f>
        <v/>
      </c>
      <c r="O104" s="182" t="str">
        <f>IF(ISNUMBER(C104)=FALSE,"",IF(C104&gt;入力シート!$J$24,"",_xlfn.DAYS(入力シート!$J$24,'従業員情報(給与以外)'!$C104)/365))</f>
        <v/>
      </c>
      <c r="P104" s="237" t="str">
        <f>IF(O104="","",VLOOKUP(_xlfn.DAYS(入力シート!$J$24,'従業員情報(給与以外)'!$C104)/365,入力リスト!$H$4:$I$12,2,2))</f>
        <v/>
      </c>
      <c r="Q104" s="236" t="str">
        <f>IF(D104="","",VLOOKUP('従業員情報(給与以外)'!$D104,入力シート!$AW$37:$BB$38,4,0))</f>
        <v/>
      </c>
      <c r="R104" s="236" t="str">
        <f>IF(A104="","",IF(E104="","非役職",VLOOKUP('従業員情報(給与以外)'!$E104,入力シート!$AH$37:$AO$62,5,0)))</f>
        <v/>
      </c>
      <c r="S104" s="116" t="str">
        <f>IF(OR(入力シート!$C$5&lt;&gt;入力リスト!$N$4,COUNTIF(入力シート!$J$16:$S$23,入力リスト!$K$4)=0),"",IF($A104="","",IF(ISERROR(AVERAGEIF(従業員の給与情報!$B:$B,$A104,従業員の給与情報!$C:$C)),0,IF(ISERROR(AVERAGEIF(従業員の給与情報!$B:$B,$A104,従業員の給与情報!$C:$C)),0,AVERAGEIF(従業員の給与情報!$B:$B,$A104,従業員の給与情報!$C:$C)))))</f>
        <v/>
      </c>
      <c r="T104" s="116" t="str">
        <f>IF(OR(入力シート!$C$5&lt;&gt;入力リスト!$N$4,COUNTIF(入力シート!$J$16:$S$23,入力リスト!$K$4)=0),"",IF(A104="","",IF(ISERROR(AVERAGEIF(従業員の給与情報!$B:$B,$A104,従業員の給与情報!$D:$D)),0,IF(ISERROR(AVERAGEIF(従業員の給与情報!$B:$B,$A104,従業員の給与情報!$D:$D)),0,AVERAGEIF(従業員の給与情報!$B:$B,$A104,従業員の給与情報!$D:$D)))))</f>
        <v/>
      </c>
      <c r="U104" s="116" t="str">
        <f>IF(OR(入力シート!$C$5&lt;&gt;入力リスト!$N$4,COUNTIF(入力シート!$J$16:$S$23,入力リスト!$K$4)=0),"",IF(A104="","",IF(ISERROR(AVERAGEIF(従業員の給与情報!$B:$B,$A104,従業員の給与情報!$E:$E)),0,IF(ISERROR(AVERAGEIF(従業員の給与情報!$B:$B,$A104,従業員の給与情報!$E:$E)),0,AVERAGEIF(従業員の給与情報!$B:$B,$A104,従業員の給与情報!$E:$E)))))</f>
        <v/>
      </c>
      <c r="V104" s="117" t="str">
        <f>IF(OR(入力シート!$C$5&lt;&gt;入力リスト!$N$4,COUNTIF(入力シート!$J$16:$S$23,入力リスト!$K$4)=0),"",IF(A104="","",IF(ISERROR(AVERAGEIF(従業員の給与情報!$B:$B,$A104,従業員の給与情報!$F:$F)),0,IF(ISERROR(AVERAGEIF(従業員の給与情報!$B:$B,$A104,従業員の給与情報!$F:$F)),0,AVERAGEIF(従業員の給与情報!$B:$B,$A104,従業員の給与情報!$F:$F)))))</f>
        <v/>
      </c>
      <c r="W104" s="182"/>
      <c r="X104" s="260"/>
    </row>
    <row r="105" spans="1:24" ht="19.5">
      <c r="A105" s="367"/>
      <c r="B105" s="364"/>
      <c r="C105" s="365"/>
      <c r="D105" s="366"/>
      <c r="E105" s="367"/>
      <c r="F105" s="372" t="str">
        <f>IF(G105,"この従業員番号は、すでに他のセルで入力されています。",IF(入力シート!$C$5=入力リスト!$N$5,"",IF(AND(A105="",B105="",C105="",D105="",E105=""),"",IF(OR(A105="",B105="",C105="",D105=""),IF(A105="","従業員番号","")&amp;IF(AND(A105="",OR(B105="",C105="",D105="")),",","")&amp;IF(B105="","雇用形態","")&amp;IF(AND(B105="",OR(C105="",D105="")),",","")&amp;IF(OR(入力シート!$J$18=入力リスト!$K$4,入力シート!$J$22=入力リスト!$K$4),IF(C105="","入社年月日",""),"")&amp;IF(AND(C105="",D105=""),",","")&amp;IF(D105="","性別","")&amp;IF(IF(A105="","従業員番号","")&amp;IF(B105="","雇用形態","")&amp;IF(OR(入力シート!$J$18=入力リスト!$K$4,入力シート!$J$22=入力リスト!$K$4),IF(C105="","入社年月日",""),"")&amp;IF(D105="","性別","")="","","が空白です。"),IF(J105,"入社年月日に「基準日」の翌日以降の日付が入力されています。","")&amp;IF(I105,"入社年月日に数値以外（又は1900/1/1以前の日付）が入力されています。","")&amp;IF(H105,"雇用形態"&amp;IF(OR(K105,L105),",",""),"")&amp;IF(K105,"性別"&amp;IF(L105,",",""),"")&amp;IF(L105,"役職","")&amp;IF(OR(H105,K105,L105),"に、［入力シート］(4)「貴社」欄と異なる文言が入力されています。","")))))</f>
        <v/>
      </c>
      <c r="G105" s="236" t="b">
        <f>COUNTIF($A$4:A104,$A105)&gt;0</f>
        <v>0</v>
      </c>
      <c r="H105" s="237" t="b">
        <f>IF(COUNTIF(入力シート!$J$16:$S$23,入力リスト!$K$4)=0,FALSE,IF(入力シート!$J$16=入力リスト!$K$5,FALSE,ISERROR(VLOOKUP(B105,入力シート!$S$37:$V$62,1,0))))</f>
        <v>0</v>
      </c>
      <c r="I105" s="237" t="b">
        <f>IF(AND(OR(入力シート!$J$18=入力リスト!$K$4,入力シート!$J$22=入力リスト!$K$4),入力シート!$J$24&lt;&gt;""),IF(ISERROR(C105+1),TRUE,IF(ISNUMBER(C105),FALSE,TRUE)),FALSE)</f>
        <v>0</v>
      </c>
      <c r="J105" s="237" t="b">
        <f>IF(AND(入力シート!$J$18=入力リスト!$K$4,入力シート!$J$22=入力リスト!$K$4),FALSE,IF(I105=TRUE,FALSE,IF(ISERROR(C105+1),FALSE,C105&gt;入力シート!$J$24)))</f>
        <v>0</v>
      </c>
      <c r="K105" s="237" t="b">
        <f>IF(COUNTIF(入力シート!$J$16:$S$23,入力リスト!$K$4)=0,FALSE,IF(AND(入力シート!$J$16&lt;&gt;入力リスト!$K$5,入力シート!$J$18&lt;&gt;入力リスト!$K$5,入力シート!$J$20&lt;&gt;入力リスト!$K$5,入力シート!$J$22&lt;&gt;入力リスト!$K$5),FALSE,ISERROR(VLOOKUP(D105,入力シート!$AW$37:$AY$38,1,0))))</f>
        <v>0</v>
      </c>
      <c r="L105" s="237" t="b">
        <f>IF(COUNTIF(入力シート!$J$16:$S$23,入力リスト!$K$4)=0,FALSE,IF(入力シート!$J$20=入力リスト!$K$5,FALSE,IF(E105="",FALSE,ISERROR(VLOOKUP(E105,入力シート!$AH$37:$AK$62,1,0)))))</f>
        <v>0</v>
      </c>
      <c r="M105" s="238" t="str">
        <f t="shared" si="1"/>
        <v/>
      </c>
      <c r="N105" s="236" t="str">
        <f>IF(B105="","",VLOOKUP('従業員情報(給与以外)'!$B105,入力シート!$S$37:$Z$62,5,0))</f>
        <v/>
      </c>
      <c r="O105" s="182" t="str">
        <f>IF(ISNUMBER(C105)=FALSE,"",IF(C105&gt;入力シート!$J$24,"",_xlfn.DAYS(入力シート!$J$24,'従業員情報(給与以外)'!$C105)/365))</f>
        <v/>
      </c>
      <c r="P105" s="237" t="str">
        <f>IF(O105="","",VLOOKUP(_xlfn.DAYS(入力シート!$J$24,'従業員情報(給与以外)'!$C105)/365,入力リスト!$H$4:$I$12,2,2))</f>
        <v/>
      </c>
      <c r="Q105" s="236" t="str">
        <f>IF(D105="","",VLOOKUP('従業員情報(給与以外)'!$D105,入力シート!$AW$37:$BB$38,4,0))</f>
        <v/>
      </c>
      <c r="R105" s="236" t="str">
        <f>IF(A105="","",IF(E105="","非役職",VLOOKUP('従業員情報(給与以外)'!$E105,入力シート!$AH$37:$AO$62,5,0)))</f>
        <v/>
      </c>
      <c r="S105" s="116" t="str">
        <f>IF(OR(入力シート!$C$5&lt;&gt;入力リスト!$N$4,COUNTIF(入力シート!$J$16:$S$23,入力リスト!$K$4)=0),"",IF($A105="","",IF(ISERROR(AVERAGEIF(従業員の給与情報!$B:$B,$A105,従業員の給与情報!$C:$C)),0,IF(ISERROR(AVERAGEIF(従業員の給与情報!$B:$B,$A105,従業員の給与情報!$C:$C)),0,AVERAGEIF(従業員の給与情報!$B:$B,$A105,従業員の給与情報!$C:$C)))))</f>
        <v/>
      </c>
      <c r="T105" s="116" t="str">
        <f>IF(OR(入力シート!$C$5&lt;&gt;入力リスト!$N$4,COUNTIF(入力シート!$J$16:$S$23,入力リスト!$K$4)=0),"",IF(A105="","",IF(ISERROR(AVERAGEIF(従業員の給与情報!$B:$B,$A105,従業員の給与情報!$D:$D)),0,IF(ISERROR(AVERAGEIF(従業員の給与情報!$B:$B,$A105,従業員の給与情報!$D:$D)),0,AVERAGEIF(従業員の給与情報!$B:$B,$A105,従業員の給与情報!$D:$D)))))</f>
        <v/>
      </c>
      <c r="U105" s="116" t="str">
        <f>IF(OR(入力シート!$C$5&lt;&gt;入力リスト!$N$4,COUNTIF(入力シート!$J$16:$S$23,入力リスト!$K$4)=0),"",IF(A105="","",IF(ISERROR(AVERAGEIF(従業員の給与情報!$B:$B,$A105,従業員の給与情報!$E:$E)),0,IF(ISERROR(AVERAGEIF(従業員の給与情報!$B:$B,$A105,従業員の給与情報!$E:$E)),0,AVERAGEIF(従業員の給与情報!$B:$B,$A105,従業員の給与情報!$E:$E)))))</f>
        <v/>
      </c>
      <c r="V105" s="117" t="str">
        <f>IF(OR(入力シート!$C$5&lt;&gt;入力リスト!$N$4,COUNTIF(入力シート!$J$16:$S$23,入力リスト!$K$4)=0),"",IF(A105="","",IF(ISERROR(AVERAGEIF(従業員の給与情報!$B:$B,$A105,従業員の給与情報!$F:$F)),0,IF(ISERROR(AVERAGEIF(従業員の給与情報!$B:$B,$A105,従業員の給与情報!$F:$F)),0,AVERAGEIF(従業員の給与情報!$B:$B,$A105,従業員の給与情報!$F:$F)))))</f>
        <v/>
      </c>
      <c r="W105" s="182"/>
      <c r="X105" s="260"/>
    </row>
    <row r="106" spans="1:24" ht="19.5">
      <c r="A106" s="367"/>
      <c r="B106" s="364"/>
      <c r="C106" s="365"/>
      <c r="D106" s="366"/>
      <c r="E106" s="364"/>
      <c r="F106" s="372" t="str">
        <f>IF(G106,"この従業員番号は、すでに他のセルで入力されています。",IF(入力シート!$C$5=入力リスト!$N$5,"",IF(AND(A106="",B106="",C106="",D106="",E106=""),"",IF(OR(A106="",B106="",C106="",D106=""),IF(A106="","従業員番号","")&amp;IF(AND(A106="",OR(B106="",C106="",D106="")),",","")&amp;IF(B106="","雇用形態","")&amp;IF(AND(B106="",OR(C106="",D106="")),",","")&amp;IF(OR(入力シート!$J$18=入力リスト!$K$4,入力シート!$J$22=入力リスト!$K$4),IF(C106="","入社年月日",""),"")&amp;IF(AND(C106="",D106=""),",","")&amp;IF(D106="","性別","")&amp;IF(IF(A106="","従業員番号","")&amp;IF(B106="","雇用形態","")&amp;IF(OR(入力シート!$J$18=入力リスト!$K$4,入力シート!$J$22=入力リスト!$K$4),IF(C106="","入社年月日",""),"")&amp;IF(D106="","性別","")="","","が空白です。"),IF(J106,"入社年月日に「基準日」の翌日以降の日付が入力されています。","")&amp;IF(I106,"入社年月日に数値以外（又は1900/1/1以前の日付）が入力されています。","")&amp;IF(H106,"雇用形態"&amp;IF(OR(K106,L106),",",""),"")&amp;IF(K106,"性別"&amp;IF(L106,",",""),"")&amp;IF(L106,"役職","")&amp;IF(OR(H106,K106,L106),"に、［入力シート］(4)「貴社」欄と異なる文言が入力されています。","")))))</f>
        <v/>
      </c>
      <c r="G106" s="236" t="b">
        <f>COUNTIF($A$4:A105,$A106)&gt;0</f>
        <v>0</v>
      </c>
      <c r="H106" s="237" t="b">
        <f>IF(COUNTIF(入力シート!$J$16:$S$23,入力リスト!$K$4)=0,FALSE,IF(入力シート!$J$16=入力リスト!$K$5,FALSE,ISERROR(VLOOKUP(B106,入力シート!$S$37:$V$62,1,0))))</f>
        <v>0</v>
      </c>
      <c r="I106" s="237" t="b">
        <f>IF(AND(OR(入力シート!$J$18=入力リスト!$K$4,入力シート!$J$22=入力リスト!$K$4),入力シート!$J$24&lt;&gt;""),IF(ISERROR(C106+1),TRUE,IF(ISNUMBER(C106),FALSE,TRUE)),FALSE)</f>
        <v>0</v>
      </c>
      <c r="J106" s="237" t="b">
        <f>IF(AND(入力シート!$J$18=入力リスト!$K$4,入力シート!$J$22=入力リスト!$K$4),FALSE,IF(I106=TRUE,FALSE,IF(ISERROR(C106+1),FALSE,C106&gt;入力シート!$J$24)))</f>
        <v>0</v>
      </c>
      <c r="K106" s="237" t="b">
        <f>IF(COUNTIF(入力シート!$J$16:$S$23,入力リスト!$K$4)=0,FALSE,IF(AND(入力シート!$J$16&lt;&gt;入力リスト!$K$5,入力シート!$J$18&lt;&gt;入力リスト!$K$5,入力シート!$J$20&lt;&gt;入力リスト!$K$5,入力シート!$J$22&lt;&gt;入力リスト!$K$5),FALSE,ISERROR(VLOOKUP(D106,入力シート!$AW$37:$AY$38,1,0))))</f>
        <v>0</v>
      </c>
      <c r="L106" s="237" t="b">
        <f>IF(COUNTIF(入力シート!$J$16:$S$23,入力リスト!$K$4)=0,FALSE,IF(入力シート!$J$20=入力リスト!$K$5,FALSE,IF(E106="",FALSE,ISERROR(VLOOKUP(E106,入力シート!$AH$37:$AK$62,1,0)))))</f>
        <v>0</v>
      </c>
      <c r="M106" s="238" t="str">
        <f t="shared" si="1"/>
        <v/>
      </c>
      <c r="N106" s="236" t="str">
        <f>IF(B106="","",VLOOKUP('従業員情報(給与以外)'!$B106,入力シート!$S$37:$Z$62,5,0))</f>
        <v/>
      </c>
      <c r="O106" s="182" t="str">
        <f>IF(ISNUMBER(C106)=FALSE,"",IF(C106&gt;入力シート!$J$24,"",_xlfn.DAYS(入力シート!$J$24,'従業員情報(給与以外)'!$C106)/365))</f>
        <v/>
      </c>
      <c r="P106" s="237" t="str">
        <f>IF(O106="","",VLOOKUP(_xlfn.DAYS(入力シート!$J$24,'従業員情報(給与以外)'!$C106)/365,入力リスト!$H$4:$I$12,2,2))</f>
        <v/>
      </c>
      <c r="Q106" s="236" t="str">
        <f>IF(D106="","",VLOOKUP('従業員情報(給与以外)'!$D106,入力シート!$AW$37:$BB$38,4,0))</f>
        <v/>
      </c>
      <c r="R106" s="236" t="str">
        <f>IF(A106="","",IF(E106="","非役職",VLOOKUP('従業員情報(給与以外)'!$E106,入力シート!$AH$37:$AO$62,5,0)))</f>
        <v/>
      </c>
      <c r="S106" s="116" t="str">
        <f>IF(OR(入力シート!$C$5&lt;&gt;入力リスト!$N$4,COUNTIF(入力シート!$J$16:$S$23,入力リスト!$K$4)=0),"",IF($A106="","",IF(ISERROR(AVERAGEIF(従業員の給与情報!$B:$B,$A106,従業員の給与情報!$C:$C)),0,IF(ISERROR(AVERAGEIF(従業員の給与情報!$B:$B,$A106,従業員の給与情報!$C:$C)),0,AVERAGEIF(従業員の給与情報!$B:$B,$A106,従業員の給与情報!$C:$C)))))</f>
        <v/>
      </c>
      <c r="T106" s="116" t="str">
        <f>IF(OR(入力シート!$C$5&lt;&gt;入力リスト!$N$4,COUNTIF(入力シート!$J$16:$S$23,入力リスト!$K$4)=0),"",IF(A106="","",IF(ISERROR(AVERAGEIF(従業員の給与情報!$B:$B,$A106,従業員の給与情報!$D:$D)),0,IF(ISERROR(AVERAGEIF(従業員の給与情報!$B:$B,$A106,従業員の給与情報!$D:$D)),0,AVERAGEIF(従業員の給与情報!$B:$B,$A106,従業員の給与情報!$D:$D)))))</f>
        <v/>
      </c>
      <c r="U106" s="116" t="str">
        <f>IF(OR(入力シート!$C$5&lt;&gt;入力リスト!$N$4,COUNTIF(入力シート!$J$16:$S$23,入力リスト!$K$4)=0),"",IF(A106="","",IF(ISERROR(AVERAGEIF(従業員の給与情報!$B:$B,$A106,従業員の給与情報!$E:$E)),0,IF(ISERROR(AVERAGEIF(従業員の給与情報!$B:$B,$A106,従業員の給与情報!$E:$E)),0,AVERAGEIF(従業員の給与情報!$B:$B,$A106,従業員の給与情報!$E:$E)))))</f>
        <v/>
      </c>
      <c r="V106" s="117" t="str">
        <f>IF(OR(入力シート!$C$5&lt;&gt;入力リスト!$N$4,COUNTIF(入力シート!$J$16:$S$23,入力リスト!$K$4)=0),"",IF(A106="","",IF(ISERROR(AVERAGEIF(従業員の給与情報!$B:$B,$A106,従業員の給与情報!$F:$F)),0,IF(ISERROR(AVERAGEIF(従業員の給与情報!$B:$B,$A106,従業員の給与情報!$F:$F)),0,AVERAGEIF(従業員の給与情報!$B:$B,$A106,従業員の給与情報!$F:$F)))))</f>
        <v/>
      </c>
      <c r="W106" s="182"/>
      <c r="X106" s="260"/>
    </row>
    <row r="107" spans="1:24" ht="19.5">
      <c r="A107" s="367"/>
      <c r="B107" s="364"/>
      <c r="C107" s="365"/>
      <c r="D107" s="366"/>
      <c r="E107" s="367"/>
      <c r="F107" s="372" t="str">
        <f>IF(G107,"この従業員番号は、すでに他のセルで入力されています。",IF(入力シート!$C$5=入力リスト!$N$5,"",IF(AND(A107="",B107="",C107="",D107="",E107=""),"",IF(OR(A107="",B107="",C107="",D107=""),IF(A107="","従業員番号","")&amp;IF(AND(A107="",OR(B107="",C107="",D107="")),",","")&amp;IF(B107="","雇用形態","")&amp;IF(AND(B107="",OR(C107="",D107="")),",","")&amp;IF(OR(入力シート!$J$18=入力リスト!$K$4,入力シート!$J$22=入力リスト!$K$4),IF(C107="","入社年月日",""),"")&amp;IF(AND(C107="",D107=""),",","")&amp;IF(D107="","性別","")&amp;IF(IF(A107="","従業員番号","")&amp;IF(B107="","雇用形態","")&amp;IF(OR(入力シート!$J$18=入力リスト!$K$4,入力シート!$J$22=入力リスト!$K$4),IF(C107="","入社年月日",""),"")&amp;IF(D107="","性別","")="","","が空白です。"),IF(J107,"入社年月日に「基準日」の翌日以降の日付が入力されています。","")&amp;IF(I107,"入社年月日に数値以外（又は1900/1/1以前の日付）が入力されています。","")&amp;IF(H107,"雇用形態"&amp;IF(OR(K107,L107),",",""),"")&amp;IF(K107,"性別"&amp;IF(L107,",",""),"")&amp;IF(L107,"役職","")&amp;IF(OR(H107,K107,L107),"に、［入力シート］(4)「貴社」欄と異なる文言が入力されています。","")))))</f>
        <v/>
      </c>
      <c r="G107" s="236" t="b">
        <f>COUNTIF($A$4:A106,$A107)&gt;0</f>
        <v>0</v>
      </c>
      <c r="H107" s="237" t="b">
        <f>IF(COUNTIF(入力シート!$J$16:$S$23,入力リスト!$K$4)=0,FALSE,IF(入力シート!$J$16=入力リスト!$K$5,FALSE,ISERROR(VLOOKUP(B107,入力シート!$S$37:$V$62,1,0))))</f>
        <v>0</v>
      </c>
      <c r="I107" s="237" t="b">
        <f>IF(AND(OR(入力シート!$J$18=入力リスト!$K$4,入力シート!$J$22=入力リスト!$K$4),入力シート!$J$24&lt;&gt;""),IF(ISERROR(C107+1),TRUE,IF(ISNUMBER(C107),FALSE,TRUE)),FALSE)</f>
        <v>0</v>
      </c>
      <c r="J107" s="237" t="b">
        <f>IF(AND(入力シート!$J$18=入力リスト!$K$4,入力シート!$J$22=入力リスト!$K$4),FALSE,IF(I107=TRUE,FALSE,IF(ISERROR(C107+1),FALSE,C107&gt;入力シート!$J$24)))</f>
        <v>0</v>
      </c>
      <c r="K107" s="237" t="b">
        <f>IF(COUNTIF(入力シート!$J$16:$S$23,入力リスト!$K$4)=0,FALSE,IF(AND(入力シート!$J$16&lt;&gt;入力リスト!$K$5,入力シート!$J$18&lt;&gt;入力リスト!$K$5,入力シート!$J$20&lt;&gt;入力リスト!$K$5,入力シート!$J$22&lt;&gt;入力リスト!$K$5),FALSE,ISERROR(VLOOKUP(D107,入力シート!$AW$37:$AY$38,1,0))))</f>
        <v>0</v>
      </c>
      <c r="L107" s="237" t="b">
        <f>IF(COUNTIF(入力シート!$J$16:$S$23,入力リスト!$K$4)=0,FALSE,IF(入力シート!$J$20=入力リスト!$K$5,FALSE,IF(E107="",FALSE,ISERROR(VLOOKUP(E107,入力シート!$AH$37:$AK$62,1,0)))))</f>
        <v>0</v>
      </c>
      <c r="M107" s="238" t="str">
        <f t="shared" si="1"/>
        <v/>
      </c>
      <c r="N107" s="236" t="str">
        <f>IF(B107="","",VLOOKUP('従業員情報(給与以外)'!$B107,入力シート!$S$37:$Z$62,5,0))</f>
        <v/>
      </c>
      <c r="O107" s="182" t="str">
        <f>IF(ISNUMBER(C107)=FALSE,"",IF(C107&gt;入力シート!$J$24,"",_xlfn.DAYS(入力シート!$J$24,'従業員情報(給与以外)'!$C107)/365))</f>
        <v/>
      </c>
      <c r="P107" s="237" t="str">
        <f>IF(O107="","",VLOOKUP(_xlfn.DAYS(入力シート!$J$24,'従業員情報(給与以外)'!$C107)/365,入力リスト!$H$4:$I$12,2,2))</f>
        <v/>
      </c>
      <c r="Q107" s="236" t="str">
        <f>IF(D107="","",VLOOKUP('従業員情報(給与以外)'!$D107,入力シート!$AW$37:$BB$38,4,0))</f>
        <v/>
      </c>
      <c r="R107" s="236" t="str">
        <f>IF(A107="","",IF(E107="","非役職",VLOOKUP('従業員情報(給与以外)'!$E107,入力シート!$AH$37:$AO$62,5,0)))</f>
        <v/>
      </c>
      <c r="S107" s="116" t="str">
        <f>IF(OR(入力シート!$C$5&lt;&gt;入力リスト!$N$4,COUNTIF(入力シート!$J$16:$S$23,入力リスト!$K$4)=0),"",IF($A107="","",IF(ISERROR(AVERAGEIF(従業員の給与情報!$B:$B,$A107,従業員の給与情報!$C:$C)),0,IF(ISERROR(AVERAGEIF(従業員の給与情報!$B:$B,$A107,従業員の給与情報!$C:$C)),0,AVERAGEIF(従業員の給与情報!$B:$B,$A107,従業員の給与情報!$C:$C)))))</f>
        <v/>
      </c>
      <c r="T107" s="116" t="str">
        <f>IF(OR(入力シート!$C$5&lt;&gt;入力リスト!$N$4,COUNTIF(入力シート!$J$16:$S$23,入力リスト!$K$4)=0),"",IF(A107="","",IF(ISERROR(AVERAGEIF(従業員の給与情報!$B:$B,$A107,従業員の給与情報!$D:$D)),0,IF(ISERROR(AVERAGEIF(従業員の給与情報!$B:$B,$A107,従業員の給与情報!$D:$D)),0,AVERAGEIF(従業員の給与情報!$B:$B,$A107,従業員の給与情報!$D:$D)))))</f>
        <v/>
      </c>
      <c r="U107" s="116" t="str">
        <f>IF(OR(入力シート!$C$5&lt;&gt;入力リスト!$N$4,COUNTIF(入力シート!$J$16:$S$23,入力リスト!$K$4)=0),"",IF(A107="","",IF(ISERROR(AVERAGEIF(従業員の給与情報!$B:$B,$A107,従業員の給与情報!$E:$E)),0,IF(ISERROR(AVERAGEIF(従業員の給与情報!$B:$B,$A107,従業員の給与情報!$E:$E)),0,AVERAGEIF(従業員の給与情報!$B:$B,$A107,従業員の給与情報!$E:$E)))))</f>
        <v/>
      </c>
      <c r="V107" s="117" t="str">
        <f>IF(OR(入力シート!$C$5&lt;&gt;入力リスト!$N$4,COUNTIF(入力シート!$J$16:$S$23,入力リスト!$K$4)=0),"",IF(A107="","",IF(ISERROR(AVERAGEIF(従業員の給与情報!$B:$B,$A107,従業員の給与情報!$F:$F)),0,IF(ISERROR(AVERAGEIF(従業員の給与情報!$B:$B,$A107,従業員の給与情報!$F:$F)),0,AVERAGEIF(従業員の給与情報!$B:$B,$A107,従業員の給与情報!$F:$F)))))</f>
        <v/>
      </c>
      <c r="W107" s="182"/>
      <c r="X107" s="260"/>
    </row>
    <row r="108" spans="1:24" ht="19.5">
      <c r="A108" s="367"/>
      <c r="B108" s="364"/>
      <c r="C108" s="365"/>
      <c r="D108" s="366"/>
      <c r="E108" s="367"/>
      <c r="F108" s="372" t="str">
        <f>IF(G108,"この従業員番号は、すでに他のセルで入力されています。",IF(入力シート!$C$5=入力リスト!$N$5,"",IF(AND(A108="",B108="",C108="",D108="",E108=""),"",IF(OR(A108="",B108="",C108="",D108=""),IF(A108="","従業員番号","")&amp;IF(AND(A108="",OR(B108="",C108="",D108="")),",","")&amp;IF(B108="","雇用形態","")&amp;IF(AND(B108="",OR(C108="",D108="")),",","")&amp;IF(OR(入力シート!$J$18=入力リスト!$K$4,入力シート!$J$22=入力リスト!$K$4),IF(C108="","入社年月日",""),"")&amp;IF(AND(C108="",D108=""),",","")&amp;IF(D108="","性別","")&amp;IF(IF(A108="","従業員番号","")&amp;IF(B108="","雇用形態","")&amp;IF(OR(入力シート!$J$18=入力リスト!$K$4,入力シート!$J$22=入力リスト!$K$4),IF(C108="","入社年月日",""),"")&amp;IF(D108="","性別","")="","","が空白です。"),IF(J108,"入社年月日に「基準日」の翌日以降の日付が入力されています。","")&amp;IF(I108,"入社年月日に数値以外（又は1900/1/1以前の日付）が入力されています。","")&amp;IF(H108,"雇用形態"&amp;IF(OR(K108,L108),",",""),"")&amp;IF(K108,"性別"&amp;IF(L108,",",""),"")&amp;IF(L108,"役職","")&amp;IF(OR(H108,K108,L108),"に、［入力シート］(4)「貴社」欄と異なる文言が入力されています。","")))))</f>
        <v/>
      </c>
      <c r="G108" s="236" t="b">
        <f>COUNTIF($A$4:A107,$A108)&gt;0</f>
        <v>0</v>
      </c>
      <c r="H108" s="237" t="b">
        <f>IF(COUNTIF(入力シート!$J$16:$S$23,入力リスト!$K$4)=0,FALSE,IF(入力シート!$J$16=入力リスト!$K$5,FALSE,ISERROR(VLOOKUP(B108,入力シート!$S$37:$V$62,1,0))))</f>
        <v>0</v>
      </c>
      <c r="I108" s="237" t="b">
        <f>IF(AND(OR(入力シート!$J$18=入力リスト!$K$4,入力シート!$J$22=入力リスト!$K$4),入力シート!$J$24&lt;&gt;""),IF(ISERROR(C108+1),TRUE,IF(ISNUMBER(C108),FALSE,TRUE)),FALSE)</f>
        <v>0</v>
      </c>
      <c r="J108" s="237" t="b">
        <f>IF(AND(入力シート!$J$18=入力リスト!$K$4,入力シート!$J$22=入力リスト!$K$4),FALSE,IF(I108=TRUE,FALSE,IF(ISERROR(C108+1),FALSE,C108&gt;入力シート!$J$24)))</f>
        <v>0</v>
      </c>
      <c r="K108" s="237" t="b">
        <f>IF(COUNTIF(入力シート!$J$16:$S$23,入力リスト!$K$4)=0,FALSE,IF(AND(入力シート!$J$16&lt;&gt;入力リスト!$K$5,入力シート!$J$18&lt;&gt;入力リスト!$K$5,入力シート!$J$20&lt;&gt;入力リスト!$K$5,入力シート!$J$22&lt;&gt;入力リスト!$K$5),FALSE,ISERROR(VLOOKUP(D108,入力シート!$AW$37:$AY$38,1,0))))</f>
        <v>0</v>
      </c>
      <c r="L108" s="237" t="b">
        <f>IF(COUNTIF(入力シート!$J$16:$S$23,入力リスト!$K$4)=0,FALSE,IF(入力シート!$J$20=入力リスト!$K$5,FALSE,IF(E108="",FALSE,ISERROR(VLOOKUP(E108,入力シート!$AH$37:$AK$62,1,0)))))</f>
        <v>0</v>
      </c>
      <c r="M108" s="238" t="str">
        <f t="shared" si="1"/>
        <v/>
      </c>
      <c r="N108" s="236" t="str">
        <f>IF(B108="","",VLOOKUP('従業員情報(給与以外)'!$B108,入力シート!$S$37:$Z$62,5,0))</f>
        <v/>
      </c>
      <c r="O108" s="182" t="str">
        <f>IF(ISNUMBER(C108)=FALSE,"",IF(C108&gt;入力シート!$J$24,"",_xlfn.DAYS(入力シート!$J$24,'従業員情報(給与以外)'!$C108)/365))</f>
        <v/>
      </c>
      <c r="P108" s="237" t="str">
        <f>IF(O108="","",VLOOKUP(_xlfn.DAYS(入力シート!$J$24,'従業員情報(給与以外)'!$C108)/365,入力リスト!$H$4:$I$12,2,2))</f>
        <v/>
      </c>
      <c r="Q108" s="236" t="str">
        <f>IF(D108="","",VLOOKUP('従業員情報(給与以外)'!$D108,入力シート!$AW$37:$BB$38,4,0))</f>
        <v/>
      </c>
      <c r="R108" s="236" t="str">
        <f>IF(A108="","",IF(E108="","非役職",VLOOKUP('従業員情報(給与以外)'!$E108,入力シート!$AH$37:$AO$62,5,0)))</f>
        <v/>
      </c>
      <c r="S108" s="116" t="str">
        <f>IF(OR(入力シート!$C$5&lt;&gt;入力リスト!$N$4,COUNTIF(入力シート!$J$16:$S$23,入力リスト!$K$4)=0),"",IF($A108="","",IF(ISERROR(AVERAGEIF(従業員の給与情報!$B:$B,$A108,従業員の給与情報!$C:$C)),0,IF(ISERROR(AVERAGEIF(従業員の給与情報!$B:$B,$A108,従業員の給与情報!$C:$C)),0,AVERAGEIF(従業員の給与情報!$B:$B,$A108,従業員の給与情報!$C:$C)))))</f>
        <v/>
      </c>
      <c r="T108" s="116" t="str">
        <f>IF(OR(入力シート!$C$5&lt;&gt;入力リスト!$N$4,COUNTIF(入力シート!$J$16:$S$23,入力リスト!$K$4)=0),"",IF(A108="","",IF(ISERROR(AVERAGEIF(従業員の給与情報!$B:$B,$A108,従業員の給与情報!$D:$D)),0,IF(ISERROR(AVERAGEIF(従業員の給与情報!$B:$B,$A108,従業員の給与情報!$D:$D)),0,AVERAGEIF(従業員の給与情報!$B:$B,$A108,従業員の給与情報!$D:$D)))))</f>
        <v/>
      </c>
      <c r="U108" s="116" t="str">
        <f>IF(OR(入力シート!$C$5&lt;&gt;入力リスト!$N$4,COUNTIF(入力シート!$J$16:$S$23,入力リスト!$K$4)=0),"",IF(A108="","",IF(ISERROR(AVERAGEIF(従業員の給与情報!$B:$B,$A108,従業員の給与情報!$E:$E)),0,IF(ISERROR(AVERAGEIF(従業員の給与情報!$B:$B,$A108,従業員の給与情報!$E:$E)),0,AVERAGEIF(従業員の給与情報!$B:$B,$A108,従業員の給与情報!$E:$E)))))</f>
        <v/>
      </c>
      <c r="V108" s="117" t="str">
        <f>IF(OR(入力シート!$C$5&lt;&gt;入力リスト!$N$4,COUNTIF(入力シート!$J$16:$S$23,入力リスト!$K$4)=0),"",IF(A108="","",IF(ISERROR(AVERAGEIF(従業員の給与情報!$B:$B,$A108,従業員の給与情報!$F:$F)),0,IF(ISERROR(AVERAGEIF(従業員の給与情報!$B:$B,$A108,従業員の給与情報!$F:$F)),0,AVERAGEIF(従業員の給与情報!$B:$B,$A108,従業員の給与情報!$F:$F)))))</f>
        <v/>
      </c>
      <c r="W108" s="182"/>
      <c r="X108" s="260"/>
    </row>
    <row r="109" spans="1:24" ht="19.5">
      <c r="A109" s="367"/>
      <c r="B109" s="364"/>
      <c r="C109" s="365"/>
      <c r="D109" s="366"/>
      <c r="E109" s="367"/>
      <c r="F109" s="372" t="str">
        <f>IF(G109,"この従業員番号は、すでに他のセルで入力されています。",IF(入力シート!$C$5=入力リスト!$N$5,"",IF(AND(A109="",B109="",C109="",D109="",E109=""),"",IF(OR(A109="",B109="",C109="",D109=""),IF(A109="","従業員番号","")&amp;IF(AND(A109="",OR(B109="",C109="",D109="")),",","")&amp;IF(B109="","雇用形態","")&amp;IF(AND(B109="",OR(C109="",D109="")),",","")&amp;IF(OR(入力シート!$J$18=入力リスト!$K$4,入力シート!$J$22=入力リスト!$K$4),IF(C109="","入社年月日",""),"")&amp;IF(AND(C109="",D109=""),",","")&amp;IF(D109="","性別","")&amp;IF(IF(A109="","従業員番号","")&amp;IF(B109="","雇用形態","")&amp;IF(OR(入力シート!$J$18=入力リスト!$K$4,入力シート!$J$22=入力リスト!$K$4),IF(C109="","入社年月日",""),"")&amp;IF(D109="","性別","")="","","が空白です。"),IF(J109,"入社年月日に「基準日」の翌日以降の日付が入力されています。","")&amp;IF(I109,"入社年月日に数値以外（又は1900/1/1以前の日付）が入力されています。","")&amp;IF(H109,"雇用形態"&amp;IF(OR(K109,L109),",",""),"")&amp;IF(K109,"性別"&amp;IF(L109,",",""),"")&amp;IF(L109,"役職","")&amp;IF(OR(H109,K109,L109),"に、［入力シート］(4)「貴社」欄と異なる文言が入力されています。","")))))</f>
        <v/>
      </c>
      <c r="G109" s="236" t="b">
        <f>COUNTIF($A$4:A108,$A109)&gt;0</f>
        <v>0</v>
      </c>
      <c r="H109" s="237" t="b">
        <f>IF(COUNTIF(入力シート!$J$16:$S$23,入力リスト!$K$4)=0,FALSE,IF(入力シート!$J$16=入力リスト!$K$5,FALSE,ISERROR(VLOOKUP(B109,入力シート!$S$37:$V$62,1,0))))</f>
        <v>0</v>
      </c>
      <c r="I109" s="237" t="b">
        <f>IF(AND(OR(入力シート!$J$18=入力リスト!$K$4,入力シート!$J$22=入力リスト!$K$4),入力シート!$J$24&lt;&gt;""),IF(ISERROR(C109+1),TRUE,IF(ISNUMBER(C109),FALSE,TRUE)),FALSE)</f>
        <v>0</v>
      </c>
      <c r="J109" s="237" t="b">
        <f>IF(AND(入力シート!$J$18=入力リスト!$K$4,入力シート!$J$22=入力リスト!$K$4),FALSE,IF(I109=TRUE,FALSE,IF(ISERROR(C109+1),FALSE,C109&gt;入力シート!$J$24)))</f>
        <v>0</v>
      </c>
      <c r="K109" s="237" t="b">
        <f>IF(COUNTIF(入力シート!$J$16:$S$23,入力リスト!$K$4)=0,FALSE,IF(AND(入力シート!$J$16&lt;&gt;入力リスト!$K$5,入力シート!$J$18&lt;&gt;入力リスト!$K$5,入力シート!$J$20&lt;&gt;入力リスト!$K$5,入力シート!$J$22&lt;&gt;入力リスト!$K$5),FALSE,ISERROR(VLOOKUP(D109,入力シート!$AW$37:$AY$38,1,0))))</f>
        <v>0</v>
      </c>
      <c r="L109" s="237" t="b">
        <f>IF(COUNTIF(入力シート!$J$16:$S$23,入力リスト!$K$4)=0,FALSE,IF(入力シート!$J$20=入力リスト!$K$5,FALSE,IF(E109="",FALSE,ISERROR(VLOOKUP(E109,入力シート!$AH$37:$AK$62,1,0)))))</f>
        <v>0</v>
      </c>
      <c r="M109" s="238" t="str">
        <f t="shared" si="1"/>
        <v/>
      </c>
      <c r="N109" s="236" t="str">
        <f>IF(B109="","",VLOOKUP('従業員情報(給与以外)'!$B109,入力シート!$S$37:$Z$62,5,0))</f>
        <v/>
      </c>
      <c r="O109" s="182" t="str">
        <f>IF(ISNUMBER(C109)=FALSE,"",IF(C109&gt;入力シート!$J$24,"",_xlfn.DAYS(入力シート!$J$24,'従業員情報(給与以外)'!$C109)/365))</f>
        <v/>
      </c>
      <c r="P109" s="237" t="str">
        <f>IF(O109="","",VLOOKUP(_xlfn.DAYS(入力シート!$J$24,'従業員情報(給与以外)'!$C109)/365,入力リスト!$H$4:$I$12,2,2))</f>
        <v/>
      </c>
      <c r="Q109" s="236" t="str">
        <f>IF(D109="","",VLOOKUP('従業員情報(給与以外)'!$D109,入力シート!$AW$37:$BB$38,4,0))</f>
        <v/>
      </c>
      <c r="R109" s="236" t="str">
        <f>IF(A109="","",IF(E109="","非役職",VLOOKUP('従業員情報(給与以外)'!$E109,入力シート!$AH$37:$AO$62,5,0)))</f>
        <v/>
      </c>
      <c r="S109" s="116" t="str">
        <f>IF(OR(入力シート!$C$5&lt;&gt;入力リスト!$N$4,COUNTIF(入力シート!$J$16:$S$23,入力リスト!$K$4)=0),"",IF($A109="","",IF(ISERROR(AVERAGEIF(従業員の給与情報!$B:$B,$A109,従業員の給与情報!$C:$C)),0,IF(ISERROR(AVERAGEIF(従業員の給与情報!$B:$B,$A109,従業員の給与情報!$C:$C)),0,AVERAGEIF(従業員の給与情報!$B:$B,$A109,従業員の給与情報!$C:$C)))))</f>
        <v/>
      </c>
      <c r="T109" s="116" t="str">
        <f>IF(OR(入力シート!$C$5&lt;&gt;入力リスト!$N$4,COUNTIF(入力シート!$J$16:$S$23,入力リスト!$K$4)=0),"",IF(A109="","",IF(ISERROR(AVERAGEIF(従業員の給与情報!$B:$B,$A109,従業員の給与情報!$D:$D)),0,IF(ISERROR(AVERAGEIF(従業員の給与情報!$B:$B,$A109,従業員の給与情報!$D:$D)),0,AVERAGEIF(従業員の給与情報!$B:$B,$A109,従業員の給与情報!$D:$D)))))</f>
        <v/>
      </c>
      <c r="U109" s="116" t="str">
        <f>IF(OR(入力シート!$C$5&lt;&gt;入力リスト!$N$4,COUNTIF(入力シート!$J$16:$S$23,入力リスト!$K$4)=0),"",IF(A109="","",IF(ISERROR(AVERAGEIF(従業員の給与情報!$B:$B,$A109,従業員の給与情報!$E:$E)),0,IF(ISERROR(AVERAGEIF(従業員の給与情報!$B:$B,$A109,従業員の給与情報!$E:$E)),0,AVERAGEIF(従業員の給与情報!$B:$B,$A109,従業員の給与情報!$E:$E)))))</f>
        <v/>
      </c>
      <c r="V109" s="117" t="str">
        <f>IF(OR(入力シート!$C$5&lt;&gt;入力リスト!$N$4,COUNTIF(入力シート!$J$16:$S$23,入力リスト!$K$4)=0),"",IF(A109="","",IF(ISERROR(AVERAGEIF(従業員の給与情報!$B:$B,$A109,従業員の給与情報!$F:$F)),0,IF(ISERROR(AVERAGEIF(従業員の給与情報!$B:$B,$A109,従業員の給与情報!$F:$F)),0,AVERAGEIF(従業員の給与情報!$B:$B,$A109,従業員の給与情報!$F:$F)))))</f>
        <v/>
      </c>
      <c r="W109" s="182"/>
      <c r="X109" s="260"/>
    </row>
    <row r="110" spans="1:24" ht="19.5">
      <c r="A110" s="367"/>
      <c r="B110" s="364"/>
      <c r="C110" s="365"/>
      <c r="D110" s="366"/>
      <c r="E110" s="367"/>
      <c r="F110" s="372" t="str">
        <f>IF(G110,"この従業員番号は、すでに他のセルで入力されています。",IF(入力シート!$C$5=入力リスト!$N$5,"",IF(AND(A110="",B110="",C110="",D110="",E110=""),"",IF(OR(A110="",B110="",C110="",D110=""),IF(A110="","従業員番号","")&amp;IF(AND(A110="",OR(B110="",C110="",D110="")),",","")&amp;IF(B110="","雇用形態","")&amp;IF(AND(B110="",OR(C110="",D110="")),",","")&amp;IF(OR(入力シート!$J$18=入力リスト!$K$4,入力シート!$J$22=入力リスト!$K$4),IF(C110="","入社年月日",""),"")&amp;IF(AND(C110="",D110=""),",","")&amp;IF(D110="","性別","")&amp;IF(IF(A110="","従業員番号","")&amp;IF(B110="","雇用形態","")&amp;IF(OR(入力シート!$J$18=入力リスト!$K$4,入力シート!$J$22=入力リスト!$K$4),IF(C110="","入社年月日",""),"")&amp;IF(D110="","性別","")="","","が空白です。"),IF(J110,"入社年月日に「基準日」の翌日以降の日付が入力されています。","")&amp;IF(I110,"入社年月日に数値以外（又は1900/1/1以前の日付）が入力されています。","")&amp;IF(H110,"雇用形態"&amp;IF(OR(K110,L110),",",""),"")&amp;IF(K110,"性別"&amp;IF(L110,",",""),"")&amp;IF(L110,"役職","")&amp;IF(OR(H110,K110,L110),"に、［入力シート］(4)「貴社」欄と異なる文言が入力されています。","")))))</f>
        <v/>
      </c>
      <c r="G110" s="236" t="b">
        <f>COUNTIF($A$4:A109,$A110)&gt;0</f>
        <v>0</v>
      </c>
      <c r="H110" s="237" t="b">
        <f>IF(COUNTIF(入力シート!$J$16:$S$23,入力リスト!$K$4)=0,FALSE,IF(入力シート!$J$16=入力リスト!$K$5,FALSE,ISERROR(VLOOKUP(B110,入力シート!$S$37:$V$62,1,0))))</f>
        <v>0</v>
      </c>
      <c r="I110" s="237" t="b">
        <f>IF(AND(OR(入力シート!$J$18=入力リスト!$K$4,入力シート!$J$22=入力リスト!$K$4),入力シート!$J$24&lt;&gt;""),IF(ISERROR(C110+1),TRUE,IF(ISNUMBER(C110),FALSE,TRUE)),FALSE)</f>
        <v>0</v>
      </c>
      <c r="J110" s="237" t="b">
        <f>IF(AND(入力シート!$J$18=入力リスト!$K$4,入力シート!$J$22=入力リスト!$K$4),FALSE,IF(I110=TRUE,FALSE,IF(ISERROR(C110+1),FALSE,C110&gt;入力シート!$J$24)))</f>
        <v>0</v>
      </c>
      <c r="K110" s="237" t="b">
        <f>IF(COUNTIF(入力シート!$J$16:$S$23,入力リスト!$K$4)=0,FALSE,IF(AND(入力シート!$J$16&lt;&gt;入力リスト!$K$5,入力シート!$J$18&lt;&gt;入力リスト!$K$5,入力シート!$J$20&lt;&gt;入力リスト!$K$5,入力シート!$J$22&lt;&gt;入力リスト!$K$5),FALSE,ISERROR(VLOOKUP(D110,入力シート!$AW$37:$AY$38,1,0))))</f>
        <v>0</v>
      </c>
      <c r="L110" s="237" t="b">
        <f>IF(COUNTIF(入力シート!$J$16:$S$23,入力リスト!$K$4)=0,FALSE,IF(入力シート!$J$20=入力リスト!$K$5,FALSE,IF(E110="",FALSE,ISERROR(VLOOKUP(E110,入力シート!$AH$37:$AK$62,1,0)))))</f>
        <v>0</v>
      </c>
      <c r="M110" s="238" t="str">
        <f t="shared" si="1"/>
        <v/>
      </c>
      <c r="N110" s="236" t="str">
        <f>IF(B110="","",VLOOKUP('従業員情報(給与以外)'!$B110,入力シート!$S$37:$Z$62,5,0))</f>
        <v/>
      </c>
      <c r="O110" s="182" t="str">
        <f>IF(ISNUMBER(C110)=FALSE,"",IF(C110&gt;入力シート!$J$24,"",_xlfn.DAYS(入力シート!$J$24,'従業員情報(給与以外)'!$C110)/365))</f>
        <v/>
      </c>
      <c r="P110" s="237" t="str">
        <f>IF(O110="","",VLOOKUP(_xlfn.DAYS(入力シート!$J$24,'従業員情報(給与以外)'!$C110)/365,入力リスト!$H$4:$I$12,2,2))</f>
        <v/>
      </c>
      <c r="Q110" s="236" t="str">
        <f>IF(D110="","",VLOOKUP('従業員情報(給与以外)'!$D110,入力シート!$AW$37:$BB$38,4,0))</f>
        <v/>
      </c>
      <c r="R110" s="236" t="str">
        <f>IF(A110="","",IF(E110="","非役職",VLOOKUP('従業員情報(給与以外)'!$E110,入力シート!$AH$37:$AO$62,5,0)))</f>
        <v/>
      </c>
      <c r="S110" s="116" t="str">
        <f>IF(OR(入力シート!$C$5&lt;&gt;入力リスト!$N$4,COUNTIF(入力シート!$J$16:$S$23,入力リスト!$K$4)=0),"",IF($A110="","",IF(ISERROR(AVERAGEIF(従業員の給与情報!$B:$B,$A110,従業員の給与情報!$C:$C)),0,IF(ISERROR(AVERAGEIF(従業員の給与情報!$B:$B,$A110,従業員の給与情報!$C:$C)),0,AVERAGEIF(従業員の給与情報!$B:$B,$A110,従業員の給与情報!$C:$C)))))</f>
        <v/>
      </c>
      <c r="T110" s="116" t="str">
        <f>IF(OR(入力シート!$C$5&lt;&gt;入力リスト!$N$4,COUNTIF(入力シート!$J$16:$S$23,入力リスト!$K$4)=0),"",IF(A110="","",IF(ISERROR(AVERAGEIF(従業員の給与情報!$B:$B,$A110,従業員の給与情報!$D:$D)),0,IF(ISERROR(AVERAGEIF(従業員の給与情報!$B:$B,$A110,従業員の給与情報!$D:$D)),0,AVERAGEIF(従業員の給与情報!$B:$B,$A110,従業員の給与情報!$D:$D)))))</f>
        <v/>
      </c>
      <c r="U110" s="116" t="str">
        <f>IF(OR(入力シート!$C$5&lt;&gt;入力リスト!$N$4,COUNTIF(入力シート!$J$16:$S$23,入力リスト!$K$4)=0),"",IF(A110="","",IF(ISERROR(AVERAGEIF(従業員の給与情報!$B:$B,$A110,従業員の給与情報!$E:$E)),0,IF(ISERROR(AVERAGEIF(従業員の給与情報!$B:$B,$A110,従業員の給与情報!$E:$E)),0,AVERAGEIF(従業員の給与情報!$B:$B,$A110,従業員の給与情報!$E:$E)))))</f>
        <v/>
      </c>
      <c r="V110" s="117" t="str">
        <f>IF(OR(入力シート!$C$5&lt;&gt;入力リスト!$N$4,COUNTIF(入力シート!$J$16:$S$23,入力リスト!$K$4)=0),"",IF(A110="","",IF(ISERROR(AVERAGEIF(従業員の給与情報!$B:$B,$A110,従業員の給与情報!$F:$F)),0,IF(ISERROR(AVERAGEIF(従業員の給与情報!$B:$B,$A110,従業員の給与情報!$F:$F)),0,AVERAGEIF(従業員の給与情報!$B:$B,$A110,従業員の給与情報!$F:$F)))))</f>
        <v/>
      </c>
      <c r="W110" s="182"/>
      <c r="X110" s="260"/>
    </row>
    <row r="111" spans="1:24" ht="19.5">
      <c r="A111" s="367"/>
      <c r="B111" s="364"/>
      <c r="C111" s="365"/>
      <c r="D111" s="366"/>
      <c r="E111" s="367"/>
      <c r="F111" s="372" t="str">
        <f>IF(G111,"この従業員番号は、すでに他のセルで入力されています。",IF(入力シート!$C$5=入力リスト!$N$5,"",IF(AND(A111="",B111="",C111="",D111="",E111=""),"",IF(OR(A111="",B111="",C111="",D111=""),IF(A111="","従業員番号","")&amp;IF(AND(A111="",OR(B111="",C111="",D111="")),",","")&amp;IF(B111="","雇用形態","")&amp;IF(AND(B111="",OR(C111="",D111="")),",","")&amp;IF(OR(入力シート!$J$18=入力リスト!$K$4,入力シート!$J$22=入力リスト!$K$4),IF(C111="","入社年月日",""),"")&amp;IF(AND(C111="",D111=""),",","")&amp;IF(D111="","性別","")&amp;IF(IF(A111="","従業員番号","")&amp;IF(B111="","雇用形態","")&amp;IF(OR(入力シート!$J$18=入力リスト!$K$4,入力シート!$J$22=入力リスト!$K$4),IF(C111="","入社年月日",""),"")&amp;IF(D111="","性別","")="","","が空白です。"),IF(J111,"入社年月日に「基準日」の翌日以降の日付が入力されています。","")&amp;IF(I111,"入社年月日に数値以外（又は1900/1/1以前の日付）が入力されています。","")&amp;IF(H111,"雇用形態"&amp;IF(OR(K111,L111),",",""),"")&amp;IF(K111,"性別"&amp;IF(L111,",",""),"")&amp;IF(L111,"役職","")&amp;IF(OR(H111,K111,L111),"に、［入力シート］(4)「貴社」欄と異なる文言が入力されています。","")))))</f>
        <v/>
      </c>
      <c r="G111" s="236" t="b">
        <f>COUNTIF($A$4:A110,$A111)&gt;0</f>
        <v>0</v>
      </c>
      <c r="H111" s="237" t="b">
        <f>IF(COUNTIF(入力シート!$J$16:$S$23,入力リスト!$K$4)=0,FALSE,IF(入力シート!$J$16=入力リスト!$K$5,FALSE,ISERROR(VLOOKUP(B111,入力シート!$S$37:$V$62,1,0))))</f>
        <v>0</v>
      </c>
      <c r="I111" s="237" t="b">
        <f>IF(AND(OR(入力シート!$J$18=入力リスト!$K$4,入力シート!$J$22=入力リスト!$K$4),入力シート!$J$24&lt;&gt;""),IF(ISERROR(C111+1),TRUE,IF(ISNUMBER(C111),FALSE,TRUE)),FALSE)</f>
        <v>0</v>
      </c>
      <c r="J111" s="237" t="b">
        <f>IF(AND(入力シート!$J$18=入力リスト!$K$4,入力シート!$J$22=入力リスト!$K$4),FALSE,IF(I111=TRUE,FALSE,IF(ISERROR(C111+1),FALSE,C111&gt;入力シート!$J$24)))</f>
        <v>0</v>
      </c>
      <c r="K111" s="237" t="b">
        <f>IF(COUNTIF(入力シート!$J$16:$S$23,入力リスト!$K$4)=0,FALSE,IF(AND(入力シート!$J$16&lt;&gt;入力リスト!$K$5,入力シート!$J$18&lt;&gt;入力リスト!$K$5,入力シート!$J$20&lt;&gt;入力リスト!$K$5,入力シート!$J$22&lt;&gt;入力リスト!$K$5),FALSE,ISERROR(VLOOKUP(D111,入力シート!$AW$37:$AY$38,1,0))))</f>
        <v>0</v>
      </c>
      <c r="L111" s="237" t="b">
        <f>IF(COUNTIF(入力シート!$J$16:$S$23,入力リスト!$K$4)=0,FALSE,IF(入力シート!$J$20=入力リスト!$K$5,FALSE,IF(E111="",FALSE,ISERROR(VLOOKUP(E111,入力シート!$AH$37:$AK$62,1,0)))))</f>
        <v>0</v>
      </c>
      <c r="M111" s="238" t="str">
        <f t="shared" si="1"/>
        <v/>
      </c>
      <c r="N111" s="236" t="str">
        <f>IF(B111="","",VLOOKUP('従業員情報(給与以外)'!$B111,入力シート!$S$37:$Z$62,5,0))</f>
        <v/>
      </c>
      <c r="O111" s="182" t="str">
        <f>IF(ISNUMBER(C111)=FALSE,"",IF(C111&gt;入力シート!$J$24,"",_xlfn.DAYS(入力シート!$J$24,'従業員情報(給与以外)'!$C111)/365))</f>
        <v/>
      </c>
      <c r="P111" s="237" t="str">
        <f>IF(O111="","",VLOOKUP(_xlfn.DAYS(入力シート!$J$24,'従業員情報(給与以外)'!$C111)/365,入力リスト!$H$4:$I$12,2,2))</f>
        <v/>
      </c>
      <c r="Q111" s="236" t="str">
        <f>IF(D111="","",VLOOKUP('従業員情報(給与以外)'!$D111,入力シート!$AW$37:$BB$38,4,0))</f>
        <v/>
      </c>
      <c r="R111" s="236" t="str">
        <f>IF(A111="","",IF(E111="","非役職",VLOOKUP('従業員情報(給与以外)'!$E111,入力シート!$AH$37:$AO$62,5,0)))</f>
        <v/>
      </c>
      <c r="S111" s="116" t="str">
        <f>IF(OR(入力シート!$C$5&lt;&gt;入力リスト!$N$4,COUNTIF(入力シート!$J$16:$S$23,入力リスト!$K$4)=0),"",IF($A111="","",IF(ISERROR(AVERAGEIF(従業員の給与情報!$B:$B,$A111,従業員の給与情報!$C:$C)),0,IF(ISERROR(AVERAGEIF(従業員の給与情報!$B:$B,$A111,従業員の給与情報!$C:$C)),0,AVERAGEIF(従業員の給与情報!$B:$B,$A111,従業員の給与情報!$C:$C)))))</f>
        <v/>
      </c>
      <c r="T111" s="116" t="str">
        <f>IF(OR(入力シート!$C$5&lt;&gt;入力リスト!$N$4,COUNTIF(入力シート!$J$16:$S$23,入力リスト!$K$4)=0),"",IF(A111="","",IF(ISERROR(AVERAGEIF(従業員の給与情報!$B:$B,$A111,従業員の給与情報!$D:$D)),0,IF(ISERROR(AVERAGEIF(従業員の給与情報!$B:$B,$A111,従業員の給与情報!$D:$D)),0,AVERAGEIF(従業員の給与情報!$B:$B,$A111,従業員の給与情報!$D:$D)))))</f>
        <v/>
      </c>
      <c r="U111" s="116" t="str">
        <f>IF(OR(入力シート!$C$5&lt;&gt;入力リスト!$N$4,COUNTIF(入力シート!$J$16:$S$23,入力リスト!$K$4)=0),"",IF(A111="","",IF(ISERROR(AVERAGEIF(従業員の給与情報!$B:$B,$A111,従業員の給与情報!$E:$E)),0,IF(ISERROR(AVERAGEIF(従業員の給与情報!$B:$B,$A111,従業員の給与情報!$E:$E)),0,AVERAGEIF(従業員の給与情報!$B:$B,$A111,従業員の給与情報!$E:$E)))))</f>
        <v/>
      </c>
      <c r="V111" s="117" t="str">
        <f>IF(OR(入力シート!$C$5&lt;&gt;入力リスト!$N$4,COUNTIF(入力シート!$J$16:$S$23,入力リスト!$K$4)=0),"",IF(A111="","",IF(ISERROR(AVERAGEIF(従業員の給与情報!$B:$B,$A111,従業員の給与情報!$F:$F)),0,IF(ISERROR(AVERAGEIF(従業員の給与情報!$B:$B,$A111,従業員の給与情報!$F:$F)),0,AVERAGEIF(従業員の給与情報!$B:$B,$A111,従業員の給与情報!$F:$F)))))</f>
        <v/>
      </c>
      <c r="W111" s="182"/>
      <c r="X111" s="260"/>
    </row>
    <row r="112" spans="1:24" ht="19.5">
      <c r="A112" s="367"/>
      <c r="B112" s="364"/>
      <c r="C112" s="365"/>
      <c r="D112" s="366"/>
      <c r="E112" s="367"/>
      <c r="F112" s="372" t="str">
        <f>IF(G112,"この従業員番号は、すでに他のセルで入力されています。",IF(入力シート!$C$5=入力リスト!$N$5,"",IF(AND(A112="",B112="",C112="",D112="",E112=""),"",IF(OR(A112="",B112="",C112="",D112=""),IF(A112="","従業員番号","")&amp;IF(AND(A112="",OR(B112="",C112="",D112="")),",","")&amp;IF(B112="","雇用形態","")&amp;IF(AND(B112="",OR(C112="",D112="")),",","")&amp;IF(OR(入力シート!$J$18=入力リスト!$K$4,入力シート!$J$22=入力リスト!$K$4),IF(C112="","入社年月日",""),"")&amp;IF(AND(C112="",D112=""),",","")&amp;IF(D112="","性別","")&amp;IF(IF(A112="","従業員番号","")&amp;IF(B112="","雇用形態","")&amp;IF(OR(入力シート!$J$18=入力リスト!$K$4,入力シート!$J$22=入力リスト!$K$4),IF(C112="","入社年月日",""),"")&amp;IF(D112="","性別","")="","","が空白です。"),IF(J112,"入社年月日に「基準日」の翌日以降の日付が入力されています。","")&amp;IF(I112,"入社年月日に数値以外（又は1900/1/1以前の日付）が入力されています。","")&amp;IF(H112,"雇用形態"&amp;IF(OR(K112,L112),",",""),"")&amp;IF(K112,"性別"&amp;IF(L112,",",""),"")&amp;IF(L112,"役職","")&amp;IF(OR(H112,K112,L112),"に、［入力シート］(4)「貴社」欄と異なる文言が入力されています。","")))))</f>
        <v/>
      </c>
      <c r="G112" s="236" t="b">
        <f>COUNTIF($A$4:A111,$A112)&gt;0</f>
        <v>0</v>
      </c>
      <c r="H112" s="237" t="b">
        <f>IF(COUNTIF(入力シート!$J$16:$S$23,入力リスト!$K$4)=0,FALSE,IF(入力シート!$J$16=入力リスト!$K$5,FALSE,ISERROR(VLOOKUP(B112,入力シート!$S$37:$V$62,1,0))))</f>
        <v>0</v>
      </c>
      <c r="I112" s="237" t="b">
        <f>IF(AND(OR(入力シート!$J$18=入力リスト!$K$4,入力シート!$J$22=入力リスト!$K$4),入力シート!$J$24&lt;&gt;""),IF(ISERROR(C112+1),TRUE,IF(ISNUMBER(C112),FALSE,TRUE)),FALSE)</f>
        <v>0</v>
      </c>
      <c r="J112" s="237" t="b">
        <f>IF(AND(入力シート!$J$18=入力リスト!$K$4,入力シート!$J$22=入力リスト!$K$4),FALSE,IF(I112=TRUE,FALSE,IF(ISERROR(C112+1),FALSE,C112&gt;入力シート!$J$24)))</f>
        <v>0</v>
      </c>
      <c r="K112" s="237" t="b">
        <f>IF(COUNTIF(入力シート!$J$16:$S$23,入力リスト!$K$4)=0,FALSE,IF(AND(入力シート!$J$16&lt;&gt;入力リスト!$K$5,入力シート!$J$18&lt;&gt;入力リスト!$K$5,入力シート!$J$20&lt;&gt;入力リスト!$K$5,入力シート!$J$22&lt;&gt;入力リスト!$K$5),FALSE,ISERROR(VLOOKUP(D112,入力シート!$AW$37:$AY$38,1,0))))</f>
        <v>0</v>
      </c>
      <c r="L112" s="237" t="b">
        <f>IF(COUNTIF(入力シート!$J$16:$S$23,入力リスト!$K$4)=0,FALSE,IF(入力シート!$J$20=入力リスト!$K$5,FALSE,IF(E112="",FALSE,ISERROR(VLOOKUP(E112,入力シート!$AH$37:$AK$62,1,0)))))</f>
        <v>0</v>
      </c>
      <c r="M112" s="238" t="str">
        <f t="shared" si="1"/>
        <v/>
      </c>
      <c r="N112" s="236" t="str">
        <f>IF(B112="","",VLOOKUP('従業員情報(給与以外)'!$B112,入力シート!$S$37:$Z$62,5,0))</f>
        <v/>
      </c>
      <c r="O112" s="182" t="str">
        <f>IF(ISNUMBER(C112)=FALSE,"",IF(C112&gt;入力シート!$J$24,"",_xlfn.DAYS(入力シート!$J$24,'従業員情報(給与以外)'!$C112)/365))</f>
        <v/>
      </c>
      <c r="P112" s="237" t="str">
        <f>IF(O112="","",VLOOKUP(_xlfn.DAYS(入力シート!$J$24,'従業員情報(給与以外)'!$C112)/365,入力リスト!$H$4:$I$12,2,2))</f>
        <v/>
      </c>
      <c r="Q112" s="236" t="str">
        <f>IF(D112="","",VLOOKUP('従業員情報(給与以外)'!$D112,入力シート!$AW$37:$BB$38,4,0))</f>
        <v/>
      </c>
      <c r="R112" s="236" t="str">
        <f>IF(A112="","",IF(E112="","非役職",VLOOKUP('従業員情報(給与以外)'!$E112,入力シート!$AH$37:$AO$62,5,0)))</f>
        <v/>
      </c>
      <c r="S112" s="116" t="str">
        <f>IF(OR(入力シート!$C$5&lt;&gt;入力リスト!$N$4,COUNTIF(入力シート!$J$16:$S$23,入力リスト!$K$4)=0),"",IF($A112="","",IF(ISERROR(AVERAGEIF(従業員の給与情報!$B:$B,$A112,従業員の給与情報!$C:$C)),0,IF(ISERROR(AVERAGEIF(従業員の給与情報!$B:$B,$A112,従業員の給与情報!$C:$C)),0,AVERAGEIF(従業員の給与情報!$B:$B,$A112,従業員の給与情報!$C:$C)))))</f>
        <v/>
      </c>
      <c r="T112" s="116" t="str">
        <f>IF(OR(入力シート!$C$5&lt;&gt;入力リスト!$N$4,COUNTIF(入力シート!$J$16:$S$23,入力リスト!$K$4)=0),"",IF(A112="","",IF(ISERROR(AVERAGEIF(従業員の給与情報!$B:$B,$A112,従業員の給与情報!$D:$D)),0,IF(ISERROR(AVERAGEIF(従業員の給与情報!$B:$B,$A112,従業員の給与情報!$D:$D)),0,AVERAGEIF(従業員の給与情報!$B:$B,$A112,従業員の給与情報!$D:$D)))))</f>
        <v/>
      </c>
      <c r="U112" s="116" t="str">
        <f>IF(OR(入力シート!$C$5&lt;&gt;入力リスト!$N$4,COUNTIF(入力シート!$J$16:$S$23,入力リスト!$K$4)=0),"",IF(A112="","",IF(ISERROR(AVERAGEIF(従業員の給与情報!$B:$B,$A112,従業員の給与情報!$E:$E)),0,IF(ISERROR(AVERAGEIF(従業員の給与情報!$B:$B,$A112,従業員の給与情報!$E:$E)),0,AVERAGEIF(従業員の給与情報!$B:$B,$A112,従業員の給与情報!$E:$E)))))</f>
        <v/>
      </c>
      <c r="V112" s="117" t="str">
        <f>IF(OR(入力シート!$C$5&lt;&gt;入力リスト!$N$4,COUNTIF(入力シート!$J$16:$S$23,入力リスト!$K$4)=0),"",IF(A112="","",IF(ISERROR(AVERAGEIF(従業員の給与情報!$B:$B,$A112,従業員の給与情報!$F:$F)),0,IF(ISERROR(AVERAGEIF(従業員の給与情報!$B:$B,$A112,従業員の給与情報!$F:$F)),0,AVERAGEIF(従業員の給与情報!$B:$B,$A112,従業員の給与情報!$F:$F)))))</f>
        <v/>
      </c>
      <c r="W112" s="182"/>
      <c r="X112" s="260"/>
    </row>
    <row r="113" spans="1:24" ht="19.5">
      <c r="A113" s="367"/>
      <c r="B113" s="364"/>
      <c r="C113" s="365"/>
      <c r="D113" s="366"/>
      <c r="E113" s="367"/>
      <c r="F113" s="372" t="str">
        <f>IF(G113,"この従業員番号は、すでに他のセルで入力されています。",IF(入力シート!$C$5=入力リスト!$N$5,"",IF(AND(A113="",B113="",C113="",D113="",E113=""),"",IF(OR(A113="",B113="",C113="",D113=""),IF(A113="","従業員番号","")&amp;IF(AND(A113="",OR(B113="",C113="",D113="")),",","")&amp;IF(B113="","雇用形態","")&amp;IF(AND(B113="",OR(C113="",D113="")),",","")&amp;IF(OR(入力シート!$J$18=入力リスト!$K$4,入力シート!$J$22=入力リスト!$K$4),IF(C113="","入社年月日",""),"")&amp;IF(AND(C113="",D113=""),",","")&amp;IF(D113="","性別","")&amp;IF(IF(A113="","従業員番号","")&amp;IF(B113="","雇用形態","")&amp;IF(OR(入力シート!$J$18=入力リスト!$K$4,入力シート!$J$22=入力リスト!$K$4),IF(C113="","入社年月日",""),"")&amp;IF(D113="","性別","")="","","が空白です。"),IF(J113,"入社年月日に「基準日」の翌日以降の日付が入力されています。","")&amp;IF(I113,"入社年月日に数値以外（又は1900/1/1以前の日付）が入力されています。","")&amp;IF(H113,"雇用形態"&amp;IF(OR(K113,L113),",",""),"")&amp;IF(K113,"性別"&amp;IF(L113,",",""),"")&amp;IF(L113,"役職","")&amp;IF(OR(H113,K113,L113),"に、［入力シート］(4)「貴社」欄と異なる文言が入力されています。","")))))</f>
        <v/>
      </c>
      <c r="G113" s="236" t="b">
        <f>COUNTIF($A$4:A112,$A113)&gt;0</f>
        <v>0</v>
      </c>
      <c r="H113" s="237" t="b">
        <f>IF(COUNTIF(入力シート!$J$16:$S$23,入力リスト!$K$4)=0,FALSE,IF(入力シート!$J$16=入力リスト!$K$5,FALSE,ISERROR(VLOOKUP(B113,入力シート!$S$37:$V$62,1,0))))</f>
        <v>0</v>
      </c>
      <c r="I113" s="237" t="b">
        <f>IF(AND(OR(入力シート!$J$18=入力リスト!$K$4,入力シート!$J$22=入力リスト!$K$4),入力シート!$J$24&lt;&gt;""),IF(ISERROR(C113+1),TRUE,IF(ISNUMBER(C113),FALSE,TRUE)),FALSE)</f>
        <v>0</v>
      </c>
      <c r="J113" s="237" t="b">
        <f>IF(AND(入力シート!$J$18=入力リスト!$K$4,入力シート!$J$22=入力リスト!$K$4),FALSE,IF(I113=TRUE,FALSE,IF(ISERROR(C113+1),FALSE,C113&gt;入力シート!$J$24)))</f>
        <v>0</v>
      </c>
      <c r="K113" s="237" t="b">
        <f>IF(COUNTIF(入力シート!$J$16:$S$23,入力リスト!$K$4)=0,FALSE,IF(AND(入力シート!$J$16&lt;&gt;入力リスト!$K$5,入力シート!$J$18&lt;&gt;入力リスト!$K$5,入力シート!$J$20&lt;&gt;入力リスト!$K$5,入力シート!$J$22&lt;&gt;入力リスト!$K$5),FALSE,ISERROR(VLOOKUP(D113,入力シート!$AW$37:$AY$38,1,0))))</f>
        <v>0</v>
      </c>
      <c r="L113" s="237" t="b">
        <f>IF(COUNTIF(入力シート!$J$16:$S$23,入力リスト!$K$4)=0,FALSE,IF(入力シート!$J$20=入力リスト!$K$5,FALSE,IF(E113="",FALSE,ISERROR(VLOOKUP(E113,入力シート!$AH$37:$AK$62,1,0)))))</f>
        <v>0</v>
      </c>
      <c r="M113" s="238" t="str">
        <f t="shared" si="1"/>
        <v/>
      </c>
      <c r="N113" s="236" t="str">
        <f>IF(B113="","",VLOOKUP('従業員情報(給与以外)'!$B113,入力シート!$S$37:$Z$62,5,0))</f>
        <v/>
      </c>
      <c r="O113" s="182" t="str">
        <f>IF(ISNUMBER(C113)=FALSE,"",IF(C113&gt;入力シート!$J$24,"",_xlfn.DAYS(入力シート!$J$24,'従業員情報(給与以外)'!$C113)/365))</f>
        <v/>
      </c>
      <c r="P113" s="237" t="str">
        <f>IF(O113="","",VLOOKUP(_xlfn.DAYS(入力シート!$J$24,'従業員情報(給与以外)'!$C113)/365,入力リスト!$H$4:$I$12,2,2))</f>
        <v/>
      </c>
      <c r="Q113" s="236" t="str">
        <f>IF(D113="","",VLOOKUP('従業員情報(給与以外)'!$D113,入力シート!$AW$37:$BB$38,4,0))</f>
        <v/>
      </c>
      <c r="R113" s="236" t="str">
        <f>IF(A113="","",IF(E113="","非役職",VLOOKUP('従業員情報(給与以外)'!$E113,入力シート!$AH$37:$AO$62,5,0)))</f>
        <v/>
      </c>
      <c r="S113" s="116" t="str">
        <f>IF(OR(入力シート!$C$5&lt;&gt;入力リスト!$N$4,COUNTIF(入力シート!$J$16:$S$23,入力リスト!$K$4)=0),"",IF($A113="","",IF(ISERROR(AVERAGEIF(従業員の給与情報!$B:$B,$A113,従業員の給与情報!$C:$C)),0,IF(ISERROR(AVERAGEIF(従業員の給与情報!$B:$B,$A113,従業員の給与情報!$C:$C)),0,AVERAGEIF(従業員の給与情報!$B:$B,$A113,従業員の給与情報!$C:$C)))))</f>
        <v/>
      </c>
      <c r="T113" s="116" t="str">
        <f>IF(OR(入力シート!$C$5&lt;&gt;入力リスト!$N$4,COUNTIF(入力シート!$J$16:$S$23,入力リスト!$K$4)=0),"",IF(A113="","",IF(ISERROR(AVERAGEIF(従業員の給与情報!$B:$B,$A113,従業員の給与情報!$D:$D)),0,IF(ISERROR(AVERAGEIF(従業員の給与情報!$B:$B,$A113,従業員の給与情報!$D:$D)),0,AVERAGEIF(従業員の給与情報!$B:$B,$A113,従業員の給与情報!$D:$D)))))</f>
        <v/>
      </c>
      <c r="U113" s="116" t="str">
        <f>IF(OR(入力シート!$C$5&lt;&gt;入力リスト!$N$4,COUNTIF(入力シート!$J$16:$S$23,入力リスト!$K$4)=0),"",IF(A113="","",IF(ISERROR(AVERAGEIF(従業員の給与情報!$B:$B,$A113,従業員の給与情報!$E:$E)),0,IF(ISERROR(AVERAGEIF(従業員の給与情報!$B:$B,$A113,従業員の給与情報!$E:$E)),0,AVERAGEIF(従業員の給与情報!$B:$B,$A113,従業員の給与情報!$E:$E)))))</f>
        <v/>
      </c>
      <c r="V113" s="117" t="str">
        <f>IF(OR(入力シート!$C$5&lt;&gt;入力リスト!$N$4,COUNTIF(入力シート!$J$16:$S$23,入力リスト!$K$4)=0),"",IF(A113="","",IF(ISERROR(AVERAGEIF(従業員の給与情報!$B:$B,$A113,従業員の給与情報!$F:$F)),0,IF(ISERROR(AVERAGEIF(従業員の給与情報!$B:$B,$A113,従業員の給与情報!$F:$F)),0,AVERAGEIF(従業員の給与情報!$B:$B,$A113,従業員の給与情報!$F:$F)))))</f>
        <v/>
      </c>
      <c r="W113" s="182"/>
      <c r="X113" s="260"/>
    </row>
    <row r="114" spans="1:24" ht="19.5">
      <c r="A114" s="367"/>
      <c r="B114" s="364"/>
      <c r="C114" s="365"/>
      <c r="D114" s="366"/>
      <c r="E114" s="367"/>
      <c r="F114" s="372" t="str">
        <f>IF(G114,"この従業員番号は、すでに他のセルで入力されています。",IF(入力シート!$C$5=入力リスト!$N$5,"",IF(AND(A114="",B114="",C114="",D114="",E114=""),"",IF(OR(A114="",B114="",C114="",D114=""),IF(A114="","従業員番号","")&amp;IF(AND(A114="",OR(B114="",C114="",D114="")),",","")&amp;IF(B114="","雇用形態","")&amp;IF(AND(B114="",OR(C114="",D114="")),",","")&amp;IF(OR(入力シート!$J$18=入力リスト!$K$4,入力シート!$J$22=入力リスト!$K$4),IF(C114="","入社年月日",""),"")&amp;IF(AND(C114="",D114=""),",","")&amp;IF(D114="","性別","")&amp;IF(IF(A114="","従業員番号","")&amp;IF(B114="","雇用形態","")&amp;IF(OR(入力シート!$J$18=入力リスト!$K$4,入力シート!$J$22=入力リスト!$K$4),IF(C114="","入社年月日",""),"")&amp;IF(D114="","性別","")="","","が空白です。"),IF(J114,"入社年月日に「基準日」の翌日以降の日付が入力されています。","")&amp;IF(I114,"入社年月日に数値以外（又は1900/1/1以前の日付）が入力されています。","")&amp;IF(H114,"雇用形態"&amp;IF(OR(K114,L114),",",""),"")&amp;IF(K114,"性別"&amp;IF(L114,",",""),"")&amp;IF(L114,"役職","")&amp;IF(OR(H114,K114,L114),"に、［入力シート］(4)「貴社」欄と異なる文言が入力されています。","")))))</f>
        <v/>
      </c>
      <c r="G114" s="236" t="b">
        <f>COUNTIF($A$4:A113,$A114)&gt;0</f>
        <v>0</v>
      </c>
      <c r="H114" s="237" t="b">
        <f>IF(COUNTIF(入力シート!$J$16:$S$23,入力リスト!$K$4)=0,FALSE,IF(入力シート!$J$16=入力リスト!$K$5,FALSE,ISERROR(VLOOKUP(B114,入力シート!$S$37:$V$62,1,0))))</f>
        <v>0</v>
      </c>
      <c r="I114" s="237" t="b">
        <f>IF(AND(OR(入力シート!$J$18=入力リスト!$K$4,入力シート!$J$22=入力リスト!$K$4),入力シート!$J$24&lt;&gt;""),IF(ISERROR(C114+1),TRUE,IF(ISNUMBER(C114),FALSE,TRUE)),FALSE)</f>
        <v>0</v>
      </c>
      <c r="J114" s="237" t="b">
        <f>IF(AND(入力シート!$J$18=入力リスト!$K$4,入力シート!$J$22=入力リスト!$K$4),FALSE,IF(I114=TRUE,FALSE,IF(ISERROR(C114+1),FALSE,C114&gt;入力シート!$J$24)))</f>
        <v>0</v>
      </c>
      <c r="K114" s="237" t="b">
        <f>IF(COUNTIF(入力シート!$J$16:$S$23,入力リスト!$K$4)=0,FALSE,IF(AND(入力シート!$J$16&lt;&gt;入力リスト!$K$5,入力シート!$J$18&lt;&gt;入力リスト!$K$5,入力シート!$J$20&lt;&gt;入力リスト!$K$5,入力シート!$J$22&lt;&gt;入力リスト!$K$5),FALSE,ISERROR(VLOOKUP(D114,入力シート!$AW$37:$AY$38,1,0))))</f>
        <v>0</v>
      </c>
      <c r="L114" s="237" t="b">
        <f>IF(COUNTIF(入力シート!$J$16:$S$23,入力リスト!$K$4)=0,FALSE,IF(入力シート!$J$20=入力リスト!$K$5,FALSE,IF(E114="",FALSE,ISERROR(VLOOKUP(E114,入力シート!$AH$37:$AK$62,1,0)))))</f>
        <v>0</v>
      </c>
      <c r="M114" s="238" t="str">
        <f t="shared" si="1"/>
        <v/>
      </c>
      <c r="N114" s="236" t="str">
        <f>IF(B114="","",VLOOKUP('従業員情報(給与以外)'!$B114,入力シート!$S$37:$Z$62,5,0))</f>
        <v/>
      </c>
      <c r="O114" s="182" t="str">
        <f>IF(ISNUMBER(C114)=FALSE,"",IF(C114&gt;入力シート!$J$24,"",_xlfn.DAYS(入力シート!$J$24,'従業員情報(給与以外)'!$C114)/365))</f>
        <v/>
      </c>
      <c r="P114" s="237" t="str">
        <f>IF(O114="","",VLOOKUP(_xlfn.DAYS(入力シート!$J$24,'従業員情報(給与以外)'!$C114)/365,入力リスト!$H$4:$I$12,2,2))</f>
        <v/>
      </c>
      <c r="Q114" s="236" t="str">
        <f>IF(D114="","",VLOOKUP('従業員情報(給与以外)'!$D114,入力シート!$AW$37:$BB$38,4,0))</f>
        <v/>
      </c>
      <c r="R114" s="236" t="str">
        <f>IF(A114="","",IF(E114="","非役職",VLOOKUP('従業員情報(給与以外)'!$E114,入力シート!$AH$37:$AO$62,5,0)))</f>
        <v/>
      </c>
      <c r="S114" s="116" t="str">
        <f>IF(OR(入力シート!$C$5&lt;&gt;入力リスト!$N$4,COUNTIF(入力シート!$J$16:$S$23,入力リスト!$K$4)=0),"",IF($A114="","",IF(ISERROR(AVERAGEIF(従業員の給与情報!$B:$B,$A114,従業員の給与情報!$C:$C)),0,IF(ISERROR(AVERAGEIF(従業員の給与情報!$B:$B,$A114,従業員の給与情報!$C:$C)),0,AVERAGEIF(従業員の給与情報!$B:$B,$A114,従業員の給与情報!$C:$C)))))</f>
        <v/>
      </c>
      <c r="T114" s="116" t="str">
        <f>IF(OR(入力シート!$C$5&lt;&gt;入力リスト!$N$4,COUNTIF(入力シート!$J$16:$S$23,入力リスト!$K$4)=0),"",IF(A114="","",IF(ISERROR(AVERAGEIF(従業員の給与情報!$B:$B,$A114,従業員の給与情報!$D:$D)),0,IF(ISERROR(AVERAGEIF(従業員の給与情報!$B:$B,$A114,従業員の給与情報!$D:$D)),0,AVERAGEIF(従業員の給与情報!$B:$B,$A114,従業員の給与情報!$D:$D)))))</f>
        <v/>
      </c>
      <c r="U114" s="116" t="str">
        <f>IF(OR(入力シート!$C$5&lt;&gt;入力リスト!$N$4,COUNTIF(入力シート!$J$16:$S$23,入力リスト!$K$4)=0),"",IF(A114="","",IF(ISERROR(AVERAGEIF(従業員の給与情報!$B:$B,$A114,従業員の給与情報!$E:$E)),0,IF(ISERROR(AVERAGEIF(従業員の給与情報!$B:$B,$A114,従業員の給与情報!$E:$E)),0,AVERAGEIF(従業員の給与情報!$B:$B,$A114,従業員の給与情報!$E:$E)))))</f>
        <v/>
      </c>
      <c r="V114" s="117" t="str">
        <f>IF(OR(入力シート!$C$5&lt;&gt;入力リスト!$N$4,COUNTIF(入力シート!$J$16:$S$23,入力リスト!$K$4)=0),"",IF(A114="","",IF(ISERROR(AVERAGEIF(従業員の給与情報!$B:$B,$A114,従業員の給与情報!$F:$F)),0,IF(ISERROR(AVERAGEIF(従業員の給与情報!$B:$B,$A114,従業員の給与情報!$F:$F)),0,AVERAGEIF(従業員の給与情報!$B:$B,$A114,従業員の給与情報!$F:$F)))))</f>
        <v/>
      </c>
      <c r="W114" s="182"/>
      <c r="X114" s="260"/>
    </row>
    <row r="115" spans="1:24" ht="19.5">
      <c r="A115" s="367"/>
      <c r="B115" s="364"/>
      <c r="C115" s="365"/>
      <c r="D115" s="366"/>
      <c r="E115" s="367"/>
      <c r="F115" s="372" t="str">
        <f>IF(G115,"この従業員番号は、すでに他のセルで入力されています。",IF(入力シート!$C$5=入力リスト!$N$5,"",IF(AND(A115="",B115="",C115="",D115="",E115=""),"",IF(OR(A115="",B115="",C115="",D115=""),IF(A115="","従業員番号","")&amp;IF(AND(A115="",OR(B115="",C115="",D115="")),",","")&amp;IF(B115="","雇用形態","")&amp;IF(AND(B115="",OR(C115="",D115="")),",","")&amp;IF(OR(入力シート!$J$18=入力リスト!$K$4,入力シート!$J$22=入力リスト!$K$4),IF(C115="","入社年月日",""),"")&amp;IF(AND(C115="",D115=""),",","")&amp;IF(D115="","性別","")&amp;IF(IF(A115="","従業員番号","")&amp;IF(B115="","雇用形態","")&amp;IF(OR(入力シート!$J$18=入力リスト!$K$4,入力シート!$J$22=入力リスト!$K$4),IF(C115="","入社年月日",""),"")&amp;IF(D115="","性別","")="","","が空白です。"),IF(J115,"入社年月日に「基準日」の翌日以降の日付が入力されています。","")&amp;IF(I115,"入社年月日に数値以外（又は1900/1/1以前の日付）が入力されています。","")&amp;IF(H115,"雇用形態"&amp;IF(OR(K115,L115),",",""),"")&amp;IF(K115,"性別"&amp;IF(L115,",",""),"")&amp;IF(L115,"役職","")&amp;IF(OR(H115,K115,L115),"に、［入力シート］(4)「貴社」欄と異なる文言が入力されています。","")))))</f>
        <v/>
      </c>
      <c r="G115" s="236" t="b">
        <f>COUNTIF($A$4:A114,$A115)&gt;0</f>
        <v>0</v>
      </c>
      <c r="H115" s="237" t="b">
        <f>IF(COUNTIF(入力シート!$J$16:$S$23,入力リスト!$K$4)=0,FALSE,IF(入力シート!$J$16=入力リスト!$K$5,FALSE,ISERROR(VLOOKUP(B115,入力シート!$S$37:$V$62,1,0))))</f>
        <v>0</v>
      </c>
      <c r="I115" s="237" t="b">
        <f>IF(AND(OR(入力シート!$J$18=入力リスト!$K$4,入力シート!$J$22=入力リスト!$K$4),入力シート!$J$24&lt;&gt;""),IF(ISERROR(C115+1),TRUE,IF(ISNUMBER(C115),FALSE,TRUE)),FALSE)</f>
        <v>0</v>
      </c>
      <c r="J115" s="237" t="b">
        <f>IF(AND(入力シート!$J$18=入力リスト!$K$4,入力シート!$J$22=入力リスト!$K$4),FALSE,IF(I115=TRUE,FALSE,IF(ISERROR(C115+1),FALSE,C115&gt;入力シート!$J$24)))</f>
        <v>0</v>
      </c>
      <c r="K115" s="237" t="b">
        <f>IF(COUNTIF(入力シート!$J$16:$S$23,入力リスト!$K$4)=0,FALSE,IF(AND(入力シート!$J$16&lt;&gt;入力リスト!$K$5,入力シート!$J$18&lt;&gt;入力リスト!$K$5,入力シート!$J$20&lt;&gt;入力リスト!$K$5,入力シート!$J$22&lt;&gt;入力リスト!$K$5),FALSE,ISERROR(VLOOKUP(D115,入力シート!$AW$37:$AY$38,1,0))))</f>
        <v>0</v>
      </c>
      <c r="L115" s="237" t="b">
        <f>IF(COUNTIF(入力シート!$J$16:$S$23,入力リスト!$K$4)=0,FALSE,IF(入力シート!$J$20=入力リスト!$K$5,FALSE,IF(E115="",FALSE,ISERROR(VLOOKUP(E115,入力シート!$AH$37:$AK$62,1,0)))))</f>
        <v>0</v>
      </c>
      <c r="M115" s="238" t="str">
        <f t="shared" si="1"/>
        <v/>
      </c>
      <c r="N115" s="236" t="str">
        <f>IF(B115="","",VLOOKUP('従業員情報(給与以外)'!$B115,入力シート!$S$37:$Z$62,5,0))</f>
        <v/>
      </c>
      <c r="O115" s="182" t="str">
        <f>IF(ISNUMBER(C115)=FALSE,"",IF(C115&gt;入力シート!$J$24,"",_xlfn.DAYS(入力シート!$J$24,'従業員情報(給与以外)'!$C115)/365))</f>
        <v/>
      </c>
      <c r="P115" s="237" t="str">
        <f>IF(O115="","",VLOOKUP(_xlfn.DAYS(入力シート!$J$24,'従業員情報(給与以外)'!$C115)/365,入力リスト!$H$4:$I$12,2,2))</f>
        <v/>
      </c>
      <c r="Q115" s="236" t="str">
        <f>IF(D115="","",VLOOKUP('従業員情報(給与以外)'!$D115,入力シート!$AW$37:$BB$38,4,0))</f>
        <v/>
      </c>
      <c r="R115" s="236" t="str">
        <f>IF(A115="","",IF(E115="","非役職",VLOOKUP('従業員情報(給与以外)'!$E115,入力シート!$AH$37:$AO$62,5,0)))</f>
        <v/>
      </c>
      <c r="S115" s="116" t="str">
        <f>IF(OR(入力シート!$C$5&lt;&gt;入力リスト!$N$4,COUNTIF(入力シート!$J$16:$S$23,入力リスト!$K$4)=0),"",IF($A115="","",IF(ISERROR(AVERAGEIF(従業員の給与情報!$B:$B,$A115,従業員の給与情報!$C:$C)),0,IF(ISERROR(AVERAGEIF(従業員の給与情報!$B:$B,$A115,従業員の給与情報!$C:$C)),0,AVERAGEIF(従業員の給与情報!$B:$B,$A115,従業員の給与情報!$C:$C)))))</f>
        <v/>
      </c>
      <c r="T115" s="116" t="str">
        <f>IF(OR(入力シート!$C$5&lt;&gt;入力リスト!$N$4,COUNTIF(入力シート!$J$16:$S$23,入力リスト!$K$4)=0),"",IF(A115="","",IF(ISERROR(AVERAGEIF(従業員の給与情報!$B:$B,$A115,従業員の給与情報!$D:$D)),0,IF(ISERROR(AVERAGEIF(従業員の給与情報!$B:$B,$A115,従業員の給与情報!$D:$D)),0,AVERAGEIF(従業員の給与情報!$B:$B,$A115,従業員の給与情報!$D:$D)))))</f>
        <v/>
      </c>
      <c r="U115" s="116" t="str">
        <f>IF(OR(入力シート!$C$5&lt;&gt;入力リスト!$N$4,COUNTIF(入力シート!$J$16:$S$23,入力リスト!$K$4)=0),"",IF(A115="","",IF(ISERROR(AVERAGEIF(従業員の給与情報!$B:$B,$A115,従業員の給与情報!$E:$E)),0,IF(ISERROR(AVERAGEIF(従業員の給与情報!$B:$B,$A115,従業員の給与情報!$E:$E)),0,AVERAGEIF(従業員の給与情報!$B:$B,$A115,従業員の給与情報!$E:$E)))))</f>
        <v/>
      </c>
      <c r="V115" s="117" t="str">
        <f>IF(OR(入力シート!$C$5&lt;&gt;入力リスト!$N$4,COUNTIF(入力シート!$J$16:$S$23,入力リスト!$K$4)=0),"",IF(A115="","",IF(ISERROR(AVERAGEIF(従業員の給与情報!$B:$B,$A115,従業員の給与情報!$F:$F)),0,IF(ISERROR(AVERAGEIF(従業員の給与情報!$B:$B,$A115,従業員の給与情報!$F:$F)),0,AVERAGEIF(従業員の給与情報!$B:$B,$A115,従業員の給与情報!$F:$F)))))</f>
        <v/>
      </c>
      <c r="W115" s="182"/>
      <c r="X115" s="260"/>
    </row>
    <row r="116" spans="1:24" ht="19.5">
      <c r="A116" s="367"/>
      <c r="B116" s="364"/>
      <c r="C116" s="365"/>
      <c r="D116" s="366"/>
      <c r="E116" s="367"/>
      <c r="F116" s="372" t="str">
        <f>IF(G116,"この従業員番号は、すでに他のセルで入力されています。",IF(入力シート!$C$5=入力リスト!$N$5,"",IF(AND(A116="",B116="",C116="",D116="",E116=""),"",IF(OR(A116="",B116="",C116="",D116=""),IF(A116="","従業員番号","")&amp;IF(AND(A116="",OR(B116="",C116="",D116="")),",","")&amp;IF(B116="","雇用形態","")&amp;IF(AND(B116="",OR(C116="",D116="")),",","")&amp;IF(OR(入力シート!$J$18=入力リスト!$K$4,入力シート!$J$22=入力リスト!$K$4),IF(C116="","入社年月日",""),"")&amp;IF(AND(C116="",D116=""),",","")&amp;IF(D116="","性別","")&amp;IF(IF(A116="","従業員番号","")&amp;IF(B116="","雇用形態","")&amp;IF(OR(入力シート!$J$18=入力リスト!$K$4,入力シート!$J$22=入力リスト!$K$4),IF(C116="","入社年月日",""),"")&amp;IF(D116="","性別","")="","","が空白です。"),IF(J116,"入社年月日に「基準日」の翌日以降の日付が入力されています。","")&amp;IF(I116,"入社年月日に数値以外（又は1900/1/1以前の日付）が入力されています。","")&amp;IF(H116,"雇用形態"&amp;IF(OR(K116,L116),",",""),"")&amp;IF(K116,"性別"&amp;IF(L116,",",""),"")&amp;IF(L116,"役職","")&amp;IF(OR(H116,K116,L116),"に、［入力シート］(4)「貴社」欄と異なる文言が入力されています。","")))))</f>
        <v/>
      </c>
      <c r="G116" s="236" t="b">
        <f>COUNTIF($A$4:A115,$A116)&gt;0</f>
        <v>0</v>
      </c>
      <c r="H116" s="237" t="b">
        <f>IF(COUNTIF(入力シート!$J$16:$S$23,入力リスト!$K$4)=0,FALSE,IF(入力シート!$J$16=入力リスト!$K$5,FALSE,ISERROR(VLOOKUP(B116,入力シート!$S$37:$V$62,1,0))))</f>
        <v>0</v>
      </c>
      <c r="I116" s="237" t="b">
        <f>IF(AND(OR(入力シート!$J$18=入力リスト!$K$4,入力シート!$J$22=入力リスト!$K$4),入力シート!$J$24&lt;&gt;""),IF(ISERROR(C116+1),TRUE,IF(ISNUMBER(C116),FALSE,TRUE)),FALSE)</f>
        <v>0</v>
      </c>
      <c r="J116" s="237" t="b">
        <f>IF(AND(入力シート!$J$18=入力リスト!$K$4,入力シート!$J$22=入力リスト!$K$4),FALSE,IF(I116=TRUE,FALSE,IF(ISERROR(C116+1),FALSE,C116&gt;入力シート!$J$24)))</f>
        <v>0</v>
      </c>
      <c r="K116" s="237" t="b">
        <f>IF(COUNTIF(入力シート!$J$16:$S$23,入力リスト!$K$4)=0,FALSE,IF(AND(入力シート!$J$16&lt;&gt;入力リスト!$K$5,入力シート!$J$18&lt;&gt;入力リスト!$K$5,入力シート!$J$20&lt;&gt;入力リスト!$K$5,入力シート!$J$22&lt;&gt;入力リスト!$K$5),FALSE,ISERROR(VLOOKUP(D116,入力シート!$AW$37:$AY$38,1,0))))</f>
        <v>0</v>
      </c>
      <c r="L116" s="237" t="b">
        <f>IF(COUNTIF(入力シート!$J$16:$S$23,入力リスト!$K$4)=0,FALSE,IF(入力シート!$J$20=入力リスト!$K$5,FALSE,IF(E116="",FALSE,ISERROR(VLOOKUP(E116,入力シート!$AH$37:$AK$62,1,0)))))</f>
        <v>0</v>
      </c>
      <c r="M116" s="238" t="str">
        <f t="shared" si="1"/>
        <v/>
      </c>
      <c r="N116" s="236" t="str">
        <f>IF(B116="","",VLOOKUP('従業員情報(給与以外)'!$B116,入力シート!$S$37:$Z$62,5,0))</f>
        <v/>
      </c>
      <c r="O116" s="182" t="str">
        <f>IF(ISNUMBER(C116)=FALSE,"",IF(C116&gt;入力シート!$J$24,"",_xlfn.DAYS(入力シート!$J$24,'従業員情報(給与以外)'!$C116)/365))</f>
        <v/>
      </c>
      <c r="P116" s="237" t="str">
        <f>IF(O116="","",VLOOKUP(_xlfn.DAYS(入力シート!$J$24,'従業員情報(給与以外)'!$C116)/365,入力リスト!$H$4:$I$12,2,2))</f>
        <v/>
      </c>
      <c r="Q116" s="236" t="str">
        <f>IF(D116="","",VLOOKUP('従業員情報(給与以外)'!$D116,入力シート!$AW$37:$BB$38,4,0))</f>
        <v/>
      </c>
      <c r="R116" s="236" t="str">
        <f>IF(A116="","",IF(E116="","非役職",VLOOKUP('従業員情報(給与以外)'!$E116,入力シート!$AH$37:$AO$62,5,0)))</f>
        <v/>
      </c>
      <c r="S116" s="116" t="str">
        <f>IF(OR(入力シート!$C$5&lt;&gt;入力リスト!$N$4,COUNTIF(入力シート!$J$16:$S$23,入力リスト!$K$4)=0),"",IF($A116="","",IF(ISERROR(AVERAGEIF(従業員の給与情報!$B:$B,$A116,従業員の給与情報!$C:$C)),0,IF(ISERROR(AVERAGEIF(従業員の給与情報!$B:$B,$A116,従業員の給与情報!$C:$C)),0,AVERAGEIF(従業員の給与情報!$B:$B,$A116,従業員の給与情報!$C:$C)))))</f>
        <v/>
      </c>
      <c r="T116" s="116" t="str">
        <f>IF(OR(入力シート!$C$5&lt;&gt;入力リスト!$N$4,COUNTIF(入力シート!$J$16:$S$23,入力リスト!$K$4)=0),"",IF(A116="","",IF(ISERROR(AVERAGEIF(従業員の給与情報!$B:$B,$A116,従業員の給与情報!$D:$D)),0,IF(ISERROR(AVERAGEIF(従業員の給与情報!$B:$B,$A116,従業員の給与情報!$D:$D)),0,AVERAGEIF(従業員の給与情報!$B:$B,$A116,従業員の給与情報!$D:$D)))))</f>
        <v/>
      </c>
      <c r="U116" s="116" t="str">
        <f>IF(OR(入力シート!$C$5&lt;&gt;入力リスト!$N$4,COUNTIF(入力シート!$J$16:$S$23,入力リスト!$K$4)=0),"",IF(A116="","",IF(ISERROR(AVERAGEIF(従業員の給与情報!$B:$B,$A116,従業員の給与情報!$E:$E)),0,IF(ISERROR(AVERAGEIF(従業員の給与情報!$B:$B,$A116,従業員の給与情報!$E:$E)),0,AVERAGEIF(従業員の給与情報!$B:$B,$A116,従業員の給与情報!$E:$E)))))</f>
        <v/>
      </c>
      <c r="V116" s="117" t="str">
        <f>IF(OR(入力シート!$C$5&lt;&gt;入力リスト!$N$4,COUNTIF(入力シート!$J$16:$S$23,入力リスト!$K$4)=0),"",IF(A116="","",IF(ISERROR(AVERAGEIF(従業員の給与情報!$B:$B,$A116,従業員の給与情報!$F:$F)),0,IF(ISERROR(AVERAGEIF(従業員の給与情報!$B:$B,$A116,従業員の給与情報!$F:$F)),0,AVERAGEIF(従業員の給与情報!$B:$B,$A116,従業員の給与情報!$F:$F)))))</f>
        <v/>
      </c>
      <c r="W116" s="182"/>
      <c r="X116" s="260"/>
    </row>
    <row r="117" spans="1:24" ht="19.5">
      <c r="A117" s="367"/>
      <c r="B117" s="364"/>
      <c r="C117" s="365"/>
      <c r="D117" s="366"/>
      <c r="E117" s="367"/>
      <c r="F117" s="372" t="str">
        <f>IF(G117,"この従業員番号は、すでに他のセルで入力されています。",IF(入力シート!$C$5=入力リスト!$N$5,"",IF(AND(A117="",B117="",C117="",D117="",E117=""),"",IF(OR(A117="",B117="",C117="",D117=""),IF(A117="","従業員番号","")&amp;IF(AND(A117="",OR(B117="",C117="",D117="")),",","")&amp;IF(B117="","雇用形態","")&amp;IF(AND(B117="",OR(C117="",D117="")),",","")&amp;IF(OR(入力シート!$J$18=入力リスト!$K$4,入力シート!$J$22=入力リスト!$K$4),IF(C117="","入社年月日",""),"")&amp;IF(AND(C117="",D117=""),",","")&amp;IF(D117="","性別","")&amp;IF(IF(A117="","従業員番号","")&amp;IF(B117="","雇用形態","")&amp;IF(OR(入力シート!$J$18=入力リスト!$K$4,入力シート!$J$22=入力リスト!$K$4),IF(C117="","入社年月日",""),"")&amp;IF(D117="","性別","")="","","が空白です。"),IF(J117,"入社年月日に「基準日」の翌日以降の日付が入力されています。","")&amp;IF(I117,"入社年月日に数値以外（又は1900/1/1以前の日付）が入力されています。","")&amp;IF(H117,"雇用形態"&amp;IF(OR(K117,L117),",",""),"")&amp;IF(K117,"性別"&amp;IF(L117,",",""),"")&amp;IF(L117,"役職","")&amp;IF(OR(H117,K117,L117),"に、［入力シート］(4)「貴社」欄と異なる文言が入力されています。","")))))</f>
        <v/>
      </c>
      <c r="G117" s="236" t="b">
        <f>COUNTIF($A$4:A116,$A117)&gt;0</f>
        <v>0</v>
      </c>
      <c r="H117" s="237" t="b">
        <f>IF(COUNTIF(入力シート!$J$16:$S$23,入力リスト!$K$4)=0,FALSE,IF(入力シート!$J$16=入力リスト!$K$5,FALSE,ISERROR(VLOOKUP(B117,入力シート!$S$37:$V$62,1,0))))</f>
        <v>0</v>
      </c>
      <c r="I117" s="237" t="b">
        <f>IF(AND(OR(入力シート!$J$18=入力リスト!$K$4,入力シート!$J$22=入力リスト!$K$4),入力シート!$J$24&lt;&gt;""),IF(ISERROR(C117+1),TRUE,IF(ISNUMBER(C117),FALSE,TRUE)),FALSE)</f>
        <v>0</v>
      </c>
      <c r="J117" s="237" t="b">
        <f>IF(AND(入力シート!$J$18=入力リスト!$K$4,入力シート!$J$22=入力リスト!$K$4),FALSE,IF(I117=TRUE,FALSE,IF(ISERROR(C117+1),FALSE,C117&gt;入力シート!$J$24)))</f>
        <v>0</v>
      </c>
      <c r="K117" s="237" t="b">
        <f>IF(COUNTIF(入力シート!$J$16:$S$23,入力リスト!$K$4)=0,FALSE,IF(AND(入力シート!$J$16&lt;&gt;入力リスト!$K$5,入力シート!$J$18&lt;&gt;入力リスト!$K$5,入力シート!$J$20&lt;&gt;入力リスト!$K$5,入力シート!$J$22&lt;&gt;入力リスト!$K$5),FALSE,ISERROR(VLOOKUP(D117,入力シート!$AW$37:$AY$38,1,0))))</f>
        <v>0</v>
      </c>
      <c r="L117" s="237" t="b">
        <f>IF(COUNTIF(入力シート!$J$16:$S$23,入力リスト!$K$4)=0,FALSE,IF(入力シート!$J$20=入力リスト!$K$5,FALSE,IF(E117="",FALSE,ISERROR(VLOOKUP(E117,入力シート!$AH$37:$AK$62,1,0)))))</f>
        <v>0</v>
      </c>
      <c r="M117" s="238" t="str">
        <f t="shared" si="1"/>
        <v/>
      </c>
      <c r="N117" s="236" t="str">
        <f>IF(B117="","",VLOOKUP('従業員情報(給与以外)'!$B117,入力シート!$S$37:$Z$62,5,0))</f>
        <v/>
      </c>
      <c r="O117" s="182" t="str">
        <f>IF(ISNUMBER(C117)=FALSE,"",IF(C117&gt;入力シート!$J$24,"",_xlfn.DAYS(入力シート!$J$24,'従業員情報(給与以外)'!$C117)/365))</f>
        <v/>
      </c>
      <c r="P117" s="237" t="str">
        <f>IF(O117="","",VLOOKUP(_xlfn.DAYS(入力シート!$J$24,'従業員情報(給与以外)'!$C117)/365,入力リスト!$H$4:$I$12,2,2))</f>
        <v/>
      </c>
      <c r="Q117" s="236" t="str">
        <f>IF(D117="","",VLOOKUP('従業員情報(給与以外)'!$D117,入力シート!$AW$37:$BB$38,4,0))</f>
        <v/>
      </c>
      <c r="R117" s="236" t="str">
        <f>IF(A117="","",IF(E117="","非役職",VLOOKUP('従業員情報(給与以外)'!$E117,入力シート!$AH$37:$AO$62,5,0)))</f>
        <v/>
      </c>
      <c r="S117" s="116" t="str">
        <f>IF(OR(入力シート!$C$5&lt;&gt;入力リスト!$N$4,COUNTIF(入力シート!$J$16:$S$23,入力リスト!$K$4)=0),"",IF($A117="","",IF(ISERROR(AVERAGEIF(従業員の給与情報!$B:$B,$A117,従業員の給与情報!$C:$C)),0,IF(ISERROR(AVERAGEIF(従業員の給与情報!$B:$B,$A117,従業員の給与情報!$C:$C)),0,AVERAGEIF(従業員の給与情報!$B:$B,$A117,従業員の給与情報!$C:$C)))))</f>
        <v/>
      </c>
      <c r="T117" s="116" t="str">
        <f>IF(OR(入力シート!$C$5&lt;&gt;入力リスト!$N$4,COUNTIF(入力シート!$J$16:$S$23,入力リスト!$K$4)=0),"",IF(A117="","",IF(ISERROR(AVERAGEIF(従業員の給与情報!$B:$B,$A117,従業員の給与情報!$D:$D)),0,IF(ISERROR(AVERAGEIF(従業員の給与情報!$B:$B,$A117,従業員の給与情報!$D:$D)),0,AVERAGEIF(従業員の給与情報!$B:$B,$A117,従業員の給与情報!$D:$D)))))</f>
        <v/>
      </c>
      <c r="U117" s="116" t="str">
        <f>IF(OR(入力シート!$C$5&lt;&gt;入力リスト!$N$4,COUNTIF(入力シート!$J$16:$S$23,入力リスト!$K$4)=0),"",IF(A117="","",IF(ISERROR(AVERAGEIF(従業員の給与情報!$B:$B,$A117,従業員の給与情報!$E:$E)),0,IF(ISERROR(AVERAGEIF(従業員の給与情報!$B:$B,$A117,従業員の給与情報!$E:$E)),0,AVERAGEIF(従業員の給与情報!$B:$B,$A117,従業員の給与情報!$E:$E)))))</f>
        <v/>
      </c>
      <c r="V117" s="117" t="str">
        <f>IF(OR(入力シート!$C$5&lt;&gt;入力リスト!$N$4,COUNTIF(入力シート!$J$16:$S$23,入力リスト!$K$4)=0),"",IF(A117="","",IF(ISERROR(AVERAGEIF(従業員の給与情報!$B:$B,$A117,従業員の給与情報!$F:$F)),0,IF(ISERROR(AVERAGEIF(従業員の給与情報!$B:$B,$A117,従業員の給与情報!$F:$F)),0,AVERAGEIF(従業員の給与情報!$B:$B,$A117,従業員の給与情報!$F:$F)))))</f>
        <v/>
      </c>
      <c r="W117" s="182"/>
      <c r="X117" s="260"/>
    </row>
    <row r="118" spans="1:24" ht="19.5">
      <c r="A118" s="367"/>
      <c r="B118" s="364"/>
      <c r="C118" s="365"/>
      <c r="D118" s="366"/>
      <c r="E118" s="367"/>
      <c r="F118" s="372" t="str">
        <f>IF(G118,"この従業員番号は、すでに他のセルで入力されています。",IF(入力シート!$C$5=入力リスト!$N$5,"",IF(AND(A118="",B118="",C118="",D118="",E118=""),"",IF(OR(A118="",B118="",C118="",D118=""),IF(A118="","従業員番号","")&amp;IF(AND(A118="",OR(B118="",C118="",D118="")),",","")&amp;IF(B118="","雇用形態","")&amp;IF(AND(B118="",OR(C118="",D118="")),",","")&amp;IF(OR(入力シート!$J$18=入力リスト!$K$4,入力シート!$J$22=入力リスト!$K$4),IF(C118="","入社年月日",""),"")&amp;IF(AND(C118="",D118=""),",","")&amp;IF(D118="","性別","")&amp;IF(IF(A118="","従業員番号","")&amp;IF(B118="","雇用形態","")&amp;IF(OR(入力シート!$J$18=入力リスト!$K$4,入力シート!$J$22=入力リスト!$K$4),IF(C118="","入社年月日",""),"")&amp;IF(D118="","性別","")="","","が空白です。"),IF(J118,"入社年月日に「基準日」の翌日以降の日付が入力されています。","")&amp;IF(I118,"入社年月日に数値以外（又は1900/1/1以前の日付）が入力されています。","")&amp;IF(H118,"雇用形態"&amp;IF(OR(K118,L118),",",""),"")&amp;IF(K118,"性別"&amp;IF(L118,",",""),"")&amp;IF(L118,"役職","")&amp;IF(OR(H118,K118,L118),"に、［入力シート］(4)「貴社」欄と異なる文言が入力されています。","")))))</f>
        <v/>
      </c>
      <c r="G118" s="236" t="b">
        <f>COUNTIF($A$4:A117,$A118)&gt;0</f>
        <v>0</v>
      </c>
      <c r="H118" s="237" t="b">
        <f>IF(COUNTIF(入力シート!$J$16:$S$23,入力リスト!$K$4)=0,FALSE,IF(入力シート!$J$16=入力リスト!$K$5,FALSE,ISERROR(VLOOKUP(B118,入力シート!$S$37:$V$62,1,0))))</f>
        <v>0</v>
      </c>
      <c r="I118" s="237" t="b">
        <f>IF(AND(OR(入力シート!$J$18=入力リスト!$K$4,入力シート!$J$22=入力リスト!$K$4),入力シート!$J$24&lt;&gt;""),IF(ISERROR(C118+1),TRUE,IF(ISNUMBER(C118),FALSE,TRUE)),FALSE)</f>
        <v>0</v>
      </c>
      <c r="J118" s="237" t="b">
        <f>IF(AND(入力シート!$J$18=入力リスト!$K$4,入力シート!$J$22=入力リスト!$K$4),FALSE,IF(I118=TRUE,FALSE,IF(ISERROR(C118+1),FALSE,C118&gt;入力シート!$J$24)))</f>
        <v>0</v>
      </c>
      <c r="K118" s="237" t="b">
        <f>IF(COUNTIF(入力シート!$J$16:$S$23,入力リスト!$K$4)=0,FALSE,IF(AND(入力シート!$J$16&lt;&gt;入力リスト!$K$5,入力シート!$J$18&lt;&gt;入力リスト!$K$5,入力シート!$J$20&lt;&gt;入力リスト!$K$5,入力シート!$J$22&lt;&gt;入力リスト!$K$5),FALSE,ISERROR(VLOOKUP(D118,入力シート!$AW$37:$AY$38,1,0))))</f>
        <v>0</v>
      </c>
      <c r="L118" s="237" t="b">
        <f>IF(COUNTIF(入力シート!$J$16:$S$23,入力リスト!$K$4)=0,FALSE,IF(入力シート!$J$20=入力リスト!$K$5,FALSE,IF(E118="",FALSE,ISERROR(VLOOKUP(E118,入力シート!$AH$37:$AK$62,1,0)))))</f>
        <v>0</v>
      </c>
      <c r="M118" s="238" t="str">
        <f t="shared" si="1"/>
        <v/>
      </c>
      <c r="N118" s="236" t="str">
        <f>IF(B118="","",VLOOKUP('従業員情報(給与以外)'!$B118,入力シート!$S$37:$Z$62,5,0))</f>
        <v/>
      </c>
      <c r="O118" s="182" t="str">
        <f>IF(ISNUMBER(C118)=FALSE,"",IF(C118&gt;入力シート!$J$24,"",_xlfn.DAYS(入力シート!$J$24,'従業員情報(給与以外)'!$C118)/365))</f>
        <v/>
      </c>
      <c r="P118" s="237" t="str">
        <f>IF(O118="","",VLOOKUP(_xlfn.DAYS(入力シート!$J$24,'従業員情報(給与以外)'!$C118)/365,入力リスト!$H$4:$I$12,2,2))</f>
        <v/>
      </c>
      <c r="Q118" s="236" t="str">
        <f>IF(D118="","",VLOOKUP('従業員情報(給与以外)'!$D118,入力シート!$AW$37:$BB$38,4,0))</f>
        <v/>
      </c>
      <c r="R118" s="236" t="str">
        <f>IF(A118="","",IF(E118="","非役職",VLOOKUP('従業員情報(給与以外)'!$E118,入力シート!$AH$37:$AO$62,5,0)))</f>
        <v/>
      </c>
      <c r="S118" s="116" t="str">
        <f>IF(OR(入力シート!$C$5&lt;&gt;入力リスト!$N$4,COUNTIF(入力シート!$J$16:$S$23,入力リスト!$K$4)=0),"",IF($A118="","",IF(ISERROR(AVERAGEIF(従業員の給与情報!$B:$B,$A118,従業員の給与情報!$C:$C)),0,IF(ISERROR(AVERAGEIF(従業員の給与情報!$B:$B,$A118,従業員の給与情報!$C:$C)),0,AVERAGEIF(従業員の給与情報!$B:$B,$A118,従業員の給与情報!$C:$C)))))</f>
        <v/>
      </c>
      <c r="T118" s="116" t="str">
        <f>IF(OR(入力シート!$C$5&lt;&gt;入力リスト!$N$4,COUNTIF(入力シート!$J$16:$S$23,入力リスト!$K$4)=0),"",IF(A118="","",IF(ISERROR(AVERAGEIF(従業員の給与情報!$B:$B,$A118,従業員の給与情報!$D:$D)),0,IF(ISERROR(AVERAGEIF(従業員の給与情報!$B:$B,$A118,従業員の給与情報!$D:$D)),0,AVERAGEIF(従業員の給与情報!$B:$B,$A118,従業員の給与情報!$D:$D)))))</f>
        <v/>
      </c>
      <c r="U118" s="116" t="str">
        <f>IF(OR(入力シート!$C$5&lt;&gt;入力リスト!$N$4,COUNTIF(入力シート!$J$16:$S$23,入力リスト!$K$4)=0),"",IF(A118="","",IF(ISERROR(AVERAGEIF(従業員の給与情報!$B:$B,$A118,従業員の給与情報!$E:$E)),0,IF(ISERROR(AVERAGEIF(従業員の給与情報!$B:$B,$A118,従業員の給与情報!$E:$E)),0,AVERAGEIF(従業員の給与情報!$B:$B,$A118,従業員の給与情報!$E:$E)))))</f>
        <v/>
      </c>
      <c r="V118" s="117" t="str">
        <f>IF(OR(入力シート!$C$5&lt;&gt;入力リスト!$N$4,COUNTIF(入力シート!$J$16:$S$23,入力リスト!$K$4)=0),"",IF(A118="","",IF(ISERROR(AVERAGEIF(従業員の給与情報!$B:$B,$A118,従業員の給与情報!$F:$F)),0,IF(ISERROR(AVERAGEIF(従業員の給与情報!$B:$B,$A118,従業員の給与情報!$F:$F)),0,AVERAGEIF(従業員の給与情報!$B:$B,$A118,従業員の給与情報!$F:$F)))))</f>
        <v/>
      </c>
      <c r="W118" s="182"/>
      <c r="X118" s="260"/>
    </row>
    <row r="119" spans="1:24" ht="19.5">
      <c r="A119" s="367"/>
      <c r="B119" s="364"/>
      <c r="C119" s="365"/>
      <c r="D119" s="366"/>
      <c r="E119" s="367"/>
      <c r="F119" s="372" t="str">
        <f>IF(G119,"この従業員番号は、すでに他のセルで入力されています。",IF(入力シート!$C$5=入力リスト!$N$5,"",IF(AND(A119="",B119="",C119="",D119="",E119=""),"",IF(OR(A119="",B119="",C119="",D119=""),IF(A119="","従業員番号","")&amp;IF(AND(A119="",OR(B119="",C119="",D119="")),",","")&amp;IF(B119="","雇用形態","")&amp;IF(AND(B119="",OR(C119="",D119="")),",","")&amp;IF(OR(入力シート!$J$18=入力リスト!$K$4,入力シート!$J$22=入力リスト!$K$4),IF(C119="","入社年月日",""),"")&amp;IF(AND(C119="",D119=""),",","")&amp;IF(D119="","性別","")&amp;IF(IF(A119="","従業員番号","")&amp;IF(B119="","雇用形態","")&amp;IF(OR(入力シート!$J$18=入力リスト!$K$4,入力シート!$J$22=入力リスト!$K$4),IF(C119="","入社年月日",""),"")&amp;IF(D119="","性別","")="","","が空白です。"),IF(J119,"入社年月日に「基準日」の翌日以降の日付が入力されています。","")&amp;IF(I119,"入社年月日に数値以外（又は1900/1/1以前の日付）が入力されています。","")&amp;IF(H119,"雇用形態"&amp;IF(OR(K119,L119),",",""),"")&amp;IF(K119,"性別"&amp;IF(L119,",",""),"")&amp;IF(L119,"役職","")&amp;IF(OR(H119,K119,L119),"に、［入力シート］(4)「貴社」欄と異なる文言が入力されています。","")))))</f>
        <v/>
      </c>
      <c r="G119" s="236" t="b">
        <f>COUNTIF($A$4:A118,$A119)&gt;0</f>
        <v>0</v>
      </c>
      <c r="H119" s="237" t="b">
        <f>IF(COUNTIF(入力シート!$J$16:$S$23,入力リスト!$K$4)=0,FALSE,IF(入力シート!$J$16=入力リスト!$K$5,FALSE,ISERROR(VLOOKUP(B119,入力シート!$S$37:$V$62,1,0))))</f>
        <v>0</v>
      </c>
      <c r="I119" s="237" t="b">
        <f>IF(AND(OR(入力シート!$J$18=入力リスト!$K$4,入力シート!$J$22=入力リスト!$K$4),入力シート!$J$24&lt;&gt;""),IF(ISERROR(C119+1),TRUE,IF(ISNUMBER(C119),FALSE,TRUE)),FALSE)</f>
        <v>0</v>
      </c>
      <c r="J119" s="237" t="b">
        <f>IF(AND(入力シート!$J$18=入力リスト!$K$4,入力シート!$J$22=入力リスト!$K$4),FALSE,IF(I119=TRUE,FALSE,IF(ISERROR(C119+1),FALSE,C119&gt;入力シート!$J$24)))</f>
        <v>0</v>
      </c>
      <c r="K119" s="237" t="b">
        <f>IF(COUNTIF(入力シート!$J$16:$S$23,入力リスト!$K$4)=0,FALSE,IF(AND(入力シート!$J$16&lt;&gt;入力リスト!$K$5,入力シート!$J$18&lt;&gt;入力リスト!$K$5,入力シート!$J$20&lt;&gt;入力リスト!$K$5,入力シート!$J$22&lt;&gt;入力リスト!$K$5),FALSE,ISERROR(VLOOKUP(D119,入力シート!$AW$37:$AY$38,1,0))))</f>
        <v>0</v>
      </c>
      <c r="L119" s="237" t="b">
        <f>IF(COUNTIF(入力シート!$J$16:$S$23,入力リスト!$K$4)=0,FALSE,IF(入力シート!$J$20=入力リスト!$K$5,FALSE,IF(E119="",FALSE,ISERROR(VLOOKUP(E119,入力シート!$AH$37:$AK$62,1,0)))))</f>
        <v>0</v>
      </c>
      <c r="M119" s="238" t="str">
        <f t="shared" si="1"/>
        <v/>
      </c>
      <c r="N119" s="236" t="str">
        <f>IF(B119="","",VLOOKUP('従業員情報(給与以外)'!$B119,入力シート!$S$37:$Z$62,5,0))</f>
        <v/>
      </c>
      <c r="O119" s="182" t="str">
        <f>IF(ISNUMBER(C119)=FALSE,"",IF(C119&gt;入力シート!$J$24,"",_xlfn.DAYS(入力シート!$J$24,'従業員情報(給与以外)'!$C119)/365))</f>
        <v/>
      </c>
      <c r="P119" s="237" t="str">
        <f>IF(O119="","",VLOOKUP(_xlfn.DAYS(入力シート!$J$24,'従業員情報(給与以外)'!$C119)/365,入力リスト!$H$4:$I$12,2,2))</f>
        <v/>
      </c>
      <c r="Q119" s="236" t="str">
        <f>IF(D119="","",VLOOKUP('従業員情報(給与以外)'!$D119,入力シート!$AW$37:$BB$38,4,0))</f>
        <v/>
      </c>
      <c r="R119" s="236" t="str">
        <f>IF(A119="","",IF(E119="","非役職",VLOOKUP('従業員情報(給与以外)'!$E119,入力シート!$AH$37:$AO$62,5,0)))</f>
        <v/>
      </c>
      <c r="S119" s="116" t="str">
        <f>IF(OR(入力シート!$C$5&lt;&gt;入力リスト!$N$4,COUNTIF(入力シート!$J$16:$S$23,入力リスト!$K$4)=0),"",IF($A119="","",IF(ISERROR(AVERAGEIF(従業員の給与情報!$B:$B,$A119,従業員の給与情報!$C:$C)),0,IF(ISERROR(AVERAGEIF(従業員の給与情報!$B:$B,$A119,従業員の給与情報!$C:$C)),0,AVERAGEIF(従業員の給与情報!$B:$B,$A119,従業員の給与情報!$C:$C)))))</f>
        <v/>
      </c>
      <c r="T119" s="116" t="str">
        <f>IF(OR(入力シート!$C$5&lt;&gt;入力リスト!$N$4,COUNTIF(入力シート!$J$16:$S$23,入力リスト!$K$4)=0),"",IF(A119="","",IF(ISERROR(AVERAGEIF(従業員の給与情報!$B:$B,$A119,従業員の給与情報!$D:$D)),0,IF(ISERROR(AVERAGEIF(従業員の給与情報!$B:$B,$A119,従業員の給与情報!$D:$D)),0,AVERAGEIF(従業員の給与情報!$B:$B,$A119,従業員の給与情報!$D:$D)))))</f>
        <v/>
      </c>
      <c r="U119" s="116" t="str">
        <f>IF(OR(入力シート!$C$5&lt;&gt;入力リスト!$N$4,COUNTIF(入力シート!$J$16:$S$23,入力リスト!$K$4)=0),"",IF(A119="","",IF(ISERROR(AVERAGEIF(従業員の給与情報!$B:$B,$A119,従業員の給与情報!$E:$E)),0,IF(ISERROR(AVERAGEIF(従業員の給与情報!$B:$B,$A119,従業員の給与情報!$E:$E)),0,AVERAGEIF(従業員の給与情報!$B:$B,$A119,従業員の給与情報!$E:$E)))))</f>
        <v/>
      </c>
      <c r="V119" s="117" t="str">
        <f>IF(OR(入力シート!$C$5&lt;&gt;入力リスト!$N$4,COUNTIF(入力シート!$J$16:$S$23,入力リスト!$K$4)=0),"",IF(A119="","",IF(ISERROR(AVERAGEIF(従業員の給与情報!$B:$B,$A119,従業員の給与情報!$F:$F)),0,IF(ISERROR(AVERAGEIF(従業員の給与情報!$B:$B,$A119,従業員の給与情報!$F:$F)),0,AVERAGEIF(従業員の給与情報!$B:$B,$A119,従業員の給与情報!$F:$F)))))</f>
        <v/>
      </c>
      <c r="W119" s="182"/>
      <c r="X119" s="260"/>
    </row>
    <row r="120" spans="1:24" ht="19.5">
      <c r="A120" s="367"/>
      <c r="B120" s="364"/>
      <c r="C120" s="365"/>
      <c r="D120" s="366"/>
      <c r="E120" s="367"/>
      <c r="F120" s="372" t="str">
        <f>IF(G120,"この従業員番号は、すでに他のセルで入力されています。",IF(入力シート!$C$5=入力リスト!$N$5,"",IF(AND(A120="",B120="",C120="",D120="",E120=""),"",IF(OR(A120="",B120="",C120="",D120=""),IF(A120="","従業員番号","")&amp;IF(AND(A120="",OR(B120="",C120="",D120="")),",","")&amp;IF(B120="","雇用形態","")&amp;IF(AND(B120="",OR(C120="",D120="")),",","")&amp;IF(OR(入力シート!$J$18=入力リスト!$K$4,入力シート!$J$22=入力リスト!$K$4),IF(C120="","入社年月日",""),"")&amp;IF(AND(C120="",D120=""),",","")&amp;IF(D120="","性別","")&amp;IF(IF(A120="","従業員番号","")&amp;IF(B120="","雇用形態","")&amp;IF(OR(入力シート!$J$18=入力リスト!$K$4,入力シート!$J$22=入力リスト!$K$4),IF(C120="","入社年月日",""),"")&amp;IF(D120="","性別","")="","","が空白です。"),IF(J120,"入社年月日に「基準日」の翌日以降の日付が入力されています。","")&amp;IF(I120,"入社年月日に数値以外（又は1900/1/1以前の日付）が入力されています。","")&amp;IF(H120,"雇用形態"&amp;IF(OR(K120,L120),",",""),"")&amp;IF(K120,"性別"&amp;IF(L120,",",""),"")&amp;IF(L120,"役職","")&amp;IF(OR(H120,K120,L120),"に、［入力シート］(4)「貴社」欄と異なる文言が入力されています。","")))))</f>
        <v/>
      </c>
      <c r="G120" s="236" t="b">
        <f>COUNTIF($A$4:A119,$A120)&gt;0</f>
        <v>0</v>
      </c>
      <c r="H120" s="237" t="b">
        <f>IF(COUNTIF(入力シート!$J$16:$S$23,入力リスト!$K$4)=0,FALSE,IF(入力シート!$J$16=入力リスト!$K$5,FALSE,ISERROR(VLOOKUP(B120,入力シート!$S$37:$V$62,1,0))))</f>
        <v>0</v>
      </c>
      <c r="I120" s="237" t="b">
        <f>IF(AND(OR(入力シート!$J$18=入力リスト!$K$4,入力シート!$J$22=入力リスト!$K$4),入力シート!$J$24&lt;&gt;""),IF(ISERROR(C120+1),TRUE,IF(ISNUMBER(C120),FALSE,TRUE)),FALSE)</f>
        <v>0</v>
      </c>
      <c r="J120" s="237" t="b">
        <f>IF(AND(入力シート!$J$18=入力リスト!$K$4,入力シート!$J$22=入力リスト!$K$4),FALSE,IF(I120=TRUE,FALSE,IF(ISERROR(C120+1),FALSE,C120&gt;入力シート!$J$24)))</f>
        <v>0</v>
      </c>
      <c r="K120" s="237" t="b">
        <f>IF(COUNTIF(入力シート!$J$16:$S$23,入力リスト!$K$4)=0,FALSE,IF(AND(入力シート!$J$16&lt;&gt;入力リスト!$K$5,入力シート!$J$18&lt;&gt;入力リスト!$K$5,入力シート!$J$20&lt;&gt;入力リスト!$K$5,入力シート!$J$22&lt;&gt;入力リスト!$K$5),FALSE,ISERROR(VLOOKUP(D120,入力シート!$AW$37:$AY$38,1,0))))</f>
        <v>0</v>
      </c>
      <c r="L120" s="237" t="b">
        <f>IF(COUNTIF(入力シート!$J$16:$S$23,入力リスト!$K$4)=0,FALSE,IF(入力シート!$J$20=入力リスト!$K$5,FALSE,IF(E120="",FALSE,ISERROR(VLOOKUP(E120,入力シート!$AH$37:$AK$62,1,0)))))</f>
        <v>0</v>
      </c>
      <c r="M120" s="238" t="str">
        <f t="shared" si="1"/>
        <v/>
      </c>
      <c r="N120" s="236" t="str">
        <f>IF(B120="","",VLOOKUP('従業員情報(給与以外)'!$B120,入力シート!$S$37:$Z$62,5,0))</f>
        <v/>
      </c>
      <c r="O120" s="182" t="str">
        <f>IF(ISNUMBER(C120)=FALSE,"",IF(C120&gt;入力シート!$J$24,"",_xlfn.DAYS(入力シート!$J$24,'従業員情報(給与以外)'!$C120)/365))</f>
        <v/>
      </c>
      <c r="P120" s="237" t="str">
        <f>IF(O120="","",VLOOKUP(_xlfn.DAYS(入力シート!$J$24,'従業員情報(給与以外)'!$C120)/365,入力リスト!$H$4:$I$12,2,2))</f>
        <v/>
      </c>
      <c r="Q120" s="236" t="str">
        <f>IF(D120="","",VLOOKUP('従業員情報(給与以外)'!$D120,入力シート!$AW$37:$BB$38,4,0))</f>
        <v/>
      </c>
      <c r="R120" s="236" t="str">
        <f>IF(A120="","",IF(E120="","非役職",VLOOKUP('従業員情報(給与以外)'!$E120,入力シート!$AH$37:$AO$62,5,0)))</f>
        <v/>
      </c>
      <c r="S120" s="116" t="str">
        <f>IF(OR(入力シート!$C$5&lt;&gt;入力リスト!$N$4,COUNTIF(入力シート!$J$16:$S$23,入力リスト!$K$4)=0),"",IF($A120="","",IF(ISERROR(AVERAGEIF(従業員の給与情報!$B:$B,$A120,従業員の給与情報!$C:$C)),0,IF(ISERROR(AVERAGEIF(従業員の給与情報!$B:$B,$A120,従業員の給与情報!$C:$C)),0,AVERAGEIF(従業員の給与情報!$B:$B,$A120,従業員の給与情報!$C:$C)))))</f>
        <v/>
      </c>
      <c r="T120" s="116" t="str">
        <f>IF(OR(入力シート!$C$5&lt;&gt;入力リスト!$N$4,COUNTIF(入力シート!$J$16:$S$23,入力リスト!$K$4)=0),"",IF(A120="","",IF(ISERROR(AVERAGEIF(従業員の給与情報!$B:$B,$A120,従業員の給与情報!$D:$D)),0,IF(ISERROR(AVERAGEIF(従業員の給与情報!$B:$B,$A120,従業員の給与情報!$D:$D)),0,AVERAGEIF(従業員の給与情報!$B:$B,$A120,従業員の給与情報!$D:$D)))))</f>
        <v/>
      </c>
      <c r="U120" s="116" t="str">
        <f>IF(OR(入力シート!$C$5&lt;&gt;入力リスト!$N$4,COUNTIF(入力シート!$J$16:$S$23,入力リスト!$K$4)=0),"",IF(A120="","",IF(ISERROR(AVERAGEIF(従業員の給与情報!$B:$B,$A120,従業員の給与情報!$E:$E)),0,IF(ISERROR(AVERAGEIF(従業員の給与情報!$B:$B,$A120,従業員の給与情報!$E:$E)),0,AVERAGEIF(従業員の給与情報!$B:$B,$A120,従業員の給与情報!$E:$E)))))</f>
        <v/>
      </c>
      <c r="V120" s="117" t="str">
        <f>IF(OR(入力シート!$C$5&lt;&gt;入力リスト!$N$4,COUNTIF(入力シート!$J$16:$S$23,入力リスト!$K$4)=0),"",IF(A120="","",IF(ISERROR(AVERAGEIF(従業員の給与情報!$B:$B,$A120,従業員の給与情報!$F:$F)),0,IF(ISERROR(AVERAGEIF(従業員の給与情報!$B:$B,$A120,従業員の給与情報!$F:$F)),0,AVERAGEIF(従業員の給与情報!$B:$B,$A120,従業員の給与情報!$F:$F)))))</f>
        <v/>
      </c>
      <c r="W120" s="182"/>
      <c r="X120" s="260"/>
    </row>
    <row r="121" spans="1:24" ht="19.5">
      <c r="A121" s="367"/>
      <c r="B121" s="364"/>
      <c r="C121" s="365"/>
      <c r="D121" s="366"/>
      <c r="E121" s="364"/>
      <c r="F121" s="372" t="str">
        <f>IF(G121,"この従業員番号は、すでに他のセルで入力されています。",IF(入力シート!$C$5=入力リスト!$N$5,"",IF(AND(A121="",B121="",C121="",D121="",E121=""),"",IF(OR(A121="",B121="",C121="",D121=""),IF(A121="","従業員番号","")&amp;IF(AND(A121="",OR(B121="",C121="",D121="")),",","")&amp;IF(B121="","雇用形態","")&amp;IF(AND(B121="",OR(C121="",D121="")),",","")&amp;IF(OR(入力シート!$J$18=入力リスト!$K$4,入力シート!$J$22=入力リスト!$K$4),IF(C121="","入社年月日",""),"")&amp;IF(AND(C121="",D121=""),",","")&amp;IF(D121="","性別","")&amp;IF(IF(A121="","従業員番号","")&amp;IF(B121="","雇用形態","")&amp;IF(OR(入力シート!$J$18=入力リスト!$K$4,入力シート!$J$22=入力リスト!$K$4),IF(C121="","入社年月日",""),"")&amp;IF(D121="","性別","")="","","が空白です。"),IF(J121,"入社年月日に「基準日」の翌日以降の日付が入力されています。","")&amp;IF(I121,"入社年月日に数値以外（又は1900/1/1以前の日付）が入力されています。","")&amp;IF(H121,"雇用形態"&amp;IF(OR(K121,L121),",",""),"")&amp;IF(K121,"性別"&amp;IF(L121,",",""),"")&amp;IF(L121,"役職","")&amp;IF(OR(H121,K121,L121),"に、［入力シート］(4)「貴社」欄と異なる文言が入力されています。","")))))</f>
        <v/>
      </c>
      <c r="G121" s="236" t="b">
        <f>COUNTIF($A$4:A120,$A121)&gt;0</f>
        <v>0</v>
      </c>
      <c r="H121" s="237" t="b">
        <f>IF(COUNTIF(入力シート!$J$16:$S$23,入力リスト!$K$4)=0,FALSE,IF(入力シート!$J$16=入力リスト!$K$5,FALSE,ISERROR(VLOOKUP(B121,入力シート!$S$37:$V$62,1,0))))</f>
        <v>0</v>
      </c>
      <c r="I121" s="237" t="b">
        <f>IF(AND(OR(入力シート!$J$18=入力リスト!$K$4,入力シート!$J$22=入力リスト!$K$4),入力シート!$J$24&lt;&gt;""),IF(ISERROR(C121+1),TRUE,IF(ISNUMBER(C121),FALSE,TRUE)),FALSE)</f>
        <v>0</v>
      </c>
      <c r="J121" s="237" t="b">
        <f>IF(AND(入力シート!$J$18=入力リスト!$K$4,入力シート!$J$22=入力リスト!$K$4),FALSE,IF(I121=TRUE,FALSE,IF(ISERROR(C121+1),FALSE,C121&gt;入力シート!$J$24)))</f>
        <v>0</v>
      </c>
      <c r="K121" s="237" t="b">
        <f>IF(COUNTIF(入力シート!$J$16:$S$23,入力リスト!$K$4)=0,FALSE,IF(AND(入力シート!$J$16&lt;&gt;入力リスト!$K$5,入力シート!$J$18&lt;&gt;入力リスト!$K$5,入力シート!$J$20&lt;&gt;入力リスト!$K$5,入力シート!$J$22&lt;&gt;入力リスト!$K$5),FALSE,ISERROR(VLOOKUP(D121,入力シート!$AW$37:$AY$38,1,0))))</f>
        <v>0</v>
      </c>
      <c r="L121" s="237" t="b">
        <f>IF(COUNTIF(入力シート!$J$16:$S$23,入力リスト!$K$4)=0,FALSE,IF(入力シート!$J$20=入力リスト!$K$5,FALSE,IF(E121="",FALSE,ISERROR(VLOOKUP(E121,入力シート!$AH$37:$AK$62,1,0)))))</f>
        <v>0</v>
      </c>
      <c r="M121" s="238" t="str">
        <f t="shared" si="1"/>
        <v/>
      </c>
      <c r="N121" s="236" t="str">
        <f>IF(B121="","",VLOOKUP('従業員情報(給与以外)'!$B121,入力シート!$S$37:$Z$62,5,0))</f>
        <v/>
      </c>
      <c r="O121" s="182" t="str">
        <f>IF(ISNUMBER(C121)=FALSE,"",IF(C121&gt;入力シート!$J$24,"",_xlfn.DAYS(入力シート!$J$24,'従業員情報(給与以外)'!$C121)/365))</f>
        <v/>
      </c>
      <c r="P121" s="237" t="str">
        <f>IF(O121="","",VLOOKUP(_xlfn.DAYS(入力シート!$J$24,'従業員情報(給与以外)'!$C121)/365,入力リスト!$H$4:$I$12,2,2))</f>
        <v/>
      </c>
      <c r="Q121" s="236" t="str">
        <f>IF(D121="","",VLOOKUP('従業員情報(給与以外)'!$D121,入力シート!$AW$37:$BB$38,4,0))</f>
        <v/>
      </c>
      <c r="R121" s="236" t="str">
        <f>IF(A121="","",IF(E121="","非役職",VLOOKUP('従業員情報(給与以外)'!$E121,入力シート!$AH$37:$AO$62,5,0)))</f>
        <v/>
      </c>
      <c r="S121" s="116" t="str">
        <f>IF(OR(入力シート!$C$5&lt;&gt;入力リスト!$N$4,COUNTIF(入力シート!$J$16:$S$23,入力リスト!$K$4)=0),"",IF($A121="","",IF(ISERROR(AVERAGEIF(従業員の給与情報!$B:$B,$A121,従業員の給与情報!$C:$C)),0,IF(ISERROR(AVERAGEIF(従業員の給与情報!$B:$B,$A121,従業員の給与情報!$C:$C)),0,AVERAGEIF(従業員の給与情報!$B:$B,$A121,従業員の給与情報!$C:$C)))))</f>
        <v/>
      </c>
      <c r="T121" s="116" t="str">
        <f>IF(OR(入力シート!$C$5&lt;&gt;入力リスト!$N$4,COUNTIF(入力シート!$J$16:$S$23,入力リスト!$K$4)=0),"",IF(A121="","",IF(ISERROR(AVERAGEIF(従業員の給与情報!$B:$B,$A121,従業員の給与情報!$D:$D)),0,IF(ISERROR(AVERAGEIF(従業員の給与情報!$B:$B,$A121,従業員の給与情報!$D:$D)),0,AVERAGEIF(従業員の給与情報!$B:$B,$A121,従業員の給与情報!$D:$D)))))</f>
        <v/>
      </c>
      <c r="U121" s="116" t="str">
        <f>IF(OR(入力シート!$C$5&lt;&gt;入力リスト!$N$4,COUNTIF(入力シート!$J$16:$S$23,入力リスト!$K$4)=0),"",IF(A121="","",IF(ISERROR(AVERAGEIF(従業員の給与情報!$B:$B,$A121,従業員の給与情報!$E:$E)),0,IF(ISERROR(AVERAGEIF(従業員の給与情報!$B:$B,$A121,従業員の給与情報!$E:$E)),0,AVERAGEIF(従業員の給与情報!$B:$B,$A121,従業員の給与情報!$E:$E)))))</f>
        <v/>
      </c>
      <c r="V121" s="117" t="str">
        <f>IF(OR(入力シート!$C$5&lt;&gt;入力リスト!$N$4,COUNTIF(入力シート!$J$16:$S$23,入力リスト!$K$4)=0),"",IF(A121="","",IF(ISERROR(AVERAGEIF(従業員の給与情報!$B:$B,$A121,従業員の給与情報!$F:$F)),0,IF(ISERROR(AVERAGEIF(従業員の給与情報!$B:$B,$A121,従業員の給与情報!$F:$F)),0,AVERAGEIF(従業員の給与情報!$B:$B,$A121,従業員の給与情報!$F:$F)))))</f>
        <v/>
      </c>
      <c r="W121" s="182"/>
      <c r="X121" s="260"/>
    </row>
    <row r="122" spans="1:24" ht="19.5">
      <c r="A122" s="367"/>
      <c r="B122" s="364"/>
      <c r="C122" s="365"/>
      <c r="D122" s="366"/>
      <c r="E122" s="367"/>
      <c r="F122" s="372" t="str">
        <f>IF(G122,"この従業員番号は、すでに他のセルで入力されています。",IF(入力シート!$C$5=入力リスト!$N$5,"",IF(AND(A122="",B122="",C122="",D122="",E122=""),"",IF(OR(A122="",B122="",C122="",D122=""),IF(A122="","従業員番号","")&amp;IF(AND(A122="",OR(B122="",C122="",D122="")),",","")&amp;IF(B122="","雇用形態","")&amp;IF(AND(B122="",OR(C122="",D122="")),",","")&amp;IF(OR(入力シート!$J$18=入力リスト!$K$4,入力シート!$J$22=入力リスト!$K$4),IF(C122="","入社年月日",""),"")&amp;IF(AND(C122="",D122=""),",","")&amp;IF(D122="","性別","")&amp;IF(IF(A122="","従業員番号","")&amp;IF(B122="","雇用形態","")&amp;IF(OR(入力シート!$J$18=入力リスト!$K$4,入力シート!$J$22=入力リスト!$K$4),IF(C122="","入社年月日",""),"")&amp;IF(D122="","性別","")="","","が空白です。"),IF(J122,"入社年月日に「基準日」の翌日以降の日付が入力されています。","")&amp;IF(I122,"入社年月日に数値以外（又は1900/1/1以前の日付）が入力されています。","")&amp;IF(H122,"雇用形態"&amp;IF(OR(K122,L122),",",""),"")&amp;IF(K122,"性別"&amp;IF(L122,",",""),"")&amp;IF(L122,"役職","")&amp;IF(OR(H122,K122,L122),"に、［入力シート］(4)「貴社」欄と異なる文言が入力されています。","")))))</f>
        <v/>
      </c>
      <c r="G122" s="236" t="b">
        <f>COUNTIF($A$4:A121,$A122)&gt;0</f>
        <v>0</v>
      </c>
      <c r="H122" s="237" t="b">
        <f>IF(COUNTIF(入力シート!$J$16:$S$23,入力リスト!$K$4)=0,FALSE,IF(入力シート!$J$16=入力リスト!$K$5,FALSE,ISERROR(VLOOKUP(B122,入力シート!$S$37:$V$62,1,0))))</f>
        <v>0</v>
      </c>
      <c r="I122" s="237" t="b">
        <f>IF(AND(OR(入力シート!$J$18=入力リスト!$K$4,入力シート!$J$22=入力リスト!$K$4),入力シート!$J$24&lt;&gt;""),IF(ISERROR(C122+1),TRUE,IF(ISNUMBER(C122),FALSE,TRUE)),FALSE)</f>
        <v>0</v>
      </c>
      <c r="J122" s="237" t="b">
        <f>IF(AND(入力シート!$J$18=入力リスト!$K$4,入力シート!$J$22=入力リスト!$K$4),FALSE,IF(I122=TRUE,FALSE,IF(ISERROR(C122+1),FALSE,C122&gt;入力シート!$J$24)))</f>
        <v>0</v>
      </c>
      <c r="K122" s="237" t="b">
        <f>IF(COUNTIF(入力シート!$J$16:$S$23,入力リスト!$K$4)=0,FALSE,IF(AND(入力シート!$J$16&lt;&gt;入力リスト!$K$5,入力シート!$J$18&lt;&gt;入力リスト!$K$5,入力シート!$J$20&lt;&gt;入力リスト!$K$5,入力シート!$J$22&lt;&gt;入力リスト!$K$5),FALSE,ISERROR(VLOOKUP(D122,入力シート!$AW$37:$AY$38,1,0))))</f>
        <v>0</v>
      </c>
      <c r="L122" s="237" t="b">
        <f>IF(COUNTIF(入力シート!$J$16:$S$23,入力リスト!$K$4)=0,FALSE,IF(入力シート!$J$20=入力リスト!$K$5,FALSE,IF(E122="",FALSE,ISERROR(VLOOKUP(E122,入力シート!$AH$37:$AK$62,1,0)))))</f>
        <v>0</v>
      </c>
      <c r="M122" s="238" t="str">
        <f t="shared" si="1"/>
        <v/>
      </c>
      <c r="N122" s="236" t="str">
        <f>IF(B122="","",VLOOKUP('従業員情報(給与以外)'!$B122,入力シート!$S$37:$Z$62,5,0))</f>
        <v/>
      </c>
      <c r="O122" s="182" t="str">
        <f>IF(ISNUMBER(C122)=FALSE,"",IF(C122&gt;入力シート!$J$24,"",_xlfn.DAYS(入力シート!$J$24,'従業員情報(給与以外)'!$C122)/365))</f>
        <v/>
      </c>
      <c r="P122" s="237" t="str">
        <f>IF(O122="","",VLOOKUP(_xlfn.DAYS(入力シート!$J$24,'従業員情報(給与以外)'!$C122)/365,入力リスト!$H$4:$I$12,2,2))</f>
        <v/>
      </c>
      <c r="Q122" s="236" t="str">
        <f>IF(D122="","",VLOOKUP('従業員情報(給与以外)'!$D122,入力シート!$AW$37:$BB$38,4,0))</f>
        <v/>
      </c>
      <c r="R122" s="236" t="str">
        <f>IF(A122="","",IF(E122="","非役職",VLOOKUP('従業員情報(給与以外)'!$E122,入力シート!$AH$37:$AO$62,5,0)))</f>
        <v/>
      </c>
      <c r="S122" s="116" t="str">
        <f>IF(OR(入力シート!$C$5&lt;&gt;入力リスト!$N$4,COUNTIF(入力シート!$J$16:$S$23,入力リスト!$K$4)=0),"",IF($A122="","",IF(ISERROR(AVERAGEIF(従業員の給与情報!$B:$B,$A122,従業員の給与情報!$C:$C)),0,IF(ISERROR(AVERAGEIF(従業員の給与情報!$B:$B,$A122,従業員の給与情報!$C:$C)),0,AVERAGEIF(従業員の給与情報!$B:$B,$A122,従業員の給与情報!$C:$C)))))</f>
        <v/>
      </c>
      <c r="T122" s="116" t="str">
        <f>IF(OR(入力シート!$C$5&lt;&gt;入力リスト!$N$4,COUNTIF(入力シート!$J$16:$S$23,入力リスト!$K$4)=0),"",IF(A122="","",IF(ISERROR(AVERAGEIF(従業員の給与情報!$B:$B,$A122,従業員の給与情報!$D:$D)),0,IF(ISERROR(AVERAGEIF(従業員の給与情報!$B:$B,$A122,従業員の給与情報!$D:$D)),0,AVERAGEIF(従業員の給与情報!$B:$B,$A122,従業員の給与情報!$D:$D)))))</f>
        <v/>
      </c>
      <c r="U122" s="116" t="str">
        <f>IF(OR(入力シート!$C$5&lt;&gt;入力リスト!$N$4,COUNTIF(入力シート!$J$16:$S$23,入力リスト!$K$4)=0),"",IF(A122="","",IF(ISERROR(AVERAGEIF(従業員の給与情報!$B:$B,$A122,従業員の給与情報!$E:$E)),0,IF(ISERROR(AVERAGEIF(従業員の給与情報!$B:$B,$A122,従業員の給与情報!$E:$E)),0,AVERAGEIF(従業員の給与情報!$B:$B,$A122,従業員の給与情報!$E:$E)))))</f>
        <v/>
      </c>
      <c r="V122" s="117" t="str">
        <f>IF(OR(入力シート!$C$5&lt;&gt;入力リスト!$N$4,COUNTIF(入力シート!$J$16:$S$23,入力リスト!$K$4)=0),"",IF(A122="","",IF(ISERROR(AVERAGEIF(従業員の給与情報!$B:$B,$A122,従業員の給与情報!$F:$F)),0,IF(ISERROR(AVERAGEIF(従業員の給与情報!$B:$B,$A122,従業員の給与情報!$F:$F)),0,AVERAGEIF(従業員の給与情報!$B:$B,$A122,従業員の給与情報!$F:$F)))))</f>
        <v/>
      </c>
      <c r="W122" s="182"/>
      <c r="X122" s="260"/>
    </row>
    <row r="123" spans="1:24" ht="19.5">
      <c r="A123" s="367"/>
      <c r="B123" s="364"/>
      <c r="C123" s="365"/>
      <c r="D123" s="366"/>
      <c r="E123" s="367"/>
      <c r="F123" s="372" t="str">
        <f>IF(G123,"この従業員番号は、すでに他のセルで入力されています。",IF(入力シート!$C$5=入力リスト!$N$5,"",IF(AND(A123="",B123="",C123="",D123="",E123=""),"",IF(OR(A123="",B123="",C123="",D123=""),IF(A123="","従業員番号","")&amp;IF(AND(A123="",OR(B123="",C123="",D123="")),",","")&amp;IF(B123="","雇用形態","")&amp;IF(AND(B123="",OR(C123="",D123="")),",","")&amp;IF(OR(入力シート!$J$18=入力リスト!$K$4,入力シート!$J$22=入力リスト!$K$4),IF(C123="","入社年月日",""),"")&amp;IF(AND(C123="",D123=""),",","")&amp;IF(D123="","性別","")&amp;IF(IF(A123="","従業員番号","")&amp;IF(B123="","雇用形態","")&amp;IF(OR(入力シート!$J$18=入力リスト!$K$4,入力シート!$J$22=入力リスト!$K$4),IF(C123="","入社年月日",""),"")&amp;IF(D123="","性別","")="","","が空白です。"),IF(J123,"入社年月日に「基準日」の翌日以降の日付が入力されています。","")&amp;IF(I123,"入社年月日に数値以外（又は1900/1/1以前の日付）が入力されています。","")&amp;IF(H123,"雇用形態"&amp;IF(OR(K123,L123),",",""),"")&amp;IF(K123,"性別"&amp;IF(L123,",",""),"")&amp;IF(L123,"役職","")&amp;IF(OR(H123,K123,L123),"に、［入力シート］(4)「貴社」欄と異なる文言が入力されています。","")))))</f>
        <v/>
      </c>
      <c r="G123" s="236" t="b">
        <f>COUNTIF($A$4:A122,$A123)&gt;0</f>
        <v>0</v>
      </c>
      <c r="H123" s="237" t="b">
        <f>IF(COUNTIF(入力シート!$J$16:$S$23,入力リスト!$K$4)=0,FALSE,IF(入力シート!$J$16=入力リスト!$K$5,FALSE,ISERROR(VLOOKUP(B123,入力シート!$S$37:$V$62,1,0))))</f>
        <v>0</v>
      </c>
      <c r="I123" s="237" t="b">
        <f>IF(AND(OR(入力シート!$J$18=入力リスト!$K$4,入力シート!$J$22=入力リスト!$K$4),入力シート!$J$24&lt;&gt;""),IF(ISERROR(C123+1),TRUE,IF(ISNUMBER(C123),FALSE,TRUE)),FALSE)</f>
        <v>0</v>
      </c>
      <c r="J123" s="237" t="b">
        <f>IF(AND(入力シート!$J$18=入力リスト!$K$4,入力シート!$J$22=入力リスト!$K$4),FALSE,IF(I123=TRUE,FALSE,IF(ISERROR(C123+1),FALSE,C123&gt;入力シート!$J$24)))</f>
        <v>0</v>
      </c>
      <c r="K123" s="237" t="b">
        <f>IF(COUNTIF(入力シート!$J$16:$S$23,入力リスト!$K$4)=0,FALSE,IF(AND(入力シート!$J$16&lt;&gt;入力リスト!$K$5,入力シート!$J$18&lt;&gt;入力リスト!$K$5,入力シート!$J$20&lt;&gt;入力リスト!$K$5,入力シート!$J$22&lt;&gt;入力リスト!$K$5),FALSE,ISERROR(VLOOKUP(D123,入力シート!$AW$37:$AY$38,1,0))))</f>
        <v>0</v>
      </c>
      <c r="L123" s="237" t="b">
        <f>IF(COUNTIF(入力シート!$J$16:$S$23,入力リスト!$K$4)=0,FALSE,IF(入力シート!$J$20=入力リスト!$K$5,FALSE,IF(E123="",FALSE,ISERROR(VLOOKUP(E123,入力シート!$AH$37:$AK$62,1,0)))))</f>
        <v>0</v>
      </c>
      <c r="M123" s="238" t="str">
        <f t="shared" si="1"/>
        <v/>
      </c>
      <c r="N123" s="236" t="str">
        <f>IF(B123="","",VLOOKUP('従業員情報(給与以外)'!$B123,入力シート!$S$37:$Z$62,5,0))</f>
        <v/>
      </c>
      <c r="O123" s="182" t="str">
        <f>IF(ISNUMBER(C123)=FALSE,"",IF(C123&gt;入力シート!$J$24,"",_xlfn.DAYS(入力シート!$J$24,'従業員情報(給与以外)'!$C123)/365))</f>
        <v/>
      </c>
      <c r="P123" s="237" t="str">
        <f>IF(O123="","",VLOOKUP(_xlfn.DAYS(入力シート!$J$24,'従業員情報(給与以外)'!$C123)/365,入力リスト!$H$4:$I$12,2,2))</f>
        <v/>
      </c>
      <c r="Q123" s="236" t="str">
        <f>IF(D123="","",VLOOKUP('従業員情報(給与以外)'!$D123,入力シート!$AW$37:$BB$38,4,0))</f>
        <v/>
      </c>
      <c r="R123" s="236" t="str">
        <f>IF(A123="","",IF(E123="","非役職",VLOOKUP('従業員情報(給与以外)'!$E123,入力シート!$AH$37:$AO$62,5,0)))</f>
        <v/>
      </c>
      <c r="S123" s="116" t="str">
        <f>IF(OR(入力シート!$C$5&lt;&gt;入力リスト!$N$4,COUNTIF(入力シート!$J$16:$S$23,入力リスト!$K$4)=0),"",IF($A123="","",IF(ISERROR(AVERAGEIF(従業員の給与情報!$B:$B,$A123,従業員の給与情報!$C:$C)),0,IF(ISERROR(AVERAGEIF(従業員の給与情報!$B:$B,$A123,従業員の給与情報!$C:$C)),0,AVERAGEIF(従業員の給与情報!$B:$B,$A123,従業員の給与情報!$C:$C)))))</f>
        <v/>
      </c>
      <c r="T123" s="116" t="str">
        <f>IF(OR(入力シート!$C$5&lt;&gt;入力リスト!$N$4,COUNTIF(入力シート!$J$16:$S$23,入力リスト!$K$4)=0),"",IF(A123="","",IF(ISERROR(AVERAGEIF(従業員の給与情報!$B:$B,$A123,従業員の給与情報!$D:$D)),0,IF(ISERROR(AVERAGEIF(従業員の給与情報!$B:$B,$A123,従業員の給与情報!$D:$D)),0,AVERAGEIF(従業員の給与情報!$B:$B,$A123,従業員の給与情報!$D:$D)))))</f>
        <v/>
      </c>
      <c r="U123" s="116" t="str">
        <f>IF(OR(入力シート!$C$5&lt;&gt;入力リスト!$N$4,COUNTIF(入力シート!$J$16:$S$23,入力リスト!$K$4)=0),"",IF(A123="","",IF(ISERROR(AVERAGEIF(従業員の給与情報!$B:$B,$A123,従業員の給与情報!$E:$E)),0,IF(ISERROR(AVERAGEIF(従業員の給与情報!$B:$B,$A123,従業員の給与情報!$E:$E)),0,AVERAGEIF(従業員の給与情報!$B:$B,$A123,従業員の給与情報!$E:$E)))))</f>
        <v/>
      </c>
      <c r="V123" s="117" t="str">
        <f>IF(OR(入力シート!$C$5&lt;&gt;入力リスト!$N$4,COUNTIF(入力シート!$J$16:$S$23,入力リスト!$K$4)=0),"",IF(A123="","",IF(ISERROR(AVERAGEIF(従業員の給与情報!$B:$B,$A123,従業員の給与情報!$F:$F)),0,IF(ISERROR(AVERAGEIF(従業員の給与情報!$B:$B,$A123,従業員の給与情報!$F:$F)),0,AVERAGEIF(従業員の給与情報!$B:$B,$A123,従業員の給与情報!$F:$F)))))</f>
        <v/>
      </c>
      <c r="W123" s="182"/>
      <c r="X123" s="260"/>
    </row>
    <row r="124" spans="1:24" ht="19.5">
      <c r="A124" s="367"/>
      <c r="B124" s="364"/>
      <c r="C124" s="365"/>
      <c r="D124" s="366"/>
      <c r="E124" s="367"/>
      <c r="F124" s="372" t="str">
        <f>IF(G124,"この従業員番号は、すでに他のセルで入力されています。",IF(入力シート!$C$5=入力リスト!$N$5,"",IF(AND(A124="",B124="",C124="",D124="",E124=""),"",IF(OR(A124="",B124="",C124="",D124=""),IF(A124="","従業員番号","")&amp;IF(AND(A124="",OR(B124="",C124="",D124="")),",","")&amp;IF(B124="","雇用形態","")&amp;IF(AND(B124="",OR(C124="",D124="")),",","")&amp;IF(OR(入力シート!$J$18=入力リスト!$K$4,入力シート!$J$22=入力リスト!$K$4),IF(C124="","入社年月日",""),"")&amp;IF(AND(C124="",D124=""),",","")&amp;IF(D124="","性別","")&amp;IF(IF(A124="","従業員番号","")&amp;IF(B124="","雇用形態","")&amp;IF(OR(入力シート!$J$18=入力リスト!$K$4,入力シート!$J$22=入力リスト!$K$4),IF(C124="","入社年月日",""),"")&amp;IF(D124="","性別","")="","","が空白です。"),IF(J124,"入社年月日に「基準日」の翌日以降の日付が入力されています。","")&amp;IF(I124,"入社年月日に数値以外（又は1900/1/1以前の日付）が入力されています。","")&amp;IF(H124,"雇用形態"&amp;IF(OR(K124,L124),",",""),"")&amp;IF(K124,"性別"&amp;IF(L124,",",""),"")&amp;IF(L124,"役職","")&amp;IF(OR(H124,K124,L124),"に、［入力シート］(4)「貴社」欄と異なる文言が入力されています。","")))))</f>
        <v/>
      </c>
      <c r="G124" s="236" t="b">
        <f>COUNTIF($A$4:A123,$A124)&gt;0</f>
        <v>0</v>
      </c>
      <c r="H124" s="237" t="b">
        <f>IF(COUNTIF(入力シート!$J$16:$S$23,入力リスト!$K$4)=0,FALSE,IF(入力シート!$J$16=入力リスト!$K$5,FALSE,ISERROR(VLOOKUP(B124,入力シート!$S$37:$V$62,1,0))))</f>
        <v>0</v>
      </c>
      <c r="I124" s="237" t="b">
        <f>IF(AND(OR(入力シート!$J$18=入力リスト!$K$4,入力シート!$J$22=入力リスト!$K$4),入力シート!$J$24&lt;&gt;""),IF(ISERROR(C124+1),TRUE,IF(ISNUMBER(C124),FALSE,TRUE)),FALSE)</f>
        <v>0</v>
      </c>
      <c r="J124" s="237" t="b">
        <f>IF(AND(入力シート!$J$18=入力リスト!$K$4,入力シート!$J$22=入力リスト!$K$4),FALSE,IF(I124=TRUE,FALSE,IF(ISERROR(C124+1),FALSE,C124&gt;入力シート!$J$24)))</f>
        <v>0</v>
      </c>
      <c r="K124" s="237" t="b">
        <f>IF(COUNTIF(入力シート!$J$16:$S$23,入力リスト!$K$4)=0,FALSE,IF(AND(入力シート!$J$16&lt;&gt;入力リスト!$K$5,入力シート!$J$18&lt;&gt;入力リスト!$K$5,入力シート!$J$20&lt;&gt;入力リスト!$K$5,入力シート!$J$22&lt;&gt;入力リスト!$K$5),FALSE,ISERROR(VLOOKUP(D124,入力シート!$AW$37:$AY$38,1,0))))</f>
        <v>0</v>
      </c>
      <c r="L124" s="237" t="b">
        <f>IF(COUNTIF(入力シート!$J$16:$S$23,入力リスト!$K$4)=0,FALSE,IF(入力シート!$J$20=入力リスト!$K$5,FALSE,IF(E124="",FALSE,ISERROR(VLOOKUP(E124,入力シート!$AH$37:$AK$62,1,0)))))</f>
        <v>0</v>
      </c>
      <c r="M124" s="238" t="str">
        <f t="shared" si="1"/>
        <v/>
      </c>
      <c r="N124" s="236" t="str">
        <f>IF(B124="","",VLOOKUP('従業員情報(給与以外)'!$B124,入力シート!$S$37:$Z$62,5,0))</f>
        <v/>
      </c>
      <c r="O124" s="182" t="str">
        <f>IF(ISNUMBER(C124)=FALSE,"",IF(C124&gt;入力シート!$J$24,"",_xlfn.DAYS(入力シート!$J$24,'従業員情報(給与以外)'!$C124)/365))</f>
        <v/>
      </c>
      <c r="P124" s="237" t="str">
        <f>IF(O124="","",VLOOKUP(_xlfn.DAYS(入力シート!$J$24,'従業員情報(給与以外)'!$C124)/365,入力リスト!$H$4:$I$12,2,2))</f>
        <v/>
      </c>
      <c r="Q124" s="236" t="str">
        <f>IF(D124="","",VLOOKUP('従業員情報(給与以外)'!$D124,入力シート!$AW$37:$BB$38,4,0))</f>
        <v/>
      </c>
      <c r="R124" s="236" t="str">
        <f>IF(A124="","",IF(E124="","非役職",VLOOKUP('従業員情報(給与以外)'!$E124,入力シート!$AH$37:$AO$62,5,0)))</f>
        <v/>
      </c>
      <c r="S124" s="116" t="str">
        <f>IF(OR(入力シート!$C$5&lt;&gt;入力リスト!$N$4,COUNTIF(入力シート!$J$16:$S$23,入力リスト!$K$4)=0),"",IF($A124="","",IF(ISERROR(AVERAGEIF(従業員の給与情報!$B:$B,$A124,従業員の給与情報!$C:$C)),0,IF(ISERROR(AVERAGEIF(従業員の給与情報!$B:$B,$A124,従業員の給与情報!$C:$C)),0,AVERAGEIF(従業員の給与情報!$B:$B,$A124,従業員の給与情報!$C:$C)))))</f>
        <v/>
      </c>
      <c r="T124" s="116" t="str">
        <f>IF(OR(入力シート!$C$5&lt;&gt;入力リスト!$N$4,COUNTIF(入力シート!$J$16:$S$23,入力リスト!$K$4)=0),"",IF(A124="","",IF(ISERROR(AVERAGEIF(従業員の給与情報!$B:$B,$A124,従業員の給与情報!$D:$D)),0,IF(ISERROR(AVERAGEIF(従業員の給与情報!$B:$B,$A124,従業員の給与情報!$D:$D)),0,AVERAGEIF(従業員の給与情報!$B:$B,$A124,従業員の給与情報!$D:$D)))))</f>
        <v/>
      </c>
      <c r="U124" s="116" t="str">
        <f>IF(OR(入力シート!$C$5&lt;&gt;入力リスト!$N$4,COUNTIF(入力シート!$J$16:$S$23,入力リスト!$K$4)=0),"",IF(A124="","",IF(ISERROR(AVERAGEIF(従業員の給与情報!$B:$B,$A124,従業員の給与情報!$E:$E)),0,IF(ISERROR(AVERAGEIF(従業員の給与情報!$B:$B,$A124,従業員の給与情報!$E:$E)),0,AVERAGEIF(従業員の給与情報!$B:$B,$A124,従業員の給与情報!$E:$E)))))</f>
        <v/>
      </c>
      <c r="V124" s="117" t="str">
        <f>IF(OR(入力シート!$C$5&lt;&gt;入力リスト!$N$4,COUNTIF(入力シート!$J$16:$S$23,入力リスト!$K$4)=0),"",IF(A124="","",IF(ISERROR(AVERAGEIF(従業員の給与情報!$B:$B,$A124,従業員の給与情報!$F:$F)),0,IF(ISERROR(AVERAGEIF(従業員の給与情報!$B:$B,$A124,従業員の給与情報!$F:$F)),0,AVERAGEIF(従業員の給与情報!$B:$B,$A124,従業員の給与情報!$F:$F)))))</f>
        <v/>
      </c>
      <c r="W124" s="182"/>
      <c r="X124" s="260"/>
    </row>
    <row r="125" spans="1:24" ht="19.5">
      <c r="A125" s="367"/>
      <c r="B125" s="364"/>
      <c r="C125" s="365"/>
      <c r="D125" s="366"/>
      <c r="E125" s="364"/>
      <c r="F125" s="372" t="str">
        <f>IF(G125,"この従業員番号は、すでに他のセルで入力されています。",IF(入力シート!$C$5=入力リスト!$N$5,"",IF(AND(A125="",B125="",C125="",D125="",E125=""),"",IF(OR(A125="",B125="",C125="",D125=""),IF(A125="","従業員番号","")&amp;IF(AND(A125="",OR(B125="",C125="",D125="")),",","")&amp;IF(B125="","雇用形態","")&amp;IF(AND(B125="",OR(C125="",D125="")),",","")&amp;IF(OR(入力シート!$J$18=入力リスト!$K$4,入力シート!$J$22=入力リスト!$K$4),IF(C125="","入社年月日",""),"")&amp;IF(AND(C125="",D125=""),",","")&amp;IF(D125="","性別","")&amp;IF(IF(A125="","従業員番号","")&amp;IF(B125="","雇用形態","")&amp;IF(OR(入力シート!$J$18=入力リスト!$K$4,入力シート!$J$22=入力リスト!$K$4),IF(C125="","入社年月日",""),"")&amp;IF(D125="","性別","")="","","が空白です。"),IF(J125,"入社年月日に「基準日」の翌日以降の日付が入力されています。","")&amp;IF(I125,"入社年月日に数値以外（又は1900/1/1以前の日付）が入力されています。","")&amp;IF(H125,"雇用形態"&amp;IF(OR(K125,L125),",",""),"")&amp;IF(K125,"性別"&amp;IF(L125,",",""),"")&amp;IF(L125,"役職","")&amp;IF(OR(H125,K125,L125),"に、［入力シート］(4)「貴社」欄と異なる文言が入力されています。","")))))</f>
        <v/>
      </c>
      <c r="G125" s="236" t="b">
        <f>COUNTIF($A$4:A124,$A125)&gt;0</f>
        <v>0</v>
      </c>
      <c r="H125" s="237" t="b">
        <f>IF(COUNTIF(入力シート!$J$16:$S$23,入力リスト!$K$4)=0,FALSE,IF(入力シート!$J$16=入力リスト!$K$5,FALSE,ISERROR(VLOOKUP(B125,入力シート!$S$37:$V$62,1,0))))</f>
        <v>0</v>
      </c>
      <c r="I125" s="237" t="b">
        <f>IF(AND(OR(入力シート!$J$18=入力リスト!$K$4,入力シート!$J$22=入力リスト!$K$4),入力シート!$J$24&lt;&gt;""),IF(ISERROR(C125+1),TRUE,IF(ISNUMBER(C125),FALSE,TRUE)),FALSE)</f>
        <v>0</v>
      </c>
      <c r="J125" s="237" t="b">
        <f>IF(AND(入力シート!$J$18=入力リスト!$K$4,入力シート!$J$22=入力リスト!$K$4),FALSE,IF(I125=TRUE,FALSE,IF(ISERROR(C125+1),FALSE,C125&gt;入力シート!$J$24)))</f>
        <v>0</v>
      </c>
      <c r="K125" s="237" t="b">
        <f>IF(COUNTIF(入力シート!$J$16:$S$23,入力リスト!$K$4)=0,FALSE,IF(AND(入力シート!$J$16&lt;&gt;入力リスト!$K$5,入力シート!$J$18&lt;&gt;入力リスト!$K$5,入力シート!$J$20&lt;&gt;入力リスト!$K$5,入力シート!$J$22&lt;&gt;入力リスト!$K$5),FALSE,ISERROR(VLOOKUP(D125,入力シート!$AW$37:$AY$38,1,0))))</f>
        <v>0</v>
      </c>
      <c r="L125" s="237" t="b">
        <f>IF(COUNTIF(入力シート!$J$16:$S$23,入力リスト!$K$4)=0,FALSE,IF(入力シート!$J$20=入力リスト!$K$5,FALSE,IF(E125="",FALSE,ISERROR(VLOOKUP(E125,入力シート!$AH$37:$AK$62,1,0)))))</f>
        <v>0</v>
      </c>
      <c r="M125" s="238" t="str">
        <f t="shared" si="1"/>
        <v/>
      </c>
      <c r="N125" s="236" t="str">
        <f>IF(B125="","",VLOOKUP('従業員情報(給与以外)'!$B125,入力シート!$S$37:$Z$62,5,0))</f>
        <v/>
      </c>
      <c r="O125" s="182" t="str">
        <f>IF(ISNUMBER(C125)=FALSE,"",IF(C125&gt;入力シート!$J$24,"",_xlfn.DAYS(入力シート!$J$24,'従業員情報(給与以外)'!$C125)/365))</f>
        <v/>
      </c>
      <c r="P125" s="237" t="str">
        <f>IF(O125="","",VLOOKUP(_xlfn.DAYS(入力シート!$J$24,'従業員情報(給与以外)'!$C125)/365,入力リスト!$H$4:$I$12,2,2))</f>
        <v/>
      </c>
      <c r="Q125" s="236" t="str">
        <f>IF(D125="","",VLOOKUP('従業員情報(給与以外)'!$D125,入力シート!$AW$37:$BB$38,4,0))</f>
        <v/>
      </c>
      <c r="R125" s="236" t="str">
        <f>IF(A125="","",IF(E125="","非役職",VLOOKUP('従業員情報(給与以外)'!$E125,入力シート!$AH$37:$AO$62,5,0)))</f>
        <v/>
      </c>
      <c r="S125" s="116" t="str">
        <f>IF(OR(入力シート!$C$5&lt;&gt;入力リスト!$N$4,COUNTIF(入力シート!$J$16:$S$23,入力リスト!$K$4)=0),"",IF($A125="","",IF(ISERROR(AVERAGEIF(従業員の給与情報!$B:$B,$A125,従業員の給与情報!$C:$C)),0,IF(ISERROR(AVERAGEIF(従業員の給与情報!$B:$B,$A125,従業員の給与情報!$C:$C)),0,AVERAGEIF(従業員の給与情報!$B:$B,$A125,従業員の給与情報!$C:$C)))))</f>
        <v/>
      </c>
      <c r="T125" s="116" t="str">
        <f>IF(OR(入力シート!$C$5&lt;&gt;入力リスト!$N$4,COUNTIF(入力シート!$J$16:$S$23,入力リスト!$K$4)=0),"",IF(A125="","",IF(ISERROR(AVERAGEIF(従業員の給与情報!$B:$B,$A125,従業員の給与情報!$D:$D)),0,IF(ISERROR(AVERAGEIF(従業員の給与情報!$B:$B,$A125,従業員の給与情報!$D:$D)),0,AVERAGEIF(従業員の給与情報!$B:$B,$A125,従業員の給与情報!$D:$D)))))</f>
        <v/>
      </c>
      <c r="U125" s="116" t="str">
        <f>IF(OR(入力シート!$C$5&lt;&gt;入力リスト!$N$4,COUNTIF(入力シート!$J$16:$S$23,入力リスト!$K$4)=0),"",IF(A125="","",IF(ISERROR(AVERAGEIF(従業員の給与情報!$B:$B,$A125,従業員の給与情報!$E:$E)),0,IF(ISERROR(AVERAGEIF(従業員の給与情報!$B:$B,$A125,従業員の給与情報!$E:$E)),0,AVERAGEIF(従業員の給与情報!$B:$B,$A125,従業員の給与情報!$E:$E)))))</f>
        <v/>
      </c>
      <c r="V125" s="117" t="str">
        <f>IF(OR(入力シート!$C$5&lt;&gt;入力リスト!$N$4,COUNTIF(入力シート!$J$16:$S$23,入力リスト!$K$4)=0),"",IF(A125="","",IF(ISERROR(AVERAGEIF(従業員の給与情報!$B:$B,$A125,従業員の給与情報!$F:$F)),0,IF(ISERROR(AVERAGEIF(従業員の給与情報!$B:$B,$A125,従業員の給与情報!$F:$F)),0,AVERAGEIF(従業員の給与情報!$B:$B,$A125,従業員の給与情報!$F:$F)))))</f>
        <v/>
      </c>
      <c r="W125" s="182"/>
      <c r="X125" s="260"/>
    </row>
    <row r="126" spans="1:24" ht="19.5">
      <c r="A126" s="367"/>
      <c r="B126" s="364"/>
      <c r="C126" s="365"/>
      <c r="D126" s="366"/>
      <c r="E126" s="367"/>
      <c r="F126" s="372" t="str">
        <f>IF(G126,"この従業員番号は、すでに他のセルで入力されています。",IF(入力シート!$C$5=入力リスト!$N$5,"",IF(AND(A126="",B126="",C126="",D126="",E126=""),"",IF(OR(A126="",B126="",C126="",D126=""),IF(A126="","従業員番号","")&amp;IF(AND(A126="",OR(B126="",C126="",D126="")),",","")&amp;IF(B126="","雇用形態","")&amp;IF(AND(B126="",OR(C126="",D126="")),",","")&amp;IF(OR(入力シート!$J$18=入力リスト!$K$4,入力シート!$J$22=入力リスト!$K$4),IF(C126="","入社年月日",""),"")&amp;IF(AND(C126="",D126=""),",","")&amp;IF(D126="","性別","")&amp;IF(IF(A126="","従業員番号","")&amp;IF(B126="","雇用形態","")&amp;IF(OR(入力シート!$J$18=入力リスト!$K$4,入力シート!$J$22=入力リスト!$K$4),IF(C126="","入社年月日",""),"")&amp;IF(D126="","性別","")="","","が空白です。"),IF(J126,"入社年月日に「基準日」の翌日以降の日付が入力されています。","")&amp;IF(I126,"入社年月日に数値以外（又は1900/1/1以前の日付）が入力されています。","")&amp;IF(H126,"雇用形態"&amp;IF(OR(K126,L126),",",""),"")&amp;IF(K126,"性別"&amp;IF(L126,",",""),"")&amp;IF(L126,"役職","")&amp;IF(OR(H126,K126,L126),"に、［入力シート］(4)「貴社」欄と異なる文言が入力されています。","")))))</f>
        <v/>
      </c>
      <c r="G126" s="236" t="b">
        <f>COUNTIF($A$4:A125,$A126)&gt;0</f>
        <v>0</v>
      </c>
      <c r="H126" s="237" t="b">
        <f>IF(COUNTIF(入力シート!$J$16:$S$23,入力リスト!$K$4)=0,FALSE,IF(入力シート!$J$16=入力リスト!$K$5,FALSE,ISERROR(VLOOKUP(B126,入力シート!$S$37:$V$62,1,0))))</f>
        <v>0</v>
      </c>
      <c r="I126" s="237" t="b">
        <f>IF(AND(OR(入力シート!$J$18=入力リスト!$K$4,入力シート!$J$22=入力リスト!$K$4),入力シート!$J$24&lt;&gt;""),IF(ISERROR(C126+1),TRUE,IF(ISNUMBER(C126),FALSE,TRUE)),FALSE)</f>
        <v>0</v>
      </c>
      <c r="J126" s="237" t="b">
        <f>IF(AND(入力シート!$J$18=入力リスト!$K$4,入力シート!$J$22=入力リスト!$K$4),FALSE,IF(I126=TRUE,FALSE,IF(ISERROR(C126+1),FALSE,C126&gt;入力シート!$J$24)))</f>
        <v>0</v>
      </c>
      <c r="K126" s="237" t="b">
        <f>IF(COUNTIF(入力シート!$J$16:$S$23,入力リスト!$K$4)=0,FALSE,IF(AND(入力シート!$J$16&lt;&gt;入力リスト!$K$5,入力シート!$J$18&lt;&gt;入力リスト!$K$5,入力シート!$J$20&lt;&gt;入力リスト!$K$5,入力シート!$J$22&lt;&gt;入力リスト!$K$5),FALSE,ISERROR(VLOOKUP(D126,入力シート!$AW$37:$AY$38,1,0))))</f>
        <v>0</v>
      </c>
      <c r="L126" s="237" t="b">
        <f>IF(COUNTIF(入力シート!$J$16:$S$23,入力リスト!$K$4)=0,FALSE,IF(入力シート!$J$20=入力リスト!$K$5,FALSE,IF(E126="",FALSE,ISERROR(VLOOKUP(E126,入力シート!$AH$37:$AK$62,1,0)))))</f>
        <v>0</v>
      </c>
      <c r="M126" s="238" t="str">
        <f t="shared" si="1"/>
        <v/>
      </c>
      <c r="N126" s="236" t="str">
        <f>IF(B126="","",VLOOKUP('従業員情報(給与以外)'!$B126,入力シート!$S$37:$Z$62,5,0))</f>
        <v/>
      </c>
      <c r="O126" s="182" t="str">
        <f>IF(ISNUMBER(C126)=FALSE,"",IF(C126&gt;入力シート!$J$24,"",_xlfn.DAYS(入力シート!$J$24,'従業員情報(給与以外)'!$C126)/365))</f>
        <v/>
      </c>
      <c r="P126" s="237" t="str">
        <f>IF(O126="","",VLOOKUP(_xlfn.DAYS(入力シート!$J$24,'従業員情報(給与以外)'!$C126)/365,入力リスト!$H$4:$I$12,2,2))</f>
        <v/>
      </c>
      <c r="Q126" s="236" t="str">
        <f>IF(D126="","",VLOOKUP('従業員情報(給与以外)'!$D126,入力シート!$AW$37:$BB$38,4,0))</f>
        <v/>
      </c>
      <c r="R126" s="236" t="str">
        <f>IF(A126="","",IF(E126="","非役職",VLOOKUP('従業員情報(給与以外)'!$E126,入力シート!$AH$37:$AO$62,5,0)))</f>
        <v/>
      </c>
      <c r="S126" s="116" t="str">
        <f>IF(OR(入力シート!$C$5&lt;&gt;入力リスト!$N$4,COUNTIF(入力シート!$J$16:$S$23,入力リスト!$K$4)=0),"",IF($A126="","",IF(ISERROR(AVERAGEIF(従業員の給与情報!$B:$B,$A126,従業員の給与情報!$C:$C)),0,IF(ISERROR(AVERAGEIF(従業員の給与情報!$B:$B,$A126,従業員の給与情報!$C:$C)),0,AVERAGEIF(従業員の給与情報!$B:$B,$A126,従業員の給与情報!$C:$C)))))</f>
        <v/>
      </c>
      <c r="T126" s="116" t="str">
        <f>IF(OR(入力シート!$C$5&lt;&gt;入力リスト!$N$4,COUNTIF(入力シート!$J$16:$S$23,入力リスト!$K$4)=0),"",IF(A126="","",IF(ISERROR(AVERAGEIF(従業員の給与情報!$B:$B,$A126,従業員の給与情報!$D:$D)),0,IF(ISERROR(AVERAGEIF(従業員の給与情報!$B:$B,$A126,従業員の給与情報!$D:$D)),0,AVERAGEIF(従業員の給与情報!$B:$B,$A126,従業員の給与情報!$D:$D)))))</f>
        <v/>
      </c>
      <c r="U126" s="116" t="str">
        <f>IF(OR(入力シート!$C$5&lt;&gt;入力リスト!$N$4,COUNTIF(入力シート!$J$16:$S$23,入力リスト!$K$4)=0),"",IF(A126="","",IF(ISERROR(AVERAGEIF(従業員の給与情報!$B:$B,$A126,従業員の給与情報!$E:$E)),0,IF(ISERROR(AVERAGEIF(従業員の給与情報!$B:$B,$A126,従業員の給与情報!$E:$E)),0,AVERAGEIF(従業員の給与情報!$B:$B,$A126,従業員の給与情報!$E:$E)))))</f>
        <v/>
      </c>
      <c r="V126" s="117" t="str">
        <f>IF(OR(入力シート!$C$5&lt;&gt;入力リスト!$N$4,COUNTIF(入力シート!$J$16:$S$23,入力リスト!$K$4)=0),"",IF(A126="","",IF(ISERROR(AVERAGEIF(従業員の給与情報!$B:$B,$A126,従業員の給与情報!$F:$F)),0,IF(ISERROR(AVERAGEIF(従業員の給与情報!$B:$B,$A126,従業員の給与情報!$F:$F)),0,AVERAGEIF(従業員の給与情報!$B:$B,$A126,従業員の給与情報!$F:$F)))))</f>
        <v/>
      </c>
      <c r="W126" s="182"/>
      <c r="X126" s="260"/>
    </row>
    <row r="127" spans="1:24" ht="19.5">
      <c r="A127" s="367"/>
      <c r="B127" s="364"/>
      <c r="C127" s="365"/>
      <c r="D127" s="366"/>
      <c r="E127" s="367"/>
      <c r="F127" s="372" t="str">
        <f>IF(G127,"この従業員番号は、すでに他のセルで入力されています。",IF(入力シート!$C$5=入力リスト!$N$5,"",IF(AND(A127="",B127="",C127="",D127="",E127=""),"",IF(OR(A127="",B127="",C127="",D127=""),IF(A127="","従業員番号","")&amp;IF(AND(A127="",OR(B127="",C127="",D127="")),",","")&amp;IF(B127="","雇用形態","")&amp;IF(AND(B127="",OR(C127="",D127="")),",","")&amp;IF(OR(入力シート!$J$18=入力リスト!$K$4,入力シート!$J$22=入力リスト!$K$4),IF(C127="","入社年月日",""),"")&amp;IF(AND(C127="",D127=""),",","")&amp;IF(D127="","性別","")&amp;IF(IF(A127="","従業員番号","")&amp;IF(B127="","雇用形態","")&amp;IF(OR(入力シート!$J$18=入力リスト!$K$4,入力シート!$J$22=入力リスト!$K$4),IF(C127="","入社年月日",""),"")&amp;IF(D127="","性別","")="","","が空白です。"),IF(J127,"入社年月日に「基準日」の翌日以降の日付が入力されています。","")&amp;IF(I127,"入社年月日に数値以外（又は1900/1/1以前の日付）が入力されています。","")&amp;IF(H127,"雇用形態"&amp;IF(OR(K127,L127),",",""),"")&amp;IF(K127,"性別"&amp;IF(L127,",",""),"")&amp;IF(L127,"役職","")&amp;IF(OR(H127,K127,L127),"に、［入力シート］(4)「貴社」欄と異なる文言が入力されています。","")))))</f>
        <v/>
      </c>
      <c r="G127" s="236" t="b">
        <f>COUNTIF($A$4:A126,$A127)&gt;0</f>
        <v>0</v>
      </c>
      <c r="H127" s="237" t="b">
        <f>IF(COUNTIF(入力シート!$J$16:$S$23,入力リスト!$K$4)=0,FALSE,IF(入力シート!$J$16=入力リスト!$K$5,FALSE,ISERROR(VLOOKUP(B127,入力シート!$S$37:$V$62,1,0))))</f>
        <v>0</v>
      </c>
      <c r="I127" s="237" t="b">
        <f>IF(AND(OR(入力シート!$J$18=入力リスト!$K$4,入力シート!$J$22=入力リスト!$K$4),入力シート!$J$24&lt;&gt;""),IF(ISERROR(C127+1),TRUE,IF(ISNUMBER(C127),FALSE,TRUE)),FALSE)</f>
        <v>0</v>
      </c>
      <c r="J127" s="237" t="b">
        <f>IF(AND(入力シート!$J$18=入力リスト!$K$4,入力シート!$J$22=入力リスト!$K$4),FALSE,IF(I127=TRUE,FALSE,IF(ISERROR(C127+1),FALSE,C127&gt;入力シート!$J$24)))</f>
        <v>0</v>
      </c>
      <c r="K127" s="237" t="b">
        <f>IF(COUNTIF(入力シート!$J$16:$S$23,入力リスト!$K$4)=0,FALSE,IF(AND(入力シート!$J$16&lt;&gt;入力リスト!$K$5,入力シート!$J$18&lt;&gt;入力リスト!$K$5,入力シート!$J$20&lt;&gt;入力リスト!$K$5,入力シート!$J$22&lt;&gt;入力リスト!$K$5),FALSE,ISERROR(VLOOKUP(D127,入力シート!$AW$37:$AY$38,1,0))))</f>
        <v>0</v>
      </c>
      <c r="L127" s="237" t="b">
        <f>IF(COUNTIF(入力シート!$J$16:$S$23,入力リスト!$K$4)=0,FALSE,IF(入力シート!$J$20=入力リスト!$K$5,FALSE,IF(E127="",FALSE,ISERROR(VLOOKUP(E127,入力シート!$AH$37:$AK$62,1,0)))))</f>
        <v>0</v>
      </c>
      <c r="M127" s="238" t="str">
        <f t="shared" si="1"/>
        <v/>
      </c>
      <c r="N127" s="236" t="str">
        <f>IF(B127="","",VLOOKUP('従業員情報(給与以外)'!$B127,入力シート!$S$37:$Z$62,5,0))</f>
        <v/>
      </c>
      <c r="O127" s="182" t="str">
        <f>IF(ISNUMBER(C127)=FALSE,"",IF(C127&gt;入力シート!$J$24,"",_xlfn.DAYS(入力シート!$J$24,'従業員情報(給与以外)'!$C127)/365))</f>
        <v/>
      </c>
      <c r="P127" s="237" t="str">
        <f>IF(O127="","",VLOOKUP(_xlfn.DAYS(入力シート!$J$24,'従業員情報(給与以外)'!$C127)/365,入力リスト!$H$4:$I$12,2,2))</f>
        <v/>
      </c>
      <c r="Q127" s="236" t="str">
        <f>IF(D127="","",VLOOKUP('従業員情報(給与以外)'!$D127,入力シート!$AW$37:$BB$38,4,0))</f>
        <v/>
      </c>
      <c r="R127" s="236" t="str">
        <f>IF(A127="","",IF(E127="","非役職",VLOOKUP('従業員情報(給与以外)'!$E127,入力シート!$AH$37:$AO$62,5,0)))</f>
        <v/>
      </c>
      <c r="S127" s="116" t="str">
        <f>IF(OR(入力シート!$C$5&lt;&gt;入力リスト!$N$4,COUNTIF(入力シート!$J$16:$S$23,入力リスト!$K$4)=0),"",IF($A127="","",IF(ISERROR(AVERAGEIF(従業員の給与情報!$B:$B,$A127,従業員の給与情報!$C:$C)),0,IF(ISERROR(AVERAGEIF(従業員の給与情報!$B:$B,$A127,従業員の給与情報!$C:$C)),0,AVERAGEIF(従業員の給与情報!$B:$B,$A127,従業員の給与情報!$C:$C)))))</f>
        <v/>
      </c>
      <c r="T127" s="116" t="str">
        <f>IF(OR(入力シート!$C$5&lt;&gt;入力リスト!$N$4,COUNTIF(入力シート!$J$16:$S$23,入力リスト!$K$4)=0),"",IF(A127="","",IF(ISERROR(AVERAGEIF(従業員の給与情報!$B:$B,$A127,従業員の給与情報!$D:$D)),0,IF(ISERROR(AVERAGEIF(従業員の給与情報!$B:$B,$A127,従業員の給与情報!$D:$D)),0,AVERAGEIF(従業員の給与情報!$B:$B,$A127,従業員の給与情報!$D:$D)))))</f>
        <v/>
      </c>
      <c r="U127" s="116" t="str">
        <f>IF(OR(入力シート!$C$5&lt;&gt;入力リスト!$N$4,COUNTIF(入力シート!$J$16:$S$23,入力リスト!$K$4)=0),"",IF(A127="","",IF(ISERROR(AVERAGEIF(従業員の給与情報!$B:$B,$A127,従業員の給与情報!$E:$E)),0,IF(ISERROR(AVERAGEIF(従業員の給与情報!$B:$B,$A127,従業員の給与情報!$E:$E)),0,AVERAGEIF(従業員の給与情報!$B:$B,$A127,従業員の給与情報!$E:$E)))))</f>
        <v/>
      </c>
      <c r="V127" s="117" t="str">
        <f>IF(OR(入力シート!$C$5&lt;&gt;入力リスト!$N$4,COUNTIF(入力シート!$J$16:$S$23,入力リスト!$K$4)=0),"",IF(A127="","",IF(ISERROR(AVERAGEIF(従業員の給与情報!$B:$B,$A127,従業員の給与情報!$F:$F)),0,IF(ISERROR(AVERAGEIF(従業員の給与情報!$B:$B,$A127,従業員の給与情報!$F:$F)),0,AVERAGEIF(従業員の給与情報!$B:$B,$A127,従業員の給与情報!$F:$F)))))</f>
        <v/>
      </c>
      <c r="W127" s="182"/>
      <c r="X127" s="260"/>
    </row>
    <row r="128" spans="1:24" ht="19.5">
      <c r="A128" s="367"/>
      <c r="B128" s="364"/>
      <c r="C128" s="365"/>
      <c r="D128" s="366"/>
      <c r="E128" s="367"/>
      <c r="F128" s="372" t="str">
        <f>IF(G128,"この従業員番号は、すでに他のセルで入力されています。",IF(入力シート!$C$5=入力リスト!$N$5,"",IF(AND(A128="",B128="",C128="",D128="",E128=""),"",IF(OR(A128="",B128="",C128="",D128=""),IF(A128="","従業員番号","")&amp;IF(AND(A128="",OR(B128="",C128="",D128="")),",","")&amp;IF(B128="","雇用形態","")&amp;IF(AND(B128="",OR(C128="",D128="")),",","")&amp;IF(OR(入力シート!$J$18=入力リスト!$K$4,入力シート!$J$22=入力リスト!$K$4),IF(C128="","入社年月日",""),"")&amp;IF(AND(C128="",D128=""),",","")&amp;IF(D128="","性別","")&amp;IF(IF(A128="","従業員番号","")&amp;IF(B128="","雇用形態","")&amp;IF(OR(入力シート!$J$18=入力リスト!$K$4,入力シート!$J$22=入力リスト!$K$4),IF(C128="","入社年月日",""),"")&amp;IF(D128="","性別","")="","","が空白です。"),IF(J128,"入社年月日に「基準日」の翌日以降の日付が入力されています。","")&amp;IF(I128,"入社年月日に数値以外（又は1900/1/1以前の日付）が入力されています。","")&amp;IF(H128,"雇用形態"&amp;IF(OR(K128,L128),",",""),"")&amp;IF(K128,"性別"&amp;IF(L128,",",""),"")&amp;IF(L128,"役職","")&amp;IF(OR(H128,K128,L128),"に、［入力シート］(4)「貴社」欄と異なる文言が入力されています。","")))))</f>
        <v/>
      </c>
      <c r="G128" s="236" t="b">
        <f>COUNTIF($A$4:A127,$A128)&gt;0</f>
        <v>0</v>
      </c>
      <c r="H128" s="237" t="b">
        <f>IF(COUNTIF(入力シート!$J$16:$S$23,入力リスト!$K$4)=0,FALSE,IF(入力シート!$J$16=入力リスト!$K$5,FALSE,ISERROR(VLOOKUP(B128,入力シート!$S$37:$V$62,1,0))))</f>
        <v>0</v>
      </c>
      <c r="I128" s="237" t="b">
        <f>IF(AND(OR(入力シート!$J$18=入力リスト!$K$4,入力シート!$J$22=入力リスト!$K$4),入力シート!$J$24&lt;&gt;""),IF(ISERROR(C128+1),TRUE,IF(ISNUMBER(C128),FALSE,TRUE)),FALSE)</f>
        <v>0</v>
      </c>
      <c r="J128" s="237" t="b">
        <f>IF(AND(入力シート!$J$18=入力リスト!$K$4,入力シート!$J$22=入力リスト!$K$4),FALSE,IF(I128=TRUE,FALSE,IF(ISERROR(C128+1),FALSE,C128&gt;入力シート!$J$24)))</f>
        <v>0</v>
      </c>
      <c r="K128" s="237" t="b">
        <f>IF(COUNTIF(入力シート!$J$16:$S$23,入力リスト!$K$4)=0,FALSE,IF(AND(入力シート!$J$16&lt;&gt;入力リスト!$K$5,入力シート!$J$18&lt;&gt;入力リスト!$K$5,入力シート!$J$20&lt;&gt;入力リスト!$K$5,入力シート!$J$22&lt;&gt;入力リスト!$K$5),FALSE,ISERROR(VLOOKUP(D128,入力シート!$AW$37:$AY$38,1,0))))</f>
        <v>0</v>
      </c>
      <c r="L128" s="237" t="b">
        <f>IF(COUNTIF(入力シート!$J$16:$S$23,入力リスト!$K$4)=0,FALSE,IF(入力シート!$J$20=入力リスト!$K$5,FALSE,IF(E128="",FALSE,ISERROR(VLOOKUP(E128,入力シート!$AH$37:$AK$62,1,0)))))</f>
        <v>0</v>
      </c>
      <c r="M128" s="238" t="str">
        <f t="shared" si="1"/>
        <v/>
      </c>
      <c r="N128" s="236" t="str">
        <f>IF(B128="","",VLOOKUP('従業員情報(給与以外)'!$B128,入力シート!$S$37:$Z$62,5,0))</f>
        <v/>
      </c>
      <c r="O128" s="182" t="str">
        <f>IF(ISNUMBER(C128)=FALSE,"",IF(C128&gt;入力シート!$J$24,"",_xlfn.DAYS(入力シート!$J$24,'従業員情報(給与以外)'!$C128)/365))</f>
        <v/>
      </c>
      <c r="P128" s="237" t="str">
        <f>IF(O128="","",VLOOKUP(_xlfn.DAYS(入力シート!$J$24,'従業員情報(給与以外)'!$C128)/365,入力リスト!$H$4:$I$12,2,2))</f>
        <v/>
      </c>
      <c r="Q128" s="236" t="str">
        <f>IF(D128="","",VLOOKUP('従業員情報(給与以外)'!$D128,入力シート!$AW$37:$BB$38,4,0))</f>
        <v/>
      </c>
      <c r="R128" s="236" t="str">
        <f>IF(A128="","",IF(E128="","非役職",VLOOKUP('従業員情報(給与以外)'!$E128,入力シート!$AH$37:$AO$62,5,0)))</f>
        <v/>
      </c>
      <c r="S128" s="116" t="str">
        <f>IF(OR(入力シート!$C$5&lt;&gt;入力リスト!$N$4,COUNTIF(入力シート!$J$16:$S$23,入力リスト!$K$4)=0),"",IF($A128="","",IF(ISERROR(AVERAGEIF(従業員の給与情報!$B:$B,$A128,従業員の給与情報!$C:$C)),0,IF(ISERROR(AVERAGEIF(従業員の給与情報!$B:$B,$A128,従業員の給与情報!$C:$C)),0,AVERAGEIF(従業員の給与情報!$B:$B,$A128,従業員の給与情報!$C:$C)))))</f>
        <v/>
      </c>
      <c r="T128" s="116" t="str">
        <f>IF(OR(入力シート!$C$5&lt;&gt;入力リスト!$N$4,COUNTIF(入力シート!$J$16:$S$23,入力リスト!$K$4)=0),"",IF(A128="","",IF(ISERROR(AVERAGEIF(従業員の給与情報!$B:$B,$A128,従業員の給与情報!$D:$D)),0,IF(ISERROR(AVERAGEIF(従業員の給与情報!$B:$B,$A128,従業員の給与情報!$D:$D)),0,AVERAGEIF(従業員の給与情報!$B:$B,$A128,従業員の給与情報!$D:$D)))))</f>
        <v/>
      </c>
      <c r="U128" s="116" t="str">
        <f>IF(OR(入力シート!$C$5&lt;&gt;入力リスト!$N$4,COUNTIF(入力シート!$J$16:$S$23,入力リスト!$K$4)=0),"",IF(A128="","",IF(ISERROR(AVERAGEIF(従業員の給与情報!$B:$B,$A128,従業員の給与情報!$E:$E)),0,IF(ISERROR(AVERAGEIF(従業員の給与情報!$B:$B,$A128,従業員の給与情報!$E:$E)),0,AVERAGEIF(従業員の給与情報!$B:$B,$A128,従業員の給与情報!$E:$E)))))</f>
        <v/>
      </c>
      <c r="V128" s="117" t="str">
        <f>IF(OR(入力シート!$C$5&lt;&gt;入力リスト!$N$4,COUNTIF(入力シート!$J$16:$S$23,入力リスト!$K$4)=0),"",IF(A128="","",IF(ISERROR(AVERAGEIF(従業員の給与情報!$B:$B,$A128,従業員の給与情報!$F:$F)),0,IF(ISERROR(AVERAGEIF(従業員の給与情報!$B:$B,$A128,従業員の給与情報!$F:$F)),0,AVERAGEIF(従業員の給与情報!$B:$B,$A128,従業員の給与情報!$F:$F)))))</f>
        <v/>
      </c>
      <c r="W128" s="182"/>
      <c r="X128" s="260"/>
    </row>
    <row r="129" spans="1:24" ht="19.5">
      <c r="A129" s="367"/>
      <c r="B129" s="364"/>
      <c r="C129" s="365"/>
      <c r="D129" s="366"/>
      <c r="E129" s="364"/>
      <c r="F129" s="372" t="str">
        <f>IF(G129,"この従業員番号は、すでに他のセルで入力されています。",IF(入力シート!$C$5=入力リスト!$N$5,"",IF(AND(A129="",B129="",C129="",D129="",E129=""),"",IF(OR(A129="",B129="",C129="",D129=""),IF(A129="","従業員番号","")&amp;IF(AND(A129="",OR(B129="",C129="",D129="")),",","")&amp;IF(B129="","雇用形態","")&amp;IF(AND(B129="",OR(C129="",D129="")),",","")&amp;IF(OR(入力シート!$J$18=入力リスト!$K$4,入力シート!$J$22=入力リスト!$K$4),IF(C129="","入社年月日",""),"")&amp;IF(AND(C129="",D129=""),",","")&amp;IF(D129="","性別","")&amp;IF(IF(A129="","従業員番号","")&amp;IF(B129="","雇用形態","")&amp;IF(OR(入力シート!$J$18=入力リスト!$K$4,入力シート!$J$22=入力リスト!$K$4),IF(C129="","入社年月日",""),"")&amp;IF(D129="","性別","")="","","が空白です。"),IF(J129,"入社年月日に「基準日」の翌日以降の日付が入力されています。","")&amp;IF(I129,"入社年月日に数値以外（又は1900/1/1以前の日付）が入力されています。","")&amp;IF(H129,"雇用形態"&amp;IF(OR(K129,L129),",",""),"")&amp;IF(K129,"性別"&amp;IF(L129,",",""),"")&amp;IF(L129,"役職","")&amp;IF(OR(H129,K129,L129),"に、［入力シート］(4)「貴社」欄と異なる文言が入力されています。","")))))</f>
        <v/>
      </c>
      <c r="G129" s="236" t="b">
        <f>COUNTIF($A$4:A128,$A129)&gt;0</f>
        <v>0</v>
      </c>
      <c r="H129" s="237" t="b">
        <f>IF(COUNTIF(入力シート!$J$16:$S$23,入力リスト!$K$4)=0,FALSE,IF(入力シート!$J$16=入力リスト!$K$5,FALSE,ISERROR(VLOOKUP(B129,入力シート!$S$37:$V$62,1,0))))</f>
        <v>0</v>
      </c>
      <c r="I129" s="237" t="b">
        <f>IF(AND(OR(入力シート!$J$18=入力リスト!$K$4,入力シート!$J$22=入力リスト!$K$4),入力シート!$J$24&lt;&gt;""),IF(ISERROR(C129+1),TRUE,IF(ISNUMBER(C129),FALSE,TRUE)),FALSE)</f>
        <v>0</v>
      </c>
      <c r="J129" s="237" t="b">
        <f>IF(AND(入力シート!$J$18=入力リスト!$K$4,入力シート!$J$22=入力リスト!$K$4),FALSE,IF(I129=TRUE,FALSE,IF(ISERROR(C129+1),FALSE,C129&gt;入力シート!$J$24)))</f>
        <v>0</v>
      </c>
      <c r="K129" s="237" t="b">
        <f>IF(COUNTIF(入力シート!$J$16:$S$23,入力リスト!$K$4)=0,FALSE,IF(AND(入力シート!$J$16&lt;&gt;入力リスト!$K$5,入力シート!$J$18&lt;&gt;入力リスト!$K$5,入力シート!$J$20&lt;&gt;入力リスト!$K$5,入力シート!$J$22&lt;&gt;入力リスト!$K$5),FALSE,ISERROR(VLOOKUP(D129,入力シート!$AW$37:$AY$38,1,0))))</f>
        <v>0</v>
      </c>
      <c r="L129" s="237" t="b">
        <f>IF(COUNTIF(入力シート!$J$16:$S$23,入力リスト!$K$4)=0,FALSE,IF(入力シート!$J$20=入力リスト!$K$5,FALSE,IF(E129="",FALSE,ISERROR(VLOOKUP(E129,入力シート!$AH$37:$AK$62,1,0)))))</f>
        <v>0</v>
      </c>
      <c r="M129" s="238" t="str">
        <f t="shared" si="1"/>
        <v/>
      </c>
      <c r="N129" s="236" t="str">
        <f>IF(B129="","",VLOOKUP('従業員情報(給与以外)'!$B129,入力シート!$S$37:$Z$62,5,0))</f>
        <v/>
      </c>
      <c r="O129" s="182" t="str">
        <f>IF(ISNUMBER(C129)=FALSE,"",IF(C129&gt;入力シート!$J$24,"",_xlfn.DAYS(入力シート!$J$24,'従業員情報(給与以外)'!$C129)/365))</f>
        <v/>
      </c>
      <c r="P129" s="237" t="str">
        <f>IF(O129="","",VLOOKUP(_xlfn.DAYS(入力シート!$J$24,'従業員情報(給与以外)'!$C129)/365,入力リスト!$H$4:$I$12,2,2))</f>
        <v/>
      </c>
      <c r="Q129" s="236" t="str">
        <f>IF(D129="","",VLOOKUP('従業員情報(給与以外)'!$D129,入力シート!$AW$37:$BB$38,4,0))</f>
        <v/>
      </c>
      <c r="R129" s="236" t="str">
        <f>IF(A129="","",IF(E129="","非役職",VLOOKUP('従業員情報(給与以外)'!$E129,入力シート!$AH$37:$AO$62,5,0)))</f>
        <v/>
      </c>
      <c r="S129" s="116" t="str">
        <f>IF(OR(入力シート!$C$5&lt;&gt;入力リスト!$N$4,COUNTIF(入力シート!$J$16:$S$23,入力リスト!$K$4)=0),"",IF($A129="","",IF(ISERROR(AVERAGEIF(従業員の給与情報!$B:$B,$A129,従業員の給与情報!$C:$C)),0,IF(ISERROR(AVERAGEIF(従業員の給与情報!$B:$B,$A129,従業員の給与情報!$C:$C)),0,AVERAGEIF(従業員の給与情報!$B:$B,$A129,従業員の給与情報!$C:$C)))))</f>
        <v/>
      </c>
      <c r="T129" s="116" t="str">
        <f>IF(OR(入力シート!$C$5&lt;&gt;入力リスト!$N$4,COUNTIF(入力シート!$J$16:$S$23,入力リスト!$K$4)=0),"",IF(A129="","",IF(ISERROR(AVERAGEIF(従業員の給与情報!$B:$B,$A129,従業員の給与情報!$D:$D)),0,IF(ISERROR(AVERAGEIF(従業員の給与情報!$B:$B,$A129,従業員の給与情報!$D:$D)),0,AVERAGEIF(従業員の給与情報!$B:$B,$A129,従業員の給与情報!$D:$D)))))</f>
        <v/>
      </c>
      <c r="U129" s="116" t="str">
        <f>IF(OR(入力シート!$C$5&lt;&gt;入力リスト!$N$4,COUNTIF(入力シート!$J$16:$S$23,入力リスト!$K$4)=0),"",IF(A129="","",IF(ISERROR(AVERAGEIF(従業員の給与情報!$B:$B,$A129,従業員の給与情報!$E:$E)),0,IF(ISERROR(AVERAGEIF(従業員の給与情報!$B:$B,$A129,従業員の給与情報!$E:$E)),0,AVERAGEIF(従業員の給与情報!$B:$B,$A129,従業員の給与情報!$E:$E)))))</f>
        <v/>
      </c>
      <c r="V129" s="117" t="str">
        <f>IF(OR(入力シート!$C$5&lt;&gt;入力リスト!$N$4,COUNTIF(入力シート!$J$16:$S$23,入力リスト!$K$4)=0),"",IF(A129="","",IF(ISERROR(AVERAGEIF(従業員の給与情報!$B:$B,$A129,従業員の給与情報!$F:$F)),0,IF(ISERROR(AVERAGEIF(従業員の給与情報!$B:$B,$A129,従業員の給与情報!$F:$F)),0,AVERAGEIF(従業員の給与情報!$B:$B,$A129,従業員の給与情報!$F:$F)))))</f>
        <v/>
      </c>
      <c r="W129" s="182"/>
      <c r="X129" s="260"/>
    </row>
    <row r="130" spans="1:24" ht="19.5">
      <c r="A130" s="367"/>
      <c r="B130" s="364"/>
      <c r="C130" s="365"/>
      <c r="D130" s="366"/>
      <c r="E130" s="367"/>
      <c r="F130" s="372" t="str">
        <f>IF(G130,"この従業員番号は、すでに他のセルで入力されています。",IF(入力シート!$C$5=入力リスト!$N$5,"",IF(AND(A130="",B130="",C130="",D130="",E130=""),"",IF(OR(A130="",B130="",C130="",D130=""),IF(A130="","従業員番号","")&amp;IF(AND(A130="",OR(B130="",C130="",D130="")),",","")&amp;IF(B130="","雇用形態","")&amp;IF(AND(B130="",OR(C130="",D130="")),",","")&amp;IF(OR(入力シート!$J$18=入力リスト!$K$4,入力シート!$J$22=入力リスト!$K$4),IF(C130="","入社年月日",""),"")&amp;IF(AND(C130="",D130=""),",","")&amp;IF(D130="","性別","")&amp;IF(IF(A130="","従業員番号","")&amp;IF(B130="","雇用形態","")&amp;IF(OR(入力シート!$J$18=入力リスト!$K$4,入力シート!$J$22=入力リスト!$K$4),IF(C130="","入社年月日",""),"")&amp;IF(D130="","性別","")="","","が空白です。"),IF(J130,"入社年月日に「基準日」の翌日以降の日付が入力されています。","")&amp;IF(I130,"入社年月日に数値以外（又は1900/1/1以前の日付）が入力されています。","")&amp;IF(H130,"雇用形態"&amp;IF(OR(K130,L130),",",""),"")&amp;IF(K130,"性別"&amp;IF(L130,",",""),"")&amp;IF(L130,"役職","")&amp;IF(OR(H130,K130,L130),"に、［入力シート］(4)「貴社」欄と異なる文言が入力されています。","")))))</f>
        <v/>
      </c>
      <c r="G130" s="236" t="b">
        <f>COUNTIF($A$4:A129,$A130)&gt;0</f>
        <v>0</v>
      </c>
      <c r="H130" s="237" t="b">
        <f>IF(COUNTIF(入力シート!$J$16:$S$23,入力リスト!$K$4)=0,FALSE,IF(入力シート!$J$16=入力リスト!$K$5,FALSE,ISERROR(VLOOKUP(B130,入力シート!$S$37:$V$62,1,0))))</f>
        <v>0</v>
      </c>
      <c r="I130" s="237" t="b">
        <f>IF(AND(OR(入力シート!$J$18=入力リスト!$K$4,入力シート!$J$22=入力リスト!$K$4),入力シート!$J$24&lt;&gt;""),IF(ISERROR(C130+1),TRUE,IF(ISNUMBER(C130),FALSE,TRUE)),FALSE)</f>
        <v>0</v>
      </c>
      <c r="J130" s="237" t="b">
        <f>IF(AND(入力シート!$J$18=入力リスト!$K$4,入力シート!$J$22=入力リスト!$K$4),FALSE,IF(I130=TRUE,FALSE,IF(ISERROR(C130+1),FALSE,C130&gt;入力シート!$J$24)))</f>
        <v>0</v>
      </c>
      <c r="K130" s="237" t="b">
        <f>IF(COUNTIF(入力シート!$J$16:$S$23,入力リスト!$K$4)=0,FALSE,IF(AND(入力シート!$J$16&lt;&gt;入力リスト!$K$5,入力シート!$J$18&lt;&gt;入力リスト!$K$5,入力シート!$J$20&lt;&gt;入力リスト!$K$5,入力シート!$J$22&lt;&gt;入力リスト!$K$5),FALSE,ISERROR(VLOOKUP(D130,入力シート!$AW$37:$AY$38,1,0))))</f>
        <v>0</v>
      </c>
      <c r="L130" s="237" t="b">
        <f>IF(COUNTIF(入力シート!$J$16:$S$23,入力リスト!$K$4)=0,FALSE,IF(入力シート!$J$20=入力リスト!$K$5,FALSE,IF(E130="",FALSE,ISERROR(VLOOKUP(E130,入力シート!$AH$37:$AK$62,1,0)))))</f>
        <v>0</v>
      </c>
      <c r="M130" s="238" t="str">
        <f t="shared" si="1"/>
        <v/>
      </c>
      <c r="N130" s="236" t="str">
        <f>IF(B130="","",VLOOKUP('従業員情報(給与以外)'!$B130,入力シート!$S$37:$Z$62,5,0))</f>
        <v/>
      </c>
      <c r="O130" s="182" t="str">
        <f>IF(ISNUMBER(C130)=FALSE,"",IF(C130&gt;入力シート!$J$24,"",_xlfn.DAYS(入力シート!$J$24,'従業員情報(給与以外)'!$C130)/365))</f>
        <v/>
      </c>
      <c r="P130" s="237" t="str">
        <f>IF(O130="","",VLOOKUP(_xlfn.DAYS(入力シート!$J$24,'従業員情報(給与以外)'!$C130)/365,入力リスト!$H$4:$I$12,2,2))</f>
        <v/>
      </c>
      <c r="Q130" s="236" t="str">
        <f>IF(D130="","",VLOOKUP('従業員情報(給与以外)'!$D130,入力シート!$AW$37:$BB$38,4,0))</f>
        <v/>
      </c>
      <c r="R130" s="236" t="str">
        <f>IF(A130="","",IF(E130="","非役職",VLOOKUP('従業員情報(給与以外)'!$E130,入力シート!$AH$37:$AO$62,5,0)))</f>
        <v/>
      </c>
      <c r="S130" s="116" t="str">
        <f>IF(OR(入力シート!$C$5&lt;&gt;入力リスト!$N$4,COUNTIF(入力シート!$J$16:$S$23,入力リスト!$K$4)=0),"",IF($A130="","",IF(ISERROR(AVERAGEIF(従業員の給与情報!$B:$B,$A130,従業員の給与情報!$C:$C)),0,IF(ISERROR(AVERAGEIF(従業員の給与情報!$B:$B,$A130,従業員の給与情報!$C:$C)),0,AVERAGEIF(従業員の給与情報!$B:$B,$A130,従業員の給与情報!$C:$C)))))</f>
        <v/>
      </c>
      <c r="T130" s="116" t="str">
        <f>IF(OR(入力シート!$C$5&lt;&gt;入力リスト!$N$4,COUNTIF(入力シート!$J$16:$S$23,入力リスト!$K$4)=0),"",IF(A130="","",IF(ISERROR(AVERAGEIF(従業員の給与情報!$B:$B,$A130,従業員の給与情報!$D:$D)),0,IF(ISERROR(AVERAGEIF(従業員の給与情報!$B:$B,$A130,従業員の給与情報!$D:$D)),0,AVERAGEIF(従業員の給与情報!$B:$B,$A130,従業員の給与情報!$D:$D)))))</f>
        <v/>
      </c>
      <c r="U130" s="116" t="str">
        <f>IF(OR(入力シート!$C$5&lt;&gt;入力リスト!$N$4,COUNTIF(入力シート!$J$16:$S$23,入力リスト!$K$4)=0),"",IF(A130="","",IF(ISERROR(AVERAGEIF(従業員の給与情報!$B:$B,$A130,従業員の給与情報!$E:$E)),0,IF(ISERROR(AVERAGEIF(従業員の給与情報!$B:$B,$A130,従業員の給与情報!$E:$E)),0,AVERAGEIF(従業員の給与情報!$B:$B,$A130,従業員の給与情報!$E:$E)))))</f>
        <v/>
      </c>
      <c r="V130" s="117" t="str">
        <f>IF(OR(入力シート!$C$5&lt;&gt;入力リスト!$N$4,COUNTIF(入力シート!$J$16:$S$23,入力リスト!$K$4)=0),"",IF(A130="","",IF(ISERROR(AVERAGEIF(従業員の給与情報!$B:$B,$A130,従業員の給与情報!$F:$F)),0,IF(ISERROR(AVERAGEIF(従業員の給与情報!$B:$B,$A130,従業員の給与情報!$F:$F)),0,AVERAGEIF(従業員の給与情報!$B:$B,$A130,従業員の給与情報!$F:$F)))))</f>
        <v/>
      </c>
      <c r="W130" s="182"/>
      <c r="X130" s="260"/>
    </row>
    <row r="131" spans="1:24" ht="19.5">
      <c r="A131" s="367"/>
      <c r="B131" s="364"/>
      <c r="C131" s="365"/>
      <c r="D131" s="366"/>
      <c r="E131" s="367"/>
      <c r="F131" s="372" t="str">
        <f>IF(G131,"この従業員番号は、すでに他のセルで入力されています。",IF(入力シート!$C$5=入力リスト!$N$5,"",IF(AND(A131="",B131="",C131="",D131="",E131=""),"",IF(OR(A131="",B131="",C131="",D131=""),IF(A131="","従業員番号","")&amp;IF(AND(A131="",OR(B131="",C131="",D131="")),",","")&amp;IF(B131="","雇用形態","")&amp;IF(AND(B131="",OR(C131="",D131="")),",","")&amp;IF(OR(入力シート!$J$18=入力リスト!$K$4,入力シート!$J$22=入力リスト!$K$4),IF(C131="","入社年月日",""),"")&amp;IF(AND(C131="",D131=""),",","")&amp;IF(D131="","性別","")&amp;IF(IF(A131="","従業員番号","")&amp;IF(B131="","雇用形態","")&amp;IF(OR(入力シート!$J$18=入力リスト!$K$4,入力シート!$J$22=入力リスト!$K$4),IF(C131="","入社年月日",""),"")&amp;IF(D131="","性別","")="","","が空白です。"),IF(J131,"入社年月日に「基準日」の翌日以降の日付が入力されています。","")&amp;IF(I131,"入社年月日に数値以外（又は1900/1/1以前の日付）が入力されています。","")&amp;IF(H131,"雇用形態"&amp;IF(OR(K131,L131),",",""),"")&amp;IF(K131,"性別"&amp;IF(L131,",",""),"")&amp;IF(L131,"役職","")&amp;IF(OR(H131,K131,L131),"に、［入力シート］(4)「貴社」欄と異なる文言が入力されています。","")))))</f>
        <v/>
      </c>
      <c r="G131" s="236" t="b">
        <f>COUNTIF($A$4:A130,$A131)&gt;0</f>
        <v>0</v>
      </c>
      <c r="H131" s="237" t="b">
        <f>IF(COUNTIF(入力シート!$J$16:$S$23,入力リスト!$K$4)=0,FALSE,IF(入力シート!$J$16=入力リスト!$K$5,FALSE,ISERROR(VLOOKUP(B131,入力シート!$S$37:$V$62,1,0))))</f>
        <v>0</v>
      </c>
      <c r="I131" s="237" t="b">
        <f>IF(AND(OR(入力シート!$J$18=入力リスト!$K$4,入力シート!$J$22=入力リスト!$K$4),入力シート!$J$24&lt;&gt;""),IF(ISERROR(C131+1),TRUE,IF(ISNUMBER(C131),FALSE,TRUE)),FALSE)</f>
        <v>0</v>
      </c>
      <c r="J131" s="237" t="b">
        <f>IF(AND(入力シート!$J$18=入力リスト!$K$4,入力シート!$J$22=入力リスト!$K$4),FALSE,IF(I131=TRUE,FALSE,IF(ISERROR(C131+1),FALSE,C131&gt;入力シート!$J$24)))</f>
        <v>0</v>
      </c>
      <c r="K131" s="237" t="b">
        <f>IF(COUNTIF(入力シート!$J$16:$S$23,入力リスト!$K$4)=0,FALSE,IF(AND(入力シート!$J$16&lt;&gt;入力リスト!$K$5,入力シート!$J$18&lt;&gt;入力リスト!$K$5,入力シート!$J$20&lt;&gt;入力リスト!$K$5,入力シート!$J$22&lt;&gt;入力リスト!$K$5),FALSE,ISERROR(VLOOKUP(D131,入力シート!$AW$37:$AY$38,1,0))))</f>
        <v>0</v>
      </c>
      <c r="L131" s="237" t="b">
        <f>IF(COUNTIF(入力シート!$J$16:$S$23,入力リスト!$K$4)=0,FALSE,IF(入力シート!$J$20=入力リスト!$K$5,FALSE,IF(E131="",FALSE,ISERROR(VLOOKUP(E131,入力シート!$AH$37:$AK$62,1,0)))))</f>
        <v>0</v>
      </c>
      <c r="M131" s="238" t="str">
        <f t="shared" si="1"/>
        <v/>
      </c>
      <c r="N131" s="236" t="str">
        <f>IF(B131="","",VLOOKUP('従業員情報(給与以外)'!$B131,入力シート!$S$37:$Z$62,5,0))</f>
        <v/>
      </c>
      <c r="O131" s="182" t="str">
        <f>IF(ISNUMBER(C131)=FALSE,"",IF(C131&gt;入力シート!$J$24,"",_xlfn.DAYS(入力シート!$J$24,'従業員情報(給与以外)'!$C131)/365))</f>
        <v/>
      </c>
      <c r="P131" s="237" t="str">
        <f>IF(O131="","",VLOOKUP(_xlfn.DAYS(入力シート!$J$24,'従業員情報(給与以外)'!$C131)/365,入力リスト!$H$4:$I$12,2,2))</f>
        <v/>
      </c>
      <c r="Q131" s="236" t="str">
        <f>IF(D131="","",VLOOKUP('従業員情報(給与以外)'!$D131,入力シート!$AW$37:$BB$38,4,0))</f>
        <v/>
      </c>
      <c r="R131" s="236" t="str">
        <f>IF(A131="","",IF(E131="","非役職",VLOOKUP('従業員情報(給与以外)'!$E131,入力シート!$AH$37:$AO$62,5,0)))</f>
        <v/>
      </c>
      <c r="S131" s="116" t="str">
        <f>IF(OR(入力シート!$C$5&lt;&gt;入力リスト!$N$4,COUNTIF(入力シート!$J$16:$S$23,入力リスト!$K$4)=0),"",IF($A131="","",IF(ISERROR(AVERAGEIF(従業員の給与情報!$B:$B,$A131,従業員の給与情報!$C:$C)),0,IF(ISERROR(AVERAGEIF(従業員の給与情報!$B:$B,$A131,従業員の給与情報!$C:$C)),0,AVERAGEIF(従業員の給与情報!$B:$B,$A131,従業員の給与情報!$C:$C)))))</f>
        <v/>
      </c>
      <c r="T131" s="116" t="str">
        <f>IF(OR(入力シート!$C$5&lt;&gt;入力リスト!$N$4,COUNTIF(入力シート!$J$16:$S$23,入力リスト!$K$4)=0),"",IF(A131="","",IF(ISERROR(AVERAGEIF(従業員の給与情報!$B:$B,$A131,従業員の給与情報!$D:$D)),0,IF(ISERROR(AVERAGEIF(従業員の給与情報!$B:$B,$A131,従業員の給与情報!$D:$D)),0,AVERAGEIF(従業員の給与情報!$B:$B,$A131,従業員の給与情報!$D:$D)))))</f>
        <v/>
      </c>
      <c r="U131" s="116" t="str">
        <f>IF(OR(入力シート!$C$5&lt;&gt;入力リスト!$N$4,COUNTIF(入力シート!$J$16:$S$23,入力リスト!$K$4)=0),"",IF(A131="","",IF(ISERROR(AVERAGEIF(従業員の給与情報!$B:$B,$A131,従業員の給与情報!$E:$E)),0,IF(ISERROR(AVERAGEIF(従業員の給与情報!$B:$B,$A131,従業員の給与情報!$E:$E)),0,AVERAGEIF(従業員の給与情報!$B:$B,$A131,従業員の給与情報!$E:$E)))))</f>
        <v/>
      </c>
      <c r="V131" s="117" t="str">
        <f>IF(OR(入力シート!$C$5&lt;&gt;入力リスト!$N$4,COUNTIF(入力シート!$J$16:$S$23,入力リスト!$K$4)=0),"",IF(A131="","",IF(ISERROR(AVERAGEIF(従業員の給与情報!$B:$B,$A131,従業員の給与情報!$F:$F)),0,IF(ISERROR(AVERAGEIF(従業員の給与情報!$B:$B,$A131,従業員の給与情報!$F:$F)),0,AVERAGEIF(従業員の給与情報!$B:$B,$A131,従業員の給与情報!$F:$F)))))</f>
        <v/>
      </c>
      <c r="W131" s="182"/>
      <c r="X131" s="260"/>
    </row>
    <row r="132" spans="1:24" ht="19.5">
      <c r="A132" s="367"/>
      <c r="B132" s="364"/>
      <c r="C132" s="365"/>
      <c r="D132" s="366"/>
      <c r="E132" s="364"/>
      <c r="F132" s="372" t="str">
        <f>IF(G132,"この従業員番号は、すでに他のセルで入力されています。",IF(入力シート!$C$5=入力リスト!$N$5,"",IF(AND(A132="",B132="",C132="",D132="",E132=""),"",IF(OR(A132="",B132="",C132="",D132=""),IF(A132="","従業員番号","")&amp;IF(AND(A132="",OR(B132="",C132="",D132="")),",","")&amp;IF(B132="","雇用形態","")&amp;IF(AND(B132="",OR(C132="",D132="")),",","")&amp;IF(OR(入力シート!$J$18=入力リスト!$K$4,入力シート!$J$22=入力リスト!$K$4),IF(C132="","入社年月日",""),"")&amp;IF(AND(C132="",D132=""),",","")&amp;IF(D132="","性別","")&amp;IF(IF(A132="","従業員番号","")&amp;IF(B132="","雇用形態","")&amp;IF(OR(入力シート!$J$18=入力リスト!$K$4,入力シート!$J$22=入力リスト!$K$4),IF(C132="","入社年月日",""),"")&amp;IF(D132="","性別","")="","","が空白です。"),IF(J132,"入社年月日に「基準日」の翌日以降の日付が入力されています。","")&amp;IF(I132,"入社年月日に数値以外（又は1900/1/1以前の日付）が入力されています。","")&amp;IF(H132,"雇用形態"&amp;IF(OR(K132,L132),",",""),"")&amp;IF(K132,"性別"&amp;IF(L132,",",""),"")&amp;IF(L132,"役職","")&amp;IF(OR(H132,K132,L132),"に、［入力シート］(4)「貴社」欄と異なる文言が入力されています。","")))))</f>
        <v/>
      </c>
      <c r="G132" s="236" t="b">
        <f>COUNTIF($A$4:A131,$A132)&gt;0</f>
        <v>0</v>
      </c>
      <c r="H132" s="237" t="b">
        <f>IF(COUNTIF(入力シート!$J$16:$S$23,入力リスト!$K$4)=0,FALSE,IF(入力シート!$J$16=入力リスト!$K$5,FALSE,ISERROR(VLOOKUP(B132,入力シート!$S$37:$V$62,1,0))))</f>
        <v>0</v>
      </c>
      <c r="I132" s="237" t="b">
        <f>IF(AND(OR(入力シート!$J$18=入力リスト!$K$4,入力シート!$J$22=入力リスト!$K$4),入力シート!$J$24&lt;&gt;""),IF(ISERROR(C132+1),TRUE,IF(ISNUMBER(C132),FALSE,TRUE)),FALSE)</f>
        <v>0</v>
      </c>
      <c r="J132" s="237" t="b">
        <f>IF(AND(入力シート!$J$18=入力リスト!$K$4,入力シート!$J$22=入力リスト!$K$4),FALSE,IF(I132=TRUE,FALSE,IF(ISERROR(C132+1),FALSE,C132&gt;入力シート!$J$24)))</f>
        <v>0</v>
      </c>
      <c r="K132" s="237" t="b">
        <f>IF(COUNTIF(入力シート!$J$16:$S$23,入力リスト!$K$4)=0,FALSE,IF(AND(入力シート!$J$16&lt;&gt;入力リスト!$K$5,入力シート!$J$18&lt;&gt;入力リスト!$K$5,入力シート!$J$20&lt;&gt;入力リスト!$K$5,入力シート!$J$22&lt;&gt;入力リスト!$K$5),FALSE,ISERROR(VLOOKUP(D132,入力シート!$AW$37:$AY$38,1,0))))</f>
        <v>0</v>
      </c>
      <c r="L132" s="237" t="b">
        <f>IF(COUNTIF(入力シート!$J$16:$S$23,入力リスト!$K$4)=0,FALSE,IF(入力シート!$J$20=入力リスト!$K$5,FALSE,IF(E132="",FALSE,ISERROR(VLOOKUP(E132,入力シート!$AH$37:$AK$62,1,0)))))</f>
        <v>0</v>
      </c>
      <c r="M132" s="238" t="str">
        <f t="shared" si="1"/>
        <v/>
      </c>
      <c r="N132" s="236" t="str">
        <f>IF(B132="","",VLOOKUP('従業員情報(給与以外)'!$B132,入力シート!$S$37:$Z$62,5,0))</f>
        <v/>
      </c>
      <c r="O132" s="182" t="str">
        <f>IF(ISNUMBER(C132)=FALSE,"",IF(C132&gt;入力シート!$J$24,"",_xlfn.DAYS(入力シート!$J$24,'従業員情報(給与以外)'!$C132)/365))</f>
        <v/>
      </c>
      <c r="P132" s="237" t="str">
        <f>IF(O132="","",VLOOKUP(_xlfn.DAYS(入力シート!$J$24,'従業員情報(給与以外)'!$C132)/365,入力リスト!$H$4:$I$12,2,2))</f>
        <v/>
      </c>
      <c r="Q132" s="236" t="str">
        <f>IF(D132="","",VLOOKUP('従業員情報(給与以外)'!$D132,入力シート!$AW$37:$BB$38,4,0))</f>
        <v/>
      </c>
      <c r="R132" s="236" t="str">
        <f>IF(A132="","",IF(E132="","非役職",VLOOKUP('従業員情報(給与以外)'!$E132,入力シート!$AH$37:$AO$62,5,0)))</f>
        <v/>
      </c>
      <c r="S132" s="116" t="str">
        <f>IF(OR(入力シート!$C$5&lt;&gt;入力リスト!$N$4,COUNTIF(入力シート!$J$16:$S$23,入力リスト!$K$4)=0),"",IF($A132="","",IF(ISERROR(AVERAGEIF(従業員の給与情報!$B:$B,$A132,従業員の給与情報!$C:$C)),0,IF(ISERROR(AVERAGEIF(従業員の給与情報!$B:$B,$A132,従業員の給与情報!$C:$C)),0,AVERAGEIF(従業員の給与情報!$B:$B,$A132,従業員の給与情報!$C:$C)))))</f>
        <v/>
      </c>
      <c r="T132" s="116" t="str">
        <f>IF(OR(入力シート!$C$5&lt;&gt;入力リスト!$N$4,COUNTIF(入力シート!$J$16:$S$23,入力リスト!$K$4)=0),"",IF(A132="","",IF(ISERROR(AVERAGEIF(従業員の給与情報!$B:$B,$A132,従業員の給与情報!$D:$D)),0,IF(ISERROR(AVERAGEIF(従業員の給与情報!$B:$B,$A132,従業員の給与情報!$D:$D)),0,AVERAGEIF(従業員の給与情報!$B:$B,$A132,従業員の給与情報!$D:$D)))))</f>
        <v/>
      </c>
      <c r="U132" s="116" t="str">
        <f>IF(OR(入力シート!$C$5&lt;&gt;入力リスト!$N$4,COUNTIF(入力シート!$J$16:$S$23,入力リスト!$K$4)=0),"",IF(A132="","",IF(ISERROR(AVERAGEIF(従業員の給与情報!$B:$B,$A132,従業員の給与情報!$E:$E)),0,IF(ISERROR(AVERAGEIF(従業員の給与情報!$B:$B,$A132,従業員の給与情報!$E:$E)),0,AVERAGEIF(従業員の給与情報!$B:$B,$A132,従業員の給与情報!$E:$E)))))</f>
        <v/>
      </c>
      <c r="V132" s="117" t="str">
        <f>IF(OR(入力シート!$C$5&lt;&gt;入力リスト!$N$4,COUNTIF(入力シート!$J$16:$S$23,入力リスト!$K$4)=0),"",IF(A132="","",IF(ISERROR(AVERAGEIF(従業員の給与情報!$B:$B,$A132,従業員の給与情報!$F:$F)),0,IF(ISERROR(AVERAGEIF(従業員の給与情報!$B:$B,$A132,従業員の給与情報!$F:$F)),0,AVERAGEIF(従業員の給与情報!$B:$B,$A132,従業員の給与情報!$F:$F)))))</f>
        <v/>
      </c>
      <c r="W132" s="182"/>
      <c r="X132" s="260"/>
    </row>
    <row r="133" spans="1:24" ht="19.5">
      <c r="A133" s="367"/>
      <c r="B133" s="364"/>
      <c r="C133" s="365"/>
      <c r="D133" s="366"/>
      <c r="E133" s="367"/>
      <c r="F133" s="372" t="str">
        <f>IF(G133,"この従業員番号は、すでに他のセルで入力されています。",IF(入力シート!$C$5=入力リスト!$N$5,"",IF(AND(A133="",B133="",C133="",D133="",E133=""),"",IF(OR(A133="",B133="",C133="",D133=""),IF(A133="","従業員番号","")&amp;IF(AND(A133="",OR(B133="",C133="",D133="")),",","")&amp;IF(B133="","雇用形態","")&amp;IF(AND(B133="",OR(C133="",D133="")),",","")&amp;IF(OR(入力シート!$J$18=入力リスト!$K$4,入力シート!$J$22=入力リスト!$K$4),IF(C133="","入社年月日",""),"")&amp;IF(AND(C133="",D133=""),",","")&amp;IF(D133="","性別","")&amp;IF(IF(A133="","従業員番号","")&amp;IF(B133="","雇用形態","")&amp;IF(OR(入力シート!$J$18=入力リスト!$K$4,入力シート!$J$22=入力リスト!$K$4),IF(C133="","入社年月日",""),"")&amp;IF(D133="","性別","")="","","が空白です。"),IF(J133,"入社年月日に「基準日」の翌日以降の日付が入力されています。","")&amp;IF(I133,"入社年月日に数値以外（又は1900/1/1以前の日付）が入力されています。","")&amp;IF(H133,"雇用形態"&amp;IF(OR(K133,L133),",",""),"")&amp;IF(K133,"性別"&amp;IF(L133,",",""),"")&amp;IF(L133,"役職","")&amp;IF(OR(H133,K133,L133),"に、［入力シート］(4)「貴社」欄と異なる文言が入力されています。","")))))</f>
        <v/>
      </c>
      <c r="G133" s="236" t="b">
        <f>COUNTIF($A$4:A132,$A133)&gt;0</f>
        <v>0</v>
      </c>
      <c r="H133" s="237" t="b">
        <f>IF(COUNTIF(入力シート!$J$16:$S$23,入力リスト!$K$4)=0,FALSE,IF(入力シート!$J$16=入力リスト!$K$5,FALSE,ISERROR(VLOOKUP(B133,入力シート!$S$37:$V$62,1,0))))</f>
        <v>0</v>
      </c>
      <c r="I133" s="237" t="b">
        <f>IF(AND(OR(入力シート!$J$18=入力リスト!$K$4,入力シート!$J$22=入力リスト!$K$4),入力シート!$J$24&lt;&gt;""),IF(ISERROR(C133+1),TRUE,IF(ISNUMBER(C133),FALSE,TRUE)),FALSE)</f>
        <v>0</v>
      </c>
      <c r="J133" s="237" t="b">
        <f>IF(AND(入力シート!$J$18=入力リスト!$K$4,入力シート!$J$22=入力リスト!$K$4),FALSE,IF(I133=TRUE,FALSE,IF(ISERROR(C133+1),FALSE,C133&gt;入力シート!$J$24)))</f>
        <v>0</v>
      </c>
      <c r="K133" s="237" t="b">
        <f>IF(COUNTIF(入力シート!$J$16:$S$23,入力リスト!$K$4)=0,FALSE,IF(AND(入力シート!$J$16&lt;&gt;入力リスト!$K$5,入力シート!$J$18&lt;&gt;入力リスト!$K$5,入力シート!$J$20&lt;&gt;入力リスト!$K$5,入力シート!$J$22&lt;&gt;入力リスト!$K$5),FALSE,ISERROR(VLOOKUP(D133,入力シート!$AW$37:$AY$38,1,0))))</f>
        <v>0</v>
      </c>
      <c r="L133" s="237" t="b">
        <f>IF(COUNTIF(入力シート!$J$16:$S$23,入力リスト!$K$4)=0,FALSE,IF(入力シート!$J$20=入力リスト!$K$5,FALSE,IF(E133="",FALSE,ISERROR(VLOOKUP(E133,入力シート!$AH$37:$AK$62,1,0)))))</f>
        <v>0</v>
      </c>
      <c r="M133" s="238" t="str">
        <f t="shared" ref="M133:M196" si="2">IF(COUNTIF(F133,"*入社年月日に数値以外*"),"※1900/0/0以前は数値として認識されません。","")</f>
        <v/>
      </c>
      <c r="N133" s="236" t="str">
        <f>IF(B133="","",VLOOKUP('従業員情報(給与以外)'!$B133,入力シート!$S$37:$Z$62,5,0))</f>
        <v/>
      </c>
      <c r="O133" s="182" t="str">
        <f>IF(ISNUMBER(C133)=FALSE,"",IF(C133&gt;入力シート!$J$24,"",_xlfn.DAYS(入力シート!$J$24,'従業員情報(給与以外)'!$C133)/365))</f>
        <v/>
      </c>
      <c r="P133" s="237" t="str">
        <f>IF(O133="","",VLOOKUP(_xlfn.DAYS(入力シート!$J$24,'従業員情報(給与以外)'!$C133)/365,入力リスト!$H$4:$I$12,2,2))</f>
        <v/>
      </c>
      <c r="Q133" s="236" t="str">
        <f>IF(D133="","",VLOOKUP('従業員情報(給与以外)'!$D133,入力シート!$AW$37:$BB$38,4,0))</f>
        <v/>
      </c>
      <c r="R133" s="236" t="str">
        <f>IF(A133="","",IF(E133="","非役職",VLOOKUP('従業員情報(給与以外)'!$E133,入力シート!$AH$37:$AO$62,5,0)))</f>
        <v/>
      </c>
      <c r="S133" s="116" t="str">
        <f>IF(OR(入力シート!$C$5&lt;&gt;入力リスト!$N$4,COUNTIF(入力シート!$J$16:$S$23,入力リスト!$K$4)=0),"",IF($A133="","",IF(ISERROR(AVERAGEIF(従業員の給与情報!$B:$B,$A133,従業員の給与情報!$C:$C)),0,IF(ISERROR(AVERAGEIF(従業員の給与情報!$B:$B,$A133,従業員の給与情報!$C:$C)),0,AVERAGEIF(従業員の給与情報!$B:$B,$A133,従業員の給与情報!$C:$C)))))</f>
        <v/>
      </c>
      <c r="T133" s="116" t="str">
        <f>IF(OR(入力シート!$C$5&lt;&gt;入力リスト!$N$4,COUNTIF(入力シート!$J$16:$S$23,入力リスト!$K$4)=0),"",IF(A133="","",IF(ISERROR(AVERAGEIF(従業員の給与情報!$B:$B,$A133,従業員の給与情報!$D:$D)),0,IF(ISERROR(AVERAGEIF(従業員の給与情報!$B:$B,$A133,従業員の給与情報!$D:$D)),0,AVERAGEIF(従業員の給与情報!$B:$B,$A133,従業員の給与情報!$D:$D)))))</f>
        <v/>
      </c>
      <c r="U133" s="116" t="str">
        <f>IF(OR(入力シート!$C$5&lt;&gt;入力リスト!$N$4,COUNTIF(入力シート!$J$16:$S$23,入力リスト!$K$4)=0),"",IF(A133="","",IF(ISERROR(AVERAGEIF(従業員の給与情報!$B:$B,$A133,従業員の給与情報!$E:$E)),0,IF(ISERROR(AVERAGEIF(従業員の給与情報!$B:$B,$A133,従業員の給与情報!$E:$E)),0,AVERAGEIF(従業員の給与情報!$B:$B,$A133,従業員の給与情報!$E:$E)))))</f>
        <v/>
      </c>
      <c r="V133" s="117" t="str">
        <f>IF(OR(入力シート!$C$5&lt;&gt;入力リスト!$N$4,COUNTIF(入力シート!$J$16:$S$23,入力リスト!$K$4)=0),"",IF(A133="","",IF(ISERROR(AVERAGEIF(従業員の給与情報!$B:$B,$A133,従業員の給与情報!$F:$F)),0,IF(ISERROR(AVERAGEIF(従業員の給与情報!$B:$B,$A133,従業員の給与情報!$F:$F)),0,AVERAGEIF(従業員の給与情報!$B:$B,$A133,従業員の給与情報!$F:$F)))))</f>
        <v/>
      </c>
      <c r="W133" s="182"/>
      <c r="X133" s="260"/>
    </row>
    <row r="134" spans="1:24" ht="19.5">
      <c r="A134" s="367"/>
      <c r="B134" s="364"/>
      <c r="C134" s="365"/>
      <c r="D134" s="366"/>
      <c r="E134" s="367"/>
      <c r="F134" s="372" t="str">
        <f>IF(G134,"この従業員番号は、すでに他のセルで入力されています。",IF(入力シート!$C$5=入力リスト!$N$5,"",IF(AND(A134="",B134="",C134="",D134="",E134=""),"",IF(OR(A134="",B134="",C134="",D134=""),IF(A134="","従業員番号","")&amp;IF(AND(A134="",OR(B134="",C134="",D134="")),",","")&amp;IF(B134="","雇用形態","")&amp;IF(AND(B134="",OR(C134="",D134="")),",","")&amp;IF(OR(入力シート!$J$18=入力リスト!$K$4,入力シート!$J$22=入力リスト!$K$4),IF(C134="","入社年月日",""),"")&amp;IF(AND(C134="",D134=""),",","")&amp;IF(D134="","性別","")&amp;IF(IF(A134="","従業員番号","")&amp;IF(B134="","雇用形態","")&amp;IF(OR(入力シート!$J$18=入力リスト!$K$4,入力シート!$J$22=入力リスト!$K$4),IF(C134="","入社年月日",""),"")&amp;IF(D134="","性別","")="","","が空白です。"),IF(J134,"入社年月日に「基準日」の翌日以降の日付が入力されています。","")&amp;IF(I134,"入社年月日に数値以外（又は1900/1/1以前の日付）が入力されています。","")&amp;IF(H134,"雇用形態"&amp;IF(OR(K134,L134),",",""),"")&amp;IF(K134,"性別"&amp;IF(L134,",",""),"")&amp;IF(L134,"役職","")&amp;IF(OR(H134,K134,L134),"に、［入力シート］(4)「貴社」欄と異なる文言が入力されています。","")))))</f>
        <v/>
      </c>
      <c r="G134" s="236" t="b">
        <f>COUNTIF($A$4:A133,$A134)&gt;0</f>
        <v>0</v>
      </c>
      <c r="H134" s="237" t="b">
        <f>IF(COUNTIF(入力シート!$J$16:$S$23,入力リスト!$K$4)=0,FALSE,IF(入力シート!$J$16=入力リスト!$K$5,FALSE,ISERROR(VLOOKUP(B134,入力シート!$S$37:$V$62,1,0))))</f>
        <v>0</v>
      </c>
      <c r="I134" s="237" t="b">
        <f>IF(AND(OR(入力シート!$J$18=入力リスト!$K$4,入力シート!$J$22=入力リスト!$K$4),入力シート!$J$24&lt;&gt;""),IF(ISERROR(C134+1),TRUE,IF(ISNUMBER(C134),FALSE,TRUE)),FALSE)</f>
        <v>0</v>
      </c>
      <c r="J134" s="237" t="b">
        <f>IF(AND(入力シート!$J$18=入力リスト!$K$4,入力シート!$J$22=入力リスト!$K$4),FALSE,IF(I134=TRUE,FALSE,IF(ISERROR(C134+1),FALSE,C134&gt;入力シート!$J$24)))</f>
        <v>0</v>
      </c>
      <c r="K134" s="237" t="b">
        <f>IF(COUNTIF(入力シート!$J$16:$S$23,入力リスト!$K$4)=0,FALSE,IF(AND(入力シート!$J$16&lt;&gt;入力リスト!$K$5,入力シート!$J$18&lt;&gt;入力リスト!$K$5,入力シート!$J$20&lt;&gt;入力リスト!$K$5,入力シート!$J$22&lt;&gt;入力リスト!$K$5),FALSE,ISERROR(VLOOKUP(D134,入力シート!$AW$37:$AY$38,1,0))))</f>
        <v>0</v>
      </c>
      <c r="L134" s="237" t="b">
        <f>IF(COUNTIF(入力シート!$J$16:$S$23,入力リスト!$K$4)=0,FALSE,IF(入力シート!$J$20=入力リスト!$K$5,FALSE,IF(E134="",FALSE,ISERROR(VLOOKUP(E134,入力シート!$AH$37:$AK$62,1,0)))))</f>
        <v>0</v>
      </c>
      <c r="M134" s="238" t="str">
        <f t="shared" si="2"/>
        <v/>
      </c>
      <c r="N134" s="236" t="str">
        <f>IF(B134="","",VLOOKUP('従業員情報(給与以外)'!$B134,入力シート!$S$37:$Z$62,5,0))</f>
        <v/>
      </c>
      <c r="O134" s="182" t="str">
        <f>IF(ISNUMBER(C134)=FALSE,"",IF(C134&gt;入力シート!$J$24,"",_xlfn.DAYS(入力シート!$J$24,'従業員情報(給与以外)'!$C134)/365))</f>
        <v/>
      </c>
      <c r="P134" s="237" t="str">
        <f>IF(O134="","",VLOOKUP(_xlfn.DAYS(入力シート!$J$24,'従業員情報(給与以外)'!$C134)/365,入力リスト!$H$4:$I$12,2,2))</f>
        <v/>
      </c>
      <c r="Q134" s="236" t="str">
        <f>IF(D134="","",VLOOKUP('従業員情報(給与以外)'!$D134,入力シート!$AW$37:$BB$38,4,0))</f>
        <v/>
      </c>
      <c r="R134" s="236" t="str">
        <f>IF(A134="","",IF(E134="","非役職",VLOOKUP('従業員情報(給与以外)'!$E134,入力シート!$AH$37:$AO$62,5,0)))</f>
        <v/>
      </c>
      <c r="S134" s="116" t="str">
        <f>IF(OR(入力シート!$C$5&lt;&gt;入力リスト!$N$4,COUNTIF(入力シート!$J$16:$S$23,入力リスト!$K$4)=0),"",IF($A134="","",IF(ISERROR(AVERAGEIF(従業員の給与情報!$B:$B,$A134,従業員の給与情報!$C:$C)),0,IF(ISERROR(AVERAGEIF(従業員の給与情報!$B:$B,$A134,従業員の給与情報!$C:$C)),0,AVERAGEIF(従業員の給与情報!$B:$B,$A134,従業員の給与情報!$C:$C)))))</f>
        <v/>
      </c>
      <c r="T134" s="116" t="str">
        <f>IF(OR(入力シート!$C$5&lt;&gt;入力リスト!$N$4,COUNTIF(入力シート!$J$16:$S$23,入力リスト!$K$4)=0),"",IF(A134="","",IF(ISERROR(AVERAGEIF(従業員の給与情報!$B:$B,$A134,従業員の給与情報!$D:$D)),0,IF(ISERROR(AVERAGEIF(従業員の給与情報!$B:$B,$A134,従業員の給与情報!$D:$D)),0,AVERAGEIF(従業員の給与情報!$B:$B,$A134,従業員の給与情報!$D:$D)))))</f>
        <v/>
      </c>
      <c r="U134" s="116" t="str">
        <f>IF(OR(入力シート!$C$5&lt;&gt;入力リスト!$N$4,COUNTIF(入力シート!$J$16:$S$23,入力リスト!$K$4)=0),"",IF(A134="","",IF(ISERROR(AVERAGEIF(従業員の給与情報!$B:$B,$A134,従業員の給与情報!$E:$E)),0,IF(ISERROR(AVERAGEIF(従業員の給与情報!$B:$B,$A134,従業員の給与情報!$E:$E)),0,AVERAGEIF(従業員の給与情報!$B:$B,$A134,従業員の給与情報!$E:$E)))))</f>
        <v/>
      </c>
      <c r="V134" s="117" t="str">
        <f>IF(OR(入力シート!$C$5&lt;&gt;入力リスト!$N$4,COUNTIF(入力シート!$J$16:$S$23,入力リスト!$K$4)=0),"",IF(A134="","",IF(ISERROR(AVERAGEIF(従業員の給与情報!$B:$B,$A134,従業員の給与情報!$F:$F)),0,IF(ISERROR(AVERAGEIF(従業員の給与情報!$B:$B,$A134,従業員の給与情報!$F:$F)),0,AVERAGEIF(従業員の給与情報!$B:$B,$A134,従業員の給与情報!$F:$F)))))</f>
        <v/>
      </c>
      <c r="W134" s="182"/>
      <c r="X134" s="260"/>
    </row>
    <row r="135" spans="1:24" ht="19.5">
      <c r="A135" s="367"/>
      <c r="B135" s="364"/>
      <c r="C135" s="365"/>
      <c r="D135" s="366"/>
      <c r="E135" s="367"/>
      <c r="F135" s="372" t="str">
        <f>IF(G135,"この従業員番号は、すでに他のセルで入力されています。",IF(入力シート!$C$5=入力リスト!$N$5,"",IF(AND(A135="",B135="",C135="",D135="",E135=""),"",IF(OR(A135="",B135="",C135="",D135=""),IF(A135="","従業員番号","")&amp;IF(AND(A135="",OR(B135="",C135="",D135="")),",","")&amp;IF(B135="","雇用形態","")&amp;IF(AND(B135="",OR(C135="",D135="")),",","")&amp;IF(OR(入力シート!$J$18=入力リスト!$K$4,入力シート!$J$22=入力リスト!$K$4),IF(C135="","入社年月日",""),"")&amp;IF(AND(C135="",D135=""),",","")&amp;IF(D135="","性別","")&amp;IF(IF(A135="","従業員番号","")&amp;IF(B135="","雇用形態","")&amp;IF(OR(入力シート!$J$18=入力リスト!$K$4,入力シート!$J$22=入力リスト!$K$4),IF(C135="","入社年月日",""),"")&amp;IF(D135="","性別","")="","","が空白です。"),IF(J135,"入社年月日に「基準日」の翌日以降の日付が入力されています。","")&amp;IF(I135,"入社年月日に数値以外（又は1900/1/1以前の日付）が入力されています。","")&amp;IF(H135,"雇用形態"&amp;IF(OR(K135,L135),",",""),"")&amp;IF(K135,"性別"&amp;IF(L135,",",""),"")&amp;IF(L135,"役職","")&amp;IF(OR(H135,K135,L135),"に、［入力シート］(4)「貴社」欄と異なる文言が入力されています。","")))))</f>
        <v/>
      </c>
      <c r="G135" s="236" t="b">
        <f>COUNTIF($A$4:A134,$A135)&gt;0</f>
        <v>0</v>
      </c>
      <c r="H135" s="237" t="b">
        <f>IF(COUNTIF(入力シート!$J$16:$S$23,入力リスト!$K$4)=0,FALSE,IF(入力シート!$J$16=入力リスト!$K$5,FALSE,ISERROR(VLOOKUP(B135,入力シート!$S$37:$V$62,1,0))))</f>
        <v>0</v>
      </c>
      <c r="I135" s="237" t="b">
        <f>IF(AND(OR(入力シート!$J$18=入力リスト!$K$4,入力シート!$J$22=入力リスト!$K$4),入力シート!$J$24&lt;&gt;""),IF(ISERROR(C135+1),TRUE,IF(ISNUMBER(C135),FALSE,TRUE)),FALSE)</f>
        <v>0</v>
      </c>
      <c r="J135" s="237" t="b">
        <f>IF(AND(入力シート!$J$18=入力リスト!$K$4,入力シート!$J$22=入力リスト!$K$4),FALSE,IF(I135=TRUE,FALSE,IF(ISERROR(C135+1),FALSE,C135&gt;入力シート!$J$24)))</f>
        <v>0</v>
      </c>
      <c r="K135" s="237" t="b">
        <f>IF(COUNTIF(入力シート!$J$16:$S$23,入力リスト!$K$4)=0,FALSE,IF(AND(入力シート!$J$16&lt;&gt;入力リスト!$K$5,入力シート!$J$18&lt;&gt;入力リスト!$K$5,入力シート!$J$20&lt;&gt;入力リスト!$K$5,入力シート!$J$22&lt;&gt;入力リスト!$K$5),FALSE,ISERROR(VLOOKUP(D135,入力シート!$AW$37:$AY$38,1,0))))</f>
        <v>0</v>
      </c>
      <c r="L135" s="237" t="b">
        <f>IF(COUNTIF(入力シート!$J$16:$S$23,入力リスト!$K$4)=0,FALSE,IF(入力シート!$J$20=入力リスト!$K$5,FALSE,IF(E135="",FALSE,ISERROR(VLOOKUP(E135,入力シート!$AH$37:$AK$62,1,0)))))</f>
        <v>0</v>
      </c>
      <c r="M135" s="238" t="str">
        <f t="shared" si="2"/>
        <v/>
      </c>
      <c r="N135" s="236" t="str">
        <f>IF(B135="","",VLOOKUP('従業員情報(給与以外)'!$B135,入力シート!$S$37:$Z$62,5,0))</f>
        <v/>
      </c>
      <c r="O135" s="182" t="str">
        <f>IF(ISNUMBER(C135)=FALSE,"",IF(C135&gt;入力シート!$J$24,"",_xlfn.DAYS(入力シート!$J$24,'従業員情報(給与以外)'!$C135)/365))</f>
        <v/>
      </c>
      <c r="P135" s="237" t="str">
        <f>IF(O135="","",VLOOKUP(_xlfn.DAYS(入力シート!$J$24,'従業員情報(給与以外)'!$C135)/365,入力リスト!$H$4:$I$12,2,2))</f>
        <v/>
      </c>
      <c r="Q135" s="236" t="str">
        <f>IF(D135="","",VLOOKUP('従業員情報(給与以外)'!$D135,入力シート!$AW$37:$BB$38,4,0))</f>
        <v/>
      </c>
      <c r="R135" s="236" t="str">
        <f>IF(A135="","",IF(E135="","非役職",VLOOKUP('従業員情報(給与以外)'!$E135,入力シート!$AH$37:$AO$62,5,0)))</f>
        <v/>
      </c>
      <c r="S135" s="116" t="str">
        <f>IF(OR(入力シート!$C$5&lt;&gt;入力リスト!$N$4,COUNTIF(入力シート!$J$16:$S$23,入力リスト!$K$4)=0),"",IF($A135="","",IF(ISERROR(AVERAGEIF(従業員の給与情報!$B:$B,$A135,従業員の給与情報!$C:$C)),0,IF(ISERROR(AVERAGEIF(従業員の給与情報!$B:$B,$A135,従業員の給与情報!$C:$C)),0,AVERAGEIF(従業員の給与情報!$B:$B,$A135,従業員の給与情報!$C:$C)))))</f>
        <v/>
      </c>
      <c r="T135" s="116" t="str">
        <f>IF(OR(入力シート!$C$5&lt;&gt;入力リスト!$N$4,COUNTIF(入力シート!$J$16:$S$23,入力リスト!$K$4)=0),"",IF(A135="","",IF(ISERROR(AVERAGEIF(従業員の給与情報!$B:$B,$A135,従業員の給与情報!$D:$D)),0,IF(ISERROR(AVERAGEIF(従業員の給与情報!$B:$B,$A135,従業員の給与情報!$D:$D)),0,AVERAGEIF(従業員の給与情報!$B:$B,$A135,従業員の給与情報!$D:$D)))))</f>
        <v/>
      </c>
      <c r="U135" s="116" t="str">
        <f>IF(OR(入力シート!$C$5&lt;&gt;入力リスト!$N$4,COUNTIF(入力シート!$J$16:$S$23,入力リスト!$K$4)=0),"",IF(A135="","",IF(ISERROR(AVERAGEIF(従業員の給与情報!$B:$B,$A135,従業員の給与情報!$E:$E)),0,IF(ISERROR(AVERAGEIF(従業員の給与情報!$B:$B,$A135,従業員の給与情報!$E:$E)),0,AVERAGEIF(従業員の給与情報!$B:$B,$A135,従業員の給与情報!$E:$E)))))</f>
        <v/>
      </c>
      <c r="V135" s="117" t="str">
        <f>IF(OR(入力シート!$C$5&lt;&gt;入力リスト!$N$4,COUNTIF(入力シート!$J$16:$S$23,入力リスト!$K$4)=0),"",IF(A135="","",IF(ISERROR(AVERAGEIF(従業員の給与情報!$B:$B,$A135,従業員の給与情報!$F:$F)),0,IF(ISERROR(AVERAGEIF(従業員の給与情報!$B:$B,$A135,従業員の給与情報!$F:$F)),0,AVERAGEIF(従業員の給与情報!$B:$B,$A135,従業員の給与情報!$F:$F)))))</f>
        <v/>
      </c>
      <c r="W135" s="182"/>
      <c r="X135" s="260"/>
    </row>
    <row r="136" spans="1:24" ht="19.5">
      <c r="A136" s="367"/>
      <c r="B136" s="364"/>
      <c r="C136" s="365"/>
      <c r="D136" s="366"/>
      <c r="E136" s="367"/>
      <c r="F136" s="372" t="str">
        <f>IF(G136,"この従業員番号は、すでに他のセルで入力されています。",IF(入力シート!$C$5=入力リスト!$N$5,"",IF(AND(A136="",B136="",C136="",D136="",E136=""),"",IF(OR(A136="",B136="",C136="",D136=""),IF(A136="","従業員番号","")&amp;IF(AND(A136="",OR(B136="",C136="",D136="")),",","")&amp;IF(B136="","雇用形態","")&amp;IF(AND(B136="",OR(C136="",D136="")),",","")&amp;IF(OR(入力シート!$J$18=入力リスト!$K$4,入力シート!$J$22=入力リスト!$K$4),IF(C136="","入社年月日",""),"")&amp;IF(AND(C136="",D136=""),",","")&amp;IF(D136="","性別","")&amp;IF(IF(A136="","従業員番号","")&amp;IF(B136="","雇用形態","")&amp;IF(OR(入力シート!$J$18=入力リスト!$K$4,入力シート!$J$22=入力リスト!$K$4),IF(C136="","入社年月日",""),"")&amp;IF(D136="","性別","")="","","が空白です。"),IF(J136,"入社年月日に「基準日」の翌日以降の日付が入力されています。","")&amp;IF(I136,"入社年月日に数値以外（又は1900/1/1以前の日付）が入力されています。","")&amp;IF(H136,"雇用形態"&amp;IF(OR(K136,L136),",",""),"")&amp;IF(K136,"性別"&amp;IF(L136,",",""),"")&amp;IF(L136,"役職","")&amp;IF(OR(H136,K136,L136),"に、［入力シート］(4)「貴社」欄と異なる文言が入力されています。","")))))</f>
        <v/>
      </c>
      <c r="G136" s="236" t="b">
        <f>COUNTIF($A$4:A135,$A136)&gt;0</f>
        <v>0</v>
      </c>
      <c r="H136" s="237" t="b">
        <f>IF(COUNTIF(入力シート!$J$16:$S$23,入力リスト!$K$4)=0,FALSE,IF(入力シート!$J$16=入力リスト!$K$5,FALSE,ISERROR(VLOOKUP(B136,入力シート!$S$37:$V$62,1,0))))</f>
        <v>0</v>
      </c>
      <c r="I136" s="237" t="b">
        <f>IF(AND(OR(入力シート!$J$18=入力リスト!$K$4,入力シート!$J$22=入力リスト!$K$4),入力シート!$J$24&lt;&gt;""),IF(ISERROR(C136+1),TRUE,IF(ISNUMBER(C136),FALSE,TRUE)),FALSE)</f>
        <v>0</v>
      </c>
      <c r="J136" s="237" t="b">
        <f>IF(AND(入力シート!$J$18=入力リスト!$K$4,入力シート!$J$22=入力リスト!$K$4),FALSE,IF(I136=TRUE,FALSE,IF(ISERROR(C136+1),FALSE,C136&gt;入力シート!$J$24)))</f>
        <v>0</v>
      </c>
      <c r="K136" s="237" t="b">
        <f>IF(COUNTIF(入力シート!$J$16:$S$23,入力リスト!$K$4)=0,FALSE,IF(AND(入力シート!$J$16&lt;&gt;入力リスト!$K$5,入力シート!$J$18&lt;&gt;入力リスト!$K$5,入力シート!$J$20&lt;&gt;入力リスト!$K$5,入力シート!$J$22&lt;&gt;入力リスト!$K$5),FALSE,ISERROR(VLOOKUP(D136,入力シート!$AW$37:$AY$38,1,0))))</f>
        <v>0</v>
      </c>
      <c r="L136" s="237" t="b">
        <f>IF(COUNTIF(入力シート!$J$16:$S$23,入力リスト!$K$4)=0,FALSE,IF(入力シート!$J$20=入力リスト!$K$5,FALSE,IF(E136="",FALSE,ISERROR(VLOOKUP(E136,入力シート!$AH$37:$AK$62,1,0)))))</f>
        <v>0</v>
      </c>
      <c r="M136" s="238" t="str">
        <f t="shared" si="2"/>
        <v/>
      </c>
      <c r="N136" s="236" t="str">
        <f>IF(B136="","",VLOOKUP('従業員情報(給与以外)'!$B136,入力シート!$S$37:$Z$62,5,0))</f>
        <v/>
      </c>
      <c r="O136" s="182" t="str">
        <f>IF(ISNUMBER(C136)=FALSE,"",IF(C136&gt;入力シート!$J$24,"",_xlfn.DAYS(入力シート!$J$24,'従業員情報(給与以外)'!$C136)/365))</f>
        <v/>
      </c>
      <c r="P136" s="237" t="str">
        <f>IF(O136="","",VLOOKUP(_xlfn.DAYS(入力シート!$J$24,'従業員情報(給与以外)'!$C136)/365,入力リスト!$H$4:$I$12,2,2))</f>
        <v/>
      </c>
      <c r="Q136" s="236" t="str">
        <f>IF(D136="","",VLOOKUP('従業員情報(給与以外)'!$D136,入力シート!$AW$37:$BB$38,4,0))</f>
        <v/>
      </c>
      <c r="R136" s="236" t="str">
        <f>IF(A136="","",IF(E136="","非役職",VLOOKUP('従業員情報(給与以外)'!$E136,入力シート!$AH$37:$AO$62,5,0)))</f>
        <v/>
      </c>
      <c r="S136" s="116" t="str">
        <f>IF(OR(入力シート!$C$5&lt;&gt;入力リスト!$N$4,COUNTIF(入力シート!$J$16:$S$23,入力リスト!$K$4)=0),"",IF($A136="","",IF(ISERROR(AVERAGEIF(従業員の給与情報!$B:$B,$A136,従業員の給与情報!$C:$C)),0,IF(ISERROR(AVERAGEIF(従業員の給与情報!$B:$B,$A136,従業員の給与情報!$C:$C)),0,AVERAGEIF(従業員の給与情報!$B:$B,$A136,従業員の給与情報!$C:$C)))))</f>
        <v/>
      </c>
      <c r="T136" s="116" t="str">
        <f>IF(OR(入力シート!$C$5&lt;&gt;入力リスト!$N$4,COUNTIF(入力シート!$J$16:$S$23,入力リスト!$K$4)=0),"",IF(A136="","",IF(ISERROR(AVERAGEIF(従業員の給与情報!$B:$B,$A136,従業員の給与情報!$D:$D)),0,IF(ISERROR(AVERAGEIF(従業員の給与情報!$B:$B,$A136,従業員の給与情報!$D:$D)),0,AVERAGEIF(従業員の給与情報!$B:$B,$A136,従業員の給与情報!$D:$D)))))</f>
        <v/>
      </c>
      <c r="U136" s="116" t="str">
        <f>IF(OR(入力シート!$C$5&lt;&gt;入力リスト!$N$4,COUNTIF(入力シート!$J$16:$S$23,入力リスト!$K$4)=0),"",IF(A136="","",IF(ISERROR(AVERAGEIF(従業員の給与情報!$B:$B,$A136,従業員の給与情報!$E:$E)),0,IF(ISERROR(AVERAGEIF(従業員の給与情報!$B:$B,$A136,従業員の給与情報!$E:$E)),0,AVERAGEIF(従業員の給与情報!$B:$B,$A136,従業員の給与情報!$E:$E)))))</f>
        <v/>
      </c>
      <c r="V136" s="117" t="str">
        <f>IF(OR(入力シート!$C$5&lt;&gt;入力リスト!$N$4,COUNTIF(入力シート!$J$16:$S$23,入力リスト!$K$4)=0),"",IF(A136="","",IF(ISERROR(AVERAGEIF(従業員の給与情報!$B:$B,$A136,従業員の給与情報!$F:$F)),0,IF(ISERROR(AVERAGEIF(従業員の給与情報!$B:$B,$A136,従業員の給与情報!$F:$F)),0,AVERAGEIF(従業員の給与情報!$B:$B,$A136,従業員の給与情報!$F:$F)))))</f>
        <v/>
      </c>
      <c r="W136" s="182"/>
      <c r="X136" s="260"/>
    </row>
    <row r="137" spans="1:24" ht="19.5">
      <c r="A137" s="367"/>
      <c r="B137" s="364"/>
      <c r="C137" s="365"/>
      <c r="D137" s="366"/>
      <c r="E137" s="364"/>
      <c r="F137" s="372" t="str">
        <f>IF(G137,"この従業員番号は、すでに他のセルで入力されています。",IF(入力シート!$C$5=入力リスト!$N$5,"",IF(AND(A137="",B137="",C137="",D137="",E137=""),"",IF(OR(A137="",B137="",C137="",D137=""),IF(A137="","従業員番号","")&amp;IF(AND(A137="",OR(B137="",C137="",D137="")),",","")&amp;IF(B137="","雇用形態","")&amp;IF(AND(B137="",OR(C137="",D137="")),",","")&amp;IF(OR(入力シート!$J$18=入力リスト!$K$4,入力シート!$J$22=入力リスト!$K$4),IF(C137="","入社年月日",""),"")&amp;IF(AND(C137="",D137=""),",","")&amp;IF(D137="","性別","")&amp;IF(IF(A137="","従業員番号","")&amp;IF(B137="","雇用形態","")&amp;IF(OR(入力シート!$J$18=入力リスト!$K$4,入力シート!$J$22=入力リスト!$K$4),IF(C137="","入社年月日",""),"")&amp;IF(D137="","性別","")="","","が空白です。"),IF(J137,"入社年月日に「基準日」の翌日以降の日付が入力されています。","")&amp;IF(I137,"入社年月日に数値以外（又は1900/1/1以前の日付）が入力されています。","")&amp;IF(H137,"雇用形態"&amp;IF(OR(K137,L137),",",""),"")&amp;IF(K137,"性別"&amp;IF(L137,",",""),"")&amp;IF(L137,"役職","")&amp;IF(OR(H137,K137,L137),"に、［入力シート］(4)「貴社」欄と異なる文言が入力されています。","")))))</f>
        <v/>
      </c>
      <c r="G137" s="236" t="b">
        <f>COUNTIF($A$4:A136,$A137)&gt;0</f>
        <v>0</v>
      </c>
      <c r="H137" s="237" t="b">
        <f>IF(COUNTIF(入力シート!$J$16:$S$23,入力リスト!$K$4)=0,FALSE,IF(入力シート!$J$16=入力リスト!$K$5,FALSE,ISERROR(VLOOKUP(B137,入力シート!$S$37:$V$62,1,0))))</f>
        <v>0</v>
      </c>
      <c r="I137" s="237" t="b">
        <f>IF(AND(OR(入力シート!$J$18=入力リスト!$K$4,入力シート!$J$22=入力リスト!$K$4),入力シート!$J$24&lt;&gt;""),IF(ISERROR(C137+1),TRUE,IF(ISNUMBER(C137),FALSE,TRUE)),FALSE)</f>
        <v>0</v>
      </c>
      <c r="J137" s="237" t="b">
        <f>IF(AND(入力シート!$J$18=入力リスト!$K$4,入力シート!$J$22=入力リスト!$K$4),FALSE,IF(I137=TRUE,FALSE,IF(ISERROR(C137+1),FALSE,C137&gt;入力シート!$J$24)))</f>
        <v>0</v>
      </c>
      <c r="K137" s="237" t="b">
        <f>IF(COUNTIF(入力シート!$J$16:$S$23,入力リスト!$K$4)=0,FALSE,IF(AND(入力シート!$J$16&lt;&gt;入力リスト!$K$5,入力シート!$J$18&lt;&gt;入力リスト!$K$5,入力シート!$J$20&lt;&gt;入力リスト!$K$5,入力シート!$J$22&lt;&gt;入力リスト!$K$5),FALSE,ISERROR(VLOOKUP(D137,入力シート!$AW$37:$AY$38,1,0))))</f>
        <v>0</v>
      </c>
      <c r="L137" s="237" t="b">
        <f>IF(COUNTIF(入力シート!$J$16:$S$23,入力リスト!$K$4)=0,FALSE,IF(入力シート!$J$20=入力リスト!$K$5,FALSE,IF(E137="",FALSE,ISERROR(VLOOKUP(E137,入力シート!$AH$37:$AK$62,1,0)))))</f>
        <v>0</v>
      </c>
      <c r="M137" s="238" t="str">
        <f t="shared" si="2"/>
        <v/>
      </c>
      <c r="N137" s="236" t="str">
        <f>IF(B137="","",VLOOKUP('従業員情報(給与以外)'!$B137,入力シート!$S$37:$Z$62,5,0))</f>
        <v/>
      </c>
      <c r="O137" s="182" t="str">
        <f>IF(ISNUMBER(C137)=FALSE,"",IF(C137&gt;入力シート!$J$24,"",_xlfn.DAYS(入力シート!$J$24,'従業員情報(給与以外)'!$C137)/365))</f>
        <v/>
      </c>
      <c r="P137" s="237" t="str">
        <f>IF(O137="","",VLOOKUP(_xlfn.DAYS(入力シート!$J$24,'従業員情報(給与以外)'!$C137)/365,入力リスト!$H$4:$I$12,2,2))</f>
        <v/>
      </c>
      <c r="Q137" s="236" t="str">
        <f>IF(D137="","",VLOOKUP('従業員情報(給与以外)'!$D137,入力シート!$AW$37:$BB$38,4,0))</f>
        <v/>
      </c>
      <c r="R137" s="236" t="str">
        <f>IF(A137="","",IF(E137="","非役職",VLOOKUP('従業員情報(給与以外)'!$E137,入力シート!$AH$37:$AO$62,5,0)))</f>
        <v/>
      </c>
      <c r="S137" s="116" t="str">
        <f>IF(OR(入力シート!$C$5&lt;&gt;入力リスト!$N$4,COUNTIF(入力シート!$J$16:$S$23,入力リスト!$K$4)=0),"",IF($A137="","",IF(ISERROR(AVERAGEIF(従業員の給与情報!$B:$B,$A137,従業員の給与情報!$C:$C)),0,IF(ISERROR(AVERAGEIF(従業員の給与情報!$B:$B,$A137,従業員の給与情報!$C:$C)),0,AVERAGEIF(従業員の給与情報!$B:$B,$A137,従業員の給与情報!$C:$C)))))</f>
        <v/>
      </c>
      <c r="T137" s="116" t="str">
        <f>IF(OR(入力シート!$C$5&lt;&gt;入力リスト!$N$4,COUNTIF(入力シート!$J$16:$S$23,入力リスト!$K$4)=0),"",IF(A137="","",IF(ISERROR(AVERAGEIF(従業員の給与情報!$B:$B,$A137,従業員の給与情報!$D:$D)),0,IF(ISERROR(AVERAGEIF(従業員の給与情報!$B:$B,$A137,従業員の給与情報!$D:$D)),0,AVERAGEIF(従業員の給与情報!$B:$B,$A137,従業員の給与情報!$D:$D)))))</f>
        <v/>
      </c>
      <c r="U137" s="116" t="str">
        <f>IF(OR(入力シート!$C$5&lt;&gt;入力リスト!$N$4,COUNTIF(入力シート!$J$16:$S$23,入力リスト!$K$4)=0),"",IF(A137="","",IF(ISERROR(AVERAGEIF(従業員の給与情報!$B:$B,$A137,従業員の給与情報!$E:$E)),0,IF(ISERROR(AVERAGEIF(従業員の給与情報!$B:$B,$A137,従業員の給与情報!$E:$E)),0,AVERAGEIF(従業員の給与情報!$B:$B,$A137,従業員の給与情報!$E:$E)))))</f>
        <v/>
      </c>
      <c r="V137" s="117" t="str">
        <f>IF(OR(入力シート!$C$5&lt;&gt;入力リスト!$N$4,COUNTIF(入力シート!$J$16:$S$23,入力リスト!$K$4)=0),"",IF(A137="","",IF(ISERROR(AVERAGEIF(従業員の給与情報!$B:$B,$A137,従業員の給与情報!$F:$F)),0,IF(ISERROR(AVERAGEIF(従業員の給与情報!$B:$B,$A137,従業員の給与情報!$F:$F)),0,AVERAGEIF(従業員の給与情報!$B:$B,$A137,従業員の給与情報!$F:$F)))))</f>
        <v/>
      </c>
      <c r="W137" s="182"/>
      <c r="X137" s="260"/>
    </row>
    <row r="138" spans="1:24" ht="19.5">
      <c r="A138" s="367"/>
      <c r="B138" s="364"/>
      <c r="C138" s="365"/>
      <c r="D138" s="366"/>
      <c r="E138" s="367"/>
      <c r="F138" s="372" t="str">
        <f>IF(G138,"この従業員番号は、すでに他のセルで入力されています。",IF(入力シート!$C$5=入力リスト!$N$5,"",IF(AND(A138="",B138="",C138="",D138="",E138=""),"",IF(OR(A138="",B138="",C138="",D138=""),IF(A138="","従業員番号","")&amp;IF(AND(A138="",OR(B138="",C138="",D138="")),",","")&amp;IF(B138="","雇用形態","")&amp;IF(AND(B138="",OR(C138="",D138="")),",","")&amp;IF(OR(入力シート!$J$18=入力リスト!$K$4,入力シート!$J$22=入力リスト!$K$4),IF(C138="","入社年月日",""),"")&amp;IF(AND(C138="",D138=""),",","")&amp;IF(D138="","性別","")&amp;IF(IF(A138="","従業員番号","")&amp;IF(B138="","雇用形態","")&amp;IF(OR(入力シート!$J$18=入力リスト!$K$4,入力シート!$J$22=入力リスト!$K$4),IF(C138="","入社年月日",""),"")&amp;IF(D138="","性別","")="","","が空白です。"),IF(J138,"入社年月日に「基準日」の翌日以降の日付が入力されています。","")&amp;IF(I138,"入社年月日に数値以外（又は1900/1/1以前の日付）が入力されています。","")&amp;IF(H138,"雇用形態"&amp;IF(OR(K138,L138),",",""),"")&amp;IF(K138,"性別"&amp;IF(L138,",",""),"")&amp;IF(L138,"役職","")&amp;IF(OR(H138,K138,L138),"に、［入力シート］(4)「貴社」欄と異なる文言が入力されています。","")))))</f>
        <v/>
      </c>
      <c r="G138" s="236" t="b">
        <f>COUNTIF($A$4:A137,$A138)&gt;0</f>
        <v>0</v>
      </c>
      <c r="H138" s="237" t="b">
        <f>IF(COUNTIF(入力シート!$J$16:$S$23,入力リスト!$K$4)=0,FALSE,IF(入力シート!$J$16=入力リスト!$K$5,FALSE,ISERROR(VLOOKUP(B138,入力シート!$S$37:$V$62,1,0))))</f>
        <v>0</v>
      </c>
      <c r="I138" s="237" t="b">
        <f>IF(AND(OR(入力シート!$J$18=入力リスト!$K$4,入力シート!$J$22=入力リスト!$K$4),入力シート!$J$24&lt;&gt;""),IF(ISERROR(C138+1),TRUE,IF(ISNUMBER(C138),FALSE,TRUE)),FALSE)</f>
        <v>0</v>
      </c>
      <c r="J138" s="237" t="b">
        <f>IF(AND(入力シート!$J$18=入力リスト!$K$4,入力シート!$J$22=入力リスト!$K$4),FALSE,IF(I138=TRUE,FALSE,IF(ISERROR(C138+1),FALSE,C138&gt;入力シート!$J$24)))</f>
        <v>0</v>
      </c>
      <c r="K138" s="237" t="b">
        <f>IF(COUNTIF(入力シート!$J$16:$S$23,入力リスト!$K$4)=0,FALSE,IF(AND(入力シート!$J$16&lt;&gt;入力リスト!$K$5,入力シート!$J$18&lt;&gt;入力リスト!$K$5,入力シート!$J$20&lt;&gt;入力リスト!$K$5,入力シート!$J$22&lt;&gt;入力リスト!$K$5),FALSE,ISERROR(VLOOKUP(D138,入力シート!$AW$37:$AY$38,1,0))))</f>
        <v>0</v>
      </c>
      <c r="L138" s="237" t="b">
        <f>IF(COUNTIF(入力シート!$J$16:$S$23,入力リスト!$K$4)=0,FALSE,IF(入力シート!$J$20=入力リスト!$K$5,FALSE,IF(E138="",FALSE,ISERROR(VLOOKUP(E138,入力シート!$AH$37:$AK$62,1,0)))))</f>
        <v>0</v>
      </c>
      <c r="M138" s="238" t="str">
        <f t="shared" si="2"/>
        <v/>
      </c>
      <c r="N138" s="236" t="str">
        <f>IF(B138="","",VLOOKUP('従業員情報(給与以外)'!$B138,入力シート!$S$37:$Z$62,5,0))</f>
        <v/>
      </c>
      <c r="O138" s="182" t="str">
        <f>IF(ISNUMBER(C138)=FALSE,"",IF(C138&gt;入力シート!$J$24,"",_xlfn.DAYS(入力シート!$J$24,'従業員情報(給与以外)'!$C138)/365))</f>
        <v/>
      </c>
      <c r="P138" s="237" t="str">
        <f>IF(O138="","",VLOOKUP(_xlfn.DAYS(入力シート!$J$24,'従業員情報(給与以外)'!$C138)/365,入力リスト!$H$4:$I$12,2,2))</f>
        <v/>
      </c>
      <c r="Q138" s="236" t="str">
        <f>IF(D138="","",VLOOKUP('従業員情報(給与以外)'!$D138,入力シート!$AW$37:$BB$38,4,0))</f>
        <v/>
      </c>
      <c r="R138" s="236" t="str">
        <f>IF(A138="","",IF(E138="","非役職",VLOOKUP('従業員情報(給与以外)'!$E138,入力シート!$AH$37:$AO$62,5,0)))</f>
        <v/>
      </c>
      <c r="S138" s="116" t="str">
        <f>IF(OR(入力シート!$C$5&lt;&gt;入力リスト!$N$4,COUNTIF(入力シート!$J$16:$S$23,入力リスト!$K$4)=0),"",IF($A138="","",IF(ISERROR(AVERAGEIF(従業員の給与情報!$B:$B,$A138,従業員の給与情報!$C:$C)),0,IF(ISERROR(AVERAGEIF(従業員の給与情報!$B:$B,$A138,従業員の給与情報!$C:$C)),0,AVERAGEIF(従業員の給与情報!$B:$B,$A138,従業員の給与情報!$C:$C)))))</f>
        <v/>
      </c>
      <c r="T138" s="116" t="str">
        <f>IF(OR(入力シート!$C$5&lt;&gt;入力リスト!$N$4,COUNTIF(入力シート!$J$16:$S$23,入力リスト!$K$4)=0),"",IF(A138="","",IF(ISERROR(AVERAGEIF(従業員の給与情報!$B:$B,$A138,従業員の給与情報!$D:$D)),0,IF(ISERROR(AVERAGEIF(従業員の給与情報!$B:$B,$A138,従業員の給与情報!$D:$D)),0,AVERAGEIF(従業員の給与情報!$B:$B,$A138,従業員の給与情報!$D:$D)))))</f>
        <v/>
      </c>
      <c r="U138" s="116" t="str">
        <f>IF(OR(入力シート!$C$5&lt;&gt;入力リスト!$N$4,COUNTIF(入力シート!$J$16:$S$23,入力リスト!$K$4)=0),"",IF(A138="","",IF(ISERROR(AVERAGEIF(従業員の給与情報!$B:$B,$A138,従業員の給与情報!$E:$E)),0,IF(ISERROR(AVERAGEIF(従業員の給与情報!$B:$B,$A138,従業員の給与情報!$E:$E)),0,AVERAGEIF(従業員の給与情報!$B:$B,$A138,従業員の給与情報!$E:$E)))))</f>
        <v/>
      </c>
      <c r="V138" s="117" t="str">
        <f>IF(OR(入力シート!$C$5&lt;&gt;入力リスト!$N$4,COUNTIF(入力シート!$J$16:$S$23,入力リスト!$K$4)=0),"",IF(A138="","",IF(ISERROR(AVERAGEIF(従業員の給与情報!$B:$B,$A138,従業員の給与情報!$F:$F)),0,IF(ISERROR(AVERAGEIF(従業員の給与情報!$B:$B,$A138,従業員の給与情報!$F:$F)),0,AVERAGEIF(従業員の給与情報!$B:$B,$A138,従業員の給与情報!$F:$F)))))</f>
        <v/>
      </c>
      <c r="W138" s="182"/>
      <c r="X138" s="260"/>
    </row>
    <row r="139" spans="1:24" ht="19.5">
      <c r="A139" s="367"/>
      <c r="B139" s="364"/>
      <c r="C139" s="365"/>
      <c r="D139" s="366"/>
      <c r="E139" s="367"/>
      <c r="F139" s="372" t="str">
        <f>IF(G139,"この従業員番号は、すでに他のセルで入力されています。",IF(入力シート!$C$5=入力リスト!$N$5,"",IF(AND(A139="",B139="",C139="",D139="",E139=""),"",IF(OR(A139="",B139="",C139="",D139=""),IF(A139="","従業員番号","")&amp;IF(AND(A139="",OR(B139="",C139="",D139="")),",","")&amp;IF(B139="","雇用形態","")&amp;IF(AND(B139="",OR(C139="",D139="")),",","")&amp;IF(OR(入力シート!$J$18=入力リスト!$K$4,入力シート!$J$22=入力リスト!$K$4),IF(C139="","入社年月日",""),"")&amp;IF(AND(C139="",D139=""),",","")&amp;IF(D139="","性別","")&amp;IF(IF(A139="","従業員番号","")&amp;IF(B139="","雇用形態","")&amp;IF(OR(入力シート!$J$18=入力リスト!$K$4,入力シート!$J$22=入力リスト!$K$4),IF(C139="","入社年月日",""),"")&amp;IF(D139="","性別","")="","","が空白です。"),IF(J139,"入社年月日に「基準日」の翌日以降の日付が入力されています。","")&amp;IF(I139,"入社年月日に数値以外（又は1900/1/1以前の日付）が入力されています。","")&amp;IF(H139,"雇用形態"&amp;IF(OR(K139,L139),",",""),"")&amp;IF(K139,"性別"&amp;IF(L139,",",""),"")&amp;IF(L139,"役職","")&amp;IF(OR(H139,K139,L139),"に、［入力シート］(4)「貴社」欄と異なる文言が入力されています。","")))))</f>
        <v/>
      </c>
      <c r="G139" s="236" t="b">
        <f>COUNTIF($A$4:A138,$A139)&gt;0</f>
        <v>0</v>
      </c>
      <c r="H139" s="237" t="b">
        <f>IF(COUNTIF(入力シート!$J$16:$S$23,入力リスト!$K$4)=0,FALSE,IF(入力シート!$J$16=入力リスト!$K$5,FALSE,ISERROR(VLOOKUP(B139,入力シート!$S$37:$V$62,1,0))))</f>
        <v>0</v>
      </c>
      <c r="I139" s="237" t="b">
        <f>IF(AND(OR(入力シート!$J$18=入力リスト!$K$4,入力シート!$J$22=入力リスト!$K$4),入力シート!$J$24&lt;&gt;""),IF(ISERROR(C139+1),TRUE,IF(ISNUMBER(C139),FALSE,TRUE)),FALSE)</f>
        <v>0</v>
      </c>
      <c r="J139" s="237" t="b">
        <f>IF(AND(入力シート!$J$18=入力リスト!$K$4,入力シート!$J$22=入力リスト!$K$4),FALSE,IF(I139=TRUE,FALSE,IF(ISERROR(C139+1),FALSE,C139&gt;入力シート!$J$24)))</f>
        <v>0</v>
      </c>
      <c r="K139" s="237" t="b">
        <f>IF(COUNTIF(入力シート!$J$16:$S$23,入力リスト!$K$4)=0,FALSE,IF(AND(入力シート!$J$16&lt;&gt;入力リスト!$K$5,入力シート!$J$18&lt;&gt;入力リスト!$K$5,入力シート!$J$20&lt;&gt;入力リスト!$K$5,入力シート!$J$22&lt;&gt;入力リスト!$K$5),FALSE,ISERROR(VLOOKUP(D139,入力シート!$AW$37:$AY$38,1,0))))</f>
        <v>0</v>
      </c>
      <c r="L139" s="237" t="b">
        <f>IF(COUNTIF(入力シート!$J$16:$S$23,入力リスト!$K$4)=0,FALSE,IF(入力シート!$J$20=入力リスト!$K$5,FALSE,IF(E139="",FALSE,ISERROR(VLOOKUP(E139,入力シート!$AH$37:$AK$62,1,0)))))</f>
        <v>0</v>
      </c>
      <c r="M139" s="238" t="str">
        <f t="shared" si="2"/>
        <v/>
      </c>
      <c r="N139" s="236" t="str">
        <f>IF(B139="","",VLOOKUP('従業員情報(給与以外)'!$B139,入力シート!$S$37:$Z$62,5,0))</f>
        <v/>
      </c>
      <c r="O139" s="182" t="str">
        <f>IF(ISNUMBER(C139)=FALSE,"",IF(C139&gt;入力シート!$J$24,"",_xlfn.DAYS(入力シート!$J$24,'従業員情報(給与以外)'!$C139)/365))</f>
        <v/>
      </c>
      <c r="P139" s="237" t="str">
        <f>IF(O139="","",VLOOKUP(_xlfn.DAYS(入力シート!$J$24,'従業員情報(給与以外)'!$C139)/365,入力リスト!$H$4:$I$12,2,2))</f>
        <v/>
      </c>
      <c r="Q139" s="236" t="str">
        <f>IF(D139="","",VLOOKUP('従業員情報(給与以外)'!$D139,入力シート!$AW$37:$BB$38,4,0))</f>
        <v/>
      </c>
      <c r="R139" s="236" t="str">
        <f>IF(A139="","",IF(E139="","非役職",VLOOKUP('従業員情報(給与以外)'!$E139,入力シート!$AH$37:$AO$62,5,0)))</f>
        <v/>
      </c>
      <c r="S139" s="116" t="str">
        <f>IF(OR(入力シート!$C$5&lt;&gt;入力リスト!$N$4,COUNTIF(入力シート!$J$16:$S$23,入力リスト!$K$4)=0),"",IF($A139="","",IF(ISERROR(AVERAGEIF(従業員の給与情報!$B:$B,$A139,従業員の給与情報!$C:$C)),0,IF(ISERROR(AVERAGEIF(従業員の給与情報!$B:$B,$A139,従業員の給与情報!$C:$C)),0,AVERAGEIF(従業員の給与情報!$B:$B,$A139,従業員の給与情報!$C:$C)))))</f>
        <v/>
      </c>
      <c r="T139" s="116" t="str">
        <f>IF(OR(入力シート!$C$5&lt;&gt;入力リスト!$N$4,COUNTIF(入力シート!$J$16:$S$23,入力リスト!$K$4)=0),"",IF(A139="","",IF(ISERROR(AVERAGEIF(従業員の給与情報!$B:$B,$A139,従業員の給与情報!$D:$D)),0,IF(ISERROR(AVERAGEIF(従業員の給与情報!$B:$B,$A139,従業員の給与情報!$D:$D)),0,AVERAGEIF(従業員の給与情報!$B:$B,$A139,従業員の給与情報!$D:$D)))))</f>
        <v/>
      </c>
      <c r="U139" s="116" t="str">
        <f>IF(OR(入力シート!$C$5&lt;&gt;入力リスト!$N$4,COUNTIF(入力シート!$J$16:$S$23,入力リスト!$K$4)=0),"",IF(A139="","",IF(ISERROR(AVERAGEIF(従業員の給与情報!$B:$B,$A139,従業員の給与情報!$E:$E)),0,IF(ISERROR(AVERAGEIF(従業員の給与情報!$B:$B,$A139,従業員の給与情報!$E:$E)),0,AVERAGEIF(従業員の給与情報!$B:$B,$A139,従業員の給与情報!$E:$E)))))</f>
        <v/>
      </c>
      <c r="V139" s="117" t="str">
        <f>IF(OR(入力シート!$C$5&lt;&gt;入力リスト!$N$4,COUNTIF(入力シート!$J$16:$S$23,入力リスト!$K$4)=0),"",IF(A139="","",IF(ISERROR(AVERAGEIF(従業員の給与情報!$B:$B,$A139,従業員の給与情報!$F:$F)),0,IF(ISERROR(AVERAGEIF(従業員の給与情報!$B:$B,$A139,従業員の給与情報!$F:$F)),0,AVERAGEIF(従業員の給与情報!$B:$B,$A139,従業員の給与情報!$F:$F)))))</f>
        <v/>
      </c>
      <c r="W139" s="182"/>
      <c r="X139" s="260"/>
    </row>
    <row r="140" spans="1:24" ht="19.5">
      <c r="A140" s="367"/>
      <c r="B140" s="364"/>
      <c r="C140" s="365"/>
      <c r="D140" s="366"/>
      <c r="E140" s="367"/>
      <c r="F140" s="372" t="str">
        <f>IF(G140,"この従業員番号は、すでに他のセルで入力されています。",IF(入力シート!$C$5=入力リスト!$N$5,"",IF(AND(A140="",B140="",C140="",D140="",E140=""),"",IF(OR(A140="",B140="",C140="",D140=""),IF(A140="","従業員番号","")&amp;IF(AND(A140="",OR(B140="",C140="",D140="")),",","")&amp;IF(B140="","雇用形態","")&amp;IF(AND(B140="",OR(C140="",D140="")),",","")&amp;IF(OR(入力シート!$J$18=入力リスト!$K$4,入力シート!$J$22=入力リスト!$K$4),IF(C140="","入社年月日",""),"")&amp;IF(AND(C140="",D140=""),",","")&amp;IF(D140="","性別","")&amp;IF(IF(A140="","従業員番号","")&amp;IF(B140="","雇用形態","")&amp;IF(OR(入力シート!$J$18=入力リスト!$K$4,入力シート!$J$22=入力リスト!$K$4),IF(C140="","入社年月日",""),"")&amp;IF(D140="","性別","")="","","が空白です。"),IF(J140,"入社年月日に「基準日」の翌日以降の日付が入力されています。","")&amp;IF(I140,"入社年月日に数値以外（又は1900/1/1以前の日付）が入力されています。","")&amp;IF(H140,"雇用形態"&amp;IF(OR(K140,L140),",",""),"")&amp;IF(K140,"性別"&amp;IF(L140,",",""),"")&amp;IF(L140,"役職","")&amp;IF(OR(H140,K140,L140),"に、［入力シート］(4)「貴社」欄と異なる文言が入力されています。","")))))</f>
        <v/>
      </c>
      <c r="G140" s="236" t="b">
        <f>COUNTIF($A$4:A139,$A140)&gt;0</f>
        <v>0</v>
      </c>
      <c r="H140" s="237" t="b">
        <f>IF(COUNTIF(入力シート!$J$16:$S$23,入力リスト!$K$4)=0,FALSE,IF(入力シート!$J$16=入力リスト!$K$5,FALSE,ISERROR(VLOOKUP(B140,入力シート!$S$37:$V$62,1,0))))</f>
        <v>0</v>
      </c>
      <c r="I140" s="237" t="b">
        <f>IF(AND(OR(入力シート!$J$18=入力リスト!$K$4,入力シート!$J$22=入力リスト!$K$4),入力シート!$J$24&lt;&gt;""),IF(ISERROR(C140+1),TRUE,IF(ISNUMBER(C140),FALSE,TRUE)),FALSE)</f>
        <v>0</v>
      </c>
      <c r="J140" s="237" t="b">
        <f>IF(AND(入力シート!$J$18=入力リスト!$K$4,入力シート!$J$22=入力リスト!$K$4),FALSE,IF(I140=TRUE,FALSE,IF(ISERROR(C140+1),FALSE,C140&gt;入力シート!$J$24)))</f>
        <v>0</v>
      </c>
      <c r="K140" s="237" t="b">
        <f>IF(COUNTIF(入力シート!$J$16:$S$23,入力リスト!$K$4)=0,FALSE,IF(AND(入力シート!$J$16&lt;&gt;入力リスト!$K$5,入力シート!$J$18&lt;&gt;入力リスト!$K$5,入力シート!$J$20&lt;&gt;入力リスト!$K$5,入力シート!$J$22&lt;&gt;入力リスト!$K$5),FALSE,ISERROR(VLOOKUP(D140,入力シート!$AW$37:$AY$38,1,0))))</f>
        <v>0</v>
      </c>
      <c r="L140" s="237" t="b">
        <f>IF(COUNTIF(入力シート!$J$16:$S$23,入力リスト!$K$4)=0,FALSE,IF(入力シート!$J$20=入力リスト!$K$5,FALSE,IF(E140="",FALSE,ISERROR(VLOOKUP(E140,入力シート!$AH$37:$AK$62,1,0)))))</f>
        <v>0</v>
      </c>
      <c r="M140" s="238" t="str">
        <f t="shared" si="2"/>
        <v/>
      </c>
      <c r="N140" s="236" t="str">
        <f>IF(B140="","",VLOOKUP('従業員情報(給与以外)'!$B140,入力シート!$S$37:$Z$62,5,0))</f>
        <v/>
      </c>
      <c r="O140" s="182" t="str">
        <f>IF(ISNUMBER(C140)=FALSE,"",IF(C140&gt;入力シート!$J$24,"",_xlfn.DAYS(入力シート!$J$24,'従業員情報(給与以外)'!$C140)/365))</f>
        <v/>
      </c>
      <c r="P140" s="237" t="str">
        <f>IF(O140="","",VLOOKUP(_xlfn.DAYS(入力シート!$J$24,'従業員情報(給与以外)'!$C140)/365,入力リスト!$H$4:$I$12,2,2))</f>
        <v/>
      </c>
      <c r="Q140" s="236" t="str">
        <f>IF(D140="","",VLOOKUP('従業員情報(給与以外)'!$D140,入力シート!$AW$37:$BB$38,4,0))</f>
        <v/>
      </c>
      <c r="R140" s="236" t="str">
        <f>IF(A140="","",IF(E140="","非役職",VLOOKUP('従業員情報(給与以外)'!$E140,入力シート!$AH$37:$AO$62,5,0)))</f>
        <v/>
      </c>
      <c r="S140" s="116" t="str">
        <f>IF(OR(入力シート!$C$5&lt;&gt;入力リスト!$N$4,COUNTIF(入力シート!$J$16:$S$23,入力リスト!$K$4)=0),"",IF($A140="","",IF(ISERROR(AVERAGEIF(従業員の給与情報!$B:$B,$A140,従業員の給与情報!$C:$C)),0,IF(ISERROR(AVERAGEIF(従業員の給与情報!$B:$B,$A140,従業員の給与情報!$C:$C)),0,AVERAGEIF(従業員の給与情報!$B:$B,$A140,従業員の給与情報!$C:$C)))))</f>
        <v/>
      </c>
      <c r="T140" s="116" t="str">
        <f>IF(OR(入力シート!$C$5&lt;&gt;入力リスト!$N$4,COUNTIF(入力シート!$J$16:$S$23,入力リスト!$K$4)=0),"",IF(A140="","",IF(ISERROR(AVERAGEIF(従業員の給与情報!$B:$B,$A140,従業員の給与情報!$D:$D)),0,IF(ISERROR(AVERAGEIF(従業員の給与情報!$B:$B,$A140,従業員の給与情報!$D:$D)),0,AVERAGEIF(従業員の給与情報!$B:$B,$A140,従業員の給与情報!$D:$D)))))</f>
        <v/>
      </c>
      <c r="U140" s="116" t="str">
        <f>IF(OR(入力シート!$C$5&lt;&gt;入力リスト!$N$4,COUNTIF(入力シート!$J$16:$S$23,入力リスト!$K$4)=0),"",IF(A140="","",IF(ISERROR(AVERAGEIF(従業員の給与情報!$B:$B,$A140,従業員の給与情報!$E:$E)),0,IF(ISERROR(AVERAGEIF(従業員の給与情報!$B:$B,$A140,従業員の給与情報!$E:$E)),0,AVERAGEIF(従業員の給与情報!$B:$B,$A140,従業員の給与情報!$E:$E)))))</f>
        <v/>
      </c>
      <c r="V140" s="117" t="str">
        <f>IF(OR(入力シート!$C$5&lt;&gt;入力リスト!$N$4,COUNTIF(入力シート!$J$16:$S$23,入力リスト!$K$4)=0),"",IF(A140="","",IF(ISERROR(AVERAGEIF(従業員の給与情報!$B:$B,$A140,従業員の給与情報!$F:$F)),0,IF(ISERROR(AVERAGEIF(従業員の給与情報!$B:$B,$A140,従業員の給与情報!$F:$F)),0,AVERAGEIF(従業員の給与情報!$B:$B,$A140,従業員の給与情報!$F:$F)))))</f>
        <v/>
      </c>
      <c r="W140" s="182"/>
      <c r="X140" s="260"/>
    </row>
    <row r="141" spans="1:24" ht="19.5">
      <c r="A141" s="367"/>
      <c r="B141" s="364"/>
      <c r="C141" s="365"/>
      <c r="D141" s="366"/>
      <c r="E141" s="367"/>
      <c r="F141" s="372" t="str">
        <f>IF(G141,"この従業員番号は、すでに他のセルで入力されています。",IF(入力シート!$C$5=入力リスト!$N$5,"",IF(AND(A141="",B141="",C141="",D141="",E141=""),"",IF(OR(A141="",B141="",C141="",D141=""),IF(A141="","従業員番号","")&amp;IF(AND(A141="",OR(B141="",C141="",D141="")),",","")&amp;IF(B141="","雇用形態","")&amp;IF(AND(B141="",OR(C141="",D141="")),",","")&amp;IF(OR(入力シート!$J$18=入力リスト!$K$4,入力シート!$J$22=入力リスト!$K$4),IF(C141="","入社年月日",""),"")&amp;IF(AND(C141="",D141=""),",","")&amp;IF(D141="","性別","")&amp;IF(IF(A141="","従業員番号","")&amp;IF(B141="","雇用形態","")&amp;IF(OR(入力シート!$J$18=入力リスト!$K$4,入力シート!$J$22=入力リスト!$K$4),IF(C141="","入社年月日",""),"")&amp;IF(D141="","性別","")="","","が空白です。"),IF(J141,"入社年月日に「基準日」の翌日以降の日付が入力されています。","")&amp;IF(I141,"入社年月日に数値以外（又は1900/1/1以前の日付）が入力されています。","")&amp;IF(H141,"雇用形態"&amp;IF(OR(K141,L141),",",""),"")&amp;IF(K141,"性別"&amp;IF(L141,",",""),"")&amp;IF(L141,"役職","")&amp;IF(OR(H141,K141,L141),"に、［入力シート］(4)「貴社」欄と異なる文言が入力されています。","")))))</f>
        <v/>
      </c>
      <c r="G141" s="236" t="b">
        <f>COUNTIF($A$4:A140,$A141)&gt;0</f>
        <v>0</v>
      </c>
      <c r="H141" s="237" t="b">
        <f>IF(COUNTIF(入力シート!$J$16:$S$23,入力リスト!$K$4)=0,FALSE,IF(入力シート!$J$16=入力リスト!$K$5,FALSE,ISERROR(VLOOKUP(B141,入力シート!$S$37:$V$62,1,0))))</f>
        <v>0</v>
      </c>
      <c r="I141" s="237" t="b">
        <f>IF(AND(OR(入力シート!$J$18=入力リスト!$K$4,入力シート!$J$22=入力リスト!$K$4),入力シート!$J$24&lt;&gt;""),IF(ISERROR(C141+1),TRUE,IF(ISNUMBER(C141),FALSE,TRUE)),FALSE)</f>
        <v>0</v>
      </c>
      <c r="J141" s="237" t="b">
        <f>IF(AND(入力シート!$J$18=入力リスト!$K$4,入力シート!$J$22=入力リスト!$K$4),FALSE,IF(I141=TRUE,FALSE,IF(ISERROR(C141+1),FALSE,C141&gt;入力シート!$J$24)))</f>
        <v>0</v>
      </c>
      <c r="K141" s="237" t="b">
        <f>IF(COUNTIF(入力シート!$J$16:$S$23,入力リスト!$K$4)=0,FALSE,IF(AND(入力シート!$J$16&lt;&gt;入力リスト!$K$5,入力シート!$J$18&lt;&gt;入力リスト!$K$5,入力シート!$J$20&lt;&gt;入力リスト!$K$5,入力シート!$J$22&lt;&gt;入力リスト!$K$5),FALSE,ISERROR(VLOOKUP(D141,入力シート!$AW$37:$AY$38,1,0))))</f>
        <v>0</v>
      </c>
      <c r="L141" s="237" t="b">
        <f>IF(COUNTIF(入力シート!$J$16:$S$23,入力リスト!$K$4)=0,FALSE,IF(入力シート!$J$20=入力リスト!$K$5,FALSE,IF(E141="",FALSE,ISERROR(VLOOKUP(E141,入力シート!$AH$37:$AK$62,1,0)))))</f>
        <v>0</v>
      </c>
      <c r="M141" s="238" t="str">
        <f t="shared" si="2"/>
        <v/>
      </c>
      <c r="N141" s="236" t="str">
        <f>IF(B141="","",VLOOKUP('従業員情報(給与以外)'!$B141,入力シート!$S$37:$Z$62,5,0))</f>
        <v/>
      </c>
      <c r="O141" s="182" t="str">
        <f>IF(ISNUMBER(C141)=FALSE,"",IF(C141&gt;入力シート!$J$24,"",_xlfn.DAYS(入力シート!$J$24,'従業員情報(給与以外)'!$C141)/365))</f>
        <v/>
      </c>
      <c r="P141" s="237" t="str">
        <f>IF(O141="","",VLOOKUP(_xlfn.DAYS(入力シート!$J$24,'従業員情報(給与以外)'!$C141)/365,入力リスト!$H$4:$I$12,2,2))</f>
        <v/>
      </c>
      <c r="Q141" s="236" t="str">
        <f>IF(D141="","",VLOOKUP('従業員情報(給与以外)'!$D141,入力シート!$AW$37:$BB$38,4,0))</f>
        <v/>
      </c>
      <c r="R141" s="236" t="str">
        <f>IF(A141="","",IF(E141="","非役職",VLOOKUP('従業員情報(給与以外)'!$E141,入力シート!$AH$37:$AO$62,5,0)))</f>
        <v/>
      </c>
      <c r="S141" s="116" t="str">
        <f>IF(OR(入力シート!$C$5&lt;&gt;入力リスト!$N$4,COUNTIF(入力シート!$J$16:$S$23,入力リスト!$K$4)=0),"",IF($A141="","",IF(ISERROR(AVERAGEIF(従業員の給与情報!$B:$B,$A141,従業員の給与情報!$C:$C)),0,IF(ISERROR(AVERAGEIF(従業員の給与情報!$B:$B,$A141,従業員の給与情報!$C:$C)),0,AVERAGEIF(従業員の給与情報!$B:$B,$A141,従業員の給与情報!$C:$C)))))</f>
        <v/>
      </c>
      <c r="T141" s="116" t="str">
        <f>IF(OR(入力シート!$C$5&lt;&gt;入力リスト!$N$4,COUNTIF(入力シート!$J$16:$S$23,入力リスト!$K$4)=0),"",IF(A141="","",IF(ISERROR(AVERAGEIF(従業員の給与情報!$B:$B,$A141,従業員の給与情報!$D:$D)),0,IF(ISERROR(AVERAGEIF(従業員の給与情報!$B:$B,$A141,従業員の給与情報!$D:$D)),0,AVERAGEIF(従業員の給与情報!$B:$B,$A141,従業員の給与情報!$D:$D)))))</f>
        <v/>
      </c>
      <c r="U141" s="116" t="str">
        <f>IF(OR(入力シート!$C$5&lt;&gt;入力リスト!$N$4,COUNTIF(入力シート!$J$16:$S$23,入力リスト!$K$4)=0),"",IF(A141="","",IF(ISERROR(AVERAGEIF(従業員の給与情報!$B:$B,$A141,従業員の給与情報!$E:$E)),0,IF(ISERROR(AVERAGEIF(従業員の給与情報!$B:$B,$A141,従業員の給与情報!$E:$E)),0,AVERAGEIF(従業員の給与情報!$B:$B,$A141,従業員の給与情報!$E:$E)))))</f>
        <v/>
      </c>
      <c r="V141" s="117" t="str">
        <f>IF(OR(入力シート!$C$5&lt;&gt;入力リスト!$N$4,COUNTIF(入力シート!$J$16:$S$23,入力リスト!$K$4)=0),"",IF(A141="","",IF(ISERROR(AVERAGEIF(従業員の給与情報!$B:$B,$A141,従業員の給与情報!$F:$F)),0,IF(ISERROR(AVERAGEIF(従業員の給与情報!$B:$B,$A141,従業員の給与情報!$F:$F)),0,AVERAGEIF(従業員の給与情報!$B:$B,$A141,従業員の給与情報!$F:$F)))))</f>
        <v/>
      </c>
      <c r="W141" s="182"/>
      <c r="X141" s="260"/>
    </row>
    <row r="142" spans="1:24" ht="19.5">
      <c r="A142" s="367"/>
      <c r="B142" s="364"/>
      <c r="C142" s="365"/>
      <c r="D142" s="366"/>
      <c r="E142" s="364"/>
      <c r="F142" s="372" t="str">
        <f>IF(G142,"この従業員番号は、すでに他のセルで入力されています。",IF(入力シート!$C$5=入力リスト!$N$5,"",IF(AND(A142="",B142="",C142="",D142="",E142=""),"",IF(OR(A142="",B142="",C142="",D142=""),IF(A142="","従業員番号","")&amp;IF(AND(A142="",OR(B142="",C142="",D142="")),",","")&amp;IF(B142="","雇用形態","")&amp;IF(AND(B142="",OR(C142="",D142="")),",","")&amp;IF(OR(入力シート!$J$18=入力リスト!$K$4,入力シート!$J$22=入力リスト!$K$4),IF(C142="","入社年月日",""),"")&amp;IF(AND(C142="",D142=""),",","")&amp;IF(D142="","性別","")&amp;IF(IF(A142="","従業員番号","")&amp;IF(B142="","雇用形態","")&amp;IF(OR(入力シート!$J$18=入力リスト!$K$4,入力シート!$J$22=入力リスト!$K$4),IF(C142="","入社年月日",""),"")&amp;IF(D142="","性別","")="","","が空白です。"),IF(J142,"入社年月日に「基準日」の翌日以降の日付が入力されています。","")&amp;IF(I142,"入社年月日に数値以外（又は1900/1/1以前の日付）が入力されています。","")&amp;IF(H142,"雇用形態"&amp;IF(OR(K142,L142),",",""),"")&amp;IF(K142,"性別"&amp;IF(L142,",",""),"")&amp;IF(L142,"役職","")&amp;IF(OR(H142,K142,L142),"に、［入力シート］(4)「貴社」欄と異なる文言が入力されています。","")))))</f>
        <v/>
      </c>
      <c r="G142" s="236" t="b">
        <f>COUNTIF($A$4:A141,$A142)&gt;0</f>
        <v>0</v>
      </c>
      <c r="H142" s="237" t="b">
        <f>IF(COUNTIF(入力シート!$J$16:$S$23,入力リスト!$K$4)=0,FALSE,IF(入力シート!$J$16=入力リスト!$K$5,FALSE,ISERROR(VLOOKUP(B142,入力シート!$S$37:$V$62,1,0))))</f>
        <v>0</v>
      </c>
      <c r="I142" s="237" t="b">
        <f>IF(AND(OR(入力シート!$J$18=入力リスト!$K$4,入力シート!$J$22=入力リスト!$K$4),入力シート!$J$24&lt;&gt;""),IF(ISERROR(C142+1),TRUE,IF(ISNUMBER(C142),FALSE,TRUE)),FALSE)</f>
        <v>0</v>
      </c>
      <c r="J142" s="237" t="b">
        <f>IF(AND(入力シート!$J$18=入力リスト!$K$4,入力シート!$J$22=入力リスト!$K$4),FALSE,IF(I142=TRUE,FALSE,IF(ISERROR(C142+1),FALSE,C142&gt;入力シート!$J$24)))</f>
        <v>0</v>
      </c>
      <c r="K142" s="237" t="b">
        <f>IF(COUNTIF(入力シート!$J$16:$S$23,入力リスト!$K$4)=0,FALSE,IF(AND(入力シート!$J$16&lt;&gt;入力リスト!$K$5,入力シート!$J$18&lt;&gt;入力リスト!$K$5,入力シート!$J$20&lt;&gt;入力リスト!$K$5,入力シート!$J$22&lt;&gt;入力リスト!$K$5),FALSE,ISERROR(VLOOKUP(D142,入力シート!$AW$37:$AY$38,1,0))))</f>
        <v>0</v>
      </c>
      <c r="L142" s="237" t="b">
        <f>IF(COUNTIF(入力シート!$J$16:$S$23,入力リスト!$K$4)=0,FALSE,IF(入力シート!$J$20=入力リスト!$K$5,FALSE,IF(E142="",FALSE,ISERROR(VLOOKUP(E142,入力シート!$AH$37:$AK$62,1,0)))))</f>
        <v>0</v>
      </c>
      <c r="M142" s="238" t="str">
        <f t="shared" si="2"/>
        <v/>
      </c>
      <c r="N142" s="236" t="str">
        <f>IF(B142="","",VLOOKUP('従業員情報(給与以外)'!$B142,入力シート!$S$37:$Z$62,5,0))</f>
        <v/>
      </c>
      <c r="O142" s="182" t="str">
        <f>IF(ISNUMBER(C142)=FALSE,"",IF(C142&gt;入力シート!$J$24,"",_xlfn.DAYS(入力シート!$J$24,'従業員情報(給与以外)'!$C142)/365))</f>
        <v/>
      </c>
      <c r="P142" s="237" t="str">
        <f>IF(O142="","",VLOOKUP(_xlfn.DAYS(入力シート!$J$24,'従業員情報(給与以外)'!$C142)/365,入力リスト!$H$4:$I$12,2,2))</f>
        <v/>
      </c>
      <c r="Q142" s="236" t="str">
        <f>IF(D142="","",VLOOKUP('従業員情報(給与以外)'!$D142,入力シート!$AW$37:$BB$38,4,0))</f>
        <v/>
      </c>
      <c r="R142" s="236" t="str">
        <f>IF(A142="","",IF(E142="","非役職",VLOOKUP('従業員情報(給与以外)'!$E142,入力シート!$AH$37:$AO$62,5,0)))</f>
        <v/>
      </c>
      <c r="S142" s="116" t="str">
        <f>IF(OR(入力シート!$C$5&lt;&gt;入力リスト!$N$4,COUNTIF(入力シート!$J$16:$S$23,入力リスト!$K$4)=0),"",IF($A142="","",IF(ISERROR(AVERAGEIF(従業員の給与情報!$B:$B,$A142,従業員の給与情報!$C:$C)),0,IF(ISERROR(AVERAGEIF(従業員の給与情報!$B:$B,$A142,従業員の給与情報!$C:$C)),0,AVERAGEIF(従業員の給与情報!$B:$B,$A142,従業員の給与情報!$C:$C)))))</f>
        <v/>
      </c>
      <c r="T142" s="116" t="str">
        <f>IF(OR(入力シート!$C$5&lt;&gt;入力リスト!$N$4,COUNTIF(入力シート!$J$16:$S$23,入力リスト!$K$4)=0),"",IF(A142="","",IF(ISERROR(AVERAGEIF(従業員の給与情報!$B:$B,$A142,従業員の給与情報!$D:$D)),0,IF(ISERROR(AVERAGEIF(従業員の給与情報!$B:$B,$A142,従業員の給与情報!$D:$D)),0,AVERAGEIF(従業員の給与情報!$B:$B,$A142,従業員の給与情報!$D:$D)))))</f>
        <v/>
      </c>
      <c r="U142" s="116" t="str">
        <f>IF(OR(入力シート!$C$5&lt;&gt;入力リスト!$N$4,COUNTIF(入力シート!$J$16:$S$23,入力リスト!$K$4)=0),"",IF(A142="","",IF(ISERROR(AVERAGEIF(従業員の給与情報!$B:$B,$A142,従業員の給与情報!$E:$E)),0,IF(ISERROR(AVERAGEIF(従業員の給与情報!$B:$B,$A142,従業員の給与情報!$E:$E)),0,AVERAGEIF(従業員の給与情報!$B:$B,$A142,従業員の給与情報!$E:$E)))))</f>
        <v/>
      </c>
      <c r="V142" s="117" t="str">
        <f>IF(OR(入力シート!$C$5&lt;&gt;入力リスト!$N$4,COUNTIF(入力シート!$J$16:$S$23,入力リスト!$K$4)=0),"",IF(A142="","",IF(ISERROR(AVERAGEIF(従業員の給与情報!$B:$B,$A142,従業員の給与情報!$F:$F)),0,IF(ISERROR(AVERAGEIF(従業員の給与情報!$B:$B,$A142,従業員の給与情報!$F:$F)),0,AVERAGEIF(従業員の給与情報!$B:$B,$A142,従業員の給与情報!$F:$F)))))</f>
        <v/>
      </c>
      <c r="W142" s="182"/>
      <c r="X142" s="260"/>
    </row>
    <row r="143" spans="1:24" ht="19.5">
      <c r="A143" s="367"/>
      <c r="B143" s="364"/>
      <c r="C143" s="365"/>
      <c r="D143" s="366"/>
      <c r="E143" s="367"/>
      <c r="F143" s="372" t="str">
        <f>IF(G143,"この従業員番号は、すでに他のセルで入力されています。",IF(入力シート!$C$5=入力リスト!$N$5,"",IF(AND(A143="",B143="",C143="",D143="",E143=""),"",IF(OR(A143="",B143="",C143="",D143=""),IF(A143="","従業員番号","")&amp;IF(AND(A143="",OR(B143="",C143="",D143="")),",","")&amp;IF(B143="","雇用形態","")&amp;IF(AND(B143="",OR(C143="",D143="")),",","")&amp;IF(OR(入力シート!$J$18=入力リスト!$K$4,入力シート!$J$22=入力リスト!$K$4),IF(C143="","入社年月日",""),"")&amp;IF(AND(C143="",D143=""),",","")&amp;IF(D143="","性別","")&amp;IF(IF(A143="","従業員番号","")&amp;IF(B143="","雇用形態","")&amp;IF(OR(入力シート!$J$18=入力リスト!$K$4,入力シート!$J$22=入力リスト!$K$4),IF(C143="","入社年月日",""),"")&amp;IF(D143="","性別","")="","","が空白です。"),IF(J143,"入社年月日に「基準日」の翌日以降の日付が入力されています。","")&amp;IF(I143,"入社年月日に数値以外（又は1900/1/1以前の日付）が入力されています。","")&amp;IF(H143,"雇用形態"&amp;IF(OR(K143,L143),",",""),"")&amp;IF(K143,"性別"&amp;IF(L143,",",""),"")&amp;IF(L143,"役職","")&amp;IF(OR(H143,K143,L143),"に、［入力シート］(4)「貴社」欄と異なる文言が入力されています。","")))))</f>
        <v/>
      </c>
      <c r="G143" s="236" t="b">
        <f>COUNTIF($A$4:A142,$A143)&gt;0</f>
        <v>0</v>
      </c>
      <c r="H143" s="237" t="b">
        <f>IF(COUNTIF(入力シート!$J$16:$S$23,入力リスト!$K$4)=0,FALSE,IF(入力シート!$J$16=入力リスト!$K$5,FALSE,ISERROR(VLOOKUP(B143,入力シート!$S$37:$V$62,1,0))))</f>
        <v>0</v>
      </c>
      <c r="I143" s="237" t="b">
        <f>IF(AND(OR(入力シート!$J$18=入力リスト!$K$4,入力シート!$J$22=入力リスト!$K$4),入力シート!$J$24&lt;&gt;""),IF(ISERROR(C143+1),TRUE,IF(ISNUMBER(C143),FALSE,TRUE)),FALSE)</f>
        <v>0</v>
      </c>
      <c r="J143" s="237" t="b">
        <f>IF(AND(入力シート!$J$18=入力リスト!$K$4,入力シート!$J$22=入力リスト!$K$4),FALSE,IF(I143=TRUE,FALSE,IF(ISERROR(C143+1),FALSE,C143&gt;入力シート!$J$24)))</f>
        <v>0</v>
      </c>
      <c r="K143" s="237" t="b">
        <f>IF(COUNTIF(入力シート!$J$16:$S$23,入力リスト!$K$4)=0,FALSE,IF(AND(入力シート!$J$16&lt;&gt;入力リスト!$K$5,入力シート!$J$18&lt;&gt;入力リスト!$K$5,入力シート!$J$20&lt;&gt;入力リスト!$K$5,入力シート!$J$22&lt;&gt;入力リスト!$K$5),FALSE,ISERROR(VLOOKUP(D143,入力シート!$AW$37:$AY$38,1,0))))</f>
        <v>0</v>
      </c>
      <c r="L143" s="237" t="b">
        <f>IF(COUNTIF(入力シート!$J$16:$S$23,入力リスト!$K$4)=0,FALSE,IF(入力シート!$J$20=入力リスト!$K$5,FALSE,IF(E143="",FALSE,ISERROR(VLOOKUP(E143,入力シート!$AH$37:$AK$62,1,0)))))</f>
        <v>0</v>
      </c>
      <c r="M143" s="238" t="str">
        <f t="shared" si="2"/>
        <v/>
      </c>
      <c r="N143" s="236" t="str">
        <f>IF(B143="","",VLOOKUP('従業員情報(給与以外)'!$B143,入力シート!$S$37:$Z$62,5,0))</f>
        <v/>
      </c>
      <c r="O143" s="182" t="str">
        <f>IF(ISNUMBER(C143)=FALSE,"",IF(C143&gt;入力シート!$J$24,"",_xlfn.DAYS(入力シート!$J$24,'従業員情報(給与以外)'!$C143)/365))</f>
        <v/>
      </c>
      <c r="P143" s="237" t="str">
        <f>IF(O143="","",VLOOKUP(_xlfn.DAYS(入力シート!$J$24,'従業員情報(給与以外)'!$C143)/365,入力リスト!$H$4:$I$12,2,2))</f>
        <v/>
      </c>
      <c r="Q143" s="236" t="str">
        <f>IF(D143="","",VLOOKUP('従業員情報(給与以外)'!$D143,入力シート!$AW$37:$BB$38,4,0))</f>
        <v/>
      </c>
      <c r="R143" s="236" t="str">
        <f>IF(A143="","",IF(E143="","非役職",VLOOKUP('従業員情報(給与以外)'!$E143,入力シート!$AH$37:$AO$62,5,0)))</f>
        <v/>
      </c>
      <c r="S143" s="116" t="str">
        <f>IF(OR(入力シート!$C$5&lt;&gt;入力リスト!$N$4,COUNTIF(入力シート!$J$16:$S$23,入力リスト!$K$4)=0),"",IF($A143="","",IF(ISERROR(AVERAGEIF(従業員の給与情報!$B:$B,$A143,従業員の給与情報!$C:$C)),0,IF(ISERROR(AVERAGEIF(従業員の給与情報!$B:$B,$A143,従業員の給与情報!$C:$C)),0,AVERAGEIF(従業員の給与情報!$B:$B,$A143,従業員の給与情報!$C:$C)))))</f>
        <v/>
      </c>
      <c r="T143" s="116" t="str">
        <f>IF(OR(入力シート!$C$5&lt;&gt;入力リスト!$N$4,COUNTIF(入力シート!$J$16:$S$23,入力リスト!$K$4)=0),"",IF(A143="","",IF(ISERROR(AVERAGEIF(従業員の給与情報!$B:$B,$A143,従業員の給与情報!$D:$D)),0,IF(ISERROR(AVERAGEIF(従業員の給与情報!$B:$B,$A143,従業員の給与情報!$D:$D)),0,AVERAGEIF(従業員の給与情報!$B:$B,$A143,従業員の給与情報!$D:$D)))))</f>
        <v/>
      </c>
      <c r="U143" s="116" t="str">
        <f>IF(OR(入力シート!$C$5&lt;&gt;入力リスト!$N$4,COUNTIF(入力シート!$J$16:$S$23,入力リスト!$K$4)=0),"",IF(A143="","",IF(ISERROR(AVERAGEIF(従業員の給与情報!$B:$B,$A143,従業員の給与情報!$E:$E)),0,IF(ISERROR(AVERAGEIF(従業員の給与情報!$B:$B,$A143,従業員の給与情報!$E:$E)),0,AVERAGEIF(従業員の給与情報!$B:$B,$A143,従業員の給与情報!$E:$E)))))</f>
        <v/>
      </c>
      <c r="V143" s="117" t="str">
        <f>IF(OR(入力シート!$C$5&lt;&gt;入力リスト!$N$4,COUNTIF(入力シート!$J$16:$S$23,入力リスト!$K$4)=0),"",IF(A143="","",IF(ISERROR(AVERAGEIF(従業員の給与情報!$B:$B,$A143,従業員の給与情報!$F:$F)),0,IF(ISERROR(AVERAGEIF(従業員の給与情報!$B:$B,$A143,従業員の給与情報!$F:$F)),0,AVERAGEIF(従業員の給与情報!$B:$B,$A143,従業員の給与情報!$F:$F)))))</f>
        <v/>
      </c>
      <c r="W143" s="182"/>
      <c r="X143" s="260"/>
    </row>
    <row r="144" spans="1:24" ht="19.5">
      <c r="A144" s="367"/>
      <c r="B144" s="364"/>
      <c r="C144" s="365"/>
      <c r="D144" s="366"/>
      <c r="E144" s="364"/>
      <c r="F144" s="372" t="str">
        <f>IF(G144,"この従業員番号は、すでに他のセルで入力されています。",IF(入力シート!$C$5=入力リスト!$N$5,"",IF(AND(A144="",B144="",C144="",D144="",E144=""),"",IF(OR(A144="",B144="",C144="",D144=""),IF(A144="","従業員番号","")&amp;IF(AND(A144="",OR(B144="",C144="",D144="")),",","")&amp;IF(B144="","雇用形態","")&amp;IF(AND(B144="",OR(C144="",D144="")),",","")&amp;IF(OR(入力シート!$J$18=入力リスト!$K$4,入力シート!$J$22=入力リスト!$K$4),IF(C144="","入社年月日",""),"")&amp;IF(AND(C144="",D144=""),",","")&amp;IF(D144="","性別","")&amp;IF(IF(A144="","従業員番号","")&amp;IF(B144="","雇用形態","")&amp;IF(OR(入力シート!$J$18=入力リスト!$K$4,入力シート!$J$22=入力リスト!$K$4),IF(C144="","入社年月日",""),"")&amp;IF(D144="","性別","")="","","が空白です。"),IF(J144,"入社年月日に「基準日」の翌日以降の日付が入力されています。","")&amp;IF(I144,"入社年月日に数値以外（又は1900/1/1以前の日付）が入力されています。","")&amp;IF(H144,"雇用形態"&amp;IF(OR(K144,L144),",",""),"")&amp;IF(K144,"性別"&amp;IF(L144,",",""),"")&amp;IF(L144,"役職","")&amp;IF(OR(H144,K144,L144),"に、［入力シート］(4)「貴社」欄と異なる文言が入力されています。","")))))</f>
        <v/>
      </c>
      <c r="G144" s="236" t="b">
        <f>COUNTIF($A$4:A143,$A144)&gt;0</f>
        <v>0</v>
      </c>
      <c r="H144" s="237" t="b">
        <f>IF(COUNTIF(入力シート!$J$16:$S$23,入力リスト!$K$4)=0,FALSE,IF(入力シート!$J$16=入力リスト!$K$5,FALSE,ISERROR(VLOOKUP(B144,入力シート!$S$37:$V$62,1,0))))</f>
        <v>0</v>
      </c>
      <c r="I144" s="237" t="b">
        <f>IF(AND(OR(入力シート!$J$18=入力リスト!$K$4,入力シート!$J$22=入力リスト!$K$4),入力シート!$J$24&lt;&gt;""),IF(ISERROR(C144+1),TRUE,IF(ISNUMBER(C144),FALSE,TRUE)),FALSE)</f>
        <v>0</v>
      </c>
      <c r="J144" s="237" t="b">
        <f>IF(AND(入力シート!$J$18=入力リスト!$K$4,入力シート!$J$22=入力リスト!$K$4),FALSE,IF(I144=TRUE,FALSE,IF(ISERROR(C144+1),FALSE,C144&gt;入力シート!$J$24)))</f>
        <v>0</v>
      </c>
      <c r="K144" s="237" t="b">
        <f>IF(COUNTIF(入力シート!$J$16:$S$23,入力リスト!$K$4)=0,FALSE,IF(AND(入力シート!$J$16&lt;&gt;入力リスト!$K$5,入力シート!$J$18&lt;&gt;入力リスト!$K$5,入力シート!$J$20&lt;&gt;入力リスト!$K$5,入力シート!$J$22&lt;&gt;入力リスト!$K$5),FALSE,ISERROR(VLOOKUP(D144,入力シート!$AW$37:$AY$38,1,0))))</f>
        <v>0</v>
      </c>
      <c r="L144" s="237" t="b">
        <f>IF(COUNTIF(入力シート!$J$16:$S$23,入力リスト!$K$4)=0,FALSE,IF(入力シート!$J$20=入力リスト!$K$5,FALSE,IF(E144="",FALSE,ISERROR(VLOOKUP(E144,入力シート!$AH$37:$AK$62,1,0)))))</f>
        <v>0</v>
      </c>
      <c r="M144" s="238" t="str">
        <f t="shared" si="2"/>
        <v/>
      </c>
      <c r="N144" s="236" t="str">
        <f>IF(B144="","",VLOOKUP('従業員情報(給与以外)'!$B144,入力シート!$S$37:$Z$62,5,0))</f>
        <v/>
      </c>
      <c r="O144" s="182" t="str">
        <f>IF(ISNUMBER(C144)=FALSE,"",IF(C144&gt;入力シート!$J$24,"",_xlfn.DAYS(入力シート!$J$24,'従業員情報(給与以外)'!$C144)/365))</f>
        <v/>
      </c>
      <c r="P144" s="237" t="str">
        <f>IF(O144="","",VLOOKUP(_xlfn.DAYS(入力シート!$J$24,'従業員情報(給与以外)'!$C144)/365,入力リスト!$H$4:$I$12,2,2))</f>
        <v/>
      </c>
      <c r="Q144" s="236" t="str">
        <f>IF(D144="","",VLOOKUP('従業員情報(給与以外)'!$D144,入力シート!$AW$37:$BB$38,4,0))</f>
        <v/>
      </c>
      <c r="R144" s="236" t="str">
        <f>IF(A144="","",IF(E144="","非役職",VLOOKUP('従業員情報(給与以外)'!$E144,入力シート!$AH$37:$AO$62,5,0)))</f>
        <v/>
      </c>
      <c r="S144" s="116" t="str">
        <f>IF(OR(入力シート!$C$5&lt;&gt;入力リスト!$N$4,COUNTIF(入力シート!$J$16:$S$23,入力リスト!$K$4)=0),"",IF($A144="","",IF(ISERROR(AVERAGEIF(従業員の給与情報!$B:$B,$A144,従業員の給与情報!$C:$C)),0,IF(ISERROR(AVERAGEIF(従業員の給与情報!$B:$B,$A144,従業員の給与情報!$C:$C)),0,AVERAGEIF(従業員の給与情報!$B:$B,$A144,従業員の給与情報!$C:$C)))))</f>
        <v/>
      </c>
      <c r="T144" s="116" t="str">
        <f>IF(OR(入力シート!$C$5&lt;&gt;入力リスト!$N$4,COUNTIF(入力シート!$J$16:$S$23,入力リスト!$K$4)=0),"",IF(A144="","",IF(ISERROR(AVERAGEIF(従業員の給与情報!$B:$B,$A144,従業員の給与情報!$D:$D)),0,IF(ISERROR(AVERAGEIF(従業員の給与情報!$B:$B,$A144,従業員の給与情報!$D:$D)),0,AVERAGEIF(従業員の給与情報!$B:$B,$A144,従業員の給与情報!$D:$D)))))</f>
        <v/>
      </c>
      <c r="U144" s="116" t="str">
        <f>IF(OR(入力シート!$C$5&lt;&gt;入力リスト!$N$4,COUNTIF(入力シート!$J$16:$S$23,入力リスト!$K$4)=0),"",IF(A144="","",IF(ISERROR(AVERAGEIF(従業員の給与情報!$B:$B,$A144,従業員の給与情報!$E:$E)),0,IF(ISERROR(AVERAGEIF(従業員の給与情報!$B:$B,$A144,従業員の給与情報!$E:$E)),0,AVERAGEIF(従業員の給与情報!$B:$B,$A144,従業員の給与情報!$E:$E)))))</f>
        <v/>
      </c>
      <c r="V144" s="117" t="str">
        <f>IF(OR(入力シート!$C$5&lt;&gt;入力リスト!$N$4,COUNTIF(入力シート!$J$16:$S$23,入力リスト!$K$4)=0),"",IF(A144="","",IF(ISERROR(AVERAGEIF(従業員の給与情報!$B:$B,$A144,従業員の給与情報!$F:$F)),0,IF(ISERROR(AVERAGEIF(従業員の給与情報!$B:$B,$A144,従業員の給与情報!$F:$F)),0,AVERAGEIF(従業員の給与情報!$B:$B,$A144,従業員の給与情報!$F:$F)))))</f>
        <v/>
      </c>
      <c r="W144" s="182"/>
      <c r="X144" s="260"/>
    </row>
    <row r="145" spans="1:24" ht="19.5">
      <c r="A145" s="367"/>
      <c r="B145" s="364"/>
      <c r="C145" s="365"/>
      <c r="D145" s="366"/>
      <c r="E145" s="364"/>
      <c r="F145" s="372" t="str">
        <f>IF(G145,"この従業員番号は、すでに他のセルで入力されています。",IF(入力シート!$C$5=入力リスト!$N$5,"",IF(AND(A145="",B145="",C145="",D145="",E145=""),"",IF(OR(A145="",B145="",C145="",D145=""),IF(A145="","従業員番号","")&amp;IF(AND(A145="",OR(B145="",C145="",D145="")),",","")&amp;IF(B145="","雇用形態","")&amp;IF(AND(B145="",OR(C145="",D145="")),",","")&amp;IF(OR(入力シート!$J$18=入力リスト!$K$4,入力シート!$J$22=入力リスト!$K$4),IF(C145="","入社年月日",""),"")&amp;IF(AND(C145="",D145=""),",","")&amp;IF(D145="","性別","")&amp;IF(IF(A145="","従業員番号","")&amp;IF(B145="","雇用形態","")&amp;IF(OR(入力シート!$J$18=入力リスト!$K$4,入力シート!$J$22=入力リスト!$K$4),IF(C145="","入社年月日",""),"")&amp;IF(D145="","性別","")="","","が空白です。"),IF(J145,"入社年月日に「基準日」の翌日以降の日付が入力されています。","")&amp;IF(I145,"入社年月日に数値以外（又は1900/1/1以前の日付）が入力されています。","")&amp;IF(H145,"雇用形態"&amp;IF(OR(K145,L145),",",""),"")&amp;IF(K145,"性別"&amp;IF(L145,",",""),"")&amp;IF(L145,"役職","")&amp;IF(OR(H145,K145,L145),"に、［入力シート］(4)「貴社」欄と異なる文言が入力されています。","")))))</f>
        <v/>
      </c>
      <c r="G145" s="236" t="b">
        <f>COUNTIF($A$4:A144,$A145)&gt;0</f>
        <v>0</v>
      </c>
      <c r="H145" s="237" t="b">
        <f>IF(COUNTIF(入力シート!$J$16:$S$23,入力リスト!$K$4)=0,FALSE,IF(入力シート!$J$16=入力リスト!$K$5,FALSE,ISERROR(VLOOKUP(B145,入力シート!$S$37:$V$62,1,0))))</f>
        <v>0</v>
      </c>
      <c r="I145" s="237" t="b">
        <f>IF(AND(OR(入力シート!$J$18=入力リスト!$K$4,入力シート!$J$22=入力リスト!$K$4),入力シート!$J$24&lt;&gt;""),IF(ISERROR(C145+1),TRUE,IF(ISNUMBER(C145),FALSE,TRUE)),FALSE)</f>
        <v>0</v>
      </c>
      <c r="J145" s="237" t="b">
        <f>IF(AND(入力シート!$J$18=入力リスト!$K$4,入力シート!$J$22=入力リスト!$K$4),FALSE,IF(I145=TRUE,FALSE,IF(ISERROR(C145+1),FALSE,C145&gt;入力シート!$J$24)))</f>
        <v>0</v>
      </c>
      <c r="K145" s="237" t="b">
        <f>IF(COUNTIF(入力シート!$J$16:$S$23,入力リスト!$K$4)=0,FALSE,IF(AND(入力シート!$J$16&lt;&gt;入力リスト!$K$5,入力シート!$J$18&lt;&gt;入力リスト!$K$5,入力シート!$J$20&lt;&gt;入力リスト!$K$5,入力シート!$J$22&lt;&gt;入力リスト!$K$5),FALSE,ISERROR(VLOOKUP(D145,入力シート!$AW$37:$AY$38,1,0))))</f>
        <v>0</v>
      </c>
      <c r="L145" s="237" t="b">
        <f>IF(COUNTIF(入力シート!$J$16:$S$23,入力リスト!$K$4)=0,FALSE,IF(入力シート!$J$20=入力リスト!$K$5,FALSE,IF(E145="",FALSE,ISERROR(VLOOKUP(E145,入力シート!$AH$37:$AK$62,1,0)))))</f>
        <v>0</v>
      </c>
      <c r="M145" s="238" t="str">
        <f t="shared" si="2"/>
        <v/>
      </c>
      <c r="N145" s="236" t="str">
        <f>IF(B145="","",VLOOKUP('従業員情報(給与以外)'!$B145,入力シート!$S$37:$Z$62,5,0))</f>
        <v/>
      </c>
      <c r="O145" s="182" t="str">
        <f>IF(ISNUMBER(C145)=FALSE,"",IF(C145&gt;入力シート!$J$24,"",_xlfn.DAYS(入力シート!$J$24,'従業員情報(給与以外)'!$C145)/365))</f>
        <v/>
      </c>
      <c r="P145" s="237" t="str">
        <f>IF(O145="","",VLOOKUP(_xlfn.DAYS(入力シート!$J$24,'従業員情報(給与以外)'!$C145)/365,入力リスト!$H$4:$I$12,2,2))</f>
        <v/>
      </c>
      <c r="Q145" s="236" t="str">
        <f>IF(D145="","",VLOOKUP('従業員情報(給与以外)'!$D145,入力シート!$AW$37:$BB$38,4,0))</f>
        <v/>
      </c>
      <c r="R145" s="236" t="str">
        <f>IF(A145="","",IF(E145="","非役職",VLOOKUP('従業員情報(給与以外)'!$E145,入力シート!$AH$37:$AO$62,5,0)))</f>
        <v/>
      </c>
      <c r="S145" s="116" t="str">
        <f>IF(OR(入力シート!$C$5&lt;&gt;入力リスト!$N$4,COUNTIF(入力シート!$J$16:$S$23,入力リスト!$K$4)=0),"",IF($A145="","",IF(ISERROR(AVERAGEIF(従業員の給与情報!$B:$B,$A145,従業員の給与情報!$C:$C)),0,IF(ISERROR(AVERAGEIF(従業員の給与情報!$B:$B,$A145,従業員の給与情報!$C:$C)),0,AVERAGEIF(従業員の給与情報!$B:$B,$A145,従業員の給与情報!$C:$C)))))</f>
        <v/>
      </c>
      <c r="T145" s="116" t="str">
        <f>IF(OR(入力シート!$C$5&lt;&gt;入力リスト!$N$4,COUNTIF(入力シート!$J$16:$S$23,入力リスト!$K$4)=0),"",IF(A145="","",IF(ISERROR(AVERAGEIF(従業員の給与情報!$B:$B,$A145,従業員の給与情報!$D:$D)),0,IF(ISERROR(AVERAGEIF(従業員の給与情報!$B:$B,$A145,従業員の給与情報!$D:$D)),0,AVERAGEIF(従業員の給与情報!$B:$B,$A145,従業員の給与情報!$D:$D)))))</f>
        <v/>
      </c>
      <c r="U145" s="116" t="str">
        <f>IF(OR(入力シート!$C$5&lt;&gt;入力リスト!$N$4,COUNTIF(入力シート!$J$16:$S$23,入力リスト!$K$4)=0),"",IF(A145="","",IF(ISERROR(AVERAGEIF(従業員の給与情報!$B:$B,$A145,従業員の給与情報!$E:$E)),0,IF(ISERROR(AVERAGEIF(従業員の給与情報!$B:$B,$A145,従業員の給与情報!$E:$E)),0,AVERAGEIF(従業員の給与情報!$B:$B,$A145,従業員の給与情報!$E:$E)))))</f>
        <v/>
      </c>
      <c r="V145" s="117" t="str">
        <f>IF(OR(入力シート!$C$5&lt;&gt;入力リスト!$N$4,COUNTIF(入力シート!$J$16:$S$23,入力リスト!$K$4)=0),"",IF(A145="","",IF(ISERROR(AVERAGEIF(従業員の給与情報!$B:$B,$A145,従業員の給与情報!$F:$F)),0,IF(ISERROR(AVERAGEIF(従業員の給与情報!$B:$B,$A145,従業員の給与情報!$F:$F)),0,AVERAGEIF(従業員の給与情報!$B:$B,$A145,従業員の給与情報!$F:$F)))))</f>
        <v/>
      </c>
      <c r="W145" s="182"/>
      <c r="X145" s="260"/>
    </row>
    <row r="146" spans="1:24" ht="19.5">
      <c r="A146" s="367"/>
      <c r="B146" s="364"/>
      <c r="C146" s="365"/>
      <c r="D146" s="366"/>
      <c r="E146" s="367"/>
      <c r="F146" s="372" t="str">
        <f>IF(G146,"この従業員番号は、すでに他のセルで入力されています。",IF(入力シート!$C$5=入力リスト!$N$5,"",IF(AND(A146="",B146="",C146="",D146="",E146=""),"",IF(OR(A146="",B146="",C146="",D146=""),IF(A146="","従業員番号","")&amp;IF(AND(A146="",OR(B146="",C146="",D146="")),",","")&amp;IF(B146="","雇用形態","")&amp;IF(AND(B146="",OR(C146="",D146="")),",","")&amp;IF(OR(入力シート!$J$18=入力リスト!$K$4,入力シート!$J$22=入力リスト!$K$4),IF(C146="","入社年月日",""),"")&amp;IF(AND(C146="",D146=""),",","")&amp;IF(D146="","性別","")&amp;IF(IF(A146="","従業員番号","")&amp;IF(B146="","雇用形態","")&amp;IF(OR(入力シート!$J$18=入力リスト!$K$4,入力シート!$J$22=入力リスト!$K$4),IF(C146="","入社年月日",""),"")&amp;IF(D146="","性別","")="","","が空白です。"),IF(J146,"入社年月日に「基準日」の翌日以降の日付が入力されています。","")&amp;IF(I146,"入社年月日に数値以外（又は1900/1/1以前の日付）が入力されています。","")&amp;IF(H146,"雇用形態"&amp;IF(OR(K146,L146),",",""),"")&amp;IF(K146,"性別"&amp;IF(L146,",",""),"")&amp;IF(L146,"役職","")&amp;IF(OR(H146,K146,L146),"に、［入力シート］(4)「貴社」欄と異なる文言が入力されています。","")))))</f>
        <v/>
      </c>
      <c r="G146" s="236" t="b">
        <f>COUNTIF($A$4:A145,$A146)&gt;0</f>
        <v>0</v>
      </c>
      <c r="H146" s="237" t="b">
        <f>IF(COUNTIF(入力シート!$J$16:$S$23,入力リスト!$K$4)=0,FALSE,IF(入力シート!$J$16=入力リスト!$K$5,FALSE,ISERROR(VLOOKUP(B146,入力シート!$S$37:$V$62,1,0))))</f>
        <v>0</v>
      </c>
      <c r="I146" s="237" t="b">
        <f>IF(AND(OR(入力シート!$J$18=入力リスト!$K$4,入力シート!$J$22=入力リスト!$K$4),入力シート!$J$24&lt;&gt;""),IF(ISERROR(C146+1),TRUE,IF(ISNUMBER(C146),FALSE,TRUE)),FALSE)</f>
        <v>0</v>
      </c>
      <c r="J146" s="237" t="b">
        <f>IF(AND(入力シート!$J$18=入力リスト!$K$4,入力シート!$J$22=入力リスト!$K$4),FALSE,IF(I146=TRUE,FALSE,IF(ISERROR(C146+1),FALSE,C146&gt;入力シート!$J$24)))</f>
        <v>0</v>
      </c>
      <c r="K146" s="237" t="b">
        <f>IF(COUNTIF(入力シート!$J$16:$S$23,入力リスト!$K$4)=0,FALSE,IF(AND(入力シート!$J$16&lt;&gt;入力リスト!$K$5,入力シート!$J$18&lt;&gt;入力リスト!$K$5,入力シート!$J$20&lt;&gt;入力リスト!$K$5,入力シート!$J$22&lt;&gt;入力リスト!$K$5),FALSE,ISERROR(VLOOKUP(D146,入力シート!$AW$37:$AY$38,1,0))))</f>
        <v>0</v>
      </c>
      <c r="L146" s="237" t="b">
        <f>IF(COUNTIF(入力シート!$J$16:$S$23,入力リスト!$K$4)=0,FALSE,IF(入力シート!$J$20=入力リスト!$K$5,FALSE,IF(E146="",FALSE,ISERROR(VLOOKUP(E146,入力シート!$AH$37:$AK$62,1,0)))))</f>
        <v>0</v>
      </c>
      <c r="M146" s="238" t="str">
        <f t="shared" si="2"/>
        <v/>
      </c>
      <c r="N146" s="236" t="str">
        <f>IF(B146="","",VLOOKUP('従業員情報(給与以外)'!$B146,入力シート!$S$37:$Z$62,5,0))</f>
        <v/>
      </c>
      <c r="O146" s="182" t="str">
        <f>IF(ISNUMBER(C146)=FALSE,"",IF(C146&gt;入力シート!$J$24,"",_xlfn.DAYS(入力シート!$J$24,'従業員情報(給与以外)'!$C146)/365))</f>
        <v/>
      </c>
      <c r="P146" s="237" t="str">
        <f>IF(O146="","",VLOOKUP(_xlfn.DAYS(入力シート!$J$24,'従業員情報(給与以外)'!$C146)/365,入力リスト!$H$4:$I$12,2,2))</f>
        <v/>
      </c>
      <c r="Q146" s="236" t="str">
        <f>IF(D146="","",VLOOKUP('従業員情報(給与以外)'!$D146,入力シート!$AW$37:$BB$38,4,0))</f>
        <v/>
      </c>
      <c r="R146" s="236" t="str">
        <f>IF(A146="","",IF(E146="","非役職",VLOOKUP('従業員情報(給与以外)'!$E146,入力シート!$AH$37:$AO$62,5,0)))</f>
        <v/>
      </c>
      <c r="S146" s="116" t="str">
        <f>IF(OR(入力シート!$C$5&lt;&gt;入力リスト!$N$4,COUNTIF(入力シート!$J$16:$S$23,入力リスト!$K$4)=0),"",IF($A146="","",IF(ISERROR(AVERAGEIF(従業員の給与情報!$B:$B,$A146,従業員の給与情報!$C:$C)),0,IF(ISERROR(AVERAGEIF(従業員の給与情報!$B:$B,$A146,従業員の給与情報!$C:$C)),0,AVERAGEIF(従業員の給与情報!$B:$B,$A146,従業員の給与情報!$C:$C)))))</f>
        <v/>
      </c>
      <c r="T146" s="116" t="str">
        <f>IF(OR(入力シート!$C$5&lt;&gt;入力リスト!$N$4,COUNTIF(入力シート!$J$16:$S$23,入力リスト!$K$4)=0),"",IF(A146="","",IF(ISERROR(AVERAGEIF(従業員の給与情報!$B:$B,$A146,従業員の給与情報!$D:$D)),0,IF(ISERROR(AVERAGEIF(従業員の給与情報!$B:$B,$A146,従業員の給与情報!$D:$D)),0,AVERAGEIF(従業員の給与情報!$B:$B,$A146,従業員の給与情報!$D:$D)))))</f>
        <v/>
      </c>
      <c r="U146" s="116" t="str">
        <f>IF(OR(入力シート!$C$5&lt;&gt;入力リスト!$N$4,COUNTIF(入力シート!$J$16:$S$23,入力リスト!$K$4)=0),"",IF(A146="","",IF(ISERROR(AVERAGEIF(従業員の給与情報!$B:$B,$A146,従業員の給与情報!$E:$E)),0,IF(ISERROR(AVERAGEIF(従業員の給与情報!$B:$B,$A146,従業員の給与情報!$E:$E)),0,AVERAGEIF(従業員の給与情報!$B:$B,$A146,従業員の給与情報!$E:$E)))))</f>
        <v/>
      </c>
      <c r="V146" s="117" t="str">
        <f>IF(OR(入力シート!$C$5&lt;&gt;入力リスト!$N$4,COUNTIF(入力シート!$J$16:$S$23,入力リスト!$K$4)=0),"",IF(A146="","",IF(ISERROR(AVERAGEIF(従業員の給与情報!$B:$B,$A146,従業員の給与情報!$F:$F)),0,IF(ISERROR(AVERAGEIF(従業員の給与情報!$B:$B,$A146,従業員の給与情報!$F:$F)),0,AVERAGEIF(従業員の給与情報!$B:$B,$A146,従業員の給与情報!$F:$F)))))</f>
        <v/>
      </c>
      <c r="W146" s="182"/>
      <c r="X146" s="260"/>
    </row>
    <row r="147" spans="1:24" ht="19.5">
      <c r="A147" s="367"/>
      <c r="B147" s="364"/>
      <c r="C147" s="365"/>
      <c r="D147" s="366"/>
      <c r="E147" s="364"/>
      <c r="F147" s="372" t="str">
        <f>IF(G147,"この従業員番号は、すでに他のセルで入力されています。",IF(入力シート!$C$5=入力リスト!$N$5,"",IF(AND(A147="",B147="",C147="",D147="",E147=""),"",IF(OR(A147="",B147="",C147="",D147=""),IF(A147="","従業員番号","")&amp;IF(AND(A147="",OR(B147="",C147="",D147="")),",","")&amp;IF(B147="","雇用形態","")&amp;IF(AND(B147="",OR(C147="",D147="")),",","")&amp;IF(OR(入力シート!$J$18=入力リスト!$K$4,入力シート!$J$22=入力リスト!$K$4),IF(C147="","入社年月日",""),"")&amp;IF(AND(C147="",D147=""),",","")&amp;IF(D147="","性別","")&amp;IF(IF(A147="","従業員番号","")&amp;IF(B147="","雇用形態","")&amp;IF(OR(入力シート!$J$18=入力リスト!$K$4,入力シート!$J$22=入力リスト!$K$4),IF(C147="","入社年月日",""),"")&amp;IF(D147="","性別","")="","","が空白です。"),IF(J147,"入社年月日に「基準日」の翌日以降の日付が入力されています。","")&amp;IF(I147,"入社年月日に数値以外（又は1900/1/1以前の日付）が入力されています。","")&amp;IF(H147,"雇用形態"&amp;IF(OR(K147,L147),",",""),"")&amp;IF(K147,"性別"&amp;IF(L147,",",""),"")&amp;IF(L147,"役職","")&amp;IF(OR(H147,K147,L147),"に、［入力シート］(4)「貴社」欄と異なる文言が入力されています。","")))))</f>
        <v/>
      </c>
      <c r="G147" s="236" t="b">
        <f>COUNTIF($A$4:A146,$A147)&gt;0</f>
        <v>0</v>
      </c>
      <c r="H147" s="237" t="b">
        <f>IF(COUNTIF(入力シート!$J$16:$S$23,入力リスト!$K$4)=0,FALSE,IF(入力シート!$J$16=入力リスト!$K$5,FALSE,ISERROR(VLOOKUP(B147,入力シート!$S$37:$V$62,1,0))))</f>
        <v>0</v>
      </c>
      <c r="I147" s="237" t="b">
        <f>IF(AND(OR(入力シート!$J$18=入力リスト!$K$4,入力シート!$J$22=入力リスト!$K$4),入力シート!$J$24&lt;&gt;""),IF(ISERROR(C147+1),TRUE,IF(ISNUMBER(C147),FALSE,TRUE)),FALSE)</f>
        <v>0</v>
      </c>
      <c r="J147" s="237" t="b">
        <f>IF(AND(入力シート!$J$18=入力リスト!$K$4,入力シート!$J$22=入力リスト!$K$4),FALSE,IF(I147=TRUE,FALSE,IF(ISERROR(C147+1),FALSE,C147&gt;入力シート!$J$24)))</f>
        <v>0</v>
      </c>
      <c r="K147" s="237" t="b">
        <f>IF(COUNTIF(入力シート!$J$16:$S$23,入力リスト!$K$4)=0,FALSE,IF(AND(入力シート!$J$16&lt;&gt;入力リスト!$K$5,入力シート!$J$18&lt;&gt;入力リスト!$K$5,入力シート!$J$20&lt;&gt;入力リスト!$K$5,入力シート!$J$22&lt;&gt;入力リスト!$K$5),FALSE,ISERROR(VLOOKUP(D147,入力シート!$AW$37:$AY$38,1,0))))</f>
        <v>0</v>
      </c>
      <c r="L147" s="237" t="b">
        <f>IF(COUNTIF(入力シート!$J$16:$S$23,入力リスト!$K$4)=0,FALSE,IF(入力シート!$J$20=入力リスト!$K$5,FALSE,IF(E147="",FALSE,ISERROR(VLOOKUP(E147,入力シート!$AH$37:$AK$62,1,0)))))</f>
        <v>0</v>
      </c>
      <c r="M147" s="238" t="str">
        <f t="shared" si="2"/>
        <v/>
      </c>
      <c r="N147" s="236" t="str">
        <f>IF(B147="","",VLOOKUP('従業員情報(給与以外)'!$B147,入力シート!$S$37:$Z$62,5,0))</f>
        <v/>
      </c>
      <c r="O147" s="182" t="str">
        <f>IF(ISNUMBER(C147)=FALSE,"",IF(C147&gt;入力シート!$J$24,"",_xlfn.DAYS(入力シート!$J$24,'従業員情報(給与以外)'!$C147)/365))</f>
        <v/>
      </c>
      <c r="P147" s="237" t="str">
        <f>IF(O147="","",VLOOKUP(_xlfn.DAYS(入力シート!$J$24,'従業員情報(給与以外)'!$C147)/365,入力リスト!$H$4:$I$12,2,2))</f>
        <v/>
      </c>
      <c r="Q147" s="236" t="str">
        <f>IF(D147="","",VLOOKUP('従業員情報(給与以外)'!$D147,入力シート!$AW$37:$BB$38,4,0))</f>
        <v/>
      </c>
      <c r="R147" s="236" t="str">
        <f>IF(A147="","",IF(E147="","非役職",VLOOKUP('従業員情報(給与以外)'!$E147,入力シート!$AH$37:$AO$62,5,0)))</f>
        <v/>
      </c>
      <c r="S147" s="116" t="str">
        <f>IF(OR(入力シート!$C$5&lt;&gt;入力リスト!$N$4,COUNTIF(入力シート!$J$16:$S$23,入力リスト!$K$4)=0),"",IF($A147="","",IF(ISERROR(AVERAGEIF(従業員の給与情報!$B:$B,$A147,従業員の給与情報!$C:$C)),0,IF(ISERROR(AVERAGEIF(従業員の給与情報!$B:$B,$A147,従業員の給与情報!$C:$C)),0,AVERAGEIF(従業員の給与情報!$B:$B,$A147,従業員の給与情報!$C:$C)))))</f>
        <v/>
      </c>
      <c r="T147" s="116" t="str">
        <f>IF(OR(入力シート!$C$5&lt;&gt;入力リスト!$N$4,COUNTIF(入力シート!$J$16:$S$23,入力リスト!$K$4)=0),"",IF(A147="","",IF(ISERROR(AVERAGEIF(従業員の給与情報!$B:$B,$A147,従業員の給与情報!$D:$D)),0,IF(ISERROR(AVERAGEIF(従業員の給与情報!$B:$B,$A147,従業員の給与情報!$D:$D)),0,AVERAGEIF(従業員の給与情報!$B:$B,$A147,従業員の給与情報!$D:$D)))))</f>
        <v/>
      </c>
      <c r="U147" s="116" t="str">
        <f>IF(OR(入力シート!$C$5&lt;&gt;入力リスト!$N$4,COUNTIF(入力シート!$J$16:$S$23,入力リスト!$K$4)=0),"",IF(A147="","",IF(ISERROR(AVERAGEIF(従業員の給与情報!$B:$B,$A147,従業員の給与情報!$E:$E)),0,IF(ISERROR(AVERAGEIF(従業員の給与情報!$B:$B,$A147,従業員の給与情報!$E:$E)),0,AVERAGEIF(従業員の給与情報!$B:$B,$A147,従業員の給与情報!$E:$E)))))</f>
        <v/>
      </c>
      <c r="V147" s="117" t="str">
        <f>IF(OR(入力シート!$C$5&lt;&gt;入力リスト!$N$4,COUNTIF(入力シート!$J$16:$S$23,入力リスト!$K$4)=0),"",IF(A147="","",IF(ISERROR(AVERAGEIF(従業員の給与情報!$B:$B,$A147,従業員の給与情報!$F:$F)),0,IF(ISERROR(AVERAGEIF(従業員の給与情報!$B:$B,$A147,従業員の給与情報!$F:$F)),0,AVERAGEIF(従業員の給与情報!$B:$B,$A147,従業員の給与情報!$F:$F)))))</f>
        <v/>
      </c>
      <c r="W147" s="182"/>
      <c r="X147" s="260"/>
    </row>
    <row r="148" spans="1:24" ht="19.5">
      <c r="A148" s="367"/>
      <c r="B148" s="364"/>
      <c r="C148" s="365"/>
      <c r="D148" s="366"/>
      <c r="E148" s="367"/>
      <c r="F148" s="372" t="str">
        <f>IF(G148,"この従業員番号は、すでに他のセルで入力されています。",IF(入力シート!$C$5=入力リスト!$N$5,"",IF(AND(A148="",B148="",C148="",D148="",E148=""),"",IF(OR(A148="",B148="",C148="",D148=""),IF(A148="","従業員番号","")&amp;IF(AND(A148="",OR(B148="",C148="",D148="")),",","")&amp;IF(B148="","雇用形態","")&amp;IF(AND(B148="",OR(C148="",D148="")),",","")&amp;IF(OR(入力シート!$J$18=入力リスト!$K$4,入力シート!$J$22=入力リスト!$K$4),IF(C148="","入社年月日",""),"")&amp;IF(AND(C148="",D148=""),",","")&amp;IF(D148="","性別","")&amp;IF(IF(A148="","従業員番号","")&amp;IF(B148="","雇用形態","")&amp;IF(OR(入力シート!$J$18=入力リスト!$K$4,入力シート!$J$22=入力リスト!$K$4),IF(C148="","入社年月日",""),"")&amp;IF(D148="","性別","")="","","が空白です。"),IF(J148,"入社年月日に「基準日」の翌日以降の日付が入力されています。","")&amp;IF(I148,"入社年月日に数値以外（又は1900/1/1以前の日付）が入力されています。","")&amp;IF(H148,"雇用形態"&amp;IF(OR(K148,L148),",",""),"")&amp;IF(K148,"性別"&amp;IF(L148,",",""),"")&amp;IF(L148,"役職","")&amp;IF(OR(H148,K148,L148),"に、［入力シート］(4)「貴社」欄と異なる文言が入力されています。","")))))</f>
        <v/>
      </c>
      <c r="G148" s="236" t="b">
        <f>COUNTIF($A$4:A147,$A148)&gt;0</f>
        <v>0</v>
      </c>
      <c r="H148" s="237" t="b">
        <f>IF(COUNTIF(入力シート!$J$16:$S$23,入力リスト!$K$4)=0,FALSE,IF(入力シート!$J$16=入力リスト!$K$5,FALSE,ISERROR(VLOOKUP(B148,入力シート!$S$37:$V$62,1,0))))</f>
        <v>0</v>
      </c>
      <c r="I148" s="237" t="b">
        <f>IF(AND(OR(入力シート!$J$18=入力リスト!$K$4,入力シート!$J$22=入力リスト!$K$4),入力シート!$J$24&lt;&gt;""),IF(ISERROR(C148+1),TRUE,IF(ISNUMBER(C148),FALSE,TRUE)),FALSE)</f>
        <v>0</v>
      </c>
      <c r="J148" s="237" t="b">
        <f>IF(AND(入力シート!$J$18=入力リスト!$K$4,入力シート!$J$22=入力リスト!$K$4),FALSE,IF(I148=TRUE,FALSE,IF(ISERROR(C148+1),FALSE,C148&gt;入力シート!$J$24)))</f>
        <v>0</v>
      </c>
      <c r="K148" s="237" t="b">
        <f>IF(COUNTIF(入力シート!$J$16:$S$23,入力リスト!$K$4)=0,FALSE,IF(AND(入力シート!$J$16&lt;&gt;入力リスト!$K$5,入力シート!$J$18&lt;&gt;入力リスト!$K$5,入力シート!$J$20&lt;&gt;入力リスト!$K$5,入力シート!$J$22&lt;&gt;入力リスト!$K$5),FALSE,ISERROR(VLOOKUP(D148,入力シート!$AW$37:$AY$38,1,0))))</f>
        <v>0</v>
      </c>
      <c r="L148" s="237" t="b">
        <f>IF(COUNTIF(入力シート!$J$16:$S$23,入力リスト!$K$4)=0,FALSE,IF(入力シート!$J$20=入力リスト!$K$5,FALSE,IF(E148="",FALSE,ISERROR(VLOOKUP(E148,入力シート!$AH$37:$AK$62,1,0)))))</f>
        <v>0</v>
      </c>
      <c r="M148" s="238" t="str">
        <f t="shared" si="2"/>
        <v/>
      </c>
      <c r="N148" s="236" t="str">
        <f>IF(B148="","",VLOOKUP('従業員情報(給与以外)'!$B148,入力シート!$S$37:$Z$62,5,0))</f>
        <v/>
      </c>
      <c r="O148" s="182" t="str">
        <f>IF(ISNUMBER(C148)=FALSE,"",IF(C148&gt;入力シート!$J$24,"",_xlfn.DAYS(入力シート!$J$24,'従業員情報(給与以外)'!$C148)/365))</f>
        <v/>
      </c>
      <c r="P148" s="237" t="str">
        <f>IF(O148="","",VLOOKUP(_xlfn.DAYS(入力シート!$J$24,'従業員情報(給与以外)'!$C148)/365,入力リスト!$H$4:$I$12,2,2))</f>
        <v/>
      </c>
      <c r="Q148" s="236" t="str">
        <f>IF(D148="","",VLOOKUP('従業員情報(給与以外)'!$D148,入力シート!$AW$37:$BB$38,4,0))</f>
        <v/>
      </c>
      <c r="R148" s="236" t="str">
        <f>IF(A148="","",IF(E148="","非役職",VLOOKUP('従業員情報(給与以外)'!$E148,入力シート!$AH$37:$AO$62,5,0)))</f>
        <v/>
      </c>
      <c r="S148" s="116" t="str">
        <f>IF(OR(入力シート!$C$5&lt;&gt;入力リスト!$N$4,COUNTIF(入力シート!$J$16:$S$23,入力リスト!$K$4)=0),"",IF($A148="","",IF(ISERROR(AVERAGEIF(従業員の給与情報!$B:$B,$A148,従業員の給与情報!$C:$C)),0,IF(ISERROR(AVERAGEIF(従業員の給与情報!$B:$B,$A148,従業員の給与情報!$C:$C)),0,AVERAGEIF(従業員の給与情報!$B:$B,$A148,従業員の給与情報!$C:$C)))))</f>
        <v/>
      </c>
      <c r="T148" s="116" t="str">
        <f>IF(OR(入力シート!$C$5&lt;&gt;入力リスト!$N$4,COUNTIF(入力シート!$J$16:$S$23,入力リスト!$K$4)=0),"",IF(A148="","",IF(ISERROR(AVERAGEIF(従業員の給与情報!$B:$B,$A148,従業員の給与情報!$D:$D)),0,IF(ISERROR(AVERAGEIF(従業員の給与情報!$B:$B,$A148,従業員の給与情報!$D:$D)),0,AVERAGEIF(従業員の給与情報!$B:$B,$A148,従業員の給与情報!$D:$D)))))</f>
        <v/>
      </c>
      <c r="U148" s="116" t="str">
        <f>IF(OR(入力シート!$C$5&lt;&gt;入力リスト!$N$4,COUNTIF(入力シート!$J$16:$S$23,入力リスト!$K$4)=0),"",IF(A148="","",IF(ISERROR(AVERAGEIF(従業員の給与情報!$B:$B,$A148,従業員の給与情報!$E:$E)),0,IF(ISERROR(AVERAGEIF(従業員の給与情報!$B:$B,$A148,従業員の給与情報!$E:$E)),0,AVERAGEIF(従業員の給与情報!$B:$B,$A148,従業員の給与情報!$E:$E)))))</f>
        <v/>
      </c>
      <c r="V148" s="117" t="str">
        <f>IF(OR(入力シート!$C$5&lt;&gt;入力リスト!$N$4,COUNTIF(入力シート!$J$16:$S$23,入力リスト!$K$4)=0),"",IF(A148="","",IF(ISERROR(AVERAGEIF(従業員の給与情報!$B:$B,$A148,従業員の給与情報!$F:$F)),0,IF(ISERROR(AVERAGEIF(従業員の給与情報!$B:$B,$A148,従業員の給与情報!$F:$F)),0,AVERAGEIF(従業員の給与情報!$B:$B,$A148,従業員の給与情報!$F:$F)))))</f>
        <v/>
      </c>
      <c r="W148" s="182"/>
      <c r="X148" s="260"/>
    </row>
    <row r="149" spans="1:24" ht="19.5">
      <c r="A149" s="367"/>
      <c r="B149" s="364"/>
      <c r="C149" s="365"/>
      <c r="D149" s="366"/>
      <c r="E149" s="367"/>
      <c r="F149" s="372" t="str">
        <f>IF(G149,"この従業員番号は、すでに他のセルで入力されています。",IF(入力シート!$C$5=入力リスト!$N$5,"",IF(AND(A149="",B149="",C149="",D149="",E149=""),"",IF(OR(A149="",B149="",C149="",D149=""),IF(A149="","従業員番号","")&amp;IF(AND(A149="",OR(B149="",C149="",D149="")),",","")&amp;IF(B149="","雇用形態","")&amp;IF(AND(B149="",OR(C149="",D149="")),",","")&amp;IF(OR(入力シート!$J$18=入力リスト!$K$4,入力シート!$J$22=入力リスト!$K$4),IF(C149="","入社年月日",""),"")&amp;IF(AND(C149="",D149=""),",","")&amp;IF(D149="","性別","")&amp;IF(IF(A149="","従業員番号","")&amp;IF(B149="","雇用形態","")&amp;IF(OR(入力シート!$J$18=入力リスト!$K$4,入力シート!$J$22=入力リスト!$K$4),IF(C149="","入社年月日",""),"")&amp;IF(D149="","性別","")="","","が空白です。"),IF(J149,"入社年月日に「基準日」の翌日以降の日付が入力されています。","")&amp;IF(I149,"入社年月日に数値以外（又は1900/1/1以前の日付）が入力されています。","")&amp;IF(H149,"雇用形態"&amp;IF(OR(K149,L149),",",""),"")&amp;IF(K149,"性別"&amp;IF(L149,",",""),"")&amp;IF(L149,"役職","")&amp;IF(OR(H149,K149,L149),"に、［入力シート］(4)「貴社」欄と異なる文言が入力されています。","")))))</f>
        <v/>
      </c>
      <c r="G149" s="236" t="b">
        <f>COUNTIF($A$4:A148,$A149)&gt;0</f>
        <v>0</v>
      </c>
      <c r="H149" s="237" t="b">
        <f>IF(COUNTIF(入力シート!$J$16:$S$23,入力リスト!$K$4)=0,FALSE,IF(入力シート!$J$16=入力リスト!$K$5,FALSE,ISERROR(VLOOKUP(B149,入力シート!$S$37:$V$62,1,0))))</f>
        <v>0</v>
      </c>
      <c r="I149" s="237" t="b">
        <f>IF(AND(OR(入力シート!$J$18=入力リスト!$K$4,入力シート!$J$22=入力リスト!$K$4),入力シート!$J$24&lt;&gt;""),IF(ISERROR(C149+1),TRUE,IF(ISNUMBER(C149),FALSE,TRUE)),FALSE)</f>
        <v>0</v>
      </c>
      <c r="J149" s="237" t="b">
        <f>IF(AND(入力シート!$J$18=入力リスト!$K$4,入力シート!$J$22=入力リスト!$K$4),FALSE,IF(I149=TRUE,FALSE,IF(ISERROR(C149+1),FALSE,C149&gt;入力シート!$J$24)))</f>
        <v>0</v>
      </c>
      <c r="K149" s="237" t="b">
        <f>IF(COUNTIF(入力シート!$J$16:$S$23,入力リスト!$K$4)=0,FALSE,IF(AND(入力シート!$J$16&lt;&gt;入力リスト!$K$5,入力シート!$J$18&lt;&gt;入力リスト!$K$5,入力シート!$J$20&lt;&gt;入力リスト!$K$5,入力シート!$J$22&lt;&gt;入力リスト!$K$5),FALSE,ISERROR(VLOOKUP(D149,入力シート!$AW$37:$AY$38,1,0))))</f>
        <v>0</v>
      </c>
      <c r="L149" s="237" t="b">
        <f>IF(COUNTIF(入力シート!$J$16:$S$23,入力リスト!$K$4)=0,FALSE,IF(入力シート!$J$20=入力リスト!$K$5,FALSE,IF(E149="",FALSE,ISERROR(VLOOKUP(E149,入力シート!$AH$37:$AK$62,1,0)))))</f>
        <v>0</v>
      </c>
      <c r="M149" s="238" t="str">
        <f t="shared" si="2"/>
        <v/>
      </c>
      <c r="N149" s="236" t="str">
        <f>IF(B149="","",VLOOKUP('従業員情報(給与以外)'!$B149,入力シート!$S$37:$Z$62,5,0))</f>
        <v/>
      </c>
      <c r="O149" s="182" t="str">
        <f>IF(ISNUMBER(C149)=FALSE,"",IF(C149&gt;入力シート!$J$24,"",_xlfn.DAYS(入力シート!$J$24,'従業員情報(給与以外)'!$C149)/365))</f>
        <v/>
      </c>
      <c r="P149" s="237" t="str">
        <f>IF(O149="","",VLOOKUP(_xlfn.DAYS(入力シート!$J$24,'従業員情報(給与以外)'!$C149)/365,入力リスト!$H$4:$I$12,2,2))</f>
        <v/>
      </c>
      <c r="Q149" s="236" t="str">
        <f>IF(D149="","",VLOOKUP('従業員情報(給与以外)'!$D149,入力シート!$AW$37:$BB$38,4,0))</f>
        <v/>
      </c>
      <c r="R149" s="236" t="str">
        <f>IF(A149="","",IF(E149="","非役職",VLOOKUP('従業員情報(給与以外)'!$E149,入力シート!$AH$37:$AO$62,5,0)))</f>
        <v/>
      </c>
      <c r="S149" s="116" t="str">
        <f>IF(OR(入力シート!$C$5&lt;&gt;入力リスト!$N$4,COUNTIF(入力シート!$J$16:$S$23,入力リスト!$K$4)=0),"",IF($A149="","",IF(ISERROR(AVERAGEIF(従業員の給与情報!$B:$B,$A149,従業員の給与情報!$C:$C)),0,IF(ISERROR(AVERAGEIF(従業員の給与情報!$B:$B,$A149,従業員の給与情報!$C:$C)),0,AVERAGEIF(従業員の給与情報!$B:$B,$A149,従業員の給与情報!$C:$C)))))</f>
        <v/>
      </c>
      <c r="T149" s="116" t="str">
        <f>IF(OR(入力シート!$C$5&lt;&gt;入力リスト!$N$4,COUNTIF(入力シート!$J$16:$S$23,入力リスト!$K$4)=0),"",IF(A149="","",IF(ISERROR(AVERAGEIF(従業員の給与情報!$B:$B,$A149,従業員の給与情報!$D:$D)),0,IF(ISERROR(AVERAGEIF(従業員の給与情報!$B:$B,$A149,従業員の給与情報!$D:$D)),0,AVERAGEIF(従業員の給与情報!$B:$B,$A149,従業員の給与情報!$D:$D)))))</f>
        <v/>
      </c>
      <c r="U149" s="116" t="str">
        <f>IF(OR(入力シート!$C$5&lt;&gt;入力リスト!$N$4,COUNTIF(入力シート!$J$16:$S$23,入力リスト!$K$4)=0),"",IF(A149="","",IF(ISERROR(AVERAGEIF(従業員の給与情報!$B:$B,$A149,従業員の給与情報!$E:$E)),0,IF(ISERROR(AVERAGEIF(従業員の給与情報!$B:$B,$A149,従業員の給与情報!$E:$E)),0,AVERAGEIF(従業員の給与情報!$B:$B,$A149,従業員の給与情報!$E:$E)))))</f>
        <v/>
      </c>
      <c r="V149" s="117" t="str">
        <f>IF(OR(入力シート!$C$5&lt;&gt;入力リスト!$N$4,COUNTIF(入力シート!$J$16:$S$23,入力リスト!$K$4)=0),"",IF(A149="","",IF(ISERROR(AVERAGEIF(従業員の給与情報!$B:$B,$A149,従業員の給与情報!$F:$F)),0,IF(ISERROR(AVERAGEIF(従業員の給与情報!$B:$B,$A149,従業員の給与情報!$F:$F)),0,AVERAGEIF(従業員の給与情報!$B:$B,$A149,従業員の給与情報!$F:$F)))))</f>
        <v/>
      </c>
      <c r="W149" s="182"/>
      <c r="X149" s="260"/>
    </row>
    <row r="150" spans="1:24" ht="19.5">
      <c r="A150" s="367"/>
      <c r="B150" s="364"/>
      <c r="C150" s="365"/>
      <c r="D150" s="366"/>
      <c r="E150" s="364"/>
      <c r="F150" s="372" t="str">
        <f>IF(G150,"この従業員番号は、すでに他のセルで入力されています。",IF(入力シート!$C$5=入力リスト!$N$5,"",IF(AND(A150="",B150="",C150="",D150="",E150=""),"",IF(OR(A150="",B150="",C150="",D150=""),IF(A150="","従業員番号","")&amp;IF(AND(A150="",OR(B150="",C150="",D150="")),",","")&amp;IF(B150="","雇用形態","")&amp;IF(AND(B150="",OR(C150="",D150="")),",","")&amp;IF(OR(入力シート!$J$18=入力リスト!$K$4,入力シート!$J$22=入力リスト!$K$4),IF(C150="","入社年月日",""),"")&amp;IF(AND(C150="",D150=""),",","")&amp;IF(D150="","性別","")&amp;IF(IF(A150="","従業員番号","")&amp;IF(B150="","雇用形態","")&amp;IF(OR(入力シート!$J$18=入力リスト!$K$4,入力シート!$J$22=入力リスト!$K$4),IF(C150="","入社年月日",""),"")&amp;IF(D150="","性別","")="","","が空白です。"),IF(J150,"入社年月日に「基準日」の翌日以降の日付が入力されています。","")&amp;IF(I150,"入社年月日に数値以外（又は1900/1/1以前の日付）が入力されています。","")&amp;IF(H150,"雇用形態"&amp;IF(OR(K150,L150),",",""),"")&amp;IF(K150,"性別"&amp;IF(L150,",",""),"")&amp;IF(L150,"役職","")&amp;IF(OR(H150,K150,L150),"に、［入力シート］(4)「貴社」欄と異なる文言が入力されています。","")))))</f>
        <v/>
      </c>
      <c r="G150" s="236" t="b">
        <f>COUNTIF($A$4:A149,$A150)&gt;0</f>
        <v>0</v>
      </c>
      <c r="H150" s="237" t="b">
        <f>IF(COUNTIF(入力シート!$J$16:$S$23,入力リスト!$K$4)=0,FALSE,IF(入力シート!$J$16=入力リスト!$K$5,FALSE,ISERROR(VLOOKUP(B150,入力シート!$S$37:$V$62,1,0))))</f>
        <v>0</v>
      </c>
      <c r="I150" s="237" t="b">
        <f>IF(AND(OR(入力シート!$J$18=入力リスト!$K$4,入力シート!$J$22=入力リスト!$K$4),入力シート!$J$24&lt;&gt;""),IF(ISERROR(C150+1),TRUE,IF(ISNUMBER(C150),FALSE,TRUE)),FALSE)</f>
        <v>0</v>
      </c>
      <c r="J150" s="237" t="b">
        <f>IF(AND(入力シート!$J$18=入力リスト!$K$4,入力シート!$J$22=入力リスト!$K$4),FALSE,IF(I150=TRUE,FALSE,IF(ISERROR(C150+1),FALSE,C150&gt;入力シート!$J$24)))</f>
        <v>0</v>
      </c>
      <c r="K150" s="237" t="b">
        <f>IF(COUNTIF(入力シート!$J$16:$S$23,入力リスト!$K$4)=0,FALSE,IF(AND(入力シート!$J$16&lt;&gt;入力リスト!$K$5,入力シート!$J$18&lt;&gt;入力リスト!$K$5,入力シート!$J$20&lt;&gt;入力リスト!$K$5,入力シート!$J$22&lt;&gt;入力リスト!$K$5),FALSE,ISERROR(VLOOKUP(D150,入力シート!$AW$37:$AY$38,1,0))))</f>
        <v>0</v>
      </c>
      <c r="L150" s="237" t="b">
        <f>IF(COUNTIF(入力シート!$J$16:$S$23,入力リスト!$K$4)=0,FALSE,IF(入力シート!$J$20=入力リスト!$K$5,FALSE,IF(E150="",FALSE,ISERROR(VLOOKUP(E150,入力シート!$AH$37:$AK$62,1,0)))))</f>
        <v>0</v>
      </c>
      <c r="M150" s="238" t="str">
        <f t="shared" si="2"/>
        <v/>
      </c>
      <c r="N150" s="236" t="str">
        <f>IF(B150="","",VLOOKUP('従業員情報(給与以外)'!$B150,入力シート!$S$37:$Z$62,5,0))</f>
        <v/>
      </c>
      <c r="O150" s="182" t="str">
        <f>IF(ISNUMBER(C150)=FALSE,"",IF(C150&gt;入力シート!$J$24,"",_xlfn.DAYS(入力シート!$J$24,'従業員情報(給与以外)'!$C150)/365))</f>
        <v/>
      </c>
      <c r="P150" s="237" t="str">
        <f>IF(O150="","",VLOOKUP(_xlfn.DAYS(入力シート!$J$24,'従業員情報(給与以外)'!$C150)/365,入力リスト!$H$4:$I$12,2,2))</f>
        <v/>
      </c>
      <c r="Q150" s="236" t="str">
        <f>IF(D150="","",VLOOKUP('従業員情報(給与以外)'!$D150,入力シート!$AW$37:$BB$38,4,0))</f>
        <v/>
      </c>
      <c r="R150" s="236" t="str">
        <f>IF(A150="","",IF(E150="","非役職",VLOOKUP('従業員情報(給与以外)'!$E150,入力シート!$AH$37:$AO$62,5,0)))</f>
        <v/>
      </c>
      <c r="S150" s="116" t="str">
        <f>IF(OR(入力シート!$C$5&lt;&gt;入力リスト!$N$4,COUNTIF(入力シート!$J$16:$S$23,入力リスト!$K$4)=0),"",IF($A150="","",IF(ISERROR(AVERAGEIF(従業員の給与情報!$B:$B,$A150,従業員の給与情報!$C:$C)),0,IF(ISERROR(AVERAGEIF(従業員の給与情報!$B:$B,$A150,従業員の給与情報!$C:$C)),0,AVERAGEIF(従業員の給与情報!$B:$B,$A150,従業員の給与情報!$C:$C)))))</f>
        <v/>
      </c>
      <c r="T150" s="116" t="str">
        <f>IF(OR(入力シート!$C$5&lt;&gt;入力リスト!$N$4,COUNTIF(入力シート!$J$16:$S$23,入力リスト!$K$4)=0),"",IF(A150="","",IF(ISERROR(AVERAGEIF(従業員の給与情報!$B:$B,$A150,従業員の給与情報!$D:$D)),0,IF(ISERROR(AVERAGEIF(従業員の給与情報!$B:$B,$A150,従業員の給与情報!$D:$D)),0,AVERAGEIF(従業員の給与情報!$B:$B,$A150,従業員の給与情報!$D:$D)))))</f>
        <v/>
      </c>
      <c r="U150" s="116" t="str">
        <f>IF(OR(入力シート!$C$5&lt;&gt;入力リスト!$N$4,COUNTIF(入力シート!$J$16:$S$23,入力リスト!$K$4)=0),"",IF(A150="","",IF(ISERROR(AVERAGEIF(従業員の給与情報!$B:$B,$A150,従業員の給与情報!$E:$E)),0,IF(ISERROR(AVERAGEIF(従業員の給与情報!$B:$B,$A150,従業員の給与情報!$E:$E)),0,AVERAGEIF(従業員の給与情報!$B:$B,$A150,従業員の給与情報!$E:$E)))))</f>
        <v/>
      </c>
      <c r="V150" s="117" t="str">
        <f>IF(OR(入力シート!$C$5&lt;&gt;入力リスト!$N$4,COUNTIF(入力シート!$J$16:$S$23,入力リスト!$K$4)=0),"",IF(A150="","",IF(ISERROR(AVERAGEIF(従業員の給与情報!$B:$B,$A150,従業員の給与情報!$F:$F)),0,IF(ISERROR(AVERAGEIF(従業員の給与情報!$B:$B,$A150,従業員の給与情報!$F:$F)),0,AVERAGEIF(従業員の給与情報!$B:$B,$A150,従業員の給与情報!$F:$F)))))</f>
        <v/>
      </c>
      <c r="W150" s="182"/>
      <c r="X150" s="260"/>
    </row>
    <row r="151" spans="1:24" ht="19.5">
      <c r="A151" s="367"/>
      <c r="B151" s="364"/>
      <c r="C151" s="365"/>
      <c r="D151" s="366"/>
      <c r="E151" s="367"/>
      <c r="F151" s="372" t="str">
        <f>IF(G151,"この従業員番号は、すでに他のセルで入力されています。",IF(入力シート!$C$5=入力リスト!$N$5,"",IF(AND(A151="",B151="",C151="",D151="",E151=""),"",IF(OR(A151="",B151="",C151="",D151=""),IF(A151="","従業員番号","")&amp;IF(AND(A151="",OR(B151="",C151="",D151="")),",","")&amp;IF(B151="","雇用形態","")&amp;IF(AND(B151="",OR(C151="",D151="")),",","")&amp;IF(OR(入力シート!$J$18=入力リスト!$K$4,入力シート!$J$22=入力リスト!$K$4),IF(C151="","入社年月日",""),"")&amp;IF(AND(C151="",D151=""),",","")&amp;IF(D151="","性別","")&amp;IF(IF(A151="","従業員番号","")&amp;IF(B151="","雇用形態","")&amp;IF(OR(入力シート!$J$18=入力リスト!$K$4,入力シート!$J$22=入力リスト!$K$4),IF(C151="","入社年月日",""),"")&amp;IF(D151="","性別","")="","","が空白です。"),IF(J151,"入社年月日に「基準日」の翌日以降の日付が入力されています。","")&amp;IF(I151,"入社年月日に数値以外（又は1900/1/1以前の日付）が入力されています。","")&amp;IF(H151,"雇用形態"&amp;IF(OR(K151,L151),",",""),"")&amp;IF(K151,"性別"&amp;IF(L151,",",""),"")&amp;IF(L151,"役職","")&amp;IF(OR(H151,K151,L151),"に、［入力シート］(4)「貴社」欄と異なる文言が入力されています。","")))))</f>
        <v/>
      </c>
      <c r="G151" s="236" t="b">
        <f>COUNTIF($A$4:A150,$A151)&gt;0</f>
        <v>0</v>
      </c>
      <c r="H151" s="237" t="b">
        <f>IF(COUNTIF(入力シート!$J$16:$S$23,入力リスト!$K$4)=0,FALSE,IF(入力シート!$J$16=入力リスト!$K$5,FALSE,ISERROR(VLOOKUP(B151,入力シート!$S$37:$V$62,1,0))))</f>
        <v>0</v>
      </c>
      <c r="I151" s="237" t="b">
        <f>IF(AND(OR(入力シート!$J$18=入力リスト!$K$4,入力シート!$J$22=入力リスト!$K$4),入力シート!$J$24&lt;&gt;""),IF(ISERROR(C151+1),TRUE,IF(ISNUMBER(C151),FALSE,TRUE)),FALSE)</f>
        <v>0</v>
      </c>
      <c r="J151" s="237" t="b">
        <f>IF(AND(入力シート!$J$18=入力リスト!$K$4,入力シート!$J$22=入力リスト!$K$4),FALSE,IF(I151=TRUE,FALSE,IF(ISERROR(C151+1),FALSE,C151&gt;入力シート!$J$24)))</f>
        <v>0</v>
      </c>
      <c r="K151" s="237" t="b">
        <f>IF(COUNTIF(入力シート!$J$16:$S$23,入力リスト!$K$4)=0,FALSE,IF(AND(入力シート!$J$16&lt;&gt;入力リスト!$K$5,入力シート!$J$18&lt;&gt;入力リスト!$K$5,入力シート!$J$20&lt;&gt;入力リスト!$K$5,入力シート!$J$22&lt;&gt;入力リスト!$K$5),FALSE,ISERROR(VLOOKUP(D151,入力シート!$AW$37:$AY$38,1,0))))</f>
        <v>0</v>
      </c>
      <c r="L151" s="237" t="b">
        <f>IF(COUNTIF(入力シート!$J$16:$S$23,入力リスト!$K$4)=0,FALSE,IF(入力シート!$J$20=入力リスト!$K$5,FALSE,IF(E151="",FALSE,ISERROR(VLOOKUP(E151,入力シート!$AH$37:$AK$62,1,0)))))</f>
        <v>0</v>
      </c>
      <c r="M151" s="238" t="str">
        <f t="shared" si="2"/>
        <v/>
      </c>
      <c r="N151" s="236" t="str">
        <f>IF(B151="","",VLOOKUP('従業員情報(給与以外)'!$B151,入力シート!$S$37:$Z$62,5,0))</f>
        <v/>
      </c>
      <c r="O151" s="182" t="str">
        <f>IF(ISNUMBER(C151)=FALSE,"",IF(C151&gt;入力シート!$J$24,"",_xlfn.DAYS(入力シート!$J$24,'従業員情報(給与以外)'!$C151)/365))</f>
        <v/>
      </c>
      <c r="P151" s="237" t="str">
        <f>IF(O151="","",VLOOKUP(_xlfn.DAYS(入力シート!$J$24,'従業員情報(給与以外)'!$C151)/365,入力リスト!$H$4:$I$12,2,2))</f>
        <v/>
      </c>
      <c r="Q151" s="236" t="str">
        <f>IF(D151="","",VLOOKUP('従業員情報(給与以外)'!$D151,入力シート!$AW$37:$BB$38,4,0))</f>
        <v/>
      </c>
      <c r="R151" s="236" t="str">
        <f>IF(A151="","",IF(E151="","非役職",VLOOKUP('従業員情報(給与以外)'!$E151,入力シート!$AH$37:$AO$62,5,0)))</f>
        <v/>
      </c>
      <c r="S151" s="116" t="str">
        <f>IF(OR(入力シート!$C$5&lt;&gt;入力リスト!$N$4,COUNTIF(入力シート!$J$16:$S$23,入力リスト!$K$4)=0),"",IF($A151="","",IF(ISERROR(AVERAGEIF(従業員の給与情報!$B:$B,$A151,従業員の給与情報!$C:$C)),0,IF(ISERROR(AVERAGEIF(従業員の給与情報!$B:$B,$A151,従業員の給与情報!$C:$C)),0,AVERAGEIF(従業員の給与情報!$B:$B,$A151,従業員の給与情報!$C:$C)))))</f>
        <v/>
      </c>
      <c r="T151" s="116" t="str">
        <f>IF(OR(入力シート!$C$5&lt;&gt;入力リスト!$N$4,COUNTIF(入力シート!$J$16:$S$23,入力リスト!$K$4)=0),"",IF(A151="","",IF(ISERROR(AVERAGEIF(従業員の給与情報!$B:$B,$A151,従業員の給与情報!$D:$D)),0,IF(ISERROR(AVERAGEIF(従業員の給与情報!$B:$B,$A151,従業員の給与情報!$D:$D)),0,AVERAGEIF(従業員の給与情報!$B:$B,$A151,従業員の給与情報!$D:$D)))))</f>
        <v/>
      </c>
      <c r="U151" s="116" t="str">
        <f>IF(OR(入力シート!$C$5&lt;&gt;入力リスト!$N$4,COUNTIF(入力シート!$J$16:$S$23,入力リスト!$K$4)=0),"",IF(A151="","",IF(ISERROR(AVERAGEIF(従業員の給与情報!$B:$B,$A151,従業員の給与情報!$E:$E)),0,IF(ISERROR(AVERAGEIF(従業員の給与情報!$B:$B,$A151,従業員の給与情報!$E:$E)),0,AVERAGEIF(従業員の給与情報!$B:$B,$A151,従業員の給与情報!$E:$E)))))</f>
        <v/>
      </c>
      <c r="V151" s="117" t="str">
        <f>IF(OR(入力シート!$C$5&lt;&gt;入力リスト!$N$4,COUNTIF(入力シート!$J$16:$S$23,入力リスト!$K$4)=0),"",IF(A151="","",IF(ISERROR(AVERAGEIF(従業員の給与情報!$B:$B,$A151,従業員の給与情報!$F:$F)),0,IF(ISERROR(AVERAGEIF(従業員の給与情報!$B:$B,$A151,従業員の給与情報!$F:$F)),0,AVERAGEIF(従業員の給与情報!$B:$B,$A151,従業員の給与情報!$F:$F)))))</f>
        <v/>
      </c>
      <c r="W151" s="182"/>
      <c r="X151" s="260"/>
    </row>
    <row r="152" spans="1:24" ht="19.5">
      <c r="A152" s="367"/>
      <c r="B152" s="364"/>
      <c r="C152" s="365"/>
      <c r="D152" s="366"/>
      <c r="E152" s="367"/>
      <c r="F152" s="372" t="str">
        <f>IF(G152,"この従業員番号は、すでに他のセルで入力されています。",IF(入力シート!$C$5=入力リスト!$N$5,"",IF(AND(A152="",B152="",C152="",D152="",E152=""),"",IF(OR(A152="",B152="",C152="",D152=""),IF(A152="","従業員番号","")&amp;IF(AND(A152="",OR(B152="",C152="",D152="")),",","")&amp;IF(B152="","雇用形態","")&amp;IF(AND(B152="",OR(C152="",D152="")),",","")&amp;IF(OR(入力シート!$J$18=入力リスト!$K$4,入力シート!$J$22=入力リスト!$K$4),IF(C152="","入社年月日",""),"")&amp;IF(AND(C152="",D152=""),",","")&amp;IF(D152="","性別","")&amp;IF(IF(A152="","従業員番号","")&amp;IF(B152="","雇用形態","")&amp;IF(OR(入力シート!$J$18=入力リスト!$K$4,入力シート!$J$22=入力リスト!$K$4),IF(C152="","入社年月日",""),"")&amp;IF(D152="","性別","")="","","が空白です。"),IF(J152,"入社年月日に「基準日」の翌日以降の日付が入力されています。","")&amp;IF(I152,"入社年月日に数値以外（又は1900/1/1以前の日付）が入力されています。","")&amp;IF(H152,"雇用形態"&amp;IF(OR(K152,L152),",",""),"")&amp;IF(K152,"性別"&amp;IF(L152,",",""),"")&amp;IF(L152,"役職","")&amp;IF(OR(H152,K152,L152),"に、［入力シート］(4)「貴社」欄と異なる文言が入力されています。","")))))</f>
        <v/>
      </c>
      <c r="G152" s="236" t="b">
        <f>COUNTIF($A$4:A151,$A152)&gt;0</f>
        <v>0</v>
      </c>
      <c r="H152" s="237" t="b">
        <f>IF(COUNTIF(入力シート!$J$16:$S$23,入力リスト!$K$4)=0,FALSE,IF(入力シート!$J$16=入力リスト!$K$5,FALSE,ISERROR(VLOOKUP(B152,入力シート!$S$37:$V$62,1,0))))</f>
        <v>0</v>
      </c>
      <c r="I152" s="237" t="b">
        <f>IF(AND(OR(入力シート!$J$18=入力リスト!$K$4,入力シート!$J$22=入力リスト!$K$4),入力シート!$J$24&lt;&gt;""),IF(ISERROR(C152+1),TRUE,IF(ISNUMBER(C152),FALSE,TRUE)),FALSE)</f>
        <v>0</v>
      </c>
      <c r="J152" s="237" t="b">
        <f>IF(AND(入力シート!$J$18=入力リスト!$K$4,入力シート!$J$22=入力リスト!$K$4),FALSE,IF(I152=TRUE,FALSE,IF(ISERROR(C152+1),FALSE,C152&gt;入力シート!$J$24)))</f>
        <v>0</v>
      </c>
      <c r="K152" s="237" t="b">
        <f>IF(COUNTIF(入力シート!$J$16:$S$23,入力リスト!$K$4)=0,FALSE,IF(AND(入力シート!$J$16&lt;&gt;入力リスト!$K$5,入力シート!$J$18&lt;&gt;入力リスト!$K$5,入力シート!$J$20&lt;&gt;入力リスト!$K$5,入力シート!$J$22&lt;&gt;入力リスト!$K$5),FALSE,ISERROR(VLOOKUP(D152,入力シート!$AW$37:$AY$38,1,0))))</f>
        <v>0</v>
      </c>
      <c r="L152" s="237" t="b">
        <f>IF(COUNTIF(入力シート!$J$16:$S$23,入力リスト!$K$4)=0,FALSE,IF(入力シート!$J$20=入力リスト!$K$5,FALSE,IF(E152="",FALSE,ISERROR(VLOOKUP(E152,入力シート!$AH$37:$AK$62,1,0)))))</f>
        <v>0</v>
      </c>
      <c r="M152" s="238" t="str">
        <f t="shared" si="2"/>
        <v/>
      </c>
      <c r="N152" s="236" t="str">
        <f>IF(B152="","",VLOOKUP('従業員情報(給与以外)'!$B152,入力シート!$S$37:$Z$62,5,0))</f>
        <v/>
      </c>
      <c r="O152" s="182" t="str">
        <f>IF(ISNUMBER(C152)=FALSE,"",IF(C152&gt;入力シート!$J$24,"",_xlfn.DAYS(入力シート!$J$24,'従業員情報(給与以外)'!$C152)/365))</f>
        <v/>
      </c>
      <c r="P152" s="237" t="str">
        <f>IF(O152="","",VLOOKUP(_xlfn.DAYS(入力シート!$J$24,'従業員情報(給与以外)'!$C152)/365,入力リスト!$H$4:$I$12,2,2))</f>
        <v/>
      </c>
      <c r="Q152" s="236" t="str">
        <f>IF(D152="","",VLOOKUP('従業員情報(給与以外)'!$D152,入力シート!$AW$37:$BB$38,4,0))</f>
        <v/>
      </c>
      <c r="R152" s="236" t="str">
        <f>IF(A152="","",IF(E152="","非役職",VLOOKUP('従業員情報(給与以外)'!$E152,入力シート!$AH$37:$AO$62,5,0)))</f>
        <v/>
      </c>
      <c r="S152" s="116" t="str">
        <f>IF(OR(入力シート!$C$5&lt;&gt;入力リスト!$N$4,COUNTIF(入力シート!$J$16:$S$23,入力リスト!$K$4)=0),"",IF($A152="","",IF(ISERROR(AVERAGEIF(従業員の給与情報!$B:$B,$A152,従業員の給与情報!$C:$C)),0,IF(ISERROR(AVERAGEIF(従業員の給与情報!$B:$B,$A152,従業員の給与情報!$C:$C)),0,AVERAGEIF(従業員の給与情報!$B:$B,$A152,従業員の給与情報!$C:$C)))))</f>
        <v/>
      </c>
      <c r="T152" s="116" t="str">
        <f>IF(OR(入力シート!$C$5&lt;&gt;入力リスト!$N$4,COUNTIF(入力シート!$J$16:$S$23,入力リスト!$K$4)=0),"",IF(A152="","",IF(ISERROR(AVERAGEIF(従業員の給与情報!$B:$B,$A152,従業員の給与情報!$D:$D)),0,IF(ISERROR(AVERAGEIF(従業員の給与情報!$B:$B,$A152,従業員の給与情報!$D:$D)),0,AVERAGEIF(従業員の給与情報!$B:$B,$A152,従業員の給与情報!$D:$D)))))</f>
        <v/>
      </c>
      <c r="U152" s="116" t="str">
        <f>IF(OR(入力シート!$C$5&lt;&gt;入力リスト!$N$4,COUNTIF(入力シート!$J$16:$S$23,入力リスト!$K$4)=0),"",IF(A152="","",IF(ISERROR(AVERAGEIF(従業員の給与情報!$B:$B,$A152,従業員の給与情報!$E:$E)),0,IF(ISERROR(AVERAGEIF(従業員の給与情報!$B:$B,$A152,従業員の給与情報!$E:$E)),0,AVERAGEIF(従業員の給与情報!$B:$B,$A152,従業員の給与情報!$E:$E)))))</f>
        <v/>
      </c>
      <c r="V152" s="117" t="str">
        <f>IF(OR(入力シート!$C$5&lt;&gt;入力リスト!$N$4,COUNTIF(入力シート!$J$16:$S$23,入力リスト!$K$4)=0),"",IF(A152="","",IF(ISERROR(AVERAGEIF(従業員の給与情報!$B:$B,$A152,従業員の給与情報!$F:$F)),0,IF(ISERROR(AVERAGEIF(従業員の給与情報!$B:$B,$A152,従業員の給与情報!$F:$F)),0,AVERAGEIF(従業員の給与情報!$B:$B,$A152,従業員の給与情報!$F:$F)))))</f>
        <v/>
      </c>
      <c r="W152" s="182"/>
      <c r="X152" s="260"/>
    </row>
    <row r="153" spans="1:24" ht="19.5">
      <c r="A153" s="367"/>
      <c r="B153" s="364"/>
      <c r="C153" s="365"/>
      <c r="D153" s="366"/>
      <c r="E153" s="367"/>
      <c r="F153" s="372" t="str">
        <f>IF(G153,"この従業員番号は、すでに他のセルで入力されています。",IF(入力シート!$C$5=入力リスト!$N$5,"",IF(AND(A153="",B153="",C153="",D153="",E153=""),"",IF(OR(A153="",B153="",C153="",D153=""),IF(A153="","従業員番号","")&amp;IF(AND(A153="",OR(B153="",C153="",D153="")),",","")&amp;IF(B153="","雇用形態","")&amp;IF(AND(B153="",OR(C153="",D153="")),",","")&amp;IF(OR(入力シート!$J$18=入力リスト!$K$4,入力シート!$J$22=入力リスト!$K$4),IF(C153="","入社年月日",""),"")&amp;IF(AND(C153="",D153=""),",","")&amp;IF(D153="","性別","")&amp;IF(IF(A153="","従業員番号","")&amp;IF(B153="","雇用形態","")&amp;IF(OR(入力シート!$J$18=入力リスト!$K$4,入力シート!$J$22=入力リスト!$K$4),IF(C153="","入社年月日",""),"")&amp;IF(D153="","性別","")="","","が空白です。"),IF(J153,"入社年月日に「基準日」の翌日以降の日付が入力されています。","")&amp;IF(I153,"入社年月日に数値以外（又は1900/1/1以前の日付）が入力されています。","")&amp;IF(H153,"雇用形態"&amp;IF(OR(K153,L153),",",""),"")&amp;IF(K153,"性別"&amp;IF(L153,",",""),"")&amp;IF(L153,"役職","")&amp;IF(OR(H153,K153,L153),"に、［入力シート］(4)「貴社」欄と異なる文言が入力されています。","")))))</f>
        <v/>
      </c>
      <c r="G153" s="236" t="b">
        <f>COUNTIF($A$4:A152,$A153)&gt;0</f>
        <v>0</v>
      </c>
      <c r="H153" s="237" t="b">
        <f>IF(COUNTIF(入力シート!$J$16:$S$23,入力リスト!$K$4)=0,FALSE,IF(入力シート!$J$16=入力リスト!$K$5,FALSE,ISERROR(VLOOKUP(B153,入力シート!$S$37:$V$62,1,0))))</f>
        <v>0</v>
      </c>
      <c r="I153" s="237" t="b">
        <f>IF(AND(OR(入力シート!$J$18=入力リスト!$K$4,入力シート!$J$22=入力リスト!$K$4),入力シート!$J$24&lt;&gt;""),IF(ISERROR(C153+1),TRUE,IF(ISNUMBER(C153),FALSE,TRUE)),FALSE)</f>
        <v>0</v>
      </c>
      <c r="J153" s="237" t="b">
        <f>IF(AND(入力シート!$J$18=入力リスト!$K$4,入力シート!$J$22=入力リスト!$K$4),FALSE,IF(I153=TRUE,FALSE,IF(ISERROR(C153+1),FALSE,C153&gt;入力シート!$J$24)))</f>
        <v>0</v>
      </c>
      <c r="K153" s="237" t="b">
        <f>IF(COUNTIF(入力シート!$J$16:$S$23,入力リスト!$K$4)=0,FALSE,IF(AND(入力シート!$J$16&lt;&gt;入力リスト!$K$5,入力シート!$J$18&lt;&gt;入力リスト!$K$5,入力シート!$J$20&lt;&gt;入力リスト!$K$5,入力シート!$J$22&lt;&gt;入力リスト!$K$5),FALSE,ISERROR(VLOOKUP(D153,入力シート!$AW$37:$AY$38,1,0))))</f>
        <v>0</v>
      </c>
      <c r="L153" s="237" t="b">
        <f>IF(COUNTIF(入力シート!$J$16:$S$23,入力リスト!$K$4)=0,FALSE,IF(入力シート!$J$20=入力リスト!$K$5,FALSE,IF(E153="",FALSE,ISERROR(VLOOKUP(E153,入力シート!$AH$37:$AK$62,1,0)))))</f>
        <v>0</v>
      </c>
      <c r="M153" s="238" t="str">
        <f t="shared" si="2"/>
        <v/>
      </c>
      <c r="N153" s="236" t="str">
        <f>IF(B153="","",VLOOKUP('従業員情報(給与以外)'!$B153,入力シート!$S$37:$Z$62,5,0))</f>
        <v/>
      </c>
      <c r="O153" s="182" t="str">
        <f>IF(ISNUMBER(C153)=FALSE,"",IF(C153&gt;入力シート!$J$24,"",_xlfn.DAYS(入力シート!$J$24,'従業員情報(給与以外)'!$C153)/365))</f>
        <v/>
      </c>
      <c r="P153" s="237" t="str">
        <f>IF(O153="","",VLOOKUP(_xlfn.DAYS(入力シート!$J$24,'従業員情報(給与以外)'!$C153)/365,入力リスト!$H$4:$I$12,2,2))</f>
        <v/>
      </c>
      <c r="Q153" s="236" t="str">
        <f>IF(D153="","",VLOOKUP('従業員情報(給与以外)'!$D153,入力シート!$AW$37:$BB$38,4,0))</f>
        <v/>
      </c>
      <c r="R153" s="236" t="str">
        <f>IF(A153="","",IF(E153="","非役職",VLOOKUP('従業員情報(給与以外)'!$E153,入力シート!$AH$37:$AO$62,5,0)))</f>
        <v/>
      </c>
      <c r="S153" s="116" t="str">
        <f>IF(OR(入力シート!$C$5&lt;&gt;入力リスト!$N$4,COUNTIF(入力シート!$J$16:$S$23,入力リスト!$K$4)=0),"",IF($A153="","",IF(ISERROR(AVERAGEIF(従業員の給与情報!$B:$B,$A153,従業員の給与情報!$C:$C)),0,IF(ISERROR(AVERAGEIF(従業員の給与情報!$B:$B,$A153,従業員の給与情報!$C:$C)),0,AVERAGEIF(従業員の給与情報!$B:$B,$A153,従業員の給与情報!$C:$C)))))</f>
        <v/>
      </c>
      <c r="T153" s="116" t="str">
        <f>IF(OR(入力シート!$C$5&lt;&gt;入力リスト!$N$4,COUNTIF(入力シート!$J$16:$S$23,入力リスト!$K$4)=0),"",IF(A153="","",IF(ISERROR(AVERAGEIF(従業員の給与情報!$B:$B,$A153,従業員の給与情報!$D:$D)),0,IF(ISERROR(AVERAGEIF(従業員の給与情報!$B:$B,$A153,従業員の給与情報!$D:$D)),0,AVERAGEIF(従業員の給与情報!$B:$B,$A153,従業員の給与情報!$D:$D)))))</f>
        <v/>
      </c>
      <c r="U153" s="116" t="str">
        <f>IF(OR(入力シート!$C$5&lt;&gt;入力リスト!$N$4,COUNTIF(入力シート!$J$16:$S$23,入力リスト!$K$4)=0),"",IF(A153="","",IF(ISERROR(AVERAGEIF(従業員の給与情報!$B:$B,$A153,従業員の給与情報!$E:$E)),0,IF(ISERROR(AVERAGEIF(従業員の給与情報!$B:$B,$A153,従業員の給与情報!$E:$E)),0,AVERAGEIF(従業員の給与情報!$B:$B,$A153,従業員の給与情報!$E:$E)))))</f>
        <v/>
      </c>
      <c r="V153" s="117" t="str">
        <f>IF(OR(入力シート!$C$5&lt;&gt;入力リスト!$N$4,COUNTIF(入力シート!$J$16:$S$23,入力リスト!$K$4)=0),"",IF(A153="","",IF(ISERROR(AVERAGEIF(従業員の給与情報!$B:$B,$A153,従業員の給与情報!$F:$F)),0,IF(ISERROR(AVERAGEIF(従業員の給与情報!$B:$B,$A153,従業員の給与情報!$F:$F)),0,AVERAGEIF(従業員の給与情報!$B:$B,$A153,従業員の給与情報!$F:$F)))))</f>
        <v/>
      </c>
      <c r="W153" s="182"/>
      <c r="X153" s="260"/>
    </row>
    <row r="154" spans="1:24" ht="19.5">
      <c r="A154" s="367"/>
      <c r="B154" s="364"/>
      <c r="C154" s="365"/>
      <c r="D154" s="366"/>
      <c r="E154" s="367"/>
      <c r="F154" s="372" t="str">
        <f>IF(G154,"この従業員番号は、すでに他のセルで入力されています。",IF(入力シート!$C$5=入力リスト!$N$5,"",IF(AND(A154="",B154="",C154="",D154="",E154=""),"",IF(OR(A154="",B154="",C154="",D154=""),IF(A154="","従業員番号","")&amp;IF(AND(A154="",OR(B154="",C154="",D154="")),",","")&amp;IF(B154="","雇用形態","")&amp;IF(AND(B154="",OR(C154="",D154="")),",","")&amp;IF(OR(入力シート!$J$18=入力リスト!$K$4,入力シート!$J$22=入力リスト!$K$4),IF(C154="","入社年月日",""),"")&amp;IF(AND(C154="",D154=""),",","")&amp;IF(D154="","性別","")&amp;IF(IF(A154="","従業員番号","")&amp;IF(B154="","雇用形態","")&amp;IF(OR(入力シート!$J$18=入力リスト!$K$4,入力シート!$J$22=入力リスト!$K$4),IF(C154="","入社年月日",""),"")&amp;IF(D154="","性別","")="","","が空白です。"),IF(J154,"入社年月日に「基準日」の翌日以降の日付が入力されています。","")&amp;IF(I154,"入社年月日に数値以外（又は1900/1/1以前の日付）が入力されています。","")&amp;IF(H154,"雇用形態"&amp;IF(OR(K154,L154),",",""),"")&amp;IF(K154,"性別"&amp;IF(L154,",",""),"")&amp;IF(L154,"役職","")&amp;IF(OR(H154,K154,L154),"に、［入力シート］(4)「貴社」欄と異なる文言が入力されています。","")))))</f>
        <v/>
      </c>
      <c r="G154" s="236" t="b">
        <f>COUNTIF($A$4:A153,$A154)&gt;0</f>
        <v>0</v>
      </c>
      <c r="H154" s="237" t="b">
        <f>IF(COUNTIF(入力シート!$J$16:$S$23,入力リスト!$K$4)=0,FALSE,IF(入力シート!$J$16=入力リスト!$K$5,FALSE,ISERROR(VLOOKUP(B154,入力シート!$S$37:$V$62,1,0))))</f>
        <v>0</v>
      </c>
      <c r="I154" s="237" t="b">
        <f>IF(AND(OR(入力シート!$J$18=入力リスト!$K$4,入力シート!$J$22=入力リスト!$K$4),入力シート!$J$24&lt;&gt;""),IF(ISERROR(C154+1),TRUE,IF(ISNUMBER(C154),FALSE,TRUE)),FALSE)</f>
        <v>0</v>
      </c>
      <c r="J154" s="237" t="b">
        <f>IF(AND(入力シート!$J$18=入力リスト!$K$4,入力シート!$J$22=入力リスト!$K$4),FALSE,IF(I154=TRUE,FALSE,IF(ISERROR(C154+1),FALSE,C154&gt;入力シート!$J$24)))</f>
        <v>0</v>
      </c>
      <c r="K154" s="237" t="b">
        <f>IF(COUNTIF(入力シート!$J$16:$S$23,入力リスト!$K$4)=0,FALSE,IF(AND(入力シート!$J$16&lt;&gt;入力リスト!$K$5,入力シート!$J$18&lt;&gt;入力リスト!$K$5,入力シート!$J$20&lt;&gt;入力リスト!$K$5,入力シート!$J$22&lt;&gt;入力リスト!$K$5),FALSE,ISERROR(VLOOKUP(D154,入力シート!$AW$37:$AY$38,1,0))))</f>
        <v>0</v>
      </c>
      <c r="L154" s="237" t="b">
        <f>IF(COUNTIF(入力シート!$J$16:$S$23,入力リスト!$K$4)=0,FALSE,IF(入力シート!$J$20=入力リスト!$K$5,FALSE,IF(E154="",FALSE,ISERROR(VLOOKUP(E154,入力シート!$AH$37:$AK$62,1,0)))))</f>
        <v>0</v>
      </c>
      <c r="M154" s="238" t="str">
        <f t="shared" si="2"/>
        <v/>
      </c>
      <c r="N154" s="236" t="str">
        <f>IF(B154="","",VLOOKUP('従業員情報(給与以外)'!$B154,入力シート!$S$37:$Z$62,5,0))</f>
        <v/>
      </c>
      <c r="O154" s="182" t="str">
        <f>IF(ISNUMBER(C154)=FALSE,"",IF(C154&gt;入力シート!$J$24,"",_xlfn.DAYS(入力シート!$J$24,'従業員情報(給与以外)'!$C154)/365))</f>
        <v/>
      </c>
      <c r="P154" s="237" t="str">
        <f>IF(O154="","",VLOOKUP(_xlfn.DAYS(入力シート!$J$24,'従業員情報(給与以外)'!$C154)/365,入力リスト!$H$4:$I$12,2,2))</f>
        <v/>
      </c>
      <c r="Q154" s="236" t="str">
        <f>IF(D154="","",VLOOKUP('従業員情報(給与以外)'!$D154,入力シート!$AW$37:$BB$38,4,0))</f>
        <v/>
      </c>
      <c r="R154" s="236" t="str">
        <f>IF(A154="","",IF(E154="","非役職",VLOOKUP('従業員情報(給与以外)'!$E154,入力シート!$AH$37:$AO$62,5,0)))</f>
        <v/>
      </c>
      <c r="S154" s="116" t="str">
        <f>IF(OR(入力シート!$C$5&lt;&gt;入力リスト!$N$4,COUNTIF(入力シート!$J$16:$S$23,入力リスト!$K$4)=0),"",IF($A154="","",IF(ISERROR(AVERAGEIF(従業員の給与情報!$B:$B,$A154,従業員の給与情報!$C:$C)),0,IF(ISERROR(AVERAGEIF(従業員の給与情報!$B:$B,$A154,従業員の給与情報!$C:$C)),0,AVERAGEIF(従業員の給与情報!$B:$B,$A154,従業員の給与情報!$C:$C)))))</f>
        <v/>
      </c>
      <c r="T154" s="116" t="str">
        <f>IF(OR(入力シート!$C$5&lt;&gt;入力リスト!$N$4,COUNTIF(入力シート!$J$16:$S$23,入力リスト!$K$4)=0),"",IF(A154="","",IF(ISERROR(AVERAGEIF(従業員の給与情報!$B:$B,$A154,従業員の給与情報!$D:$D)),0,IF(ISERROR(AVERAGEIF(従業員の給与情報!$B:$B,$A154,従業員の給与情報!$D:$D)),0,AVERAGEIF(従業員の給与情報!$B:$B,$A154,従業員の給与情報!$D:$D)))))</f>
        <v/>
      </c>
      <c r="U154" s="116" t="str">
        <f>IF(OR(入力シート!$C$5&lt;&gt;入力リスト!$N$4,COUNTIF(入力シート!$J$16:$S$23,入力リスト!$K$4)=0),"",IF(A154="","",IF(ISERROR(AVERAGEIF(従業員の給与情報!$B:$B,$A154,従業員の給与情報!$E:$E)),0,IF(ISERROR(AVERAGEIF(従業員の給与情報!$B:$B,$A154,従業員の給与情報!$E:$E)),0,AVERAGEIF(従業員の給与情報!$B:$B,$A154,従業員の給与情報!$E:$E)))))</f>
        <v/>
      </c>
      <c r="V154" s="117" t="str">
        <f>IF(OR(入力シート!$C$5&lt;&gt;入力リスト!$N$4,COUNTIF(入力シート!$J$16:$S$23,入力リスト!$K$4)=0),"",IF(A154="","",IF(ISERROR(AVERAGEIF(従業員の給与情報!$B:$B,$A154,従業員の給与情報!$F:$F)),0,IF(ISERROR(AVERAGEIF(従業員の給与情報!$B:$B,$A154,従業員の給与情報!$F:$F)),0,AVERAGEIF(従業員の給与情報!$B:$B,$A154,従業員の給与情報!$F:$F)))))</f>
        <v/>
      </c>
      <c r="W154" s="182"/>
      <c r="X154" s="260"/>
    </row>
    <row r="155" spans="1:24" ht="19.5">
      <c r="A155" s="367"/>
      <c r="B155" s="364"/>
      <c r="C155" s="365"/>
      <c r="D155" s="366"/>
      <c r="E155" s="367"/>
      <c r="F155" s="372" t="str">
        <f>IF(G155,"この従業員番号は、すでに他のセルで入力されています。",IF(入力シート!$C$5=入力リスト!$N$5,"",IF(AND(A155="",B155="",C155="",D155="",E155=""),"",IF(OR(A155="",B155="",C155="",D155=""),IF(A155="","従業員番号","")&amp;IF(AND(A155="",OR(B155="",C155="",D155="")),",","")&amp;IF(B155="","雇用形態","")&amp;IF(AND(B155="",OR(C155="",D155="")),",","")&amp;IF(OR(入力シート!$J$18=入力リスト!$K$4,入力シート!$J$22=入力リスト!$K$4),IF(C155="","入社年月日",""),"")&amp;IF(AND(C155="",D155=""),",","")&amp;IF(D155="","性別","")&amp;IF(IF(A155="","従業員番号","")&amp;IF(B155="","雇用形態","")&amp;IF(OR(入力シート!$J$18=入力リスト!$K$4,入力シート!$J$22=入力リスト!$K$4),IF(C155="","入社年月日",""),"")&amp;IF(D155="","性別","")="","","が空白です。"),IF(J155,"入社年月日に「基準日」の翌日以降の日付が入力されています。","")&amp;IF(I155,"入社年月日に数値以外（又は1900/1/1以前の日付）が入力されています。","")&amp;IF(H155,"雇用形態"&amp;IF(OR(K155,L155),",",""),"")&amp;IF(K155,"性別"&amp;IF(L155,",",""),"")&amp;IF(L155,"役職","")&amp;IF(OR(H155,K155,L155),"に、［入力シート］(4)「貴社」欄と異なる文言が入力されています。","")))))</f>
        <v/>
      </c>
      <c r="G155" s="236" t="b">
        <f>COUNTIF($A$4:A154,$A155)&gt;0</f>
        <v>0</v>
      </c>
      <c r="H155" s="237" t="b">
        <f>IF(COUNTIF(入力シート!$J$16:$S$23,入力リスト!$K$4)=0,FALSE,IF(入力シート!$J$16=入力リスト!$K$5,FALSE,ISERROR(VLOOKUP(B155,入力シート!$S$37:$V$62,1,0))))</f>
        <v>0</v>
      </c>
      <c r="I155" s="237" t="b">
        <f>IF(AND(OR(入力シート!$J$18=入力リスト!$K$4,入力シート!$J$22=入力リスト!$K$4),入力シート!$J$24&lt;&gt;""),IF(ISERROR(C155+1),TRUE,IF(ISNUMBER(C155),FALSE,TRUE)),FALSE)</f>
        <v>0</v>
      </c>
      <c r="J155" s="237" t="b">
        <f>IF(AND(入力シート!$J$18=入力リスト!$K$4,入力シート!$J$22=入力リスト!$K$4),FALSE,IF(I155=TRUE,FALSE,IF(ISERROR(C155+1),FALSE,C155&gt;入力シート!$J$24)))</f>
        <v>0</v>
      </c>
      <c r="K155" s="237" t="b">
        <f>IF(COUNTIF(入力シート!$J$16:$S$23,入力リスト!$K$4)=0,FALSE,IF(AND(入力シート!$J$16&lt;&gt;入力リスト!$K$5,入力シート!$J$18&lt;&gt;入力リスト!$K$5,入力シート!$J$20&lt;&gt;入力リスト!$K$5,入力シート!$J$22&lt;&gt;入力リスト!$K$5),FALSE,ISERROR(VLOOKUP(D155,入力シート!$AW$37:$AY$38,1,0))))</f>
        <v>0</v>
      </c>
      <c r="L155" s="237" t="b">
        <f>IF(COUNTIF(入力シート!$J$16:$S$23,入力リスト!$K$4)=0,FALSE,IF(入力シート!$J$20=入力リスト!$K$5,FALSE,IF(E155="",FALSE,ISERROR(VLOOKUP(E155,入力シート!$AH$37:$AK$62,1,0)))))</f>
        <v>0</v>
      </c>
      <c r="M155" s="238" t="str">
        <f t="shared" si="2"/>
        <v/>
      </c>
      <c r="N155" s="236" t="str">
        <f>IF(B155="","",VLOOKUP('従業員情報(給与以外)'!$B155,入力シート!$S$37:$Z$62,5,0))</f>
        <v/>
      </c>
      <c r="O155" s="182" t="str">
        <f>IF(ISNUMBER(C155)=FALSE,"",IF(C155&gt;入力シート!$J$24,"",_xlfn.DAYS(入力シート!$J$24,'従業員情報(給与以外)'!$C155)/365))</f>
        <v/>
      </c>
      <c r="P155" s="237" t="str">
        <f>IF(O155="","",VLOOKUP(_xlfn.DAYS(入力シート!$J$24,'従業員情報(給与以外)'!$C155)/365,入力リスト!$H$4:$I$12,2,2))</f>
        <v/>
      </c>
      <c r="Q155" s="236" t="str">
        <f>IF(D155="","",VLOOKUP('従業員情報(給与以外)'!$D155,入力シート!$AW$37:$BB$38,4,0))</f>
        <v/>
      </c>
      <c r="R155" s="236" t="str">
        <f>IF(A155="","",IF(E155="","非役職",VLOOKUP('従業員情報(給与以外)'!$E155,入力シート!$AH$37:$AO$62,5,0)))</f>
        <v/>
      </c>
      <c r="S155" s="116" t="str">
        <f>IF(OR(入力シート!$C$5&lt;&gt;入力リスト!$N$4,COUNTIF(入力シート!$J$16:$S$23,入力リスト!$K$4)=0),"",IF($A155="","",IF(ISERROR(AVERAGEIF(従業員の給与情報!$B:$B,$A155,従業員の給与情報!$C:$C)),0,IF(ISERROR(AVERAGEIF(従業員の給与情報!$B:$B,$A155,従業員の給与情報!$C:$C)),0,AVERAGEIF(従業員の給与情報!$B:$B,$A155,従業員の給与情報!$C:$C)))))</f>
        <v/>
      </c>
      <c r="T155" s="116" t="str">
        <f>IF(OR(入力シート!$C$5&lt;&gt;入力リスト!$N$4,COUNTIF(入力シート!$J$16:$S$23,入力リスト!$K$4)=0),"",IF(A155="","",IF(ISERROR(AVERAGEIF(従業員の給与情報!$B:$B,$A155,従業員の給与情報!$D:$D)),0,IF(ISERROR(AVERAGEIF(従業員の給与情報!$B:$B,$A155,従業員の給与情報!$D:$D)),0,AVERAGEIF(従業員の給与情報!$B:$B,$A155,従業員の給与情報!$D:$D)))))</f>
        <v/>
      </c>
      <c r="U155" s="116" t="str">
        <f>IF(OR(入力シート!$C$5&lt;&gt;入力リスト!$N$4,COUNTIF(入力シート!$J$16:$S$23,入力リスト!$K$4)=0),"",IF(A155="","",IF(ISERROR(AVERAGEIF(従業員の給与情報!$B:$B,$A155,従業員の給与情報!$E:$E)),0,IF(ISERROR(AVERAGEIF(従業員の給与情報!$B:$B,$A155,従業員の給与情報!$E:$E)),0,AVERAGEIF(従業員の給与情報!$B:$B,$A155,従業員の給与情報!$E:$E)))))</f>
        <v/>
      </c>
      <c r="V155" s="117" t="str">
        <f>IF(OR(入力シート!$C$5&lt;&gt;入力リスト!$N$4,COUNTIF(入力シート!$J$16:$S$23,入力リスト!$K$4)=0),"",IF(A155="","",IF(ISERROR(AVERAGEIF(従業員の給与情報!$B:$B,$A155,従業員の給与情報!$F:$F)),0,IF(ISERROR(AVERAGEIF(従業員の給与情報!$B:$B,$A155,従業員の給与情報!$F:$F)),0,AVERAGEIF(従業員の給与情報!$B:$B,$A155,従業員の給与情報!$F:$F)))))</f>
        <v/>
      </c>
      <c r="W155" s="182"/>
      <c r="X155" s="260"/>
    </row>
    <row r="156" spans="1:24" ht="19.5">
      <c r="A156" s="367"/>
      <c r="B156" s="364"/>
      <c r="C156" s="365"/>
      <c r="D156" s="366"/>
      <c r="E156" s="364"/>
      <c r="F156" s="372" t="str">
        <f>IF(G156,"この従業員番号は、すでに他のセルで入力されています。",IF(入力シート!$C$5=入力リスト!$N$5,"",IF(AND(A156="",B156="",C156="",D156="",E156=""),"",IF(OR(A156="",B156="",C156="",D156=""),IF(A156="","従業員番号","")&amp;IF(AND(A156="",OR(B156="",C156="",D156="")),",","")&amp;IF(B156="","雇用形態","")&amp;IF(AND(B156="",OR(C156="",D156="")),",","")&amp;IF(OR(入力シート!$J$18=入力リスト!$K$4,入力シート!$J$22=入力リスト!$K$4),IF(C156="","入社年月日",""),"")&amp;IF(AND(C156="",D156=""),",","")&amp;IF(D156="","性別","")&amp;IF(IF(A156="","従業員番号","")&amp;IF(B156="","雇用形態","")&amp;IF(OR(入力シート!$J$18=入力リスト!$K$4,入力シート!$J$22=入力リスト!$K$4),IF(C156="","入社年月日",""),"")&amp;IF(D156="","性別","")="","","が空白です。"),IF(J156,"入社年月日に「基準日」の翌日以降の日付が入力されています。","")&amp;IF(I156,"入社年月日に数値以外（又は1900/1/1以前の日付）が入力されています。","")&amp;IF(H156,"雇用形態"&amp;IF(OR(K156,L156),",",""),"")&amp;IF(K156,"性別"&amp;IF(L156,",",""),"")&amp;IF(L156,"役職","")&amp;IF(OR(H156,K156,L156),"に、［入力シート］(4)「貴社」欄と異なる文言が入力されています。","")))))</f>
        <v/>
      </c>
      <c r="G156" s="236" t="b">
        <f>COUNTIF($A$4:A155,$A156)&gt;0</f>
        <v>0</v>
      </c>
      <c r="H156" s="237" t="b">
        <f>IF(COUNTIF(入力シート!$J$16:$S$23,入力リスト!$K$4)=0,FALSE,IF(入力シート!$J$16=入力リスト!$K$5,FALSE,ISERROR(VLOOKUP(B156,入力シート!$S$37:$V$62,1,0))))</f>
        <v>0</v>
      </c>
      <c r="I156" s="237" t="b">
        <f>IF(AND(OR(入力シート!$J$18=入力リスト!$K$4,入力シート!$J$22=入力リスト!$K$4),入力シート!$J$24&lt;&gt;""),IF(ISERROR(C156+1),TRUE,IF(ISNUMBER(C156),FALSE,TRUE)),FALSE)</f>
        <v>0</v>
      </c>
      <c r="J156" s="237" t="b">
        <f>IF(AND(入力シート!$J$18=入力リスト!$K$4,入力シート!$J$22=入力リスト!$K$4),FALSE,IF(I156=TRUE,FALSE,IF(ISERROR(C156+1),FALSE,C156&gt;入力シート!$J$24)))</f>
        <v>0</v>
      </c>
      <c r="K156" s="237" t="b">
        <f>IF(COUNTIF(入力シート!$J$16:$S$23,入力リスト!$K$4)=0,FALSE,IF(AND(入力シート!$J$16&lt;&gt;入力リスト!$K$5,入力シート!$J$18&lt;&gt;入力リスト!$K$5,入力シート!$J$20&lt;&gt;入力リスト!$K$5,入力シート!$J$22&lt;&gt;入力リスト!$K$5),FALSE,ISERROR(VLOOKUP(D156,入力シート!$AW$37:$AY$38,1,0))))</f>
        <v>0</v>
      </c>
      <c r="L156" s="237" t="b">
        <f>IF(COUNTIF(入力シート!$J$16:$S$23,入力リスト!$K$4)=0,FALSE,IF(入力シート!$J$20=入力リスト!$K$5,FALSE,IF(E156="",FALSE,ISERROR(VLOOKUP(E156,入力シート!$AH$37:$AK$62,1,0)))))</f>
        <v>0</v>
      </c>
      <c r="M156" s="238" t="str">
        <f t="shared" si="2"/>
        <v/>
      </c>
      <c r="N156" s="236" t="str">
        <f>IF(B156="","",VLOOKUP('従業員情報(給与以外)'!$B156,入力シート!$S$37:$Z$62,5,0))</f>
        <v/>
      </c>
      <c r="O156" s="182" t="str">
        <f>IF(ISNUMBER(C156)=FALSE,"",IF(C156&gt;入力シート!$J$24,"",_xlfn.DAYS(入力シート!$J$24,'従業員情報(給与以外)'!$C156)/365))</f>
        <v/>
      </c>
      <c r="P156" s="237" t="str">
        <f>IF(O156="","",VLOOKUP(_xlfn.DAYS(入力シート!$J$24,'従業員情報(給与以外)'!$C156)/365,入力リスト!$H$4:$I$12,2,2))</f>
        <v/>
      </c>
      <c r="Q156" s="236" t="str">
        <f>IF(D156="","",VLOOKUP('従業員情報(給与以外)'!$D156,入力シート!$AW$37:$BB$38,4,0))</f>
        <v/>
      </c>
      <c r="R156" s="236" t="str">
        <f>IF(A156="","",IF(E156="","非役職",VLOOKUP('従業員情報(給与以外)'!$E156,入力シート!$AH$37:$AO$62,5,0)))</f>
        <v/>
      </c>
      <c r="S156" s="116" t="str">
        <f>IF(OR(入力シート!$C$5&lt;&gt;入力リスト!$N$4,COUNTIF(入力シート!$J$16:$S$23,入力リスト!$K$4)=0),"",IF($A156="","",IF(ISERROR(AVERAGEIF(従業員の給与情報!$B:$B,$A156,従業員の給与情報!$C:$C)),0,IF(ISERROR(AVERAGEIF(従業員の給与情報!$B:$B,$A156,従業員の給与情報!$C:$C)),0,AVERAGEIF(従業員の給与情報!$B:$B,$A156,従業員の給与情報!$C:$C)))))</f>
        <v/>
      </c>
      <c r="T156" s="116" t="str">
        <f>IF(OR(入力シート!$C$5&lt;&gt;入力リスト!$N$4,COUNTIF(入力シート!$J$16:$S$23,入力リスト!$K$4)=0),"",IF(A156="","",IF(ISERROR(AVERAGEIF(従業員の給与情報!$B:$B,$A156,従業員の給与情報!$D:$D)),0,IF(ISERROR(AVERAGEIF(従業員の給与情報!$B:$B,$A156,従業員の給与情報!$D:$D)),0,AVERAGEIF(従業員の給与情報!$B:$B,$A156,従業員の給与情報!$D:$D)))))</f>
        <v/>
      </c>
      <c r="U156" s="116" t="str">
        <f>IF(OR(入力シート!$C$5&lt;&gt;入力リスト!$N$4,COUNTIF(入力シート!$J$16:$S$23,入力リスト!$K$4)=0),"",IF(A156="","",IF(ISERROR(AVERAGEIF(従業員の給与情報!$B:$B,$A156,従業員の給与情報!$E:$E)),0,IF(ISERROR(AVERAGEIF(従業員の給与情報!$B:$B,$A156,従業員の給与情報!$E:$E)),0,AVERAGEIF(従業員の給与情報!$B:$B,$A156,従業員の給与情報!$E:$E)))))</f>
        <v/>
      </c>
      <c r="V156" s="117" t="str">
        <f>IF(OR(入力シート!$C$5&lt;&gt;入力リスト!$N$4,COUNTIF(入力シート!$J$16:$S$23,入力リスト!$K$4)=0),"",IF(A156="","",IF(ISERROR(AVERAGEIF(従業員の給与情報!$B:$B,$A156,従業員の給与情報!$F:$F)),0,IF(ISERROR(AVERAGEIF(従業員の給与情報!$B:$B,$A156,従業員の給与情報!$F:$F)),0,AVERAGEIF(従業員の給与情報!$B:$B,$A156,従業員の給与情報!$F:$F)))))</f>
        <v/>
      </c>
      <c r="W156" s="182"/>
      <c r="X156" s="260"/>
    </row>
    <row r="157" spans="1:24" ht="19.5">
      <c r="A157" s="367"/>
      <c r="B157" s="364"/>
      <c r="C157" s="365"/>
      <c r="D157" s="366"/>
      <c r="E157" s="367"/>
      <c r="F157" s="372" t="str">
        <f>IF(G157,"この従業員番号は、すでに他のセルで入力されています。",IF(入力シート!$C$5=入力リスト!$N$5,"",IF(AND(A157="",B157="",C157="",D157="",E157=""),"",IF(OR(A157="",B157="",C157="",D157=""),IF(A157="","従業員番号","")&amp;IF(AND(A157="",OR(B157="",C157="",D157="")),",","")&amp;IF(B157="","雇用形態","")&amp;IF(AND(B157="",OR(C157="",D157="")),",","")&amp;IF(OR(入力シート!$J$18=入力リスト!$K$4,入力シート!$J$22=入力リスト!$K$4),IF(C157="","入社年月日",""),"")&amp;IF(AND(C157="",D157=""),",","")&amp;IF(D157="","性別","")&amp;IF(IF(A157="","従業員番号","")&amp;IF(B157="","雇用形態","")&amp;IF(OR(入力シート!$J$18=入力リスト!$K$4,入力シート!$J$22=入力リスト!$K$4),IF(C157="","入社年月日",""),"")&amp;IF(D157="","性別","")="","","が空白です。"),IF(J157,"入社年月日に「基準日」の翌日以降の日付が入力されています。","")&amp;IF(I157,"入社年月日に数値以外（又は1900/1/1以前の日付）が入力されています。","")&amp;IF(H157,"雇用形態"&amp;IF(OR(K157,L157),",",""),"")&amp;IF(K157,"性別"&amp;IF(L157,",",""),"")&amp;IF(L157,"役職","")&amp;IF(OR(H157,K157,L157),"に、［入力シート］(4)「貴社」欄と異なる文言が入力されています。","")))))</f>
        <v/>
      </c>
      <c r="G157" s="236" t="b">
        <f>COUNTIF($A$4:A156,$A157)&gt;0</f>
        <v>0</v>
      </c>
      <c r="H157" s="237" t="b">
        <f>IF(COUNTIF(入力シート!$J$16:$S$23,入力リスト!$K$4)=0,FALSE,IF(入力シート!$J$16=入力リスト!$K$5,FALSE,ISERROR(VLOOKUP(B157,入力シート!$S$37:$V$62,1,0))))</f>
        <v>0</v>
      </c>
      <c r="I157" s="237" t="b">
        <f>IF(AND(OR(入力シート!$J$18=入力リスト!$K$4,入力シート!$J$22=入力リスト!$K$4),入力シート!$J$24&lt;&gt;""),IF(ISERROR(C157+1),TRUE,IF(ISNUMBER(C157),FALSE,TRUE)),FALSE)</f>
        <v>0</v>
      </c>
      <c r="J157" s="237" t="b">
        <f>IF(AND(入力シート!$J$18=入力リスト!$K$4,入力シート!$J$22=入力リスト!$K$4),FALSE,IF(I157=TRUE,FALSE,IF(ISERROR(C157+1),FALSE,C157&gt;入力シート!$J$24)))</f>
        <v>0</v>
      </c>
      <c r="K157" s="237" t="b">
        <f>IF(COUNTIF(入力シート!$J$16:$S$23,入力リスト!$K$4)=0,FALSE,IF(AND(入力シート!$J$16&lt;&gt;入力リスト!$K$5,入力シート!$J$18&lt;&gt;入力リスト!$K$5,入力シート!$J$20&lt;&gt;入力リスト!$K$5,入力シート!$J$22&lt;&gt;入力リスト!$K$5),FALSE,ISERROR(VLOOKUP(D157,入力シート!$AW$37:$AY$38,1,0))))</f>
        <v>0</v>
      </c>
      <c r="L157" s="237" t="b">
        <f>IF(COUNTIF(入力シート!$J$16:$S$23,入力リスト!$K$4)=0,FALSE,IF(入力シート!$J$20=入力リスト!$K$5,FALSE,IF(E157="",FALSE,ISERROR(VLOOKUP(E157,入力シート!$AH$37:$AK$62,1,0)))))</f>
        <v>0</v>
      </c>
      <c r="M157" s="238" t="str">
        <f t="shared" si="2"/>
        <v/>
      </c>
      <c r="N157" s="236" t="str">
        <f>IF(B157="","",VLOOKUP('従業員情報(給与以外)'!$B157,入力シート!$S$37:$Z$62,5,0))</f>
        <v/>
      </c>
      <c r="O157" s="182" t="str">
        <f>IF(ISNUMBER(C157)=FALSE,"",IF(C157&gt;入力シート!$J$24,"",_xlfn.DAYS(入力シート!$J$24,'従業員情報(給与以外)'!$C157)/365))</f>
        <v/>
      </c>
      <c r="P157" s="237" t="str">
        <f>IF(O157="","",VLOOKUP(_xlfn.DAYS(入力シート!$J$24,'従業員情報(給与以外)'!$C157)/365,入力リスト!$H$4:$I$12,2,2))</f>
        <v/>
      </c>
      <c r="Q157" s="236" t="str">
        <f>IF(D157="","",VLOOKUP('従業員情報(給与以外)'!$D157,入力シート!$AW$37:$BB$38,4,0))</f>
        <v/>
      </c>
      <c r="R157" s="236" t="str">
        <f>IF(A157="","",IF(E157="","非役職",VLOOKUP('従業員情報(給与以外)'!$E157,入力シート!$AH$37:$AO$62,5,0)))</f>
        <v/>
      </c>
      <c r="S157" s="116" t="str">
        <f>IF(OR(入力シート!$C$5&lt;&gt;入力リスト!$N$4,COUNTIF(入力シート!$J$16:$S$23,入力リスト!$K$4)=0),"",IF($A157="","",IF(ISERROR(AVERAGEIF(従業員の給与情報!$B:$B,$A157,従業員の給与情報!$C:$C)),0,IF(ISERROR(AVERAGEIF(従業員の給与情報!$B:$B,$A157,従業員の給与情報!$C:$C)),0,AVERAGEIF(従業員の給与情報!$B:$B,$A157,従業員の給与情報!$C:$C)))))</f>
        <v/>
      </c>
      <c r="T157" s="116" t="str">
        <f>IF(OR(入力シート!$C$5&lt;&gt;入力リスト!$N$4,COUNTIF(入力シート!$J$16:$S$23,入力リスト!$K$4)=0),"",IF(A157="","",IF(ISERROR(AVERAGEIF(従業員の給与情報!$B:$B,$A157,従業員の給与情報!$D:$D)),0,IF(ISERROR(AVERAGEIF(従業員の給与情報!$B:$B,$A157,従業員の給与情報!$D:$D)),0,AVERAGEIF(従業員の給与情報!$B:$B,$A157,従業員の給与情報!$D:$D)))))</f>
        <v/>
      </c>
      <c r="U157" s="116" t="str">
        <f>IF(OR(入力シート!$C$5&lt;&gt;入力リスト!$N$4,COUNTIF(入力シート!$J$16:$S$23,入力リスト!$K$4)=0),"",IF(A157="","",IF(ISERROR(AVERAGEIF(従業員の給与情報!$B:$B,$A157,従業員の給与情報!$E:$E)),0,IF(ISERROR(AVERAGEIF(従業員の給与情報!$B:$B,$A157,従業員の給与情報!$E:$E)),0,AVERAGEIF(従業員の給与情報!$B:$B,$A157,従業員の給与情報!$E:$E)))))</f>
        <v/>
      </c>
      <c r="V157" s="117" t="str">
        <f>IF(OR(入力シート!$C$5&lt;&gt;入力リスト!$N$4,COUNTIF(入力シート!$J$16:$S$23,入力リスト!$K$4)=0),"",IF(A157="","",IF(ISERROR(AVERAGEIF(従業員の給与情報!$B:$B,$A157,従業員の給与情報!$F:$F)),0,IF(ISERROR(AVERAGEIF(従業員の給与情報!$B:$B,$A157,従業員の給与情報!$F:$F)),0,AVERAGEIF(従業員の給与情報!$B:$B,$A157,従業員の給与情報!$F:$F)))))</f>
        <v/>
      </c>
      <c r="W157" s="182"/>
      <c r="X157" s="260"/>
    </row>
    <row r="158" spans="1:24" ht="19.5">
      <c r="A158" s="367"/>
      <c r="B158" s="364"/>
      <c r="C158" s="365"/>
      <c r="D158" s="366"/>
      <c r="E158" s="367"/>
      <c r="F158" s="372" t="str">
        <f>IF(G158,"この従業員番号は、すでに他のセルで入力されています。",IF(入力シート!$C$5=入力リスト!$N$5,"",IF(AND(A158="",B158="",C158="",D158="",E158=""),"",IF(OR(A158="",B158="",C158="",D158=""),IF(A158="","従業員番号","")&amp;IF(AND(A158="",OR(B158="",C158="",D158="")),",","")&amp;IF(B158="","雇用形態","")&amp;IF(AND(B158="",OR(C158="",D158="")),",","")&amp;IF(OR(入力シート!$J$18=入力リスト!$K$4,入力シート!$J$22=入力リスト!$K$4),IF(C158="","入社年月日",""),"")&amp;IF(AND(C158="",D158=""),",","")&amp;IF(D158="","性別","")&amp;IF(IF(A158="","従業員番号","")&amp;IF(B158="","雇用形態","")&amp;IF(OR(入力シート!$J$18=入力リスト!$K$4,入力シート!$J$22=入力リスト!$K$4),IF(C158="","入社年月日",""),"")&amp;IF(D158="","性別","")="","","が空白です。"),IF(J158,"入社年月日に「基準日」の翌日以降の日付が入力されています。","")&amp;IF(I158,"入社年月日に数値以外（又は1900/1/1以前の日付）が入力されています。","")&amp;IF(H158,"雇用形態"&amp;IF(OR(K158,L158),",",""),"")&amp;IF(K158,"性別"&amp;IF(L158,",",""),"")&amp;IF(L158,"役職","")&amp;IF(OR(H158,K158,L158),"に、［入力シート］(4)「貴社」欄と異なる文言が入力されています。","")))))</f>
        <v/>
      </c>
      <c r="G158" s="236" t="b">
        <f>COUNTIF($A$4:A157,$A158)&gt;0</f>
        <v>0</v>
      </c>
      <c r="H158" s="237" t="b">
        <f>IF(COUNTIF(入力シート!$J$16:$S$23,入力リスト!$K$4)=0,FALSE,IF(入力シート!$J$16=入力リスト!$K$5,FALSE,ISERROR(VLOOKUP(B158,入力シート!$S$37:$V$62,1,0))))</f>
        <v>0</v>
      </c>
      <c r="I158" s="237" t="b">
        <f>IF(AND(OR(入力シート!$J$18=入力リスト!$K$4,入力シート!$J$22=入力リスト!$K$4),入力シート!$J$24&lt;&gt;""),IF(ISERROR(C158+1),TRUE,IF(ISNUMBER(C158),FALSE,TRUE)),FALSE)</f>
        <v>0</v>
      </c>
      <c r="J158" s="237" t="b">
        <f>IF(AND(入力シート!$J$18=入力リスト!$K$4,入力シート!$J$22=入力リスト!$K$4),FALSE,IF(I158=TRUE,FALSE,IF(ISERROR(C158+1),FALSE,C158&gt;入力シート!$J$24)))</f>
        <v>0</v>
      </c>
      <c r="K158" s="237" t="b">
        <f>IF(COUNTIF(入力シート!$J$16:$S$23,入力リスト!$K$4)=0,FALSE,IF(AND(入力シート!$J$16&lt;&gt;入力リスト!$K$5,入力シート!$J$18&lt;&gt;入力リスト!$K$5,入力シート!$J$20&lt;&gt;入力リスト!$K$5,入力シート!$J$22&lt;&gt;入力リスト!$K$5),FALSE,ISERROR(VLOOKUP(D158,入力シート!$AW$37:$AY$38,1,0))))</f>
        <v>0</v>
      </c>
      <c r="L158" s="237" t="b">
        <f>IF(COUNTIF(入力シート!$J$16:$S$23,入力リスト!$K$4)=0,FALSE,IF(入力シート!$J$20=入力リスト!$K$5,FALSE,IF(E158="",FALSE,ISERROR(VLOOKUP(E158,入力シート!$AH$37:$AK$62,1,0)))))</f>
        <v>0</v>
      </c>
      <c r="M158" s="238" t="str">
        <f t="shared" si="2"/>
        <v/>
      </c>
      <c r="N158" s="236" t="str">
        <f>IF(B158="","",VLOOKUP('従業員情報(給与以外)'!$B158,入力シート!$S$37:$Z$62,5,0))</f>
        <v/>
      </c>
      <c r="O158" s="182" t="str">
        <f>IF(ISNUMBER(C158)=FALSE,"",IF(C158&gt;入力シート!$J$24,"",_xlfn.DAYS(入力シート!$J$24,'従業員情報(給与以外)'!$C158)/365))</f>
        <v/>
      </c>
      <c r="P158" s="237" t="str">
        <f>IF(O158="","",VLOOKUP(_xlfn.DAYS(入力シート!$J$24,'従業員情報(給与以外)'!$C158)/365,入力リスト!$H$4:$I$12,2,2))</f>
        <v/>
      </c>
      <c r="Q158" s="236" t="str">
        <f>IF(D158="","",VLOOKUP('従業員情報(給与以外)'!$D158,入力シート!$AW$37:$BB$38,4,0))</f>
        <v/>
      </c>
      <c r="R158" s="236" t="str">
        <f>IF(A158="","",IF(E158="","非役職",VLOOKUP('従業員情報(給与以外)'!$E158,入力シート!$AH$37:$AO$62,5,0)))</f>
        <v/>
      </c>
      <c r="S158" s="116" t="str">
        <f>IF(OR(入力シート!$C$5&lt;&gt;入力リスト!$N$4,COUNTIF(入力シート!$J$16:$S$23,入力リスト!$K$4)=0),"",IF($A158="","",IF(ISERROR(AVERAGEIF(従業員の給与情報!$B:$B,$A158,従業員の給与情報!$C:$C)),0,IF(ISERROR(AVERAGEIF(従業員の給与情報!$B:$B,$A158,従業員の給与情報!$C:$C)),0,AVERAGEIF(従業員の給与情報!$B:$B,$A158,従業員の給与情報!$C:$C)))))</f>
        <v/>
      </c>
      <c r="T158" s="116" t="str">
        <f>IF(OR(入力シート!$C$5&lt;&gt;入力リスト!$N$4,COUNTIF(入力シート!$J$16:$S$23,入力リスト!$K$4)=0),"",IF(A158="","",IF(ISERROR(AVERAGEIF(従業員の給与情報!$B:$B,$A158,従業員の給与情報!$D:$D)),0,IF(ISERROR(AVERAGEIF(従業員の給与情報!$B:$B,$A158,従業員の給与情報!$D:$D)),0,AVERAGEIF(従業員の給与情報!$B:$B,$A158,従業員の給与情報!$D:$D)))))</f>
        <v/>
      </c>
      <c r="U158" s="116" t="str">
        <f>IF(OR(入力シート!$C$5&lt;&gt;入力リスト!$N$4,COUNTIF(入力シート!$J$16:$S$23,入力リスト!$K$4)=0),"",IF(A158="","",IF(ISERROR(AVERAGEIF(従業員の給与情報!$B:$B,$A158,従業員の給与情報!$E:$E)),0,IF(ISERROR(AVERAGEIF(従業員の給与情報!$B:$B,$A158,従業員の給与情報!$E:$E)),0,AVERAGEIF(従業員の給与情報!$B:$B,$A158,従業員の給与情報!$E:$E)))))</f>
        <v/>
      </c>
      <c r="V158" s="117" t="str">
        <f>IF(OR(入力シート!$C$5&lt;&gt;入力リスト!$N$4,COUNTIF(入力シート!$J$16:$S$23,入力リスト!$K$4)=0),"",IF(A158="","",IF(ISERROR(AVERAGEIF(従業員の給与情報!$B:$B,$A158,従業員の給与情報!$F:$F)),0,IF(ISERROR(AVERAGEIF(従業員の給与情報!$B:$B,$A158,従業員の給与情報!$F:$F)),0,AVERAGEIF(従業員の給与情報!$B:$B,$A158,従業員の給与情報!$F:$F)))))</f>
        <v/>
      </c>
      <c r="W158" s="182"/>
      <c r="X158" s="260"/>
    </row>
    <row r="159" spans="1:24" ht="19.5">
      <c r="A159" s="367"/>
      <c r="B159" s="364"/>
      <c r="C159" s="365"/>
      <c r="D159" s="366"/>
      <c r="E159" s="367"/>
      <c r="F159" s="372" t="str">
        <f>IF(G159,"この従業員番号は、すでに他のセルで入力されています。",IF(入力シート!$C$5=入力リスト!$N$5,"",IF(AND(A159="",B159="",C159="",D159="",E159=""),"",IF(OR(A159="",B159="",C159="",D159=""),IF(A159="","従業員番号","")&amp;IF(AND(A159="",OR(B159="",C159="",D159="")),",","")&amp;IF(B159="","雇用形態","")&amp;IF(AND(B159="",OR(C159="",D159="")),",","")&amp;IF(OR(入力シート!$J$18=入力リスト!$K$4,入力シート!$J$22=入力リスト!$K$4),IF(C159="","入社年月日",""),"")&amp;IF(AND(C159="",D159=""),",","")&amp;IF(D159="","性別","")&amp;IF(IF(A159="","従業員番号","")&amp;IF(B159="","雇用形態","")&amp;IF(OR(入力シート!$J$18=入力リスト!$K$4,入力シート!$J$22=入力リスト!$K$4),IF(C159="","入社年月日",""),"")&amp;IF(D159="","性別","")="","","が空白です。"),IF(J159,"入社年月日に「基準日」の翌日以降の日付が入力されています。","")&amp;IF(I159,"入社年月日に数値以外（又は1900/1/1以前の日付）が入力されています。","")&amp;IF(H159,"雇用形態"&amp;IF(OR(K159,L159),",",""),"")&amp;IF(K159,"性別"&amp;IF(L159,",",""),"")&amp;IF(L159,"役職","")&amp;IF(OR(H159,K159,L159),"に、［入力シート］(4)「貴社」欄と異なる文言が入力されています。","")))))</f>
        <v/>
      </c>
      <c r="G159" s="236" t="b">
        <f>COUNTIF($A$4:A158,$A159)&gt;0</f>
        <v>0</v>
      </c>
      <c r="H159" s="237" t="b">
        <f>IF(COUNTIF(入力シート!$J$16:$S$23,入力リスト!$K$4)=0,FALSE,IF(入力シート!$J$16=入力リスト!$K$5,FALSE,ISERROR(VLOOKUP(B159,入力シート!$S$37:$V$62,1,0))))</f>
        <v>0</v>
      </c>
      <c r="I159" s="237" t="b">
        <f>IF(AND(OR(入力シート!$J$18=入力リスト!$K$4,入力シート!$J$22=入力リスト!$K$4),入力シート!$J$24&lt;&gt;""),IF(ISERROR(C159+1),TRUE,IF(ISNUMBER(C159),FALSE,TRUE)),FALSE)</f>
        <v>0</v>
      </c>
      <c r="J159" s="237" t="b">
        <f>IF(AND(入力シート!$J$18=入力リスト!$K$4,入力シート!$J$22=入力リスト!$K$4),FALSE,IF(I159=TRUE,FALSE,IF(ISERROR(C159+1),FALSE,C159&gt;入力シート!$J$24)))</f>
        <v>0</v>
      </c>
      <c r="K159" s="237" t="b">
        <f>IF(COUNTIF(入力シート!$J$16:$S$23,入力リスト!$K$4)=0,FALSE,IF(AND(入力シート!$J$16&lt;&gt;入力リスト!$K$5,入力シート!$J$18&lt;&gt;入力リスト!$K$5,入力シート!$J$20&lt;&gt;入力リスト!$K$5,入力シート!$J$22&lt;&gt;入力リスト!$K$5),FALSE,ISERROR(VLOOKUP(D159,入力シート!$AW$37:$AY$38,1,0))))</f>
        <v>0</v>
      </c>
      <c r="L159" s="237" t="b">
        <f>IF(COUNTIF(入力シート!$J$16:$S$23,入力リスト!$K$4)=0,FALSE,IF(入力シート!$J$20=入力リスト!$K$5,FALSE,IF(E159="",FALSE,ISERROR(VLOOKUP(E159,入力シート!$AH$37:$AK$62,1,0)))))</f>
        <v>0</v>
      </c>
      <c r="M159" s="238" t="str">
        <f t="shared" si="2"/>
        <v/>
      </c>
      <c r="N159" s="236" t="str">
        <f>IF(B159="","",VLOOKUP('従業員情報(給与以外)'!$B159,入力シート!$S$37:$Z$62,5,0))</f>
        <v/>
      </c>
      <c r="O159" s="182" t="str">
        <f>IF(ISNUMBER(C159)=FALSE,"",IF(C159&gt;入力シート!$J$24,"",_xlfn.DAYS(入力シート!$J$24,'従業員情報(給与以外)'!$C159)/365))</f>
        <v/>
      </c>
      <c r="P159" s="237" t="str">
        <f>IF(O159="","",VLOOKUP(_xlfn.DAYS(入力シート!$J$24,'従業員情報(給与以外)'!$C159)/365,入力リスト!$H$4:$I$12,2,2))</f>
        <v/>
      </c>
      <c r="Q159" s="236" t="str">
        <f>IF(D159="","",VLOOKUP('従業員情報(給与以外)'!$D159,入力シート!$AW$37:$BB$38,4,0))</f>
        <v/>
      </c>
      <c r="R159" s="236" t="str">
        <f>IF(A159="","",IF(E159="","非役職",VLOOKUP('従業員情報(給与以外)'!$E159,入力シート!$AH$37:$AO$62,5,0)))</f>
        <v/>
      </c>
      <c r="S159" s="116" t="str">
        <f>IF(OR(入力シート!$C$5&lt;&gt;入力リスト!$N$4,COUNTIF(入力シート!$J$16:$S$23,入力リスト!$K$4)=0),"",IF($A159="","",IF(ISERROR(AVERAGEIF(従業員の給与情報!$B:$B,$A159,従業員の給与情報!$C:$C)),0,IF(ISERROR(AVERAGEIF(従業員の給与情報!$B:$B,$A159,従業員の給与情報!$C:$C)),0,AVERAGEIF(従業員の給与情報!$B:$B,$A159,従業員の給与情報!$C:$C)))))</f>
        <v/>
      </c>
      <c r="T159" s="116" t="str">
        <f>IF(OR(入力シート!$C$5&lt;&gt;入力リスト!$N$4,COUNTIF(入力シート!$J$16:$S$23,入力リスト!$K$4)=0),"",IF(A159="","",IF(ISERROR(AVERAGEIF(従業員の給与情報!$B:$B,$A159,従業員の給与情報!$D:$D)),0,IF(ISERROR(AVERAGEIF(従業員の給与情報!$B:$B,$A159,従業員の給与情報!$D:$D)),0,AVERAGEIF(従業員の給与情報!$B:$B,$A159,従業員の給与情報!$D:$D)))))</f>
        <v/>
      </c>
      <c r="U159" s="116" t="str">
        <f>IF(OR(入力シート!$C$5&lt;&gt;入力リスト!$N$4,COUNTIF(入力シート!$J$16:$S$23,入力リスト!$K$4)=0),"",IF(A159="","",IF(ISERROR(AVERAGEIF(従業員の給与情報!$B:$B,$A159,従業員の給与情報!$E:$E)),0,IF(ISERROR(AVERAGEIF(従業員の給与情報!$B:$B,$A159,従業員の給与情報!$E:$E)),0,AVERAGEIF(従業員の給与情報!$B:$B,$A159,従業員の給与情報!$E:$E)))))</f>
        <v/>
      </c>
      <c r="V159" s="117" t="str">
        <f>IF(OR(入力シート!$C$5&lt;&gt;入力リスト!$N$4,COUNTIF(入力シート!$J$16:$S$23,入力リスト!$K$4)=0),"",IF(A159="","",IF(ISERROR(AVERAGEIF(従業員の給与情報!$B:$B,$A159,従業員の給与情報!$F:$F)),0,IF(ISERROR(AVERAGEIF(従業員の給与情報!$B:$B,$A159,従業員の給与情報!$F:$F)),0,AVERAGEIF(従業員の給与情報!$B:$B,$A159,従業員の給与情報!$F:$F)))))</f>
        <v/>
      </c>
      <c r="W159" s="182"/>
      <c r="X159" s="260"/>
    </row>
    <row r="160" spans="1:24" ht="19.5">
      <c r="A160" s="367"/>
      <c r="B160" s="364"/>
      <c r="C160" s="365"/>
      <c r="D160" s="366"/>
      <c r="E160" s="367"/>
      <c r="F160" s="372" t="str">
        <f>IF(G160,"この従業員番号は、すでに他のセルで入力されています。",IF(入力シート!$C$5=入力リスト!$N$5,"",IF(AND(A160="",B160="",C160="",D160="",E160=""),"",IF(OR(A160="",B160="",C160="",D160=""),IF(A160="","従業員番号","")&amp;IF(AND(A160="",OR(B160="",C160="",D160="")),",","")&amp;IF(B160="","雇用形態","")&amp;IF(AND(B160="",OR(C160="",D160="")),",","")&amp;IF(OR(入力シート!$J$18=入力リスト!$K$4,入力シート!$J$22=入力リスト!$K$4),IF(C160="","入社年月日",""),"")&amp;IF(AND(C160="",D160=""),",","")&amp;IF(D160="","性別","")&amp;IF(IF(A160="","従業員番号","")&amp;IF(B160="","雇用形態","")&amp;IF(OR(入力シート!$J$18=入力リスト!$K$4,入力シート!$J$22=入力リスト!$K$4),IF(C160="","入社年月日",""),"")&amp;IF(D160="","性別","")="","","が空白です。"),IF(J160,"入社年月日に「基準日」の翌日以降の日付が入力されています。","")&amp;IF(I160,"入社年月日に数値以外（又は1900/1/1以前の日付）が入力されています。","")&amp;IF(H160,"雇用形態"&amp;IF(OR(K160,L160),",",""),"")&amp;IF(K160,"性別"&amp;IF(L160,",",""),"")&amp;IF(L160,"役職","")&amp;IF(OR(H160,K160,L160),"に、［入力シート］(4)「貴社」欄と異なる文言が入力されています。","")))))</f>
        <v/>
      </c>
      <c r="G160" s="236" t="b">
        <f>COUNTIF($A$4:A159,$A160)&gt;0</f>
        <v>0</v>
      </c>
      <c r="H160" s="237" t="b">
        <f>IF(COUNTIF(入力シート!$J$16:$S$23,入力リスト!$K$4)=0,FALSE,IF(入力シート!$J$16=入力リスト!$K$5,FALSE,ISERROR(VLOOKUP(B160,入力シート!$S$37:$V$62,1,0))))</f>
        <v>0</v>
      </c>
      <c r="I160" s="237" t="b">
        <f>IF(AND(OR(入力シート!$J$18=入力リスト!$K$4,入力シート!$J$22=入力リスト!$K$4),入力シート!$J$24&lt;&gt;""),IF(ISERROR(C160+1),TRUE,IF(ISNUMBER(C160),FALSE,TRUE)),FALSE)</f>
        <v>0</v>
      </c>
      <c r="J160" s="237" t="b">
        <f>IF(AND(入力シート!$J$18=入力リスト!$K$4,入力シート!$J$22=入力リスト!$K$4),FALSE,IF(I160=TRUE,FALSE,IF(ISERROR(C160+1),FALSE,C160&gt;入力シート!$J$24)))</f>
        <v>0</v>
      </c>
      <c r="K160" s="237" t="b">
        <f>IF(COUNTIF(入力シート!$J$16:$S$23,入力リスト!$K$4)=0,FALSE,IF(AND(入力シート!$J$16&lt;&gt;入力リスト!$K$5,入力シート!$J$18&lt;&gt;入力リスト!$K$5,入力シート!$J$20&lt;&gt;入力リスト!$K$5,入力シート!$J$22&lt;&gt;入力リスト!$K$5),FALSE,ISERROR(VLOOKUP(D160,入力シート!$AW$37:$AY$38,1,0))))</f>
        <v>0</v>
      </c>
      <c r="L160" s="237" t="b">
        <f>IF(COUNTIF(入力シート!$J$16:$S$23,入力リスト!$K$4)=0,FALSE,IF(入力シート!$J$20=入力リスト!$K$5,FALSE,IF(E160="",FALSE,ISERROR(VLOOKUP(E160,入力シート!$AH$37:$AK$62,1,0)))))</f>
        <v>0</v>
      </c>
      <c r="M160" s="238" t="str">
        <f t="shared" si="2"/>
        <v/>
      </c>
      <c r="N160" s="236" t="str">
        <f>IF(B160="","",VLOOKUP('従業員情報(給与以外)'!$B160,入力シート!$S$37:$Z$62,5,0))</f>
        <v/>
      </c>
      <c r="O160" s="182" t="str">
        <f>IF(ISNUMBER(C160)=FALSE,"",IF(C160&gt;入力シート!$J$24,"",_xlfn.DAYS(入力シート!$J$24,'従業員情報(給与以外)'!$C160)/365))</f>
        <v/>
      </c>
      <c r="P160" s="237" t="str">
        <f>IF(O160="","",VLOOKUP(_xlfn.DAYS(入力シート!$J$24,'従業員情報(給与以外)'!$C160)/365,入力リスト!$H$4:$I$12,2,2))</f>
        <v/>
      </c>
      <c r="Q160" s="236" t="str">
        <f>IF(D160="","",VLOOKUP('従業員情報(給与以外)'!$D160,入力シート!$AW$37:$BB$38,4,0))</f>
        <v/>
      </c>
      <c r="R160" s="236" t="str">
        <f>IF(A160="","",IF(E160="","非役職",VLOOKUP('従業員情報(給与以外)'!$E160,入力シート!$AH$37:$AO$62,5,0)))</f>
        <v/>
      </c>
      <c r="S160" s="116" t="str">
        <f>IF(OR(入力シート!$C$5&lt;&gt;入力リスト!$N$4,COUNTIF(入力シート!$J$16:$S$23,入力リスト!$K$4)=0),"",IF($A160="","",IF(ISERROR(AVERAGEIF(従業員の給与情報!$B:$B,$A160,従業員の給与情報!$C:$C)),0,IF(ISERROR(AVERAGEIF(従業員の給与情報!$B:$B,$A160,従業員の給与情報!$C:$C)),0,AVERAGEIF(従業員の給与情報!$B:$B,$A160,従業員の給与情報!$C:$C)))))</f>
        <v/>
      </c>
      <c r="T160" s="116" t="str">
        <f>IF(OR(入力シート!$C$5&lt;&gt;入力リスト!$N$4,COUNTIF(入力シート!$J$16:$S$23,入力リスト!$K$4)=0),"",IF(A160="","",IF(ISERROR(AVERAGEIF(従業員の給与情報!$B:$B,$A160,従業員の給与情報!$D:$D)),0,IF(ISERROR(AVERAGEIF(従業員の給与情報!$B:$B,$A160,従業員の給与情報!$D:$D)),0,AVERAGEIF(従業員の給与情報!$B:$B,$A160,従業員の給与情報!$D:$D)))))</f>
        <v/>
      </c>
      <c r="U160" s="116" t="str">
        <f>IF(OR(入力シート!$C$5&lt;&gt;入力リスト!$N$4,COUNTIF(入力シート!$J$16:$S$23,入力リスト!$K$4)=0),"",IF(A160="","",IF(ISERROR(AVERAGEIF(従業員の給与情報!$B:$B,$A160,従業員の給与情報!$E:$E)),0,IF(ISERROR(AVERAGEIF(従業員の給与情報!$B:$B,$A160,従業員の給与情報!$E:$E)),0,AVERAGEIF(従業員の給与情報!$B:$B,$A160,従業員の給与情報!$E:$E)))))</f>
        <v/>
      </c>
      <c r="V160" s="117" t="str">
        <f>IF(OR(入力シート!$C$5&lt;&gt;入力リスト!$N$4,COUNTIF(入力シート!$J$16:$S$23,入力リスト!$K$4)=0),"",IF(A160="","",IF(ISERROR(AVERAGEIF(従業員の給与情報!$B:$B,$A160,従業員の給与情報!$F:$F)),0,IF(ISERROR(AVERAGEIF(従業員の給与情報!$B:$B,$A160,従業員の給与情報!$F:$F)),0,AVERAGEIF(従業員の給与情報!$B:$B,$A160,従業員の給与情報!$F:$F)))))</f>
        <v/>
      </c>
      <c r="W160" s="182"/>
      <c r="X160" s="260"/>
    </row>
    <row r="161" spans="1:24" ht="19.5">
      <c r="A161" s="367"/>
      <c r="B161" s="364"/>
      <c r="C161" s="365"/>
      <c r="D161" s="366"/>
      <c r="E161" s="367"/>
      <c r="F161" s="372" t="str">
        <f>IF(G161,"この従業員番号は、すでに他のセルで入力されています。",IF(入力シート!$C$5=入力リスト!$N$5,"",IF(AND(A161="",B161="",C161="",D161="",E161=""),"",IF(OR(A161="",B161="",C161="",D161=""),IF(A161="","従業員番号","")&amp;IF(AND(A161="",OR(B161="",C161="",D161="")),",","")&amp;IF(B161="","雇用形態","")&amp;IF(AND(B161="",OR(C161="",D161="")),",","")&amp;IF(OR(入力シート!$J$18=入力リスト!$K$4,入力シート!$J$22=入力リスト!$K$4),IF(C161="","入社年月日",""),"")&amp;IF(AND(C161="",D161=""),",","")&amp;IF(D161="","性別","")&amp;IF(IF(A161="","従業員番号","")&amp;IF(B161="","雇用形態","")&amp;IF(OR(入力シート!$J$18=入力リスト!$K$4,入力シート!$J$22=入力リスト!$K$4),IF(C161="","入社年月日",""),"")&amp;IF(D161="","性別","")="","","が空白です。"),IF(J161,"入社年月日に「基準日」の翌日以降の日付が入力されています。","")&amp;IF(I161,"入社年月日に数値以外（又は1900/1/1以前の日付）が入力されています。","")&amp;IF(H161,"雇用形態"&amp;IF(OR(K161,L161),",",""),"")&amp;IF(K161,"性別"&amp;IF(L161,",",""),"")&amp;IF(L161,"役職","")&amp;IF(OR(H161,K161,L161),"に、［入力シート］(4)「貴社」欄と異なる文言が入力されています。","")))))</f>
        <v/>
      </c>
      <c r="G161" s="236" t="b">
        <f>COUNTIF($A$4:A160,$A161)&gt;0</f>
        <v>0</v>
      </c>
      <c r="H161" s="237" t="b">
        <f>IF(COUNTIF(入力シート!$J$16:$S$23,入力リスト!$K$4)=0,FALSE,IF(入力シート!$J$16=入力リスト!$K$5,FALSE,ISERROR(VLOOKUP(B161,入力シート!$S$37:$V$62,1,0))))</f>
        <v>0</v>
      </c>
      <c r="I161" s="237" t="b">
        <f>IF(AND(OR(入力シート!$J$18=入力リスト!$K$4,入力シート!$J$22=入力リスト!$K$4),入力シート!$J$24&lt;&gt;""),IF(ISERROR(C161+1),TRUE,IF(ISNUMBER(C161),FALSE,TRUE)),FALSE)</f>
        <v>0</v>
      </c>
      <c r="J161" s="237" t="b">
        <f>IF(AND(入力シート!$J$18=入力リスト!$K$4,入力シート!$J$22=入力リスト!$K$4),FALSE,IF(I161=TRUE,FALSE,IF(ISERROR(C161+1),FALSE,C161&gt;入力シート!$J$24)))</f>
        <v>0</v>
      </c>
      <c r="K161" s="237" t="b">
        <f>IF(COUNTIF(入力シート!$J$16:$S$23,入力リスト!$K$4)=0,FALSE,IF(AND(入力シート!$J$16&lt;&gt;入力リスト!$K$5,入力シート!$J$18&lt;&gt;入力リスト!$K$5,入力シート!$J$20&lt;&gt;入力リスト!$K$5,入力シート!$J$22&lt;&gt;入力リスト!$K$5),FALSE,ISERROR(VLOOKUP(D161,入力シート!$AW$37:$AY$38,1,0))))</f>
        <v>0</v>
      </c>
      <c r="L161" s="237" t="b">
        <f>IF(COUNTIF(入力シート!$J$16:$S$23,入力リスト!$K$4)=0,FALSE,IF(入力シート!$J$20=入力リスト!$K$5,FALSE,IF(E161="",FALSE,ISERROR(VLOOKUP(E161,入力シート!$AH$37:$AK$62,1,0)))))</f>
        <v>0</v>
      </c>
      <c r="M161" s="238" t="str">
        <f t="shared" si="2"/>
        <v/>
      </c>
      <c r="N161" s="236" t="str">
        <f>IF(B161="","",VLOOKUP('従業員情報(給与以外)'!$B161,入力シート!$S$37:$Z$62,5,0))</f>
        <v/>
      </c>
      <c r="O161" s="182" t="str">
        <f>IF(ISNUMBER(C161)=FALSE,"",IF(C161&gt;入力シート!$J$24,"",_xlfn.DAYS(入力シート!$J$24,'従業員情報(給与以外)'!$C161)/365))</f>
        <v/>
      </c>
      <c r="P161" s="237" t="str">
        <f>IF(O161="","",VLOOKUP(_xlfn.DAYS(入力シート!$J$24,'従業員情報(給与以外)'!$C161)/365,入力リスト!$H$4:$I$12,2,2))</f>
        <v/>
      </c>
      <c r="Q161" s="236" t="str">
        <f>IF(D161="","",VLOOKUP('従業員情報(給与以外)'!$D161,入力シート!$AW$37:$BB$38,4,0))</f>
        <v/>
      </c>
      <c r="R161" s="236" t="str">
        <f>IF(A161="","",IF(E161="","非役職",VLOOKUP('従業員情報(給与以外)'!$E161,入力シート!$AH$37:$AO$62,5,0)))</f>
        <v/>
      </c>
      <c r="S161" s="116" t="str">
        <f>IF(OR(入力シート!$C$5&lt;&gt;入力リスト!$N$4,COUNTIF(入力シート!$J$16:$S$23,入力リスト!$K$4)=0),"",IF($A161="","",IF(ISERROR(AVERAGEIF(従業員の給与情報!$B:$B,$A161,従業員の給与情報!$C:$C)),0,IF(ISERROR(AVERAGEIF(従業員の給与情報!$B:$B,$A161,従業員の給与情報!$C:$C)),0,AVERAGEIF(従業員の給与情報!$B:$B,$A161,従業員の給与情報!$C:$C)))))</f>
        <v/>
      </c>
      <c r="T161" s="116" t="str">
        <f>IF(OR(入力シート!$C$5&lt;&gt;入力リスト!$N$4,COUNTIF(入力シート!$J$16:$S$23,入力リスト!$K$4)=0),"",IF(A161="","",IF(ISERROR(AVERAGEIF(従業員の給与情報!$B:$B,$A161,従業員の給与情報!$D:$D)),0,IF(ISERROR(AVERAGEIF(従業員の給与情報!$B:$B,$A161,従業員の給与情報!$D:$D)),0,AVERAGEIF(従業員の給与情報!$B:$B,$A161,従業員の給与情報!$D:$D)))))</f>
        <v/>
      </c>
      <c r="U161" s="116" t="str">
        <f>IF(OR(入力シート!$C$5&lt;&gt;入力リスト!$N$4,COUNTIF(入力シート!$J$16:$S$23,入力リスト!$K$4)=0),"",IF(A161="","",IF(ISERROR(AVERAGEIF(従業員の給与情報!$B:$B,$A161,従業員の給与情報!$E:$E)),0,IF(ISERROR(AVERAGEIF(従業員の給与情報!$B:$B,$A161,従業員の給与情報!$E:$E)),0,AVERAGEIF(従業員の給与情報!$B:$B,$A161,従業員の給与情報!$E:$E)))))</f>
        <v/>
      </c>
      <c r="V161" s="117" t="str">
        <f>IF(OR(入力シート!$C$5&lt;&gt;入力リスト!$N$4,COUNTIF(入力シート!$J$16:$S$23,入力リスト!$K$4)=0),"",IF(A161="","",IF(ISERROR(AVERAGEIF(従業員の給与情報!$B:$B,$A161,従業員の給与情報!$F:$F)),0,IF(ISERROR(AVERAGEIF(従業員の給与情報!$B:$B,$A161,従業員の給与情報!$F:$F)),0,AVERAGEIF(従業員の給与情報!$B:$B,$A161,従業員の給与情報!$F:$F)))))</f>
        <v/>
      </c>
      <c r="W161" s="182"/>
      <c r="X161" s="260"/>
    </row>
    <row r="162" spans="1:24" ht="19.5">
      <c r="A162" s="367"/>
      <c r="B162" s="364"/>
      <c r="C162" s="365"/>
      <c r="D162" s="366"/>
      <c r="E162" s="367"/>
      <c r="F162" s="372" t="str">
        <f>IF(G162,"この従業員番号は、すでに他のセルで入力されています。",IF(入力シート!$C$5=入力リスト!$N$5,"",IF(AND(A162="",B162="",C162="",D162="",E162=""),"",IF(OR(A162="",B162="",C162="",D162=""),IF(A162="","従業員番号","")&amp;IF(AND(A162="",OR(B162="",C162="",D162="")),",","")&amp;IF(B162="","雇用形態","")&amp;IF(AND(B162="",OR(C162="",D162="")),",","")&amp;IF(OR(入力シート!$J$18=入力リスト!$K$4,入力シート!$J$22=入力リスト!$K$4),IF(C162="","入社年月日",""),"")&amp;IF(AND(C162="",D162=""),",","")&amp;IF(D162="","性別","")&amp;IF(IF(A162="","従業員番号","")&amp;IF(B162="","雇用形態","")&amp;IF(OR(入力シート!$J$18=入力リスト!$K$4,入力シート!$J$22=入力リスト!$K$4),IF(C162="","入社年月日",""),"")&amp;IF(D162="","性別","")="","","が空白です。"),IF(J162,"入社年月日に「基準日」の翌日以降の日付が入力されています。","")&amp;IF(I162,"入社年月日に数値以外（又は1900/1/1以前の日付）が入力されています。","")&amp;IF(H162,"雇用形態"&amp;IF(OR(K162,L162),",",""),"")&amp;IF(K162,"性別"&amp;IF(L162,",",""),"")&amp;IF(L162,"役職","")&amp;IF(OR(H162,K162,L162),"に、［入力シート］(4)「貴社」欄と異なる文言が入力されています。","")))))</f>
        <v/>
      </c>
      <c r="G162" s="236" t="b">
        <f>COUNTIF($A$4:A161,$A162)&gt;0</f>
        <v>0</v>
      </c>
      <c r="H162" s="237" t="b">
        <f>IF(COUNTIF(入力シート!$J$16:$S$23,入力リスト!$K$4)=0,FALSE,IF(入力シート!$J$16=入力リスト!$K$5,FALSE,ISERROR(VLOOKUP(B162,入力シート!$S$37:$V$62,1,0))))</f>
        <v>0</v>
      </c>
      <c r="I162" s="237" t="b">
        <f>IF(AND(OR(入力シート!$J$18=入力リスト!$K$4,入力シート!$J$22=入力リスト!$K$4),入力シート!$J$24&lt;&gt;""),IF(ISERROR(C162+1),TRUE,IF(ISNUMBER(C162),FALSE,TRUE)),FALSE)</f>
        <v>0</v>
      </c>
      <c r="J162" s="237" t="b">
        <f>IF(AND(入力シート!$J$18=入力リスト!$K$4,入力シート!$J$22=入力リスト!$K$4),FALSE,IF(I162=TRUE,FALSE,IF(ISERROR(C162+1),FALSE,C162&gt;入力シート!$J$24)))</f>
        <v>0</v>
      </c>
      <c r="K162" s="237" t="b">
        <f>IF(COUNTIF(入力シート!$J$16:$S$23,入力リスト!$K$4)=0,FALSE,IF(AND(入力シート!$J$16&lt;&gt;入力リスト!$K$5,入力シート!$J$18&lt;&gt;入力リスト!$K$5,入力シート!$J$20&lt;&gt;入力リスト!$K$5,入力シート!$J$22&lt;&gt;入力リスト!$K$5),FALSE,ISERROR(VLOOKUP(D162,入力シート!$AW$37:$AY$38,1,0))))</f>
        <v>0</v>
      </c>
      <c r="L162" s="237" t="b">
        <f>IF(COUNTIF(入力シート!$J$16:$S$23,入力リスト!$K$4)=0,FALSE,IF(入力シート!$J$20=入力リスト!$K$5,FALSE,IF(E162="",FALSE,ISERROR(VLOOKUP(E162,入力シート!$AH$37:$AK$62,1,0)))))</f>
        <v>0</v>
      </c>
      <c r="M162" s="238" t="str">
        <f t="shared" si="2"/>
        <v/>
      </c>
      <c r="N162" s="236" t="str">
        <f>IF(B162="","",VLOOKUP('従業員情報(給与以外)'!$B162,入力シート!$S$37:$Z$62,5,0))</f>
        <v/>
      </c>
      <c r="O162" s="182" t="str">
        <f>IF(ISNUMBER(C162)=FALSE,"",IF(C162&gt;入力シート!$J$24,"",_xlfn.DAYS(入力シート!$J$24,'従業員情報(給与以外)'!$C162)/365))</f>
        <v/>
      </c>
      <c r="P162" s="237" t="str">
        <f>IF(O162="","",VLOOKUP(_xlfn.DAYS(入力シート!$J$24,'従業員情報(給与以外)'!$C162)/365,入力リスト!$H$4:$I$12,2,2))</f>
        <v/>
      </c>
      <c r="Q162" s="236" t="str">
        <f>IF(D162="","",VLOOKUP('従業員情報(給与以外)'!$D162,入力シート!$AW$37:$BB$38,4,0))</f>
        <v/>
      </c>
      <c r="R162" s="236" t="str">
        <f>IF(A162="","",IF(E162="","非役職",VLOOKUP('従業員情報(給与以外)'!$E162,入力シート!$AH$37:$AO$62,5,0)))</f>
        <v/>
      </c>
      <c r="S162" s="116" t="str">
        <f>IF(OR(入力シート!$C$5&lt;&gt;入力リスト!$N$4,COUNTIF(入力シート!$J$16:$S$23,入力リスト!$K$4)=0),"",IF($A162="","",IF(ISERROR(AVERAGEIF(従業員の給与情報!$B:$B,$A162,従業員の給与情報!$C:$C)),0,IF(ISERROR(AVERAGEIF(従業員の給与情報!$B:$B,$A162,従業員の給与情報!$C:$C)),0,AVERAGEIF(従業員の給与情報!$B:$B,$A162,従業員の給与情報!$C:$C)))))</f>
        <v/>
      </c>
      <c r="T162" s="116" t="str">
        <f>IF(OR(入力シート!$C$5&lt;&gt;入力リスト!$N$4,COUNTIF(入力シート!$J$16:$S$23,入力リスト!$K$4)=0),"",IF(A162="","",IF(ISERROR(AVERAGEIF(従業員の給与情報!$B:$B,$A162,従業員の給与情報!$D:$D)),0,IF(ISERROR(AVERAGEIF(従業員の給与情報!$B:$B,$A162,従業員の給与情報!$D:$D)),0,AVERAGEIF(従業員の給与情報!$B:$B,$A162,従業員の給与情報!$D:$D)))))</f>
        <v/>
      </c>
      <c r="U162" s="116" t="str">
        <f>IF(OR(入力シート!$C$5&lt;&gt;入力リスト!$N$4,COUNTIF(入力シート!$J$16:$S$23,入力リスト!$K$4)=0),"",IF(A162="","",IF(ISERROR(AVERAGEIF(従業員の給与情報!$B:$B,$A162,従業員の給与情報!$E:$E)),0,IF(ISERROR(AVERAGEIF(従業員の給与情報!$B:$B,$A162,従業員の給与情報!$E:$E)),0,AVERAGEIF(従業員の給与情報!$B:$B,$A162,従業員の給与情報!$E:$E)))))</f>
        <v/>
      </c>
      <c r="V162" s="117" t="str">
        <f>IF(OR(入力シート!$C$5&lt;&gt;入力リスト!$N$4,COUNTIF(入力シート!$J$16:$S$23,入力リスト!$K$4)=0),"",IF(A162="","",IF(ISERROR(AVERAGEIF(従業員の給与情報!$B:$B,$A162,従業員の給与情報!$F:$F)),0,IF(ISERROR(AVERAGEIF(従業員の給与情報!$B:$B,$A162,従業員の給与情報!$F:$F)),0,AVERAGEIF(従業員の給与情報!$B:$B,$A162,従業員の給与情報!$F:$F)))))</f>
        <v/>
      </c>
      <c r="W162" s="182"/>
      <c r="X162" s="260"/>
    </row>
    <row r="163" spans="1:24" ht="19.5">
      <c r="A163" s="367"/>
      <c r="B163" s="364"/>
      <c r="C163" s="365"/>
      <c r="D163" s="366"/>
      <c r="E163" s="367"/>
      <c r="F163" s="372" t="str">
        <f>IF(G163,"この従業員番号は、すでに他のセルで入力されています。",IF(入力シート!$C$5=入力リスト!$N$5,"",IF(AND(A163="",B163="",C163="",D163="",E163=""),"",IF(OR(A163="",B163="",C163="",D163=""),IF(A163="","従業員番号","")&amp;IF(AND(A163="",OR(B163="",C163="",D163="")),",","")&amp;IF(B163="","雇用形態","")&amp;IF(AND(B163="",OR(C163="",D163="")),",","")&amp;IF(OR(入力シート!$J$18=入力リスト!$K$4,入力シート!$J$22=入力リスト!$K$4),IF(C163="","入社年月日",""),"")&amp;IF(AND(C163="",D163=""),",","")&amp;IF(D163="","性別","")&amp;IF(IF(A163="","従業員番号","")&amp;IF(B163="","雇用形態","")&amp;IF(OR(入力シート!$J$18=入力リスト!$K$4,入力シート!$J$22=入力リスト!$K$4),IF(C163="","入社年月日",""),"")&amp;IF(D163="","性別","")="","","が空白です。"),IF(J163,"入社年月日に「基準日」の翌日以降の日付が入力されています。","")&amp;IF(I163,"入社年月日に数値以外（又は1900/1/1以前の日付）が入力されています。","")&amp;IF(H163,"雇用形態"&amp;IF(OR(K163,L163),",",""),"")&amp;IF(K163,"性別"&amp;IF(L163,",",""),"")&amp;IF(L163,"役職","")&amp;IF(OR(H163,K163,L163),"に、［入力シート］(4)「貴社」欄と異なる文言が入力されています。","")))))</f>
        <v/>
      </c>
      <c r="G163" s="236" t="b">
        <f>COUNTIF($A$4:A162,$A163)&gt;0</f>
        <v>0</v>
      </c>
      <c r="H163" s="237" t="b">
        <f>IF(COUNTIF(入力シート!$J$16:$S$23,入力リスト!$K$4)=0,FALSE,IF(入力シート!$J$16=入力リスト!$K$5,FALSE,ISERROR(VLOOKUP(B163,入力シート!$S$37:$V$62,1,0))))</f>
        <v>0</v>
      </c>
      <c r="I163" s="237" t="b">
        <f>IF(AND(OR(入力シート!$J$18=入力リスト!$K$4,入力シート!$J$22=入力リスト!$K$4),入力シート!$J$24&lt;&gt;""),IF(ISERROR(C163+1),TRUE,IF(ISNUMBER(C163),FALSE,TRUE)),FALSE)</f>
        <v>0</v>
      </c>
      <c r="J163" s="237" t="b">
        <f>IF(AND(入力シート!$J$18=入力リスト!$K$4,入力シート!$J$22=入力リスト!$K$4),FALSE,IF(I163=TRUE,FALSE,IF(ISERROR(C163+1),FALSE,C163&gt;入力シート!$J$24)))</f>
        <v>0</v>
      </c>
      <c r="K163" s="237" t="b">
        <f>IF(COUNTIF(入力シート!$J$16:$S$23,入力リスト!$K$4)=0,FALSE,IF(AND(入力シート!$J$16&lt;&gt;入力リスト!$K$5,入力シート!$J$18&lt;&gt;入力リスト!$K$5,入力シート!$J$20&lt;&gt;入力リスト!$K$5,入力シート!$J$22&lt;&gt;入力リスト!$K$5),FALSE,ISERROR(VLOOKUP(D163,入力シート!$AW$37:$AY$38,1,0))))</f>
        <v>0</v>
      </c>
      <c r="L163" s="237" t="b">
        <f>IF(COUNTIF(入力シート!$J$16:$S$23,入力リスト!$K$4)=0,FALSE,IF(入力シート!$J$20=入力リスト!$K$5,FALSE,IF(E163="",FALSE,ISERROR(VLOOKUP(E163,入力シート!$AH$37:$AK$62,1,0)))))</f>
        <v>0</v>
      </c>
      <c r="M163" s="238" t="str">
        <f t="shared" si="2"/>
        <v/>
      </c>
      <c r="N163" s="236" t="str">
        <f>IF(B163="","",VLOOKUP('従業員情報(給与以外)'!$B163,入力シート!$S$37:$Z$62,5,0))</f>
        <v/>
      </c>
      <c r="O163" s="182" t="str">
        <f>IF(ISNUMBER(C163)=FALSE,"",IF(C163&gt;入力シート!$J$24,"",_xlfn.DAYS(入力シート!$J$24,'従業員情報(給与以外)'!$C163)/365))</f>
        <v/>
      </c>
      <c r="P163" s="237" t="str">
        <f>IF(O163="","",VLOOKUP(_xlfn.DAYS(入力シート!$J$24,'従業員情報(給与以外)'!$C163)/365,入力リスト!$H$4:$I$12,2,2))</f>
        <v/>
      </c>
      <c r="Q163" s="236" t="str">
        <f>IF(D163="","",VLOOKUP('従業員情報(給与以外)'!$D163,入力シート!$AW$37:$BB$38,4,0))</f>
        <v/>
      </c>
      <c r="R163" s="236" t="str">
        <f>IF(A163="","",IF(E163="","非役職",VLOOKUP('従業員情報(給与以外)'!$E163,入力シート!$AH$37:$AO$62,5,0)))</f>
        <v/>
      </c>
      <c r="S163" s="116" t="str">
        <f>IF(OR(入力シート!$C$5&lt;&gt;入力リスト!$N$4,COUNTIF(入力シート!$J$16:$S$23,入力リスト!$K$4)=0),"",IF($A163="","",IF(ISERROR(AVERAGEIF(従業員の給与情報!$B:$B,$A163,従業員の給与情報!$C:$C)),0,IF(ISERROR(AVERAGEIF(従業員の給与情報!$B:$B,$A163,従業員の給与情報!$C:$C)),0,AVERAGEIF(従業員の給与情報!$B:$B,$A163,従業員の給与情報!$C:$C)))))</f>
        <v/>
      </c>
      <c r="T163" s="116" t="str">
        <f>IF(OR(入力シート!$C$5&lt;&gt;入力リスト!$N$4,COUNTIF(入力シート!$J$16:$S$23,入力リスト!$K$4)=0),"",IF(A163="","",IF(ISERROR(AVERAGEIF(従業員の給与情報!$B:$B,$A163,従業員の給与情報!$D:$D)),0,IF(ISERROR(AVERAGEIF(従業員の給与情報!$B:$B,$A163,従業員の給与情報!$D:$D)),0,AVERAGEIF(従業員の給与情報!$B:$B,$A163,従業員の給与情報!$D:$D)))))</f>
        <v/>
      </c>
      <c r="U163" s="116" t="str">
        <f>IF(OR(入力シート!$C$5&lt;&gt;入力リスト!$N$4,COUNTIF(入力シート!$J$16:$S$23,入力リスト!$K$4)=0),"",IF(A163="","",IF(ISERROR(AVERAGEIF(従業員の給与情報!$B:$B,$A163,従業員の給与情報!$E:$E)),0,IF(ISERROR(AVERAGEIF(従業員の給与情報!$B:$B,$A163,従業員の給与情報!$E:$E)),0,AVERAGEIF(従業員の給与情報!$B:$B,$A163,従業員の給与情報!$E:$E)))))</f>
        <v/>
      </c>
      <c r="V163" s="117" t="str">
        <f>IF(OR(入力シート!$C$5&lt;&gt;入力リスト!$N$4,COUNTIF(入力シート!$J$16:$S$23,入力リスト!$K$4)=0),"",IF(A163="","",IF(ISERROR(AVERAGEIF(従業員の給与情報!$B:$B,$A163,従業員の給与情報!$F:$F)),0,IF(ISERROR(AVERAGEIF(従業員の給与情報!$B:$B,$A163,従業員の給与情報!$F:$F)),0,AVERAGEIF(従業員の給与情報!$B:$B,$A163,従業員の給与情報!$F:$F)))))</f>
        <v/>
      </c>
      <c r="W163" s="182"/>
      <c r="X163" s="260"/>
    </row>
    <row r="164" spans="1:24" ht="19.5">
      <c r="A164" s="367"/>
      <c r="B164" s="364"/>
      <c r="C164" s="365"/>
      <c r="D164" s="366"/>
      <c r="E164" s="367"/>
      <c r="F164" s="372" t="str">
        <f>IF(G164,"この従業員番号は、すでに他のセルで入力されています。",IF(入力シート!$C$5=入力リスト!$N$5,"",IF(AND(A164="",B164="",C164="",D164="",E164=""),"",IF(OR(A164="",B164="",C164="",D164=""),IF(A164="","従業員番号","")&amp;IF(AND(A164="",OR(B164="",C164="",D164="")),",","")&amp;IF(B164="","雇用形態","")&amp;IF(AND(B164="",OR(C164="",D164="")),",","")&amp;IF(OR(入力シート!$J$18=入力リスト!$K$4,入力シート!$J$22=入力リスト!$K$4),IF(C164="","入社年月日",""),"")&amp;IF(AND(C164="",D164=""),",","")&amp;IF(D164="","性別","")&amp;IF(IF(A164="","従業員番号","")&amp;IF(B164="","雇用形態","")&amp;IF(OR(入力シート!$J$18=入力リスト!$K$4,入力シート!$J$22=入力リスト!$K$4),IF(C164="","入社年月日",""),"")&amp;IF(D164="","性別","")="","","が空白です。"),IF(J164,"入社年月日に「基準日」の翌日以降の日付が入力されています。","")&amp;IF(I164,"入社年月日に数値以外（又は1900/1/1以前の日付）が入力されています。","")&amp;IF(H164,"雇用形態"&amp;IF(OR(K164,L164),",",""),"")&amp;IF(K164,"性別"&amp;IF(L164,",",""),"")&amp;IF(L164,"役職","")&amp;IF(OR(H164,K164,L164),"に、［入力シート］(4)「貴社」欄と異なる文言が入力されています。","")))))</f>
        <v/>
      </c>
      <c r="G164" s="236" t="b">
        <f>COUNTIF($A$4:A163,$A164)&gt;0</f>
        <v>0</v>
      </c>
      <c r="H164" s="237" t="b">
        <f>IF(COUNTIF(入力シート!$J$16:$S$23,入力リスト!$K$4)=0,FALSE,IF(入力シート!$J$16=入力リスト!$K$5,FALSE,ISERROR(VLOOKUP(B164,入力シート!$S$37:$V$62,1,0))))</f>
        <v>0</v>
      </c>
      <c r="I164" s="237" t="b">
        <f>IF(AND(OR(入力シート!$J$18=入力リスト!$K$4,入力シート!$J$22=入力リスト!$K$4),入力シート!$J$24&lt;&gt;""),IF(ISERROR(C164+1),TRUE,IF(ISNUMBER(C164),FALSE,TRUE)),FALSE)</f>
        <v>0</v>
      </c>
      <c r="J164" s="237" t="b">
        <f>IF(AND(入力シート!$J$18=入力リスト!$K$4,入力シート!$J$22=入力リスト!$K$4),FALSE,IF(I164=TRUE,FALSE,IF(ISERROR(C164+1),FALSE,C164&gt;入力シート!$J$24)))</f>
        <v>0</v>
      </c>
      <c r="K164" s="237" t="b">
        <f>IF(COUNTIF(入力シート!$J$16:$S$23,入力リスト!$K$4)=0,FALSE,IF(AND(入力シート!$J$16&lt;&gt;入力リスト!$K$5,入力シート!$J$18&lt;&gt;入力リスト!$K$5,入力シート!$J$20&lt;&gt;入力リスト!$K$5,入力シート!$J$22&lt;&gt;入力リスト!$K$5),FALSE,ISERROR(VLOOKUP(D164,入力シート!$AW$37:$AY$38,1,0))))</f>
        <v>0</v>
      </c>
      <c r="L164" s="237" t="b">
        <f>IF(COUNTIF(入力シート!$J$16:$S$23,入力リスト!$K$4)=0,FALSE,IF(入力シート!$J$20=入力リスト!$K$5,FALSE,IF(E164="",FALSE,ISERROR(VLOOKUP(E164,入力シート!$AH$37:$AK$62,1,0)))))</f>
        <v>0</v>
      </c>
      <c r="M164" s="238" t="str">
        <f t="shared" si="2"/>
        <v/>
      </c>
      <c r="N164" s="236" t="str">
        <f>IF(B164="","",VLOOKUP('従業員情報(給与以外)'!$B164,入力シート!$S$37:$Z$62,5,0))</f>
        <v/>
      </c>
      <c r="O164" s="182" t="str">
        <f>IF(ISNUMBER(C164)=FALSE,"",IF(C164&gt;入力シート!$J$24,"",_xlfn.DAYS(入力シート!$J$24,'従業員情報(給与以外)'!$C164)/365))</f>
        <v/>
      </c>
      <c r="P164" s="237" t="str">
        <f>IF(O164="","",VLOOKUP(_xlfn.DAYS(入力シート!$J$24,'従業員情報(給与以外)'!$C164)/365,入力リスト!$H$4:$I$12,2,2))</f>
        <v/>
      </c>
      <c r="Q164" s="236" t="str">
        <f>IF(D164="","",VLOOKUP('従業員情報(給与以外)'!$D164,入力シート!$AW$37:$BB$38,4,0))</f>
        <v/>
      </c>
      <c r="R164" s="236" t="str">
        <f>IF(A164="","",IF(E164="","非役職",VLOOKUP('従業員情報(給与以外)'!$E164,入力シート!$AH$37:$AO$62,5,0)))</f>
        <v/>
      </c>
      <c r="S164" s="116" t="str">
        <f>IF(OR(入力シート!$C$5&lt;&gt;入力リスト!$N$4,COUNTIF(入力シート!$J$16:$S$23,入力リスト!$K$4)=0),"",IF($A164="","",IF(ISERROR(AVERAGEIF(従業員の給与情報!$B:$B,$A164,従業員の給与情報!$C:$C)),0,IF(ISERROR(AVERAGEIF(従業員の給与情報!$B:$B,$A164,従業員の給与情報!$C:$C)),0,AVERAGEIF(従業員の給与情報!$B:$B,$A164,従業員の給与情報!$C:$C)))))</f>
        <v/>
      </c>
      <c r="T164" s="116" t="str">
        <f>IF(OR(入力シート!$C$5&lt;&gt;入力リスト!$N$4,COUNTIF(入力シート!$J$16:$S$23,入力リスト!$K$4)=0),"",IF(A164="","",IF(ISERROR(AVERAGEIF(従業員の給与情報!$B:$B,$A164,従業員の給与情報!$D:$D)),0,IF(ISERROR(AVERAGEIF(従業員の給与情報!$B:$B,$A164,従業員の給与情報!$D:$D)),0,AVERAGEIF(従業員の給与情報!$B:$B,$A164,従業員の給与情報!$D:$D)))))</f>
        <v/>
      </c>
      <c r="U164" s="116" t="str">
        <f>IF(OR(入力シート!$C$5&lt;&gt;入力リスト!$N$4,COUNTIF(入力シート!$J$16:$S$23,入力リスト!$K$4)=0),"",IF(A164="","",IF(ISERROR(AVERAGEIF(従業員の給与情報!$B:$B,$A164,従業員の給与情報!$E:$E)),0,IF(ISERROR(AVERAGEIF(従業員の給与情報!$B:$B,$A164,従業員の給与情報!$E:$E)),0,AVERAGEIF(従業員の給与情報!$B:$B,$A164,従業員の給与情報!$E:$E)))))</f>
        <v/>
      </c>
      <c r="V164" s="117" t="str">
        <f>IF(OR(入力シート!$C$5&lt;&gt;入力リスト!$N$4,COUNTIF(入力シート!$J$16:$S$23,入力リスト!$K$4)=0),"",IF(A164="","",IF(ISERROR(AVERAGEIF(従業員の給与情報!$B:$B,$A164,従業員の給与情報!$F:$F)),0,IF(ISERROR(AVERAGEIF(従業員の給与情報!$B:$B,$A164,従業員の給与情報!$F:$F)),0,AVERAGEIF(従業員の給与情報!$B:$B,$A164,従業員の給与情報!$F:$F)))))</f>
        <v/>
      </c>
      <c r="W164" s="182"/>
      <c r="X164" s="260"/>
    </row>
    <row r="165" spans="1:24" ht="19.5">
      <c r="A165" s="367"/>
      <c r="B165" s="364"/>
      <c r="C165" s="365"/>
      <c r="D165" s="366"/>
      <c r="E165" s="367"/>
      <c r="F165" s="372" t="str">
        <f>IF(G165,"この従業員番号は、すでに他のセルで入力されています。",IF(入力シート!$C$5=入力リスト!$N$5,"",IF(AND(A165="",B165="",C165="",D165="",E165=""),"",IF(OR(A165="",B165="",C165="",D165=""),IF(A165="","従業員番号","")&amp;IF(AND(A165="",OR(B165="",C165="",D165="")),",","")&amp;IF(B165="","雇用形態","")&amp;IF(AND(B165="",OR(C165="",D165="")),",","")&amp;IF(OR(入力シート!$J$18=入力リスト!$K$4,入力シート!$J$22=入力リスト!$K$4),IF(C165="","入社年月日",""),"")&amp;IF(AND(C165="",D165=""),",","")&amp;IF(D165="","性別","")&amp;IF(IF(A165="","従業員番号","")&amp;IF(B165="","雇用形態","")&amp;IF(OR(入力シート!$J$18=入力リスト!$K$4,入力シート!$J$22=入力リスト!$K$4),IF(C165="","入社年月日",""),"")&amp;IF(D165="","性別","")="","","が空白です。"),IF(J165,"入社年月日に「基準日」の翌日以降の日付が入力されています。","")&amp;IF(I165,"入社年月日に数値以外（又は1900/1/1以前の日付）が入力されています。","")&amp;IF(H165,"雇用形態"&amp;IF(OR(K165,L165),",",""),"")&amp;IF(K165,"性別"&amp;IF(L165,",",""),"")&amp;IF(L165,"役職","")&amp;IF(OR(H165,K165,L165),"に、［入力シート］(4)「貴社」欄と異なる文言が入力されています。","")))))</f>
        <v/>
      </c>
      <c r="G165" s="236" t="b">
        <f>COUNTIF($A$4:A164,$A165)&gt;0</f>
        <v>0</v>
      </c>
      <c r="H165" s="237" t="b">
        <f>IF(COUNTIF(入力シート!$J$16:$S$23,入力リスト!$K$4)=0,FALSE,IF(入力シート!$J$16=入力リスト!$K$5,FALSE,ISERROR(VLOOKUP(B165,入力シート!$S$37:$V$62,1,0))))</f>
        <v>0</v>
      </c>
      <c r="I165" s="237" t="b">
        <f>IF(AND(OR(入力シート!$J$18=入力リスト!$K$4,入力シート!$J$22=入力リスト!$K$4),入力シート!$J$24&lt;&gt;""),IF(ISERROR(C165+1),TRUE,IF(ISNUMBER(C165),FALSE,TRUE)),FALSE)</f>
        <v>0</v>
      </c>
      <c r="J165" s="237" t="b">
        <f>IF(AND(入力シート!$J$18=入力リスト!$K$4,入力シート!$J$22=入力リスト!$K$4),FALSE,IF(I165=TRUE,FALSE,IF(ISERROR(C165+1),FALSE,C165&gt;入力シート!$J$24)))</f>
        <v>0</v>
      </c>
      <c r="K165" s="237" t="b">
        <f>IF(COUNTIF(入力シート!$J$16:$S$23,入力リスト!$K$4)=0,FALSE,IF(AND(入力シート!$J$16&lt;&gt;入力リスト!$K$5,入力シート!$J$18&lt;&gt;入力リスト!$K$5,入力シート!$J$20&lt;&gt;入力リスト!$K$5,入力シート!$J$22&lt;&gt;入力リスト!$K$5),FALSE,ISERROR(VLOOKUP(D165,入力シート!$AW$37:$AY$38,1,0))))</f>
        <v>0</v>
      </c>
      <c r="L165" s="237" t="b">
        <f>IF(COUNTIF(入力シート!$J$16:$S$23,入力リスト!$K$4)=0,FALSE,IF(入力シート!$J$20=入力リスト!$K$5,FALSE,IF(E165="",FALSE,ISERROR(VLOOKUP(E165,入力シート!$AH$37:$AK$62,1,0)))))</f>
        <v>0</v>
      </c>
      <c r="M165" s="238" t="str">
        <f t="shared" si="2"/>
        <v/>
      </c>
      <c r="N165" s="236" t="str">
        <f>IF(B165="","",VLOOKUP('従業員情報(給与以外)'!$B165,入力シート!$S$37:$Z$62,5,0))</f>
        <v/>
      </c>
      <c r="O165" s="182" t="str">
        <f>IF(ISNUMBER(C165)=FALSE,"",IF(C165&gt;入力シート!$J$24,"",_xlfn.DAYS(入力シート!$J$24,'従業員情報(給与以外)'!$C165)/365))</f>
        <v/>
      </c>
      <c r="P165" s="237" t="str">
        <f>IF(O165="","",VLOOKUP(_xlfn.DAYS(入力シート!$J$24,'従業員情報(給与以外)'!$C165)/365,入力リスト!$H$4:$I$12,2,2))</f>
        <v/>
      </c>
      <c r="Q165" s="236" t="str">
        <f>IF(D165="","",VLOOKUP('従業員情報(給与以外)'!$D165,入力シート!$AW$37:$BB$38,4,0))</f>
        <v/>
      </c>
      <c r="R165" s="236" t="str">
        <f>IF(A165="","",IF(E165="","非役職",VLOOKUP('従業員情報(給与以外)'!$E165,入力シート!$AH$37:$AO$62,5,0)))</f>
        <v/>
      </c>
      <c r="S165" s="116" t="str">
        <f>IF(OR(入力シート!$C$5&lt;&gt;入力リスト!$N$4,COUNTIF(入力シート!$J$16:$S$23,入力リスト!$K$4)=0),"",IF($A165="","",IF(ISERROR(AVERAGEIF(従業員の給与情報!$B:$B,$A165,従業員の給与情報!$C:$C)),0,IF(ISERROR(AVERAGEIF(従業員の給与情報!$B:$B,$A165,従業員の給与情報!$C:$C)),0,AVERAGEIF(従業員の給与情報!$B:$B,$A165,従業員の給与情報!$C:$C)))))</f>
        <v/>
      </c>
      <c r="T165" s="116" t="str">
        <f>IF(OR(入力シート!$C$5&lt;&gt;入力リスト!$N$4,COUNTIF(入力シート!$J$16:$S$23,入力リスト!$K$4)=0),"",IF(A165="","",IF(ISERROR(AVERAGEIF(従業員の給与情報!$B:$B,$A165,従業員の給与情報!$D:$D)),0,IF(ISERROR(AVERAGEIF(従業員の給与情報!$B:$B,$A165,従業員の給与情報!$D:$D)),0,AVERAGEIF(従業員の給与情報!$B:$B,$A165,従業員の給与情報!$D:$D)))))</f>
        <v/>
      </c>
      <c r="U165" s="116" t="str">
        <f>IF(OR(入力シート!$C$5&lt;&gt;入力リスト!$N$4,COUNTIF(入力シート!$J$16:$S$23,入力リスト!$K$4)=0),"",IF(A165="","",IF(ISERROR(AVERAGEIF(従業員の給与情報!$B:$B,$A165,従業員の給与情報!$E:$E)),0,IF(ISERROR(AVERAGEIF(従業員の給与情報!$B:$B,$A165,従業員の給与情報!$E:$E)),0,AVERAGEIF(従業員の給与情報!$B:$B,$A165,従業員の給与情報!$E:$E)))))</f>
        <v/>
      </c>
      <c r="V165" s="117" t="str">
        <f>IF(OR(入力シート!$C$5&lt;&gt;入力リスト!$N$4,COUNTIF(入力シート!$J$16:$S$23,入力リスト!$K$4)=0),"",IF(A165="","",IF(ISERROR(AVERAGEIF(従業員の給与情報!$B:$B,$A165,従業員の給与情報!$F:$F)),0,IF(ISERROR(AVERAGEIF(従業員の給与情報!$B:$B,$A165,従業員の給与情報!$F:$F)),0,AVERAGEIF(従業員の給与情報!$B:$B,$A165,従業員の給与情報!$F:$F)))))</f>
        <v/>
      </c>
      <c r="W165" s="182"/>
      <c r="X165" s="260"/>
    </row>
    <row r="166" spans="1:24" ht="19.5">
      <c r="A166" s="367"/>
      <c r="B166" s="364"/>
      <c r="C166" s="365"/>
      <c r="D166" s="366"/>
      <c r="E166" s="367"/>
      <c r="F166" s="372" t="str">
        <f>IF(G166,"この従業員番号は、すでに他のセルで入力されています。",IF(入力シート!$C$5=入力リスト!$N$5,"",IF(AND(A166="",B166="",C166="",D166="",E166=""),"",IF(OR(A166="",B166="",C166="",D166=""),IF(A166="","従業員番号","")&amp;IF(AND(A166="",OR(B166="",C166="",D166="")),",","")&amp;IF(B166="","雇用形態","")&amp;IF(AND(B166="",OR(C166="",D166="")),",","")&amp;IF(OR(入力シート!$J$18=入力リスト!$K$4,入力シート!$J$22=入力リスト!$K$4),IF(C166="","入社年月日",""),"")&amp;IF(AND(C166="",D166=""),",","")&amp;IF(D166="","性別","")&amp;IF(IF(A166="","従業員番号","")&amp;IF(B166="","雇用形態","")&amp;IF(OR(入力シート!$J$18=入力リスト!$K$4,入力シート!$J$22=入力リスト!$K$4),IF(C166="","入社年月日",""),"")&amp;IF(D166="","性別","")="","","が空白です。"),IF(J166,"入社年月日に「基準日」の翌日以降の日付が入力されています。","")&amp;IF(I166,"入社年月日に数値以外（又は1900/1/1以前の日付）が入力されています。","")&amp;IF(H166,"雇用形態"&amp;IF(OR(K166,L166),",",""),"")&amp;IF(K166,"性別"&amp;IF(L166,",",""),"")&amp;IF(L166,"役職","")&amp;IF(OR(H166,K166,L166),"に、［入力シート］(4)「貴社」欄と異なる文言が入力されています。","")))))</f>
        <v/>
      </c>
      <c r="G166" s="236" t="b">
        <f>COUNTIF($A$4:A165,$A166)&gt;0</f>
        <v>0</v>
      </c>
      <c r="H166" s="237" t="b">
        <f>IF(COUNTIF(入力シート!$J$16:$S$23,入力リスト!$K$4)=0,FALSE,IF(入力シート!$J$16=入力リスト!$K$5,FALSE,ISERROR(VLOOKUP(B166,入力シート!$S$37:$V$62,1,0))))</f>
        <v>0</v>
      </c>
      <c r="I166" s="237" t="b">
        <f>IF(AND(OR(入力シート!$J$18=入力リスト!$K$4,入力シート!$J$22=入力リスト!$K$4),入力シート!$J$24&lt;&gt;""),IF(ISERROR(C166+1),TRUE,IF(ISNUMBER(C166),FALSE,TRUE)),FALSE)</f>
        <v>0</v>
      </c>
      <c r="J166" s="237" t="b">
        <f>IF(AND(入力シート!$J$18=入力リスト!$K$4,入力シート!$J$22=入力リスト!$K$4),FALSE,IF(I166=TRUE,FALSE,IF(ISERROR(C166+1),FALSE,C166&gt;入力シート!$J$24)))</f>
        <v>0</v>
      </c>
      <c r="K166" s="237" t="b">
        <f>IF(COUNTIF(入力シート!$J$16:$S$23,入力リスト!$K$4)=0,FALSE,IF(AND(入力シート!$J$16&lt;&gt;入力リスト!$K$5,入力シート!$J$18&lt;&gt;入力リスト!$K$5,入力シート!$J$20&lt;&gt;入力リスト!$K$5,入力シート!$J$22&lt;&gt;入力リスト!$K$5),FALSE,ISERROR(VLOOKUP(D166,入力シート!$AW$37:$AY$38,1,0))))</f>
        <v>0</v>
      </c>
      <c r="L166" s="237" t="b">
        <f>IF(COUNTIF(入力シート!$J$16:$S$23,入力リスト!$K$4)=0,FALSE,IF(入力シート!$J$20=入力リスト!$K$5,FALSE,IF(E166="",FALSE,ISERROR(VLOOKUP(E166,入力シート!$AH$37:$AK$62,1,0)))))</f>
        <v>0</v>
      </c>
      <c r="M166" s="238" t="str">
        <f t="shared" si="2"/>
        <v/>
      </c>
      <c r="N166" s="236" t="str">
        <f>IF(B166="","",VLOOKUP('従業員情報(給与以外)'!$B166,入力シート!$S$37:$Z$62,5,0))</f>
        <v/>
      </c>
      <c r="O166" s="182" t="str">
        <f>IF(ISNUMBER(C166)=FALSE,"",IF(C166&gt;入力シート!$J$24,"",_xlfn.DAYS(入力シート!$J$24,'従業員情報(給与以外)'!$C166)/365))</f>
        <v/>
      </c>
      <c r="P166" s="237" t="str">
        <f>IF(O166="","",VLOOKUP(_xlfn.DAYS(入力シート!$J$24,'従業員情報(給与以外)'!$C166)/365,入力リスト!$H$4:$I$12,2,2))</f>
        <v/>
      </c>
      <c r="Q166" s="236" t="str">
        <f>IF(D166="","",VLOOKUP('従業員情報(給与以外)'!$D166,入力シート!$AW$37:$BB$38,4,0))</f>
        <v/>
      </c>
      <c r="R166" s="236" t="str">
        <f>IF(A166="","",IF(E166="","非役職",VLOOKUP('従業員情報(給与以外)'!$E166,入力シート!$AH$37:$AO$62,5,0)))</f>
        <v/>
      </c>
      <c r="S166" s="116" t="str">
        <f>IF(OR(入力シート!$C$5&lt;&gt;入力リスト!$N$4,COUNTIF(入力シート!$J$16:$S$23,入力リスト!$K$4)=0),"",IF($A166="","",IF(ISERROR(AVERAGEIF(従業員の給与情報!$B:$B,$A166,従業員の給与情報!$C:$C)),0,IF(ISERROR(AVERAGEIF(従業員の給与情報!$B:$B,$A166,従業員の給与情報!$C:$C)),0,AVERAGEIF(従業員の給与情報!$B:$B,$A166,従業員の給与情報!$C:$C)))))</f>
        <v/>
      </c>
      <c r="T166" s="116" t="str">
        <f>IF(OR(入力シート!$C$5&lt;&gt;入力リスト!$N$4,COUNTIF(入力シート!$J$16:$S$23,入力リスト!$K$4)=0),"",IF(A166="","",IF(ISERROR(AVERAGEIF(従業員の給与情報!$B:$B,$A166,従業員の給与情報!$D:$D)),0,IF(ISERROR(AVERAGEIF(従業員の給与情報!$B:$B,$A166,従業員の給与情報!$D:$D)),0,AVERAGEIF(従業員の給与情報!$B:$B,$A166,従業員の給与情報!$D:$D)))))</f>
        <v/>
      </c>
      <c r="U166" s="116" t="str">
        <f>IF(OR(入力シート!$C$5&lt;&gt;入力リスト!$N$4,COUNTIF(入力シート!$J$16:$S$23,入力リスト!$K$4)=0),"",IF(A166="","",IF(ISERROR(AVERAGEIF(従業員の給与情報!$B:$B,$A166,従業員の給与情報!$E:$E)),0,IF(ISERROR(AVERAGEIF(従業員の給与情報!$B:$B,$A166,従業員の給与情報!$E:$E)),0,AVERAGEIF(従業員の給与情報!$B:$B,$A166,従業員の給与情報!$E:$E)))))</f>
        <v/>
      </c>
      <c r="V166" s="117" t="str">
        <f>IF(OR(入力シート!$C$5&lt;&gt;入力リスト!$N$4,COUNTIF(入力シート!$J$16:$S$23,入力リスト!$K$4)=0),"",IF(A166="","",IF(ISERROR(AVERAGEIF(従業員の給与情報!$B:$B,$A166,従業員の給与情報!$F:$F)),0,IF(ISERROR(AVERAGEIF(従業員の給与情報!$B:$B,$A166,従業員の給与情報!$F:$F)),0,AVERAGEIF(従業員の給与情報!$B:$B,$A166,従業員の給与情報!$F:$F)))))</f>
        <v/>
      </c>
      <c r="W166" s="182"/>
      <c r="X166" s="260"/>
    </row>
    <row r="167" spans="1:24" ht="19.5">
      <c r="A167" s="367"/>
      <c r="B167" s="364"/>
      <c r="C167" s="365"/>
      <c r="D167" s="366"/>
      <c r="E167" s="367"/>
      <c r="F167" s="372" t="str">
        <f>IF(G167,"この従業員番号は、すでに他のセルで入力されています。",IF(入力シート!$C$5=入力リスト!$N$5,"",IF(AND(A167="",B167="",C167="",D167="",E167=""),"",IF(OR(A167="",B167="",C167="",D167=""),IF(A167="","従業員番号","")&amp;IF(AND(A167="",OR(B167="",C167="",D167="")),",","")&amp;IF(B167="","雇用形態","")&amp;IF(AND(B167="",OR(C167="",D167="")),",","")&amp;IF(OR(入力シート!$J$18=入力リスト!$K$4,入力シート!$J$22=入力リスト!$K$4),IF(C167="","入社年月日",""),"")&amp;IF(AND(C167="",D167=""),",","")&amp;IF(D167="","性別","")&amp;IF(IF(A167="","従業員番号","")&amp;IF(B167="","雇用形態","")&amp;IF(OR(入力シート!$J$18=入力リスト!$K$4,入力シート!$J$22=入力リスト!$K$4),IF(C167="","入社年月日",""),"")&amp;IF(D167="","性別","")="","","が空白です。"),IF(J167,"入社年月日に「基準日」の翌日以降の日付が入力されています。","")&amp;IF(I167,"入社年月日に数値以外（又は1900/1/1以前の日付）が入力されています。","")&amp;IF(H167,"雇用形態"&amp;IF(OR(K167,L167),",",""),"")&amp;IF(K167,"性別"&amp;IF(L167,",",""),"")&amp;IF(L167,"役職","")&amp;IF(OR(H167,K167,L167),"に、［入力シート］(4)「貴社」欄と異なる文言が入力されています。","")))))</f>
        <v/>
      </c>
      <c r="G167" s="236" t="b">
        <f>COUNTIF($A$4:A166,$A167)&gt;0</f>
        <v>0</v>
      </c>
      <c r="H167" s="237" t="b">
        <f>IF(COUNTIF(入力シート!$J$16:$S$23,入力リスト!$K$4)=0,FALSE,IF(入力シート!$J$16=入力リスト!$K$5,FALSE,ISERROR(VLOOKUP(B167,入力シート!$S$37:$V$62,1,0))))</f>
        <v>0</v>
      </c>
      <c r="I167" s="237" t="b">
        <f>IF(AND(OR(入力シート!$J$18=入力リスト!$K$4,入力シート!$J$22=入力リスト!$K$4),入力シート!$J$24&lt;&gt;""),IF(ISERROR(C167+1),TRUE,IF(ISNUMBER(C167),FALSE,TRUE)),FALSE)</f>
        <v>0</v>
      </c>
      <c r="J167" s="237" t="b">
        <f>IF(AND(入力シート!$J$18=入力リスト!$K$4,入力シート!$J$22=入力リスト!$K$4),FALSE,IF(I167=TRUE,FALSE,IF(ISERROR(C167+1),FALSE,C167&gt;入力シート!$J$24)))</f>
        <v>0</v>
      </c>
      <c r="K167" s="237" t="b">
        <f>IF(COUNTIF(入力シート!$J$16:$S$23,入力リスト!$K$4)=0,FALSE,IF(AND(入力シート!$J$16&lt;&gt;入力リスト!$K$5,入力シート!$J$18&lt;&gt;入力リスト!$K$5,入力シート!$J$20&lt;&gt;入力リスト!$K$5,入力シート!$J$22&lt;&gt;入力リスト!$K$5),FALSE,ISERROR(VLOOKUP(D167,入力シート!$AW$37:$AY$38,1,0))))</f>
        <v>0</v>
      </c>
      <c r="L167" s="237" t="b">
        <f>IF(COUNTIF(入力シート!$J$16:$S$23,入力リスト!$K$4)=0,FALSE,IF(入力シート!$J$20=入力リスト!$K$5,FALSE,IF(E167="",FALSE,ISERROR(VLOOKUP(E167,入力シート!$AH$37:$AK$62,1,0)))))</f>
        <v>0</v>
      </c>
      <c r="M167" s="238" t="str">
        <f t="shared" si="2"/>
        <v/>
      </c>
      <c r="N167" s="236" t="str">
        <f>IF(B167="","",VLOOKUP('従業員情報(給与以外)'!$B167,入力シート!$S$37:$Z$62,5,0))</f>
        <v/>
      </c>
      <c r="O167" s="182" t="str">
        <f>IF(ISNUMBER(C167)=FALSE,"",IF(C167&gt;入力シート!$J$24,"",_xlfn.DAYS(入力シート!$J$24,'従業員情報(給与以外)'!$C167)/365))</f>
        <v/>
      </c>
      <c r="P167" s="237" t="str">
        <f>IF(O167="","",VLOOKUP(_xlfn.DAYS(入力シート!$J$24,'従業員情報(給与以外)'!$C167)/365,入力リスト!$H$4:$I$12,2,2))</f>
        <v/>
      </c>
      <c r="Q167" s="236" t="str">
        <f>IF(D167="","",VLOOKUP('従業員情報(給与以外)'!$D167,入力シート!$AW$37:$BB$38,4,0))</f>
        <v/>
      </c>
      <c r="R167" s="236" t="str">
        <f>IF(A167="","",IF(E167="","非役職",VLOOKUP('従業員情報(給与以外)'!$E167,入力シート!$AH$37:$AO$62,5,0)))</f>
        <v/>
      </c>
      <c r="S167" s="116" t="str">
        <f>IF(OR(入力シート!$C$5&lt;&gt;入力リスト!$N$4,COUNTIF(入力シート!$J$16:$S$23,入力リスト!$K$4)=0),"",IF($A167="","",IF(ISERROR(AVERAGEIF(従業員の給与情報!$B:$B,$A167,従業員の給与情報!$C:$C)),0,IF(ISERROR(AVERAGEIF(従業員の給与情報!$B:$B,$A167,従業員の給与情報!$C:$C)),0,AVERAGEIF(従業員の給与情報!$B:$B,$A167,従業員の給与情報!$C:$C)))))</f>
        <v/>
      </c>
      <c r="T167" s="116" t="str">
        <f>IF(OR(入力シート!$C$5&lt;&gt;入力リスト!$N$4,COUNTIF(入力シート!$J$16:$S$23,入力リスト!$K$4)=0),"",IF(A167="","",IF(ISERROR(AVERAGEIF(従業員の給与情報!$B:$B,$A167,従業員の給与情報!$D:$D)),0,IF(ISERROR(AVERAGEIF(従業員の給与情報!$B:$B,$A167,従業員の給与情報!$D:$D)),0,AVERAGEIF(従業員の給与情報!$B:$B,$A167,従業員の給与情報!$D:$D)))))</f>
        <v/>
      </c>
      <c r="U167" s="116" t="str">
        <f>IF(OR(入力シート!$C$5&lt;&gt;入力リスト!$N$4,COUNTIF(入力シート!$J$16:$S$23,入力リスト!$K$4)=0),"",IF(A167="","",IF(ISERROR(AVERAGEIF(従業員の給与情報!$B:$B,$A167,従業員の給与情報!$E:$E)),0,IF(ISERROR(AVERAGEIF(従業員の給与情報!$B:$B,$A167,従業員の給与情報!$E:$E)),0,AVERAGEIF(従業員の給与情報!$B:$B,$A167,従業員の給与情報!$E:$E)))))</f>
        <v/>
      </c>
      <c r="V167" s="117" t="str">
        <f>IF(OR(入力シート!$C$5&lt;&gt;入力リスト!$N$4,COUNTIF(入力シート!$J$16:$S$23,入力リスト!$K$4)=0),"",IF(A167="","",IF(ISERROR(AVERAGEIF(従業員の給与情報!$B:$B,$A167,従業員の給与情報!$F:$F)),0,IF(ISERROR(AVERAGEIF(従業員の給与情報!$B:$B,$A167,従業員の給与情報!$F:$F)),0,AVERAGEIF(従業員の給与情報!$B:$B,$A167,従業員の給与情報!$F:$F)))))</f>
        <v/>
      </c>
      <c r="W167" s="182"/>
      <c r="X167" s="260"/>
    </row>
    <row r="168" spans="1:24" ht="19.5">
      <c r="A168" s="367"/>
      <c r="B168" s="364"/>
      <c r="C168" s="365"/>
      <c r="D168" s="366"/>
      <c r="E168" s="367"/>
      <c r="F168" s="372" t="str">
        <f>IF(G168,"この従業員番号は、すでに他のセルで入力されています。",IF(入力シート!$C$5=入力リスト!$N$5,"",IF(AND(A168="",B168="",C168="",D168="",E168=""),"",IF(OR(A168="",B168="",C168="",D168=""),IF(A168="","従業員番号","")&amp;IF(AND(A168="",OR(B168="",C168="",D168="")),",","")&amp;IF(B168="","雇用形態","")&amp;IF(AND(B168="",OR(C168="",D168="")),",","")&amp;IF(OR(入力シート!$J$18=入力リスト!$K$4,入力シート!$J$22=入力リスト!$K$4),IF(C168="","入社年月日",""),"")&amp;IF(AND(C168="",D168=""),",","")&amp;IF(D168="","性別","")&amp;IF(IF(A168="","従業員番号","")&amp;IF(B168="","雇用形態","")&amp;IF(OR(入力シート!$J$18=入力リスト!$K$4,入力シート!$J$22=入力リスト!$K$4),IF(C168="","入社年月日",""),"")&amp;IF(D168="","性別","")="","","が空白です。"),IF(J168,"入社年月日に「基準日」の翌日以降の日付が入力されています。","")&amp;IF(I168,"入社年月日に数値以外（又は1900/1/1以前の日付）が入力されています。","")&amp;IF(H168,"雇用形態"&amp;IF(OR(K168,L168),",",""),"")&amp;IF(K168,"性別"&amp;IF(L168,",",""),"")&amp;IF(L168,"役職","")&amp;IF(OR(H168,K168,L168),"に、［入力シート］(4)「貴社」欄と異なる文言が入力されています。","")))))</f>
        <v/>
      </c>
      <c r="G168" s="236" t="b">
        <f>COUNTIF($A$4:A167,$A168)&gt;0</f>
        <v>0</v>
      </c>
      <c r="H168" s="237" t="b">
        <f>IF(COUNTIF(入力シート!$J$16:$S$23,入力リスト!$K$4)=0,FALSE,IF(入力シート!$J$16=入力リスト!$K$5,FALSE,ISERROR(VLOOKUP(B168,入力シート!$S$37:$V$62,1,0))))</f>
        <v>0</v>
      </c>
      <c r="I168" s="237" t="b">
        <f>IF(AND(OR(入力シート!$J$18=入力リスト!$K$4,入力シート!$J$22=入力リスト!$K$4),入力シート!$J$24&lt;&gt;""),IF(ISERROR(C168+1),TRUE,IF(ISNUMBER(C168),FALSE,TRUE)),FALSE)</f>
        <v>0</v>
      </c>
      <c r="J168" s="237" t="b">
        <f>IF(AND(入力シート!$J$18=入力リスト!$K$4,入力シート!$J$22=入力リスト!$K$4),FALSE,IF(I168=TRUE,FALSE,IF(ISERROR(C168+1),FALSE,C168&gt;入力シート!$J$24)))</f>
        <v>0</v>
      </c>
      <c r="K168" s="237" t="b">
        <f>IF(COUNTIF(入力シート!$J$16:$S$23,入力リスト!$K$4)=0,FALSE,IF(AND(入力シート!$J$16&lt;&gt;入力リスト!$K$5,入力シート!$J$18&lt;&gt;入力リスト!$K$5,入力シート!$J$20&lt;&gt;入力リスト!$K$5,入力シート!$J$22&lt;&gt;入力リスト!$K$5),FALSE,ISERROR(VLOOKUP(D168,入力シート!$AW$37:$AY$38,1,0))))</f>
        <v>0</v>
      </c>
      <c r="L168" s="237" t="b">
        <f>IF(COUNTIF(入力シート!$J$16:$S$23,入力リスト!$K$4)=0,FALSE,IF(入力シート!$J$20=入力リスト!$K$5,FALSE,IF(E168="",FALSE,ISERROR(VLOOKUP(E168,入力シート!$AH$37:$AK$62,1,0)))))</f>
        <v>0</v>
      </c>
      <c r="M168" s="238" t="str">
        <f t="shared" si="2"/>
        <v/>
      </c>
      <c r="N168" s="236" t="str">
        <f>IF(B168="","",VLOOKUP('従業員情報(給与以外)'!$B168,入力シート!$S$37:$Z$62,5,0))</f>
        <v/>
      </c>
      <c r="O168" s="182" t="str">
        <f>IF(ISNUMBER(C168)=FALSE,"",IF(C168&gt;入力シート!$J$24,"",_xlfn.DAYS(入力シート!$J$24,'従業員情報(給与以外)'!$C168)/365))</f>
        <v/>
      </c>
      <c r="P168" s="237" t="str">
        <f>IF(O168="","",VLOOKUP(_xlfn.DAYS(入力シート!$J$24,'従業員情報(給与以外)'!$C168)/365,入力リスト!$H$4:$I$12,2,2))</f>
        <v/>
      </c>
      <c r="Q168" s="236" t="str">
        <f>IF(D168="","",VLOOKUP('従業員情報(給与以外)'!$D168,入力シート!$AW$37:$BB$38,4,0))</f>
        <v/>
      </c>
      <c r="R168" s="236" t="str">
        <f>IF(A168="","",IF(E168="","非役職",VLOOKUP('従業員情報(給与以外)'!$E168,入力シート!$AH$37:$AO$62,5,0)))</f>
        <v/>
      </c>
      <c r="S168" s="116" t="str">
        <f>IF(OR(入力シート!$C$5&lt;&gt;入力リスト!$N$4,COUNTIF(入力シート!$J$16:$S$23,入力リスト!$K$4)=0),"",IF($A168="","",IF(ISERROR(AVERAGEIF(従業員の給与情報!$B:$B,$A168,従業員の給与情報!$C:$C)),0,IF(ISERROR(AVERAGEIF(従業員の給与情報!$B:$B,$A168,従業員の給与情報!$C:$C)),0,AVERAGEIF(従業員の給与情報!$B:$B,$A168,従業員の給与情報!$C:$C)))))</f>
        <v/>
      </c>
      <c r="T168" s="116" t="str">
        <f>IF(OR(入力シート!$C$5&lt;&gt;入力リスト!$N$4,COUNTIF(入力シート!$J$16:$S$23,入力リスト!$K$4)=0),"",IF(A168="","",IF(ISERROR(AVERAGEIF(従業員の給与情報!$B:$B,$A168,従業員の給与情報!$D:$D)),0,IF(ISERROR(AVERAGEIF(従業員の給与情報!$B:$B,$A168,従業員の給与情報!$D:$D)),0,AVERAGEIF(従業員の給与情報!$B:$B,$A168,従業員の給与情報!$D:$D)))))</f>
        <v/>
      </c>
      <c r="U168" s="116" t="str">
        <f>IF(OR(入力シート!$C$5&lt;&gt;入力リスト!$N$4,COUNTIF(入力シート!$J$16:$S$23,入力リスト!$K$4)=0),"",IF(A168="","",IF(ISERROR(AVERAGEIF(従業員の給与情報!$B:$B,$A168,従業員の給与情報!$E:$E)),0,IF(ISERROR(AVERAGEIF(従業員の給与情報!$B:$B,$A168,従業員の給与情報!$E:$E)),0,AVERAGEIF(従業員の給与情報!$B:$B,$A168,従業員の給与情報!$E:$E)))))</f>
        <v/>
      </c>
      <c r="V168" s="117" t="str">
        <f>IF(OR(入力シート!$C$5&lt;&gt;入力リスト!$N$4,COUNTIF(入力シート!$J$16:$S$23,入力リスト!$K$4)=0),"",IF(A168="","",IF(ISERROR(AVERAGEIF(従業員の給与情報!$B:$B,$A168,従業員の給与情報!$F:$F)),0,IF(ISERROR(AVERAGEIF(従業員の給与情報!$B:$B,$A168,従業員の給与情報!$F:$F)),0,AVERAGEIF(従業員の給与情報!$B:$B,$A168,従業員の給与情報!$F:$F)))))</f>
        <v/>
      </c>
      <c r="W168" s="182"/>
      <c r="X168" s="260"/>
    </row>
    <row r="169" spans="1:24" ht="19.5">
      <c r="A169" s="367"/>
      <c r="B169" s="364"/>
      <c r="C169" s="365"/>
      <c r="D169" s="366"/>
      <c r="E169" s="367"/>
      <c r="F169" s="372" t="str">
        <f>IF(G169,"この従業員番号は、すでに他のセルで入力されています。",IF(入力シート!$C$5=入力リスト!$N$5,"",IF(AND(A169="",B169="",C169="",D169="",E169=""),"",IF(OR(A169="",B169="",C169="",D169=""),IF(A169="","従業員番号","")&amp;IF(AND(A169="",OR(B169="",C169="",D169="")),",","")&amp;IF(B169="","雇用形態","")&amp;IF(AND(B169="",OR(C169="",D169="")),",","")&amp;IF(OR(入力シート!$J$18=入力リスト!$K$4,入力シート!$J$22=入力リスト!$K$4),IF(C169="","入社年月日",""),"")&amp;IF(AND(C169="",D169=""),",","")&amp;IF(D169="","性別","")&amp;IF(IF(A169="","従業員番号","")&amp;IF(B169="","雇用形態","")&amp;IF(OR(入力シート!$J$18=入力リスト!$K$4,入力シート!$J$22=入力リスト!$K$4),IF(C169="","入社年月日",""),"")&amp;IF(D169="","性別","")="","","が空白です。"),IF(J169,"入社年月日に「基準日」の翌日以降の日付が入力されています。","")&amp;IF(I169,"入社年月日に数値以外（又は1900/1/1以前の日付）が入力されています。","")&amp;IF(H169,"雇用形態"&amp;IF(OR(K169,L169),",",""),"")&amp;IF(K169,"性別"&amp;IF(L169,",",""),"")&amp;IF(L169,"役職","")&amp;IF(OR(H169,K169,L169),"に、［入力シート］(4)「貴社」欄と異なる文言が入力されています。","")))))</f>
        <v/>
      </c>
      <c r="G169" s="236" t="b">
        <f>COUNTIF($A$4:A168,$A169)&gt;0</f>
        <v>0</v>
      </c>
      <c r="H169" s="237" t="b">
        <f>IF(COUNTIF(入力シート!$J$16:$S$23,入力リスト!$K$4)=0,FALSE,IF(入力シート!$J$16=入力リスト!$K$5,FALSE,ISERROR(VLOOKUP(B169,入力シート!$S$37:$V$62,1,0))))</f>
        <v>0</v>
      </c>
      <c r="I169" s="237" t="b">
        <f>IF(AND(OR(入力シート!$J$18=入力リスト!$K$4,入力シート!$J$22=入力リスト!$K$4),入力シート!$J$24&lt;&gt;""),IF(ISERROR(C169+1),TRUE,IF(ISNUMBER(C169),FALSE,TRUE)),FALSE)</f>
        <v>0</v>
      </c>
      <c r="J169" s="237" t="b">
        <f>IF(AND(入力シート!$J$18=入力リスト!$K$4,入力シート!$J$22=入力リスト!$K$4),FALSE,IF(I169=TRUE,FALSE,IF(ISERROR(C169+1),FALSE,C169&gt;入力シート!$J$24)))</f>
        <v>0</v>
      </c>
      <c r="K169" s="237" t="b">
        <f>IF(COUNTIF(入力シート!$J$16:$S$23,入力リスト!$K$4)=0,FALSE,IF(AND(入力シート!$J$16&lt;&gt;入力リスト!$K$5,入力シート!$J$18&lt;&gt;入力リスト!$K$5,入力シート!$J$20&lt;&gt;入力リスト!$K$5,入力シート!$J$22&lt;&gt;入力リスト!$K$5),FALSE,ISERROR(VLOOKUP(D169,入力シート!$AW$37:$AY$38,1,0))))</f>
        <v>0</v>
      </c>
      <c r="L169" s="237" t="b">
        <f>IF(COUNTIF(入力シート!$J$16:$S$23,入力リスト!$K$4)=0,FALSE,IF(入力シート!$J$20=入力リスト!$K$5,FALSE,IF(E169="",FALSE,ISERROR(VLOOKUP(E169,入力シート!$AH$37:$AK$62,1,0)))))</f>
        <v>0</v>
      </c>
      <c r="M169" s="238" t="str">
        <f t="shared" si="2"/>
        <v/>
      </c>
      <c r="N169" s="236" t="str">
        <f>IF(B169="","",VLOOKUP('従業員情報(給与以外)'!$B169,入力シート!$S$37:$Z$62,5,0))</f>
        <v/>
      </c>
      <c r="O169" s="182" t="str">
        <f>IF(ISNUMBER(C169)=FALSE,"",IF(C169&gt;入力シート!$J$24,"",_xlfn.DAYS(入力シート!$J$24,'従業員情報(給与以外)'!$C169)/365))</f>
        <v/>
      </c>
      <c r="P169" s="237" t="str">
        <f>IF(O169="","",VLOOKUP(_xlfn.DAYS(入力シート!$J$24,'従業員情報(給与以外)'!$C169)/365,入力リスト!$H$4:$I$12,2,2))</f>
        <v/>
      </c>
      <c r="Q169" s="236" t="str">
        <f>IF(D169="","",VLOOKUP('従業員情報(給与以外)'!$D169,入力シート!$AW$37:$BB$38,4,0))</f>
        <v/>
      </c>
      <c r="R169" s="236" t="str">
        <f>IF(A169="","",IF(E169="","非役職",VLOOKUP('従業員情報(給与以外)'!$E169,入力シート!$AH$37:$AO$62,5,0)))</f>
        <v/>
      </c>
      <c r="S169" s="116" t="str">
        <f>IF(OR(入力シート!$C$5&lt;&gt;入力リスト!$N$4,COUNTIF(入力シート!$J$16:$S$23,入力リスト!$K$4)=0),"",IF($A169="","",IF(ISERROR(AVERAGEIF(従業員の給与情報!$B:$B,$A169,従業員の給与情報!$C:$C)),0,IF(ISERROR(AVERAGEIF(従業員の給与情報!$B:$B,$A169,従業員の給与情報!$C:$C)),0,AVERAGEIF(従業員の給与情報!$B:$B,$A169,従業員の給与情報!$C:$C)))))</f>
        <v/>
      </c>
      <c r="T169" s="116" t="str">
        <f>IF(OR(入力シート!$C$5&lt;&gt;入力リスト!$N$4,COUNTIF(入力シート!$J$16:$S$23,入力リスト!$K$4)=0),"",IF(A169="","",IF(ISERROR(AVERAGEIF(従業員の給与情報!$B:$B,$A169,従業員の給与情報!$D:$D)),0,IF(ISERROR(AVERAGEIF(従業員の給与情報!$B:$B,$A169,従業員の給与情報!$D:$D)),0,AVERAGEIF(従業員の給与情報!$B:$B,$A169,従業員の給与情報!$D:$D)))))</f>
        <v/>
      </c>
      <c r="U169" s="116" t="str">
        <f>IF(OR(入力シート!$C$5&lt;&gt;入力リスト!$N$4,COUNTIF(入力シート!$J$16:$S$23,入力リスト!$K$4)=0),"",IF(A169="","",IF(ISERROR(AVERAGEIF(従業員の給与情報!$B:$B,$A169,従業員の給与情報!$E:$E)),0,IF(ISERROR(AVERAGEIF(従業員の給与情報!$B:$B,$A169,従業員の給与情報!$E:$E)),0,AVERAGEIF(従業員の給与情報!$B:$B,$A169,従業員の給与情報!$E:$E)))))</f>
        <v/>
      </c>
      <c r="V169" s="117" t="str">
        <f>IF(OR(入力シート!$C$5&lt;&gt;入力リスト!$N$4,COUNTIF(入力シート!$J$16:$S$23,入力リスト!$K$4)=0),"",IF(A169="","",IF(ISERROR(AVERAGEIF(従業員の給与情報!$B:$B,$A169,従業員の給与情報!$F:$F)),0,IF(ISERROR(AVERAGEIF(従業員の給与情報!$B:$B,$A169,従業員の給与情報!$F:$F)),0,AVERAGEIF(従業員の給与情報!$B:$B,$A169,従業員の給与情報!$F:$F)))))</f>
        <v/>
      </c>
      <c r="W169" s="182"/>
      <c r="X169" s="260"/>
    </row>
    <row r="170" spans="1:24" ht="19.5">
      <c r="A170" s="367"/>
      <c r="B170" s="364"/>
      <c r="C170" s="365"/>
      <c r="D170" s="366"/>
      <c r="E170" s="364"/>
      <c r="F170" s="372" t="str">
        <f>IF(G170,"この従業員番号は、すでに他のセルで入力されています。",IF(入力シート!$C$5=入力リスト!$N$5,"",IF(AND(A170="",B170="",C170="",D170="",E170=""),"",IF(OR(A170="",B170="",C170="",D170=""),IF(A170="","従業員番号","")&amp;IF(AND(A170="",OR(B170="",C170="",D170="")),",","")&amp;IF(B170="","雇用形態","")&amp;IF(AND(B170="",OR(C170="",D170="")),",","")&amp;IF(OR(入力シート!$J$18=入力リスト!$K$4,入力シート!$J$22=入力リスト!$K$4),IF(C170="","入社年月日",""),"")&amp;IF(AND(C170="",D170=""),",","")&amp;IF(D170="","性別","")&amp;IF(IF(A170="","従業員番号","")&amp;IF(B170="","雇用形態","")&amp;IF(OR(入力シート!$J$18=入力リスト!$K$4,入力シート!$J$22=入力リスト!$K$4),IF(C170="","入社年月日",""),"")&amp;IF(D170="","性別","")="","","が空白です。"),IF(J170,"入社年月日に「基準日」の翌日以降の日付が入力されています。","")&amp;IF(I170,"入社年月日に数値以外（又は1900/1/1以前の日付）が入力されています。","")&amp;IF(H170,"雇用形態"&amp;IF(OR(K170,L170),",",""),"")&amp;IF(K170,"性別"&amp;IF(L170,",",""),"")&amp;IF(L170,"役職","")&amp;IF(OR(H170,K170,L170),"に、［入力シート］(4)「貴社」欄と異なる文言が入力されています。","")))))</f>
        <v/>
      </c>
      <c r="G170" s="236" t="b">
        <f>COUNTIF($A$4:A169,$A170)&gt;0</f>
        <v>0</v>
      </c>
      <c r="H170" s="237" t="b">
        <f>IF(COUNTIF(入力シート!$J$16:$S$23,入力リスト!$K$4)=0,FALSE,IF(入力シート!$J$16=入力リスト!$K$5,FALSE,ISERROR(VLOOKUP(B170,入力シート!$S$37:$V$62,1,0))))</f>
        <v>0</v>
      </c>
      <c r="I170" s="237" t="b">
        <f>IF(AND(OR(入力シート!$J$18=入力リスト!$K$4,入力シート!$J$22=入力リスト!$K$4),入力シート!$J$24&lt;&gt;""),IF(ISERROR(C170+1),TRUE,IF(ISNUMBER(C170),FALSE,TRUE)),FALSE)</f>
        <v>0</v>
      </c>
      <c r="J170" s="237" t="b">
        <f>IF(AND(入力シート!$J$18=入力リスト!$K$4,入力シート!$J$22=入力リスト!$K$4),FALSE,IF(I170=TRUE,FALSE,IF(ISERROR(C170+1),FALSE,C170&gt;入力シート!$J$24)))</f>
        <v>0</v>
      </c>
      <c r="K170" s="237" t="b">
        <f>IF(COUNTIF(入力シート!$J$16:$S$23,入力リスト!$K$4)=0,FALSE,IF(AND(入力シート!$J$16&lt;&gt;入力リスト!$K$5,入力シート!$J$18&lt;&gt;入力リスト!$K$5,入力シート!$J$20&lt;&gt;入力リスト!$K$5,入力シート!$J$22&lt;&gt;入力リスト!$K$5),FALSE,ISERROR(VLOOKUP(D170,入力シート!$AW$37:$AY$38,1,0))))</f>
        <v>0</v>
      </c>
      <c r="L170" s="237" t="b">
        <f>IF(COUNTIF(入力シート!$J$16:$S$23,入力リスト!$K$4)=0,FALSE,IF(入力シート!$J$20=入力リスト!$K$5,FALSE,IF(E170="",FALSE,ISERROR(VLOOKUP(E170,入力シート!$AH$37:$AK$62,1,0)))))</f>
        <v>0</v>
      </c>
      <c r="M170" s="238" t="str">
        <f t="shared" si="2"/>
        <v/>
      </c>
      <c r="N170" s="236" t="str">
        <f>IF(B170="","",VLOOKUP('従業員情報(給与以外)'!$B170,入力シート!$S$37:$Z$62,5,0))</f>
        <v/>
      </c>
      <c r="O170" s="182" t="str">
        <f>IF(ISNUMBER(C170)=FALSE,"",IF(C170&gt;入力シート!$J$24,"",_xlfn.DAYS(入力シート!$J$24,'従業員情報(給与以外)'!$C170)/365))</f>
        <v/>
      </c>
      <c r="P170" s="237" t="str">
        <f>IF(O170="","",VLOOKUP(_xlfn.DAYS(入力シート!$J$24,'従業員情報(給与以外)'!$C170)/365,入力リスト!$H$4:$I$12,2,2))</f>
        <v/>
      </c>
      <c r="Q170" s="236" t="str">
        <f>IF(D170="","",VLOOKUP('従業員情報(給与以外)'!$D170,入力シート!$AW$37:$BB$38,4,0))</f>
        <v/>
      </c>
      <c r="R170" s="236" t="str">
        <f>IF(A170="","",IF(E170="","非役職",VLOOKUP('従業員情報(給与以外)'!$E170,入力シート!$AH$37:$AO$62,5,0)))</f>
        <v/>
      </c>
      <c r="S170" s="116" t="str">
        <f>IF(OR(入力シート!$C$5&lt;&gt;入力リスト!$N$4,COUNTIF(入力シート!$J$16:$S$23,入力リスト!$K$4)=0),"",IF($A170="","",IF(ISERROR(AVERAGEIF(従業員の給与情報!$B:$B,$A170,従業員の給与情報!$C:$C)),0,IF(ISERROR(AVERAGEIF(従業員の給与情報!$B:$B,$A170,従業員の給与情報!$C:$C)),0,AVERAGEIF(従業員の給与情報!$B:$B,$A170,従業員の給与情報!$C:$C)))))</f>
        <v/>
      </c>
      <c r="T170" s="116" t="str">
        <f>IF(OR(入力シート!$C$5&lt;&gt;入力リスト!$N$4,COUNTIF(入力シート!$J$16:$S$23,入力リスト!$K$4)=0),"",IF(A170="","",IF(ISERROR(AVERAGEIF(従業員の給与情報!$B:$B,$A170,従業員の給与情報!$D:$D)),0,IF(ISERROR(AVERAGEIF(従業員の給与情報!$B:$B,$A170,従業員の給与情報!$D:$D)),0,AVERAGEIF(従業員の給与情報!$B:$B,$A170,従業員の給与情報!$D:$D)))))</f>
        <v/>
      </c>
      <c r="U170" s="116" t="str">
        <f>IF(OR(入力シート!$C$5&lt;&gt;入力リスト!$N$4,COUNTIF(入力シート!$J$16:$S$23,入力リスト!$K$4)=0),"",IF(A170="","",IF(ISERROR(AVERAGEIF(従業員の給与情報!$B:$B,$A170,従業員の給与情報!$E:$E)),0,IF(ISERROR(AVERAGEIF(従業員の給与情報!$B:$B,$A170,従業員の給与情報!$E:$E)),0,AVERAGEIF(従業員の給与情報!$B:$B,$A170,従業員の給与情報!$E:$E)))))</f>
        <v/>
      </c>
      <c r="V170" s="117" t="str">
        <f>IF(OR(入力シート!$C$5&lt;&gt;入力リスト!$N$4,COUNTIF(入力シート!$J$16:$S$23,入力リスト!$K$4)=0),"",IF(A170="","",IF(ISERROR(AVERAGEIF(従業員の給与情報!$B:$B,$A170,従業員の給与情報!$F:$F)),0,IF(ISERROR(AVERAGEIF(従業員の給与情報!$B:$B,$A170,従業員の給与情報!$F:$F)),0,AVERAGEIF(従業員の給与情報!$B:$B,$A170,従業員の給与情報!$F:$F)))))</f>
        <v/>
      </c>
      <c r="W170" s="182"/>
      <c r="X170" s="260"/>
    </row>
    <row r="171" spans="1:24" ht="19.5">
      <c r="A171" s="367"/>
      <c r="B171" s="364"/>
      <c r="C171" s="365"/>
      <c r="D171" s="366"/>
      <c r="E171" s="367"/>
      <c r="F171" s="372" t="str">
        <f>IF(G171,"この従業員番号は、すでに他のセルで入力されています。",IF(入力シート!$C$5=入力リスト!$N$5,"",IF(AND(A171="",B171="",C171="",D171="",E171=""),"",IF(OR(A171="",B171="",C171="",D171=""),IF(A171="","従業員番号","")&amp;IF(AND(A171="",OR(B171="",C171="",D171="")),",","")&amp;IF(B171="","雇用形態","")&amp;IF(AND(B171="",OR(C171="",D171="")),",","")&amp;IF(OR(入力シート!$J$18=入力リスト!$K$4,入力シート!$J$22=入力リスト!$K$4),IF(C171="","入社年月日",""),"")&amp;IF(AND(C171="",D171=""),",","")&amp;IF(D171="","性別","")&amp;IF(IF(A171="","従業員番号","")&amp;IF(B171="","雇用形態","")&amp;IF(OR(入力シート!$J$18=入力リスト!$K$4,入力シート!$J$22=入力リスト!$K$4),IF(C171="","入社年月日",""),"")&amp;IF(D171="","性別","")="","","が空白です。"),IF(J171,"入社年月日に「基準日」の翌日以降の日付が入力されています。","")&amp;IF(I171,"入社年月日に数値以外（又は1900/1/1以前の日付）が入力されています。","")&amp;IF(H171,"雇用形態"&amp;IF(OR(K171,L171),",",""),"")&amp;IF(K171,"性別"&amp;IF(L171,",",""),"")&amp;IF(L171,"役職","")&amp;IF(OR(H171,K171,L171),"に、［入力シート］(4)「貴社」欄と異なる文言が入力されています。","")))))</f>
        <v/>
      </c>
      <c r="G171" s="236" t="b">
        <f>COUNTIF($A$4:A170,$A171)&gt;0</f>
        <v>0</v>
      </c>
      <c r="H171" s="237" t="b">
        <f>IF(COUNTIF(入力シート!$J$16:$S$23,入力リスト!$K$4)=0,FALSE,IF(入力シート!$J$16=入力リスト!$K$5,FALSE,ISERROR(VLOOKUP(B171,入力シート!$S$37:$V$62,1,0))))</f>
        <v>0</v>
      </c>
      <c r="I171" s="237" t="b">
        <f>IF(AND(OR(入力シート!$J$18=入力リスト!$K$4,入力シート!$J$22=入力リスト!$K$4),入力シート!$J$24&lt;&gt;""),IF(ISERROR(C171+1),TRUE,IF(ISNUMBER(C171),FALSE,TRUE)),FALSE)</f>
        <v>0</v>
      </c>
      <c r="J171" s="237" t="b">
        <f>IF(AND(入力シート!$J$18=入力リスト!$K$4,入力シート!$J$22=入力リスト!$K$4),FALSE,IF(I171=TRUE,FALSE,IF(ISERROR(C171+1),FALSE,C171&gt;入力シート!$J$24)))</f>
        <v>0</v>
      </c>
      <c r="K171" s="237" t="b">
        <f>IF(COUNTIF(入力シート!$J$16:$S$23,入力リスト!$K$4)=0,FALSE,IF(AND(入力シート!$J$16&lt;&gt;入力リスト!$K$5,入力シート!$J$18&lt;&gt;入力リスト!$K$5,入力シート!$J$20&lt;&gt;入力リスト!$K$5,入力シート!$J$22&lt;&gt;入力リスト!$K$5),FALSE,ISERROR(VLOOKUP(D171,入力シート!$AW$37:$AY$38,1,0))))</f>
        <v>0</v>
      </c>
      <c r="L171" s="237" t="b">
        <f>IF(COUNTIF(入力シート!$J$16:$S$23,入力リスト!$K$4)=0,FALSE,IF(入力シート!$J$20=入力リスト!$K$5,FALSE,IF(E171="",FALSE,ISERROR(VLOOKUP(E171,入力シート!$AH$37:$AK$62,1,0)))))</f>
        <v>0</v>
      </c>
      <c r="M171" s="238" t="str">
        <f t="shared" si="2"/>
        <v/>
      </c>
      <c r="N171" s="236" t="str">
        <f>IF(B171="","",VLOOKUP('従業員情報(給与以外)'!$B171,入力シート!$S$37:$Z$62,5,0))</f>
        <v/>
      </c>
      <c r="O171" s="182" t="str">
        <f>IF(ISNUMBER(C171)=FALSE,"",IF(C171&gt;入力シート!$J$24,"",_xlfn.DAYS(入力シート!$J$24,'従業員情報(給与以外)'!$C171)/365))</f>
        <v/>
      </c>
      <c r="P171" s="237" t="str">
        <f>IF(O171="","",VLOOKUP(_xlfn.DAYS(入力シート!$J$24,'従業員情報(給与以外)'!$C171)/365,入力リスト!$H$4:$I$12,2,2))</f>
        <v/>
      </c>
      <c r="Q171" s="236" t="str">
        <f>IF(D171="","",VLOOKUP('従業員情報(給与以外)'!$D171,入力シート!$AW$37:$BB$38,4,0))</f>
        <v/>
      </c>
      <c r="R171" s="236" t="str">
        <f>IF(A171="","",IF(E171="","非役職",VLOOKUP('従業員情報(給与以外)'!$E171,入力シート!$AH$37:$AO$62,5,0)))</f>
        <v/>
      </c>
      <c r="S171" s="116" t="str">
        <f>IF(OR(入力シート!$C$5&lt;&gt;入力リスト!$N$4,COUNTIF(入力シート!$J$16:$S$23,入力リスト!$K$4)=0),"",IF($A171="","",IF(ISERROR(AVERAGEIF(従業員の給与情報!$B:$B,$A171,従業員の給与情報!$C:$C)),0,IF(ISERROR(AVERAGEIF(従業員の給与情報!$B:$B,$A171,従業員の給与情報!$C:$C)),0,AVERAGEIF(従業員の給与情報!$B:$B,$A171,従業員の給与情報!$C:$C)))))</f>
        <v/>
      </c>
      <c r="T171" s="116" t="str">
        <f>IF(OR(入力シート!$C$5&lt;&gt;入力リスト!$N$4,COUNTIF(入力シート!$J$16:$S$23,入力リスト!$K$4)=0),"",IF(A171="","",IF(ISERROR(AVERAGEIF(従業員の給与情報!$B:$B,$A171,従業員の給与情報!$D:$D)),0,IF(ISERROR(AVERAGEIF(従業員の給与情報!$B:$B,$A171,従業員の給与情報!$D:$D)),0,AVERAGEIF(従業員の給与情報!$B:$B,$A171,従業員の給与情報!$D:$D)))))</f>
        <v/>
      </c>
      <c r="U171" s="116" t="str">
        <f>IF(OR(入力シート!$C$5&lt;&gt;入力リスト!$N$4,COUNTIF(入力シート!$J$16:$S$23,入力リスト!$K$4)=0),"",IF(A171="","",IF(ISERROR(AVERAGEIF(従業員の給与情報!$B:$B,$A171,従業員の給与情報!$E:$E)),0,IF(ISERROR(AVERAGEIF(従業員の給与情報!$B:$B,$A171,従業員の給与情報!$E:$E)),0,AVERAGEIF(従業員の給与情報!$B:$B,$A171,従業員の給与情報!$E:$E)))))</f>
        <v/>
      </c>
      <c r="V171" s="117" t="str">
        <f>IF(OR(入力シート!$C$5&lt;&gt;入力リスト!$N$4,COUNTIF(入力シート!$J$16:$S$23,入力リスト!$K$4)=0),"",IF(A171="","",IF(ISERROR(AVERAGEIF(従業員の給与情報!$B:$B,$A171,従業員の給与情報!$F:$F)),0,IF(ISERROR(AVERAGEIF(従業員の給与情報!$B:$B,$A171,従業員の給与情報!$F:$F)),0,AVERAGEIF(従業員の給与情報!$B:$B,$A171,従業員の給与情報!$F:$F)))))</f>
        <v/>
      </c>
      <c r="W171" s="182"/>
      <c r="X171" s="260"/>
    </row>
    <row r="172" spans="1:24" ht="19.5">
      <c r="A172" s="367"/>
      <c r="B172" s="366"/>
      <c r="C172" s="365"/>
      <c r="D172" s="366"/>
      <c r="E172" s="367"/>
      <c r="F172" s="372" t="str">
        <f>IF(G172,"この従業員番号は、すでに他のセルで入力されています。",IF(入力シート!$C$5=入力リスト!$N$5,"",IF(AND(A172="",B172="",C172="",D172="",E172=""),"",IF(OR(A172="",B172="",C172="",D172=""),IF(A172="","従業員番号","")&amp;IF(AND(A172="",OR(B172="",C172="",D172="")),",","")&amp;IF(B172="","雇用形態","")&amp;IF(AND(B172="",OR(C172="",D172="")),",","")&amp;IF(OR(入力シート!$J$18=入力リスト!$K$4,入力シート!$J$22=入力リスト!$K$4),IF(C172="","入社年月日",""),"")&amp;IF(AND(C172="",D172=""),",","")&amp;IF(D172="","性別","")&amp;IF(IF(A172="","従業員番号","")&amp;IF(B172="","雇用形態","")&amp;IF(OR(入力シート!$J$18=入力リスト!$K$4,入力シート!$J$22=入力リスト!$K$4),IF(C172="","入社年月日",""),"")&amp;IF(D172="","性別","")="","","が空白です。"),IF(J172,"入社年月日に「基準日」の翌日以降の日付が入力されています。","")&amp;IF(I172,"入社年月日に数値以外（又は1900/1/1以前の日付）が入力されています。","")&amp;IF(H172,"雇用形態"&amp;IF(OR(K172,L172),",",""),"")&amp;IF(K172,"性別"&amp;IF(L172,",",""),"")&amp;IF(L172,"役職","")&amp;IF(OR(H172,K172,L172),"に、［入力シート］(4)「貴社」欄と異なる文言が入力されています。","")))))</f>
        <v/>
      </c>
      <c r="G172" s="236" t="b">
        <f>COUNTIF($A$4:A171,$A172)&gt;0</f>
        <v>0</v>
      </c>
      <c r="H172" s="237" t="b">
        <f>IF(COUNTIF(入力シート!$J$16:$S$23,入力リスト!$K$4)=0,FALSE,IF(入力シート!$J$16=入力リスト!$K$5,FALSE,ISERROR(VLOOKUP(B172,入力シート!$S$37:$V$62,1,0))))</f>
        <v>0</v>
      </c>
      <c r="I172" s="237" t="b">
        <f>IF(AND(OR(入力シート!$J$18=入力リスト!$K$4,入力シート!$J$22=入力リスト!$K$4),入力シート!$J$24&lt;&gt;""),IF(ISERROR(C172+1),TRUE,IF(ISNUMBER(C172),FALSE,TRUE)),FALSE)</f>
        <v>0</v>
      </c>
      <c r="J172" s="237" t="b">
        <f>IF(AND(入力シート!$J$18=入力リスト!$K$4,入力シート!$J$22=入力リスト!$K$4),FALSE,IF(I172=TRUE,FALSE,IF(ISERROR(C172+1),FALSE,C172&gt;入力シート!$J$24)))</f>
        <v>0</v>
      </c>
      <c r="K172" s="237" t="b">
        <f>IF(COUNTIF(入力シート!$J$16:$S$23,入力リスト!$K$4)=0,FALSE,IF(AND(入力シート!$J$16&lt;&gt;入力リスト!$K$5,入力シート!$J$18&lt;&gt;入力リスト!$K$5,入力シート!$J$20&lt;&gt;入力リスト!$K$5,入力シート!$J$22&lt;&gt;入力リスト!$K$5),FALSE,ISERROR(VLOOKUP(D172,入力シート!$AW$37:$AY$38,1,0))))</f>
        <v>0</v>
      </c>
      <c r="L172" s="237" t="b">
        <f>IF(COUNTIF(入力シート!$J$16:$S$23,入力リスト!$K$4)=0,FALSE,IF(入力シート!$J$20=入力リスト!$K$5,FALSE,IF(E172="",FALSE,ISERROR(VLOOKUP(E172,入力シート!$AH$37:$AK$62,1,0)))))</f>
        <v>0</v>
      </c>
      <c r="M172" s="238" t="str">
        <f t="shared" si="2"/>
        <v/>
      </c>
      <c r="N172" s="236" t="str">
        <f>IF(B172="","",VLOOKUP('従業員情報(給与以外)'!$B172,入力シート!$S$37:$Z$62,5,0))</f>
        <v/>
      </c>
      <c r="O172" s="182" t="str">
        <f>IF(ISNUMBER(C172)=FALSE,"",IF(C172&gt;入力シート!$J$24,"",_xlfn.DAYS(入力シート!$J$24,'従業員情報(給与以外)'!$C172)/365))</f>
        <v/>
      </c>
      <c r="P172" s="237" t="str">
        <f>IF(O172="","",VLOOKUP(_xlfn.DAYS(入力シート!$J$24,'従業員情報(給与以外)'!$C172)/365,入力リスト!$H$4:$I$12,2,2))</f>
        <v/>
      </c>
      <c r="Q172" s="236" t="str">
        <f>IF(D172="","",VLOOKUP('従業員情報(給与以外)'!$D172,入力シート!$AW$37:$BB$38,4,0))</f>
        <v/>
      </c>
      <c r="R172" s="236" t="str">
        <f>IF(A172="","",IF(E172="","非役職",VLOOKUP('従業員情報(給与以外)'!$E172,入力シート!$AH$37:$AO$62,5,0)))</f>
        <v/>
      </c>
      <c r="S172" s="116" t="str">
        <f>IF(OR(入力シート!$C$5&lt;&gt;入力リスト!$N$4,COUNTIF(入力シート!$J$16:$S$23,入力リスト!$K$4)=0),"",IF($A172="","",IF(ISERROR(AVERAGEIF(従業員の給与情報!$B:$B,$A172,従業員の給与情報!$C:$C)),0,IF(ISERROR(AVERAGEIF(従業員の給与情報!$B:$B,$A172,従業員の給与情報!$C:$C)),0,AVERAGEIF(従業員の給与情報!$B:$B,$A172,従業員の給与情報!$C:$C)))))</f>
        <v/>
      </c>
      <c r="T172" s="116" t="str">
        <f>IF(OR(入力シート!$C$5&lt;&gt;入力リスト!$N$4,COUNTIF(入力シート!$J$16:$S$23,入力リスト!$K$4)=0),"",IF(A172="","",IF(ISERROR(AVERAGEIF(従業員の給与情報!$B:$B,$A172,従業員の給与情報!$D:$D)),0,IF(ISERROR(AVERAGEIF(従業員の給与情報!$B:$B,$A172,従業員の給与情報!$D:$D)),0,AVERAGEIF(従業員の給与情報!$B:$B,$A172,従業員の給与情報!$D:$D)))))</f>
        <v/>
      </c>
      <c r="U172" s="116" t="str">
        <f>IF(OR(入力シート!$C$5&lt;&gt;入力リスト!$N$4,COUNTIF(入力シート!$J$16:$S$23,入力リスト!$K$4)=0),"",IF(A172="","",IF(ISERROR(AVERAGEIF(従業員の給与情報!$B:$B,$A172,従業員の給与情報!$E:$E)),0,IF(ISERROR(AVERAGEIF(従業員の給与情報!$B:$B,$A172,従業員の給与情報!$E:$E)),0,AVERAGEIF(従業員の給与情報!$B:$B,$A172,従業員の給与情報!$E:$E)))))</f>
        <v/>
      </c>
      <c r="V172" s="117" t="str">
        <f>IF(OR(入力シート!$C$5&lt;&gt;入力リスト!$N$4,COUNTIF(入力シート!$J$16:$S$23,入力リスト!$K$4)=0),"",IF(A172="","",IF(ISERROR(AVERAGEIF(従業員の給与情報!$B:$B,$A172,従業員の給与情報!$F:$F)),0,IF(ISERROR(AVERAGEIF(従業員の給与情報!$B:$B,$A172,従業員の給与情報!$F:$F)),0,AVERAGEIF(従業員の給与情報!$B:$B,$A172,従業員の給与情報!$F:$F)))))</f>
        <v/>
      </c>
      <c r="W172" s="182"/>
      <c r="X172" s="260"/>
    </row>
    <row r="173" spans="1:24" ht="19.5">
      <c r="A173" s="367"/>
      <c r="B173" s="366"/>
      <c r="C173" s="365"/>
      <c r="D173" s="366"/>
      <c r="E173" s="367"/>
      <c r="F173" s="372" t="str">
        <f>IF(G173,"この従業員番号は、すでに他のセルで入力されています。",IF(入力シート!$C$5=入力リスト!$N$5,"",IF(AND(A173="",B173="",C173="",D173="",E173=""),"",IF(OR(A173="",B173="",C173="",D173=""),IF(A173="","従業員番号","")&amp;IF(AND(A173="",OR(B173="",C173="",D173="")),",","")&amp;IF(B173="","雇用形態","")&amp;IF(AND(B173="",OR(C173="",D173="")),",","")&amp;IF(OR(入力シート!$J$18=入力リスト!$K$4,入力シート!$J$22=入力リスト!$K$4),IF(C173="","入社年月日",""),"")&amp;IF(AND(C173="",D173=""),",","")&amp;IF(D173="","性別","")&amp;IF(IF(A173="","従業員番号","")&amp;IF(B173="","雇用形態","")&amp;IF(OR(入力シート!$J$18=入力リスト!$K$4,入力シート!$J$22=入力リスト!$K$4),IF(C173="","入社年月日",""),"")&amp;IF(D173="","性別","")="","","が空白です。"),IF(J173,"入社年月日に「基準日」の翌日以降の日付が入力されています。","")&amp;IF(I173,"入社年月日に数値以外（又は1900/1/1以前の日付）が入力されています。","")&amp;IF(H173,"雇用形態"&amp;IF(OR(K173,L173),",",""),"")&amp;IF(K173,"性別"&amp;IF(L173,",",""),"")&amp;IF(L173,"役職","")&amp;IF(OR(H173,K173,L173),"に、［入力シート］(4)「貴社」欄と異なる文言が入力されています。","")))))</f>
        <v/>
      </c>
      <c r="G173" s="236" t="b">
        <f>COUNTIF($A$4:A172,$A173)&gt;0</f>
        <v>0</v>
      </c>
      <c r="H173" s="237" t="b">
        <f>IF(COUNTIF(入力シート!$J$16:$S$23,入力リスト!$K$4)=0,FALSE,IF(入力シート!$J$16=入力リスト!$K$5,FALSE,ISERROR(VLOOKUP(B173,入力シート!$S$37:$V$62,1,0))))</f>
        <v>0</v>
      </c>
      <c r="I173" s="237" t="b">
        <f>IF(AND(OR(入力シート!$J$18=入力リスト!$K$4,入力シート!$J$22=入力リスト!$K$4),入力シート!$J$24&lt;&gt;""),IF(ISERROR(C173+1),TRUE,IF(ISNUMBER(C173),FALSE,TRUE)),FALSE)</f>
        <v>0</v>
      </c>
      <c r="J173" s="237" t="b">
        <f>IF(AND(入力シート!$J$18=入力リスト!$K$4,入力シート!$J$22=入力リスト!$K$4),FALSE,IF(I173=TRUE,FALSE,IF(ISERROR(C173+1),FALSE,C173&gt;入力シート!$J$24)))</f>
        <v>0</v>
      </c>
      <c r="K173" s="237" t="b">
        <f>IF(COUNTIF(入力シート!$J$16:$S$23,入力リスト!$K$4)=0,FALSE,IF(AND(入力シート!$J$16&lt;&gt;入力リスト!$K$5,入力シート!$J$18&lt;&gt;入力リスト!$K$5,入力シート!$J$20&lt;&gt;入力リスト!$K$5,入力シート!$J$22&lt;&gt;入力リスト!$K$5),FALSE,ISERROR(VLOOKUP(D173,入力シート!$AW$37:$AY$38,1,0))))</f>
        <v>0</v>
      </c>
      <c r="L173" s="237" t="b">
        <f>IF(COUNTIF(入力シート!$J$16:$S$23,入力リスト!$K$4)=0,FALSE,IF(入力シート!$J$20=入力リスト!$K$5,FALSE,IF(E173="",FALSE,ISERROR(VLOOKUP(E173,入力シート!$AH$37:$AK$62,1,0)))))</f>
        <v>0</v>
      </c>
      <c r="M173" s="238" t="str">
        <f t="shared" si="2"/>
        <v/>
      </c>
      <c r="N173" s="236" t="str">
        <f>IF(B173="","",VLOOKUP('従業員情報(給与以外)'!$B173,入力シート!$S$37:$Z$62,5,0))</f>
        <v/>
      </c>
      <c r="O173" s="182" t="str">
        <f>IF(ISNUMBER(C173)=FALSE,"",IF(C173&gt;入力シート!$J$24,"",_xlfn.DAYS(入力シート!$J$24,'従業員情報(給与以外)'!$C173)/365))</f>
        <v/>
      </c>
      <c r="P173" s="237" t="str">
        <f>IF(O173="","",VLOOKUP(_xlfn.DAYS(入力シート!$J$24,'従業員情報(給与以外)'!$C173)/365,入力リスト!$H$4:$I$12,2,2))</f>
        <v/>
      </c>
      <c r="Q173" s="236" t="str">
        <f>IF(D173="","",VLOOKUP('従業員情報(給与以外)'!$D173,入力シート!$AW$37:$BB$38,4,0))</f>
        <v/>
      </c>
      <c r="R173" s="236" t="str">
        <f>IF(A173="","",IF(E173="","非役職",VLOOKUP('従業員情報(給与以外)'!$E173,入力シート!$AH$37:$AO$62,5,0)))</f>
        <v/>
      </c>
      <c r="S173" s="116" t="str">
        <f>IF(OR(入力シート!$C$5&lt;&gt;入力リスト!$N$4,COUNTIF(入力シート!$J$16:$S$23,入力リスト!$K$4)=0),"",IF($A173="","",IF(ISERROR(AVERAGEIF(従業員の給与情報!$B:$B,$A173,従業員の給与情報!$C:$C)),0,IF(ISERROR(AVERAGEIF(従業員の給与情報!$B:$B,$A173,従業員の給与情報!$C:$C)),0,AVERAGEIF(従業員の給与情報!$B:$B,$A173,従業員の給与情報!$C:$C)))))</f>
        <v/>
      </c>
      <c r="T173" s="116" t="str">
        <f>IF(OR(入力シート!$C$5&lt;&gt;入力リスト!$N$4,COUNTIF(入力シート!$J$16:$S$23,入力リスト!$K$4)=0),"",IF(A173="","",IF(ISERROR(AVERAGEIF(従業員の給与情報!$B:$B,$A173,従業員の給与情報!$D:$D)),0,IF(ISERROR(AVERAGEIF(従業員の給与情報!$B:$B,$A173,従業員の給与情報!$D:$D)),0,AVERAGEIF(従業員の給与情報!$B:$B,$A173,従業員の給与情報!$D:$D)))))</f>
        <v/>
      </c>
      <c r="U173" s="116" t="str">
        <f>IF(OR(入力シート!$C$5&lt;&gt;入力リスト!$N$4,COUNTIF(入力シート!$J$16:$S$23,入力リスト!$K$4)=0),"",IF(A173="","",IF(ISERROR(AVERAGEIF(従業員の給与情報!$B:$B,$A173,従業員の給与情報!$E:$E)),0,IF(ISERROR(AVERAGEIF(従業員の給与情報!$B:$B,$A173,従業員の給与情報!$E:$E)),0,AVERAGEIF(従業員の給与情報!$B:$B,$A173,従業員の給与情報!$E:$E)))))</f>
        <v/>
      </c>
      <c r="V173" s="117" t="str">
        <f>IF(OR(入力シート!$C$5&lt;&gt;入力リスト!$N$4,COUNTIF(入力シート!$J$16:$S$23,入力リスト!$K$4)=0),"",IF(A173="","",IF(ISERROR(AVERAGEIF(従業員の給与情報!$B:$B,$A173,従業員の給与情報!$F:$F)),0,IF(ISERROR(AVERAGEIF(従業員の給与情報!$B:$B,$A173,従業員の給与情報!$F:$F)),0,AVERAGEIF(従業員の給与情報!$B:$B,$A173,従業員の給与情報!$F:$F)))))</f>
        <v/>
      </c>
      <c r="W173" s="182"/>
      <c r="X173" s="260"/>
    </row>
    <row r="174" spans="1:24" ht="19.5">
      <c r="A174" s="367"/>
      <c r="B174" s="366"/>
      <c r="C174" s="365"/>
      <c r="D174" s="366"/>
      <c r="E174" s="367"/>
      <c r="F174" s="372" t="str">
        <f>IF(G174,"この従業員番号は、すでに他のセルで入力されています。",IF(入力シート!$C$5=入力リスト!$N$5,"",IF(AND(A174="",B174="",C174="",D174="",E174=""),"",IF(OR(A174="",B174="",C174="",D174=""),IF(A174="","従業員番号","")&amp;IF(AND(A174="",OR(B174="",C174="",D174="")),",","")&amp;IF(B174="","雇用形態","")&amp;IF(AND(B174="",OR(C174="",D174="")),",","")&amp;IF(OR(入力シート!$J$18=入力リスト!$K$4,入力シート!$J$22=入力リスト!$K$4),IF(C174="","入社年月日",""),"")&amp;IF(AND(C174="",D174=""),",","")&amp;IF(D174="","性別","")&amp;IF(IF(A174="","従業員番号","")&amp;IF(B174="","雇用形態","")&amp;IF(OR(入力シート!$J$18=入力リスト!$K$4,入力シート!$J$22=入力リスト!$K$4),IF(C174="","入社年月日",""),"")&amp;IF(D174="","性別","")="","","が空白です。"),IF(J174,"入社年月日に「基準日」の翌日以降の日付が入力されています。","")&amp;IF(I174,"入社年月日に数値以外（又は1900/1/1以前の日付）が入力されています。","")&amp;IF(H174,"雇用形態"&amp;IF(OR(K174,L174),",",""),"")&amp;IF(K174,"性別"&amp;IF(L174,",",""),"")&amp;IF(L174,"役職","")&amp;IF(OR(H174,K174,L174),"に、［入力シート］(4)「貴社」欄と異なる文言が入力されています。","")))))</f>
        <v/>
      </c>
      <c r="G174" s="236" t="b">
        <f>COUNTIF($A$4:A173,$A174)&gt;0</f>
        <v>0</v>
      </c>
      <c r="H174" s="237" t="b">
        <f>IF(COUNTIF(入力シート!$J$16:$S$23,入力リスト!$K$4)=0,FALSE,IF(入力シート!$J$16=入力リスト!$K$5,FALSE,ISERROR(VLOOKUP(B174,入力シート!$S$37:$V$62,1,0))))</f>
        <v>0</v>
      </c>
      <c r="I174" s="237" t="b">
        <f>IF(AND(OR(入力シート!$J$18=入力リスト!$K$4,入力シート!$J$22=入力リスト!$K$4),入力シート!$J$24&lt;&gt;""),IF(ISERROR(C174+1),TRUE,IF(ISNUMBER(C174),FALSE,TRUE)),FALSE)</f>
        <v>0</v>
      </c>
      <c r="J174" s="237" t="b">
        <f>IF(AND(入力シート!$J$18=入力リスト!$K$4,入力シート!$J$22=入力リスト!$K$4),FALSE,IF(I174=TRUE,FALSE,IF(ISERROR(C174+1),FALSE,C174&gt;入力シート!$J$24)))</f>
        <v>0</v>
      </c>
      <c r="K174" s="237" t="b">
        <f>IF(COUNTIF(入力シート!$J$16:$S$23,入力リスト!$K$4)=0,FALSE,IF(AND(入力シート!$J$16&lt;&gt;入力リスト!$K$5,入力シート!$J$18&lt;&gt;入力リスト!$K$5,入力シート!$J$20&lt;&gt;入力リスト!$K$5,入力シート!$J$22&lt;&gt;入力リスト!$K$5),FALSE,ISERROR(VLOOKUP(D174,入力シート!$AW$37:$AY$38,1,0))))</f>
        <v>0</v>
      </c>
      <c r="L174" s="237" t="b">
        <f>IF(COUNTIF(入力シート!$J$16:$S$23,入力リスト!$K$4)=0,FALSE,IF(入力シート!$J$20=入力リスト!$K$5,FALSE,IF(E174="",FALSE,ISERROR(VLOOKUP(E174,入力シート!$AH$37:$AK$62,1,0)))))</f>
        <v>0</v>
      </c>
      <c r="M174" s="238" t="str">
        <f t="shared" si="2"/>
        <v/>
      </c>
      <c r="N174" s="236" t="str">
        <f>IF(B174="","",VLOOKUP('従業員情報(給与以外)'!$B174,入力シート!$S$37:$Z$62,5,0))</f>
        <v/>
      </c>
      <c r="O174" s="182" t="str">
        <f>IF(ISNUMBER(C174)=FALSE,"",IF(C174&gt;入力シート!$J$24,"",_xlfn.DAYS(入力シート!$J$24,'従業員情報(給与以外)'!$C174)/365))</f>
        <v/>
      </c>
      <c r="P174" s="237" t="str">
        <f>IF(O174="","",VLOOKUP(_xlfn.DAYS(入力シート!$J$24,'従業員情報(給与以外)'!$C174)/365,入力リスト!$H$4:$I$12,2,2))</f>
        <v/>
      </c>
      <c r="Q174" s="236" t="str">
        <f>IF(D174="","",VLOOKUP('従業員情報(給与以外)'!$D174,入力シート!$AW$37:$BB$38,4,0))</f>
        <v/>
      </c>
      <c r="R174" s="236" t="str">
        <f>IF(A174="","",IF(E174="","非役職",VLOOKUP('従業員情報(給与以外)'!$E174,入力シート!$AH$37:$AO$62,5,0)))</f>
        <v/>
      </c>
      <c r="S174" s="116" t="str">
        <f>IF(OR(入力シート!$C$5&lt;&gt;入力リスト!$N$4,COUNTIF(入力シート!$J$16:$S$23,入力リスト!$K$4)=0),"",IF($A174="","",IF(ISERROR(AVERAGEIF(従業員の給与情報!$B:$B,$A174,従業員の給与情報!$C:$C)),0,IF(ISERROR(AVERAGEIF(従業員の給与情報!$B:$B,$A174,従業員の給与情報!$C:$C)),0,AVERAGEIF(従業員の給与情報!$B:$B,$A174,従業員の給与情報!$C:$C)))))</f>
        <v/>
      </c>
      <c r="T174" s="116" t="str">
        <f>IF(OR(入力シート!$C$5&lt;&gt;入力リスト!$N$4,COUNTIF(入力シート!$J$16:$S$23,入力リスト!$K$4)=0),"",IF(A174="","",IF(ISERROR(AVERAGEIF(従業員の給与情報!$B:$B,$A174,従業員の給与情報!$D:$D)),0,IF(ISERROR(AVERAGEIF(従業員の給与情報!$B:$B,$A174,従業員の給与情報!$D:$D)),0,AVERAGEIF(従業員の給与情報!$B:$B,$A174,従業員の給与情報!$D:$D)))))</f>
        <v/>
      </c>
      <c r="U174" s="116" t="str">
        <f>IF(OR(入力シート!$C$5&lt;&gt;入力リスト!$N$4,COUNTIF(入力シート!$J$16:$S$23,入力リスト!$K$4)=0),"",IF(A174="","",IF(ISERROR(AVERAGEIF(従業員の給与情報!$B:$B,$A174,従業員の給与情報!$E:$E)),0,IF(ISERROR(AVERAGEIF(従業員の給与情報!$B:$B,$A174,従業員の給与情報!$E:$E)),0,AVERAGEIF(従業員の給与情報!$B:$B,$A174,従業員の給与情報!$E:$E)))))</f>
        <v/>
      </c>
      <c r="V174" s="117" t="str">
        <f>IF(OR(入力シート!$C$5&lt;&gt;入力リスト!$N$4,COUNTIF(入力シート!$J$16:$S$23,入力リスト!$K$4)=0),"",IF(A174="","",IF(ISERROR(AVERAGEIF(従業員の給与情報!$B:$B,$A174,従業員の給与情報!$F:$F)),0,IF(ISERROR(AVERAGEIF(従業員の給与情報!$B:$B,$A174,従業員の給与情報!$F:$F)),0,AVERAGEIF(従業員の給与情報!$B:$B,$A174,従業員の給与情報!$F:$F)))))</f>
        <v/>
      </c>
      <c r="W174" s="182"/>
      <c r="X174" s="260"/>
    </row>
    <row r="175" spans="1:24" ht="19.5">
      <c r="A175" s="367"/>
      <c r="B175" s="366"/>
      <c r="C175" s="365"/>
      <c r="D175" s="366"/>
      <c r="E175" s="367"/>
      <c r="F175" s="372" t="str">
        <f>IF(G175,"この従業員番号は、すでに他のセルで入力されています。",IF(入力シート!$C$5=入力リスト!$N$5,"",IF(AND(A175="",B175="",C175="",D175="",E175=""),"",IF(OR(A175="",B175="",C175="",D175=""),IF(A175="","従業員番号","")&amp;IF(AND(A175="",OR(B175="",C175="",D175="")),",","")&amp;IF(B175="","雇用形態","")&amp;IF(AND(B175="",OR(C175="",D175="")),",","")&amp;IF(OR(入力シート!$J$18=入力リスト!$K$4,入力シート!$J$22=入力リスト!$K$4),IF(C175="","入社年月日",""),"")&amp;IF(AND(C175="",D175=""),",","")&amp;IF(D175="","性別","")&amp;IF(IF(A175="","従業員番号","")&amp;IF(B175="","雇用形態","")&amp;IF(OR(入力シート!$J$18=入力リスト!$K$4,入力シート!$J$22=入力リスト!$K$4),IF(C175="","入社年月日",""),"")&amp;IF(D175="","性別","")="","","が空白です。"),IF(J175,"入社年月日に「基準日」の翌日以降の日付が入力されています。","")&amp;IF(I175,"入社年月日に数値以外（又は1900/1/1以前の日付）が入力されています。","")&amp;IF(H175,"雇用形態"&amp;IF(OR(K175,L175),",",""),"")&amp;IF(K175,"性別"&amp;IF(L175,",",""),"")&amp;IF(L175,"役職","")&amp;IF(OR(H175,K175,L175),"に、［入力シート］(4)「貴社」欄と異なる文言が入力されています。","")))))</f>
        <v/>
      </c>
      <c r="G175" s="236" t="b">
        <f>COUNTIF($A$4:A174,$A175)&gt;0</f>
        <v>0</v>
      </c>
      <c r="H175" s="237" t="b">
        <f>IF(COUNTIF(入力シート!$J$16:$S$23,入力リスト!$K$4)=0,FALSE,IF(入力シート!$J$16=入力リスト!$K$5,FALSE,ISERROR(VLOOKUP(B175,入力シート!$S$37:$V$62,1,0))))</f>
        <v>0</v>
      </c>
      <c r="I175" s="237" t="b">
        <f>IF(AND(OR(入力シート!$J$18=入力リスト!$K$4,入力シート!$J$22=入力リスト!$K$4),入力シート!$J$24&lt;&gt;""),IF(ISERROR(C175+1),TRUE,IF(ISNUMBER(C175),FALSE,TRUE)),FALSE)</f>
        <v>0</v>
      </c>
      <c r="J175" s="237" t="b">
        <f>IF(AND(入力シート!$J$18=入力リスト!$K$4,入力シート!$J$22=入力リスト!$K$4),FALSE,IF(I175=TRUE,FALSE,IF(ISERROR(C175+1),FALSE,C175&gt;入力シート!$J$24)))</f>
        <v>0</v>
      </c>
      <c r="K175" s="237" t="b">
        <f>IF(COUNTIF(入力シート!$J$16:$S$23,入力リスト!$K$4)=0,FALSE,IF(AND(入力シート!$J$16&lt;&gt;入力リスト!$K$5,入力シート!$J$18&lt;&gt;入力リスト!$K$5,入力シート!$J$20&lt;&gt;入力リスト!$K$5,入力シート!$J$22&lt;&gt;入力リスト!$K$5),FALSE,ISERROR(VLOOKUP(D175,入力シート!$AW$37:$AY$38,1,0))))</f>
        <v>0</v>
      </c>
      <c r="L175" s="237" t="b">
        <f>IF(COUNTIF(入力シート!$J$16:$S$23,入力リスト!$K$4)=0,FALSE,IF(入力シート!$J$20=入力リスト!$K$5,FALSE,IF(E175="",FALSE,ISERROR(VLOOKUP(E175,入力シート!$AH$37:$AK$62,1,0)))))</f>
        <v>0</v>
      </c>
      <c r="M175" s="238" t="str">
        <f t="shared" si="2"/>
        <v/>
      </c>
      <c r="N175" s="236" t="str">
        <f>IF(B175="","",VLOOKUP('従業員情報(給与以外)'!$B175,入力シート!$S$37:$Z$62,5,0))</f>
        <v/>
      </c>
      <c r="O175" s="182" t="str">
        <f>IF(ISNUMBER(C175)=FALSE,"",IF(C175&gt;入力シート!$J$24,"",_xlfn.DAYS(入力シート!$J$24,'従業員情報(給与以外)'!$C175)/365))</f>
        <v/>
      </c>
      <c r="P175" s="237" t="str">
        <f>IF(O175="","",VLOOKUP(_xlfn.DAYS(入力シート!$J$24,'従業員情報(給与以外)'!$C175)/365,入力リスト!$H$4:$I$12,2,2))</f>
        <v/>
      </c>
      <c r="Q175" s="236" t="str">
        <f>IF(D175="","",VLOOKUP('従業員情報(給与以外)'!$D175,入力シート!$AW$37:$BB$38,4,0))</f>
        <v/>
      </c>
      <c r="R175" s="236" t="str">
        <f>IF(A175="","",IF(E175="","非役職",VLOOKUP('従業員情報(給与以外)'!$E175,入力シート!$AH$37:$AO$62,5,0)))</f>
        <v/>
      </c>
      <c r="S175" s="116" t="str">
        <f>IF(OR(入力シート!$C$5&lt;&gt;入力リスト!$N$4,COUNTIF(入力シート!$J$16:$S$23,入力リスト!$K$4)=0),"",IF($A175="","",IF(ISERROR(AVERAGEIF(従業員の給与情報!$B:$B,$A175,従業員の給与情報!$C:$C)),0,IF(ISERROR(AVERAGEIF(従業員の給与情報!$B:$B,$A175,従業員の給与情報!$C:$C)),0,AVERAGEIF(従業員の給与情報!$B:$B,$A175,従業員の給与情報!$C:$C)))))</f>
        <v/>
      </c>
      <c r="T175" s="116" t="str">
        <f>IF(OR(入力シート!$C$5&lt;&gt;入力リスト!$N$4,COUNTIF(入力シート!$J$16:$S$23,入力リスト!$K$4)=0),"",IF(A175="","",IF(ISERROR(AVERAGEIF(従業員の給与情報!$B:$B,$A175,従業員の給与情報!$D:$D)),0,IF(ISERROR(AVERAGEIF(従業員の給与情報!$B:$B,$A175,従業員の給与情報!$D:$D)),0,AVERAGEIF(従業員の給与情報!$B:$B,$A175,従業員の給与情報!$D:$D)))))</f>
        <v/>
      </c>
      <c r="U175" s="116" t="str">
        <f>IF(OR(入力シート!$C$5&lt;&gt;入力リスト!$N$4,COUNTIF(入力シート!$J$16:$S$23,入力リスト!$K$4)=0),"",IF(A175="","",IF(ISERROR(AVERAGEIF(従業員の給与情報!$B:$B,$A175,従業員の給与情報!$E:$E)),0,IF(ISERROR(AVERAGEIF(従業員の給与情報!$B:$B,$A175,従業員の給与情報!$E:$E)),0,AVERAGEIF(従業員の給与情報!$B:$B,$A175,従業員の給与情報!$E:$E)))))</f>
        <v/>
      </c>
      <c r="V175" s="117" t="str">
        <f>IF(OR(入力シート!$C$5&lt;&gt;入力リスト!$N$4,COUNTIF(入力シート!$J$16:$S$23,入力リスト!$K$4)=0),"",IF(A175="","",IF(ISERROR(AVERAGEIF(従業員の給与情報!$B:$B,$A175,従業員の給与情報!$F:$F)),0,IF(ISERROR(AVERAGEIF(従業員の給与情報!$B:$B,$A175,従業員の給与情報!$F:$F)),0,AVERAGEIF(従業員の給与情報!$B:$B,$A175,従業員の給与情報!$F:$F)))))</f>
        <v/>
      </c>
      <c r="W175" s="182"/>
      <c r="X175" s="260"/>
    </row>
    <row r="176" spans="1:24" ht="19.5">
      <c r="A176" s="367"/>
      <c r="B176" s="366"/>
      <c r="C176" s="365"/>
      <c r="D176" s="366"/>
      <c r="E176" s="367"/>
      <c r="F176" s="372" t="str">
        <f>IF(G176,"この従業員番号は、すでに他のセルで入力されています。",IF(入力シート!$C$5=入力リスト!$N$5,"",IF(AND(A176="",B176="",C176="",D176="",E176=""),"",IF(OR(A176="",B176="",C176="",D176=""),IF(A176="","従業員番号","")&amp;IF(AND(A176="",OR(B176="",C176="",D176="")),",","")&amp;IF(B176="","雇用形態","")&amp;IF(AND(B176="",OR(C176="",D176="")),",","")&amp;IF(OR(入力シート!$J$18=入力リスト!$K$4,入力シート!$J$22=入力リスト!$K$4),IF(C176="","入社年月日",""),"")&amp;IF(AND(C176="",D176=""),",","")&amp;IF(D176="","性別","")&amp;IF(IF(A176="","従業員番号","")&amp;IF(B176="","雇用形態","")&amp;IF(OR(入力シート!$J$18=入力リスト!$K$4,入力シート!$J$22=入力リスト!$K$4),IF(C176="","入社年月日",""),"")&amp;IF(D176="","性別","")="","","が空白です。"),IF(J176,"入社年月日に「基準日」の翌日以降の日付が入力されています。","")&amp;IF(I176,"入社年月日に数値以外（又は1900/1/1以前の日付）が入力されています。","")&amp;IF(H176,"雇用形態"&amp;IF(OR(K176,L176),",",""),"")&amp;IF(K176,"性別"&amp;IF(L176,",",""),"")&amp;IF(L176,"役職","")&amp;IF(OR(H176,K176,L176),"に、［入力シート］(4)「貴社」欄と異なる文言が入力されています。","")))))</f>
        <v/>
      </c>
      <c r="G176" s="236" t="b">
        <f>COUNTIF($A$4:A175,$A176)&gt;0</f>
        <v>0</v>
      </c>
      <c r="H176" s="237" t="b">
        <f>IF(COUNTIF(入力シート!$J$16:$S$23,入力リスト!$K$4)=0,FALSE,IF(入力シート!$J$16=入力リスト!$K$5,FALSE,ISERROR(VLOOKUP(B176,入力シート!$S$37:$V$62,1,0))))</f>
        <v>0</v>
      </c>
      <c r="I176" s="237" t="b">
        <f>IF(AND(OR(入力シート!$J$18=入力リスト!$K$4,入力シート!$J$22=入力リスト!$K$4),入力シート!$J$24&lt;&gt;""),IF(ISERROR(C176+1),TRUE,IF(ISNUMBER(C176),FALSE,TRUE)),FALSE)</f>
        <v>0</v>
      </c>
      <c r="J176" s="237" t="b">
        <f>IF(AND(入力シート!$J$18=入力リスト!$K$4,入力シート!$J$22=入力リスト!$K$4),FALSE,IF(I176=TRUE,FALSE,IF(ISERROR(C176+1),FALSE,C176&gt;入力シート!$J$24)))</f>
        <v>0</v>
      </c>
      <c r="K176" s="237" t="b">
        <f>IF(COUNTIF(入力シート!$J$16:$S$23,入力リスト!$K$4)=0,FALSE,IF(AND(入力シート!$J$16&lt;&gt;入力リスト!$K$5,入力シート!$J$18&lt;&gt;入力リスト!$K$5,入力シート!$J$20&lt;&gt;入力リスト!$K$5,入力シート!$J$22&lt;&gt;入力リスト!$K$5),FALSE,ISERROR(VLOOKUP(D176,入力シート!$AW$37:$AY$38,1,0))))</f>
        <v>0</v>
      </c>
      <c r="L176" s="237" t="b">
        <f>IF(COUNTIF(入力シート!$J$16:$S$23,入力リスト!$K$4)=0,FALSE,IF(入力シート!$J$20=入力リスト!$K$5,FALSE,IF(E176="",FALSE,ISERROR(VLOOKUP(E176,入力シート!$AH$37:$AK$62,1,0)))))</f>
        <v>0</v>
      </c>
      <c r="M176" s="238" t="str">
        <f t="shared" si="2"/>
        <v/>
      </c>
      <c r="N176" s="236" t="str">
        <f>IF(B176="","",VLOOKUP('従業員情報(給与以外)'!$B176,入力シート!$S$37:$Z$62,5,0))</f>
        <v/>
      </c>
      <c r="O176" s="182" t="str">
        <f>IF(ISNUMBER(C176)=FALSE,"",IF(C176&gt;入力シート!$J$24,"",_xlfn.DAYS(入力シート!$J$24,'従業員情報(給与以外)'!$C176)/365))</f>
        <v/>
      </c>
      <c r="P176" s="237" t="str">
        <f>IF(O176="","",VLOOKUP(_xlfn.DAYS(入力シート!$J$24,'従業員情報(給与以外)'!$C176)/365,入力リスト!$H$4:$I$12,2,2))</f>
        <v/>
      </c>
      <c r="Q176" s="236" t="str">
        <f>IF(D176="","",VLOOKUP('従業員情報(給与以外)'!$D176,入力シート!$AW$37:$BB$38,4,0))</f>
        <v/>
      </c>
      <c r="R176" s="236" t="str">
        <f>IF(A176="","",IF(E176="","非役職",VLOOKUP('従業員情報(給与以外)'!$E176,入力シート!$AH$37:$AO$62,5,0)))</f>
        <v/>
      </c>
      <c r="S176" s="116" t="str">
        <f>IF(OR(入力シート!$C$5&lt;&gt;入力リスト!$N$4,COUNTIF(入力シート!$J$16:$S$23,入力リスト!$K$4)=0),"",IF($A176="","",IF(ISERROR(AVERAGEIF(従業員の給与情報!$B:$B,$A176,従業員の給与情報!$C:$C)),0,IF(ISERROR(AVERAGEIF(従業員の給与情報!$B:$B,$A176,従業員の給与情報!$C:$C)),0,AVERAGEIF(従業員の給与情報!$B:$B,$A176,従業員の給与情報!$C:$C)))))</f>
        <v/>
      </c>
      <c r="T176" s="116" t="str">
        <f>IF(OR(入力シート!$C$5&lt;&gt;入力リスト!$N$4,COUNTIF(入力シート!$J$16:$S$23,入力リスト!$K$4)=0),"",IF(A176="","",IF(ISERROR(AVERAGEIF(従業員の給与情報!$B:$B,$A176,従業員の給与情報!$D:$D)),0,IF(ISERROR(AVERAGEIF(従業員の給与情報!$B:$B,$A176,従業員の給与情報!$D:$D)),0,AVERAGEIF(従業員の給与情報!$B:$B,$A176,従業員の給与情報!$D:$D)))))</f>
        <v/>
      </c>
      <c r="U176" s="116" t="str">
        <f>IF(OR(入力シート!$C$5&lt;&gt;入力リスト!$N$4,COUNTIF(入力シート!$J$16:$S$23,入力リスト!$K$4)=0),"",IF(A176="","",IF(ISERROR(AVERAGEIF(従業員の給与情報!$B:$B,$A176,従業員の給与情報!$E:$E)),0,IF(ISERROR(AVERAGEIF(従業員の給与情報!$B:$B,$A176,従業員の給与情報!$E:$E)),0,AVERAGEIF(従業員の給与情報!$B:$B,$A176,従業員の給与情報!$E:$E)))))</f>
        <v/>
      </c>
      <c r="V176" s="117" t="str">
        <f>IF(OR(入力シート!$C$5&lt;&gt;入力リスト!$N$4,COUNTIF(入力シート!$J$16:$S$23,入力リスト!$K$4)=0),"",IF(A176="","",IF(ISERROR(AVERAGEIF(従業員の給与情報!$B:$B,$A176,従業員の給与情報!$F:$F)),0,IF(ISERROR(AVERAGEIF(従業員の給与情報!$B:$B,$A176,従業員の給与情報!$F:$F)),0,AVERAGEIF(従業員の給与情報!$B:$B,$A176,従業員の給与情報!$F:$F)))))</f>
        <v/>
      </c>
      <c r="W176" s="182"/>
      <c r="X176" s="260"/>
    </row>
    <row r="177" spans="1:24" ht="19.5">
      <c r="A177" s="366"/>
      <c r="B177" s="366"/>
      <c r="C177" s="365"/>
      <c r="D177" s="366"/>
      <c r="E177" s="366"/>
      <c r="F177" s="372" t="str">
        <f>IF(G177,"この従業員番号は、すでに他のセルで入力されています。",IF(入力シート!$C$5=入力リスト!$N$5,"",IF(AND(A177="",B177="",C177="",D177="",E177=""),"",IF(OR(A177="",B177="",C177="",D177=""),IF(A177="","従業員番号","")&amp;IF(AND(A177="",OR(B177="",C177="",D177="")),",","")&amp;IF(B177="","雇用形態","")&amp;IF(AND(B177="",OR(C177="",D177="")),",","")&amp;IF(OR(入力シート!$J$18=入力リスト!$K$4,入力シート!$J$22=入力リスト!$K$4),IF(C177="","入社年月日",""),"")&amp;IF(AND(C177="",D177=""),",","")&amp;IF(D177="","性別","")&amp;IF(IF(A177="","従業員番号","")&amp;IF(B177="","雇用形態","")&amp;IF(OR(入力シート!$J$18=入力リスト!$K$4,入力シート!$J$22=入力リスト!$K$4),IF(C177="","入社年月日",""),"")&amp;IF(D177="","性別","")="","","が空白です。"),IF(J177,"入社年月日に「基準日」の翌日以降の日付が入力されています。","")&amp;IF(I177,"入社年月日に数値以外（又は1900/1/1以前の日付）が入力されています。","")&amp;IF(H177,"雇用形態"&amp;IF(OR(K177,L177),",",""),"")&amp;IF(K177,"性別"&amp;IF(L177,",",""),"")&amp;IF(L177,"役職","")&amp;IF(OR(H177,K177,L177),"に、［入力シート］(4)「貴社」欄と異なる文言が入力されています。","")))))</f>
        <v/>
      </c>
      <c r="G177" s="236" t="b">
        <f>COUNTIF($A$4:A176,$A177)&gt;0</f>
        <v>0</v>
      </c>
      <c r="H177" s="237" t="b">
        <f>IF(COUNTIF(入力シート!$J$16:$S$23,入力リスト!$K$4)=0,FALSE,IF(入力シート!$J$16=入力リスト!$K$5,FALSE,ISERROR(VLOOKUP(B177,入力シート!$S$37:$V$62,1,0))))</f>
        <v>0</v>
      </c>
      <c r="I177" s="237" t="b">
        <f>IF(AND(OR(入力シート!$J$18=入力リスト!$K$4,入力シート!$J$22=入力リスト!$K$4),入力シート!$J$24&lt;&gt;""),IF(ISERROR(C177+1),TRUE,IF(ISNUMBER(C177),FALSE,TRUE)),FALSE)</f>
        <v>0</v>
      </c>
      <c r="J177" s="237" t="b">
        <f>IF(AND(入力シート!$J$18=入力リスト!$K$4,入力シート!$J$22=入力リスト!$K$4),FALSE,IF(I177=TRUE,FALSE,IF(ISERROR(C177+1),FALSE,C177&gt;入力シート!$J$24)))</f>
        <v>0</v>
      </c>
      <c r="K177" s="237" t="b">
        <f>IF(COUNTIF(入力シート!$J$16:$S$23,入力リスト!$K$4)=0,FALSE,IF(AND(入力シート!$J$16&lt;&gt;入力リスト!$K$5,入力シート!$J$18&lt;&gt;入力リスト!$K$5,入力シート!$J$20&lt;&gt;入力リスト!$K$5,入力シート!$J$22&lt;&gt;入力リスト!$K$5),FALSE,ISERROR(VLOOKUP(D177,入力シート!$AW$37:$AY$38,1,0))))</f>
        <v>0</v>
      </c>
      <c r="L177" s="237" t="b">
        <f>IF(COUNTIF(入力シート!$J$16:$S$23,入力リスト!$K$4)=0,FALSE,IF(入力シート!$J$20=入力リスト!$K$5,FALSE,IF(E177="",FALSE,ISERROR(VLOOKUP(E177,入力シート!$AH$37:$AK$62,1,0)))))</f>
        <v>0</v>
      </c>
      <c r="M177" s="238" t="str">
        <f t="shared" si="2"/>
        <v/>
      </c>
      <c r="N177" s="236" t="str">
        <f>IF(B177="","",VLOOKUP('従業員情報(給与以外)'!$B177,入力シート!$S$37:$Z$62,5,0))</f>
        <v/>
      </c>
      <c r="O177" s="182" t="str">
        <f>IF(ISNUMBER(C177)=FALSE,"",IF(C177&gt;入力シート!$J$24,"",_xlfn.DAYS(入力シート!$J$24,'従業員情報(給与以外)'!$C177)/365))</f>
        <v/>
      </c>
      <c r="P177" s="237" t="str">
        <f>IF(O177="","",VLOOKUP(_xlfn.DAYS(入力シート!$J$24,'従業員情報(給与以外)'!$C177)/365,入力リスト!$H$4:$I$12,2,2))</f>
        <v/>
      </c>
      <c r="Q177" s="236" t="str">
        <f>IF(D177="","",VLOOKUP('従業員情報(給与以外)'!$D177,入力シート!$AW$37:$BB$38,4,0))</f>
        <v/>
      </c>
      <c r="R177" s="236" t="str">
        <f>IF(A177="","",IF(E177="","非役職",VLOOKUP('従業員情報(給与以外)'!$E177,入力シート!$AH$37:$AO$62,5,0)))</f>
        <v/>
      </c>
      <c r="S177" s="116" t="str">
        <f>IF(OR(入力シート!$C$5&lt;&gt;入力リスト!$N$4,COUNTIF(入力シート!$J$16:$S$23,入力リスト!$K$4)=0),"",IF($A177="","",IF(ISERROR(AVERAGEIF(従業員の給与情報!$B:$B,$A177,従業員の給与情報!$C:$C)),0,IF(ISERROR(AVERAGEIF(従業員の給与情報!$B:$B,$A177,従業員の給与情報!$C:$C)),0,AVERAGEIF(従業員の給与情報!$B:$B,$A177,従業員の給与情報!$C:$C)))))</f>
        <v/>
      </c>
      <c r="T177" s="116" t="str">
        <f>IF(OR(入力シート!$C$5&lt;&gt;入力リスト!$N$4,COUNTIF(入力シート!$J$16:$S$23,入力リスト!$K$4)=0),"",IF(A177="","",IF(ISERROR(AVERAGEIF(従業員の給与情報!$B:$B,$A177,従業員の給与情報!$D:$D)),0,IF(ISERROR(AVERAGEIF(従業員の給与情報!$B:$B,$A177,従業員の給与情報!$D:$D)),0,AVERAGEIF(従業員の給与情報!$B:$B,$A177,従業員の給与情報!$D:$D)))))</f>
        <v/>
      </c>
      <c r="U177" s="116" t="str">
        <f>IF(OR(入力シート!$C$5&lt;&gt;入力リスト!$N$4,COUNTIF(入力シート!$J$16:$S$23,入力リスト!$K$4)=0),"",IF(A177="","",IF(ISERROR(AVERAGEIF(従業員の給与情報!$B:$B,$A177,従業員の給与情報!$E:$E)),0,IF(ISERROR(AVERAGEIF(従業員の給与情報!$B:$B,$A177,従業員の給与情報!$E:$E)),0,AVERAGEIF(従業員の給与情報!$B:$B,$A177,従業員の給与情報!$E:$E)))))</f>
        <v/>
      </c>
      <c r="V177" s="117" t="str">
        <f>IF(OR(入力シート!$C$5&lt;&gt;入力リスト!$N$4,COUNTIF(入力シート!$J$16:$S$23,入力リスト!$K$4)=0),"",IF(A177="","",IF(ISERROR(AVERAGEIF(従業員の給与情報!$B:$B,$A177,従業員の給与情報!$F:$F)),0,IF(ISERROR(AVERAGEIF(従業員の給与情報!$B:$B,$A177,従業員の給与情報!$F:$F)),0,AVERAGEIF(従業員の給与情報!$B:$B,$A177,従業員の給与情報!$F:$F)))))</f>
        <v/>
      </c>
      <c r="W177" s="182"/>
      <c r="X177" s="260"/>
    </row>
    <row r="178" spans="1:24" ht="19.5">
      <c r="A178" s="366"/>
      <c r="B178" s="366"/>
      <c r="C178" s="365"/>
      <c r="D178" s="366"/>
      <c r="E178" s="366"/>
      <c r="F178" s="372" t="str">
        <f>IF(G178,"この従業員番号は、すでに他のセルで入力されています。",IF(入力シート!$C$5=入力リスト!$N$5,"",IF(AND(A178="",B178="",C178="",D178="",E178=""),"",IF(OR(A178="",B178="",C178="",D178=""),IF(A178="","従業員番号","")&amp;IF(AND(A178="",OR(B178="",C178="",D178="")),",","")&amp;IF(B178="","雇用形態","")&amp;IF(AND(B178="",OR(C178="",D178="")),",","")&amp;IF(OR(入力シート!$J$18=入力リスト!$K$4,入力シート!$J$22=入力リスト!$K$4),IF(C178="","入社年月日",""),"")&amp;IF(AND(C178="",D178=""),",","")&amp;IF(D178="","性別","")&amp;IF(IF(A178="","従業員番号","")&amp;IF(B178="","雇用形態","")&amp;IF(OR(入力シート!$J$18=入力リスト!$K$4,入力シート!$J$22=入力リスト!$K$4),IF(C178="","入社年月日",""),"")&amp;IF(D178="","性別","")="","","が空白です。"),IF(J178,"入社年月日に「基準日」の翌日以降の日付が入力されています。","")&amp;IF(I178,"入社年月日に数値以外（又は1900/1/1以前の日付）が入力されています。","")&amp;IF(H178,"雇用形態"&amp;IF(OR(K178,L178),",",""),"")&amp;IF(K178,"性別"&amp;IF(L178,",",""),"")&amp;IF(L178,"役職","")&amp;IF(OR(H178,K178,L178),"に、［入力シート］(4)「貴社」欄と異なる文言が入力されています。","")))))</f>
        <v/>
      </c>
      <c r="G178" s="236" t="b">
        <f>COUNTIF($A$4:A177,$A178)&gt;0</f>
        <v>0</v>
      </c>
      <c r="H178" s="237" t="b">
        <f>IF(COUNTIF(入力シート!$J$16:$S$23,入力リスト!$K$4)=0,FALSE,IF(入力シート!$J$16=入力リスト!$K$5,FALSE,ISERROR(VLOOKUP(B178,入力シート!$S$37:$V$62,1,0))))</f>
        <v>0</v>
      </c>
      <c r="I178" s="237" t="b">
        <f>IF(AND(OR(入力シート!$J$18=入力リスト!$K$4,入力シート!$J$22=入力リスト!$K$4),入力シート!$J$24&lt;&gt;""),IF(ISERROR(C178+1),TRUE,IF(ISNUMBER(C178),FALSE,TRUE)),FALSE)</f>
        <v>0</v>
      </c>
      <c r="J178" s="237" t="b">
        <f>IF(AND(入力シート!$J$18=入力リスト!$K$4,入力シート!$J$22=入力リスト!$K$4),FALSE,IF(I178=TRUE,FALSE,IF(ISERROR(C178+1),FALSE,C178&gt;入力シート!$J$24)))</f>
        <v>0</v>
      </c>
      <c r="K178" s="237" t="b">
        <f>IF(COUNTIF(入力シート!$J$16:$S$23,入力リスト!$K$4)=0,FALSE,IF(AND(入力シート!$J$16&lt;&gt;入力リスト!$K$5,入力シート!$J$18&lt;&gt;入力リスト!$K$5,入力シート!$J$20&lt;&gt;入力リスト!$K$5,入力シート!$J$22&lt;&gt;入力リスト!$K$5),FALSE,ISERROR(VLOOKUP(D178,入力シート!$AW$37:$AY$38,1,0))))</f>
        <v>0</v>
      </c>
      <c r="L178" s="237" t="b">
        <f>IF(COUNTIF(入力シート!$J$16:$S$23,入力リスト!$K$4)=0,FALSE,IF(入力シート!$J$20=入力リスト!$K$5,FALSE,IF(E178="",FALSE,ISERROR(VLOOKUP(E178,入力シート!$AH$37:$AK$62,1,0)))))</f>
        <v>0</v>
      </c>
      <c r="M178" s="238" t="str">
        <f t="shared" si="2"/>
        <v/>
      </c>
      <c r="N178" s="236" t="str">
        <f>IF(B178="","",VLOOKUP('従業員情報(給与以外)'!$B178,入力シート!$S$37:$Z$62,5,0))</f>
        <v/>
      </c>
      <c r="O178" s="182" t="str">
        <f>IF(ISNUMBER(C178)=FALSE,"",IF(C178&gt;入力シート!$J$24,"",_xlfn.DAYS(入力シート!$J$24,'従業員情報(給与以外)'!$C178)/365))</f>
        <v/>
      </c>
      <c r="P178" s="237" t="str">
        <f>IF(O178="","",VLOOKUP(_xlfn.DAYS(入力シート!$J$24,'従業員情報(給与以外)'!$C178)/365,入力リスト!$H$4:$I$12,2,2))</f>
        <v/>
      </c>
      <c r="Q178" s="236" t="str">
        <f>IF(D178="","",VLOOKUP('従業員情報(給与以外)'!$D178,入力シート!$AW$37:$BB$38,4,0))</f>
        <v/>
      </c>
      <c r="R178" s="236" t="str">
        <f>IF(A178="","",IF(E178="","非役職",VLOOKUP('従業員情報(給与以外)'!$E178,入力シート!$AH$37:$AO$62,5,0)))</f>
        <v/>
      </c>
      <c r="S178" s="116" t="str">
        <f>IF(OR(入力シート!$C$5&lt;&gt;入力リスト!$N$4,COUNTIF(入力シート!$J$16:$S$23,入力リスト!$K$4)=0),"",IF($A178="","",IF(ISERROR(AVERAGEIF(従業員の給与情報!$B:$B,$A178,従業員の給与情報!$C:$C)),0,IF(ISERROR(AVERAGEIF(従業員の給与情報!$B:$B,$A178,従業員の給与情報!$C:$C)),0,AVERAGEIF(従業員の給与情報!$B:$B,$A178,従業員の給与情報!$C:$C)))))</f>
        <v/>
      </c>
      <c r="T178" s="116" t="str">
        <f>IF(OR(入力シート!$C$5&lt;&gt;入力リスト!$N$4,COUNTIF(入力シート!$J$16:$S$23,入力リスト!$K$4)=0),"",IF(A178="","",IF(ISERROR(AVERAGEIF(従業員の給与情報!$B:$B,$A178,従業員の給与情報!$D:$D)),0,IF(ISERROR(AVERAGEIF(従業員の給与情報!$B:$B,$A178,従業員の給与情報!$D:$D)),0,AVERAGEIF(従業員の給与情報!$B:$B,$A178,従業員の給与情報!$D:$D)))))</f>
        <v/>
      </c>
      <c r="U178" s="116" t="str">
        <f>IF(OR(入力シート!$C$5&lt;&gt;入力リスト!$N$4,COUNTIF(入力シート!$J$16:$S$23,入力リスト!$K$4)=0),"",IF(A178="","",IF(ISERROR(AVERAGEIF(従業員の給与情報!$B:$B,$A178,従業員の給与情報!$E:$E)),0,IF(ISERROR(AVERAGEIF(従業員の給与情報!$B:$B,$A178,従業員の給与情報!$E:$E)),0,AVERAGEIF(従業員の給与情報!$B:$B,$A178,従業員の給与情報!$E:$E)))))</f>
        <v/>
      </c>
      <c r="V178" s="117" t="str">
        <f>IF(OR(入力シート!$C$5&lt;&gt;入力リスト!$N$4,COUNTIF(入力シート!$J$16:$S$23,入力リスト!$K$4)=0),"",IF(A178="","",IF(ISERROR(AVERAGEIF(従業員の給与情報!$B:$B,$A178,従業員の給与情報!$F:$F)),0,IF(ISERROR(AVERAGEIF(従業員の給与情報!$B:$B,$A178,従業員の給与情報!$F:$F)),0,AVERAGEIF(従業員の給与情報!$B:$B,$A178,従業員の給与情報!$F:$F)))))</f>
        <v/>
      </c>
      <c r="W178" s="182"/>
      <c r="X178" s="260"/>
    </row>
    <row r="179" spans="1:24" ht="19.5">
      <c r="A179" s="366"/>
      <c r="B179" s="366"/>
      <c r="C179" s="365"/>
      <c r="D179" s="366"/>
      <c r="E179" s="366"/>
      <c r="F179" s="372" t="str">
        <f>IF(G179,"この従業員番号は、すでに他のセルで入力されています。",IF(入力シート!$C$5=入力リスト!$N$5,"",IF(AND(A179="",B179="",C179="",D179="",E179=""),"",IF(OR(A179="",B179="",C179="",D179=""),IF(A179="","従業員番号","")&amp;IF(AND(A179="",OR(B179="",C179="",D179="")),",","")&amp;IF(B179="","雇用形態","")&amp;IF(AND(B179="",OR(C179="",D179="")),",","")&amp;IF(OR(入力シート!$J$18=入力リスト!$K$4,入力シート!$J$22=入力リスト!$K$4),IF(C179="","入社年月日",""),"")&amp;IF(AND(C179="",D179=""),",","")&amp;IF(D179="","性別","")&amp;IF(IF(A179="","従業員番号","")&amp;IF(B179="","雇用形態","")&amp;IF(OR(入力シート!$J$18=入力リスト!$K$4,入力シート!$J$22=入力リスト!$K$4),IF(C179="","入社年月日",""),"")&amp;IF(D179="","性別","")="","","が空白です。"),IF(J179,"入社年月日に「基準日」の翌日以降の日付が入力されています。","")&amp;IF(I179,"入社年月日に数値以外（又は1900/1/1以前の日付）が入力されています。","")&amp;IF(H179,"雇用形態"&amp;IF(OR(K179,L179),",",""),"")&amp;IF(K179,"性別"&amp;IF(L179,",",""),"")&amp;IF(L179,"役職","")&amp;IF(OR(H179,K179,L179),"に、［入力シート］(4)「貴社」欄と異なる文言が入力されています。","")))))</f>
        <v/>
      </c>
      <c r="G179" s="236" t="b">
        <f>COUNTIF($A$4:A178,$A179)&gt;0</f>
        <v>0</v>
      </c>
      <c r="H179" s="237" t="b">
        <f>IF(COUNTIF(入力シート!$J$16:$S$23,入力リスト!$K$4)=0,FALSE,IF(入力シート!$J$16=入力リスト!$K$5,FALSE,ISERROR(VLOOKUP(B179,入力シート!$S$37:$V$62,1,0))))</f>
        <v>0</v>
      </c>
      <c r="I179" s="237" t="b">
        <f>IF(AND(OR(入力シート!$J$18=入力リスト!$K$4,入力シート!$J$22=入力リスト!$K$4),入力シート!$J$24&lt;&gt;""),IF(ISERROR(C179+1),TRUE,IF(ISNUMBER(C179),FALSE,TRUE)),FALSE)</f>
        <v>0</v>
      </c>
      <c r="J179" s="237" t="b">
        <f>IF(AND(入力シート!$J$18=入力リスト!$K$4,入力シート!$J$22=入力リスト!$K$4),FALSE,IF(I179=TRUE,FALSE,IF(ISERROR(C179+1),FALSE,C179&gt;入力シート!$J$24)))</f>
        <v>0</v>
      </c>
      <c r="K179" s="237" t="b">
        <f>IF(COUNTIF(入力シート!$J$16:$S$23,入力リスト!$K$4)=0,FALSE,IF(AND(入力シート!$J$16&lt;&gt;入力リスト!$K$5,入力シート!$J$18&lt;&gt;入力リスト!$K$5,入力シート!$J$20&lt;&gt;入力リスト!$K$5,入力シート!$J$22&lt;&gt;入力リスト!$K$5),FALSE,ISERROR(VLOOKUP(D179,入力シート!$AW$37:$AY$38,1,0))))</f>
        <v>0</v>
      </c>
      <c r="L179" s="237" t="b">
        <f>IF(COUNTIF(入力シート!$J$16:$S$23,入力リスト!$K$4)=0,FALSE,IF(入力シート!$J$20=入力リスト!$K$5,FALSE,IF(E179="",FALSE,ISERROR(VLOOKUP(E179,入力シート!$AH$37:$AK$62,1,0)))))</f>
        <v>0</v>
      </c>
      <c r="M179" s="238" t="str">
        <f t="shared" si="2"/>
        <v/>
      </c>
      <c r="N179" s="236" t="str">
        <f>IF(B179="","",VLOOKUP('従業員情報(給与以外)'!$B179,入力シート!$S$37:$Z$62,5,0))</f>
        <v/>
      </c>
      <c r="O179" s="182" t="str">
        <f>IF(ISNUMBER(C179)=FALSE,"",IF(C179&gt;入力シート!$J$24,"",_xlfn.DAYS(入力シート!$J$24,'従業員情報(給与以外)'!$C179)/365))</f>
        <v/>
      </c>
      <c r="P179" s="237" t="str">
        <f>IF(O179="","",VLOOKUP(_xlfn.DAYS(入力シート!$J$24,'従業員情報(給与以外)'!$C179)/365,入力リスト!$H$4:$I$12,2,2))</f>
        <v/>
      </c>
      <c r="Q179" s="236" t="str">
        <f>IF(D179="","",VLOOKUP('従業員情報(給与以外)'!$D179,入力シート!$AW$37:$BB$38,4,0))</f>
        <v/>
      </c>
      <c r="R179" s="236" t="str">
        <f>IF(A179="","",IF(E179="","非役職",VLOOKUP('従業員情報(給与以外)'!$E179,入力シート!$AH$37:$AO$62,5,0)))</f>
        <v/>
      </c>
      <c r="S179" s="116" t="str">
        <f>IF(OR(入力シート!$C$5&lt;&gt;入力リスト!$N$4,COUNTIF(入力シート!$J$16:$S$23,入力リスト!$K$4)=0),"",IF($A179="","",IF(ISERROR(AVERAGEIF(従業員の給与情報!$B:$B,$A179,従業員の給与情報!$C:$C)),0,IF(ISERROR(AVERAGEIF(従業員の給与情報!$B:$B,$A179,従業員の給与情報!$C:$C)),0,AVERAGEIF(従業員の給与情報!$B:$B,$A179,従業員の給与情報!$C:$C)))))</f>
        <v/>
      </c>
      <c r="T179" s="116" t="str">
        <f>IF(OR(入力シート!$C$5&lt;&gt;入力リスト!$N$4,COUNTIF(入力シート!$J$16:$S$23,入力リスト!$K$4)=0),"",IF(A179="","",IF(ISERROR(AVERAGEIF(従業員の給与情報!$B:$B,$A179,従業員の給与情報!$D:$D)),0,IF(ISERROR(AVERAGEIF(従業員の給与情報!$B:$B,$A179,従業員の給与情報!$D:$D)),0,AVERAGEIF(従業員の給与情報!$B:$B,$A179,従業員の給与情報!$D:$D)))))</f>
        <v/>
      </c>
      <c r="U179" s="116" t="str">
        <f>IF(OR(入力シート!$C$5&lt;&gt;入力リスト!$N$4,COUNTIF(入力シート!$J$16:$S$23,入力リスト!$K$4)=0),"",IF(A179="","",IF(ISERROR(AVERAGEIF(従業員の給与情報!$B:$B,$A179,従業員の給与情報!$E:$E)),0,IF(ISERROR(AVERAGEIF(従業員の給与情報!$B:$B,$A179,従業員の給与情報!$E:$E)),0,AVERAGEIF(従業員の給与情報!$B:$B,$A179,従業員の給与情報!$E:$E)))))</f>
        <v/>
      </c>
      <c r="V179" s="117" t="str">
        <f>IF(OR(入力シート!$C$5&lt;&gt;入力リスト!$N$4,COUNTIF(入力シート!$J$16:$S$23,入力リスト!$K$4)=0),"",IF(A179="","",IF(ISERROR(AVERAGEIF(従業員の給与情報!$B:$B,$A179,従業員の給与情報!$F:$F)),0,IF(ISERROR(AVERAGEIF(従業員の給与情報!$B:$B,$A179,従業員の給与情報!$F:$F)),0,AVERAGEIF(従業員の給与情報!$B:$B,$A179,従業員の給与情報!$F:$F)))))</f>
        <v/>
      </c>
      <c r="W179" s="182"/>
      <c r="X179" s="260"/>
    </row>
    <row r="180" spans="1:24" ht="19.5">
      <c r="A180" s="366"/>
      <c r="B180" s="366"/>
      <c r="C180" s="365"/>
      <c r="D180" s="366"/>
      <c r="E180" s="366"/>
      <c r="F180" s="372" t="str">
        <f>IF(G180,"この従業員番号は、すでに他のセルで入力されています。",IF(入力シート!$C$5=入力リスト!$N$5,"",IF(AND(A180="",B180="",C180="",D180="",E180=""),"",IF(OR(A180="",B180="",C180="",D180=""),IF(A180="","従業員番号","")&amp;IF(AND(A180="",OR(B180="",C180="",D180="")),",","")&amp;IF(B180="","雇用形態","")&amp;IF(AND(B180="",OR(C180="",D180="")),",","")&amp;IF(OR(入力シート!$J$18=入力リスト!$K$4,入力シート!$J$22=入力リスト!$K$4),IF(C180="","入社年月日",""),"")&amp;IF(AND(C180="",D180=""),",","")&amp;IF(D180="","性別","")&amp;IF(IF(A180="","従業員番号","")&amp;IF(B180="","雇用形態","")&amp;IF(OR(入力シート!$J$18=入力リスト!$K$4,入力シート!$J$22=入力リスト!$K$4),IF(C180="","入社年月日",""),"")&amp;IF(D180="","性別","")="","","が空白です。"),IF(J180,"入社年月日に「基準日」の翌日以降の日付が入力されています。","")&amp;IF(I180,"入社年月日に数値以外（又は1900/1/1以前の日付）が入力されています。","")&amp;IF(H180,"雇用形態"&amp;IF(OR(K180,L180),",",""),"")&amp;IF(K180,"性別"&amp;IF(L180,",",""),"")&amp;IF(L180,"役職","")&amp;IF(OR(H180,K180,L180),"に、［入力シート］(4)「貴社」欄と異なる文言が入力されています。","")))))</f>
        <v/>
      </c>
      <c r="G180" s="236" t="b">
        <f>COUNTIF($A$4:A179,$A180)&gt;0</f>
        <v>0</v>
      </c>
      <c r="H180" s="237" t="b">
        <f>IF(COUNTIF(入力シート!$J$16:$S$23,入力リスト!$K$4)=0,FALSE,IF(入力シート!$J$16=入力リスト!$K$5,FALSE,ISERROR(VLOOKUP(B180,入力シート!$S$37:$V$62,1,0))))</f>
        <v>0</v>
      </c>
      <c r="I180" s="237" t="b">
        <f>IF(AND(OR(入力シート!$J$18=入力リスト!$K$4,入力シート!$J$22=入力リスト!$K$4),入力シート!$J$24&lt;&gt;""),IF(ISERROR(C180+1),TRUE,IF(ISNUMBER(C180),FALSE,TRUE)),FALSE)</f>
        <v>0</v>
      </c>
      <c r="J180" s="237" t="b">
        <f>IF(AND(入力シート!$J$18=入力リスト!$K$4,入力シート!$J$22=入力リスト!$K$4),FALSE,IF(I180=TRUE,FALSE,IF(ISERROR(C180+1),FALSE,C180&gt;入力シート!$J$24)))</f>
        <v>0</v>
      </c>
      <c r="K180" s="237" t="b">
        <f>IF(COUNTIF(入力シート!$J$16:$S$23,入力リスト!$K$4)=0,FALSE,IF(AND(入力シート!$J$16&lt;&gt;入力リスト!$K$5,入力シート!$J$18&lt;&gt;入力リスト!$K$5,入力シート!$J$20&lt;&gt;入力リスト!$K$5,入力シート!$J$22&lt;&gt;入力リスト!$K$5),FALSE,ISERROR(VLOOKUP(D180,入力シート!$AW$37:$AY$38,1,0))))</f>
        <v>0</v>
      </c>
      <c r="L180" s="237" t="b">
        <f>IF(COUNTIF(入力シート!$J$16:$S$23,入力リスト!$K$4)=0,FALSE,IF(入力シート!$J$20=入力リスト!$K$5,FALSE,IF(E180="",FALSE,ISERROR(VLOOKUP(E180,入力シート!$AH$37:$AK$62,1,0)))))</f>
        <v>0</v>
      </c>
      <c r="M180" s="238" t="str">
        <f t="shared" si="2"/>
        <v/>
      </c>
      <c r="N180" s="236" t="str">
        <f>IF(B180="","",VLOOKUP('従業員情報(給与以外)'!$B180,入力シート!$S$37:$Z$62,5,0))</f>
        <v/>
      </c>
      <c r="O180" s="182" t="str">
        <f>IF(ISNUMBER(C180)=FALSE,"",IF(C180&gt;入力シート!$J$24,"",_xlfn.DAYS(入力シート!$J$24,'従業員情報(給与以外)'!$C180)/365))</f>
        <v/>
      </c>
      <c r="P180" s="237" t="str">
        <f>IF(O180="","",VLOOKUP(_xlfn.DAYS(入力シート!$J$24,'従業員情報(給与以外)'!$C180)/365,入力リスト!$H$4:$I$12,2,2))</f>
        <v/>
      </c>
      <c r="Q180" s="236" t="str">
        <f>IF(D180="","",VLOOKUP('従業員情報(給与以外)'!$D180,入力シート!$AW$37:$BB$38,4,0))</f>
        <v/>
      </c>
      <c r="R180" s="236" t="str">
        <f>IF(A180="","",IF(E180="","非役職",VLOOKUP('従業員情報(給与以外)'!$E180,入力シート!$AH$37:$AO$62,5,0)))</f>
        <v/>
      </c>
      <c r="S180" s="116" t="str">
        <f>IF(OR(入力シート!$C$5&lt;&gt;入力リスト!$N$4,COUNTIF(入力シート!$J$16:$S$23,入力リスト!$K$4)=0),"",IF($A180="","",IF(ISERROR(AVERAGEIF(従業員の給与情報!$B:$B,$A180,従業員の給与情報!$C:$C)),0,IF(ISERROR(AVERAGEIF(従業員の給与情報!$B:$B,$A180,従業員の給与情報!$C:$C)),0,AVERAGEIF(従業員の給与情報!$B:$B,$A180,従業員の給与情報!$C:$C)))))</f>
        <v/>
      </c>
      <c r="T180" s="116" t="str">
        <f>IF(OR(入力シート!$C$5&lt;&gt;入力リスト!$N$4,COUNTIF(入力シート!$J$16:$S$23,入力リスト!$K$4)=0),"",IF(A180="","",IF(ISERROR(AVERAGEIF(従業員の給与情報!$B:$B,$A180,従業員の給与情報!$D:$D)),0,IF(ISERROR(AVERAGEIF(従業員の給与情報!$B:$B,$A180,従業員の給与情報!$D:$D)),0,AVERAGEIF(従業員の給与情報!$B:$B,$A180,従業員の給与情報!$D:$D)))))</f>
        <v/>
      </c>
      <c r="U180" s="116" t="str">
        <f>IF(OR(入力シート!$C$5&lt;&gt;入力リスト!$N$4,COUNTIF(入力シート!$J$16:$S$23,入力リスト!$K$4)=0),"",IF(A180="","",IF(ISERROR(AVERAGEIF(従業員の給与情報!$B:$B,$A180,従業員の給与情報!$E:$E)),0,IF(ISERROR(AVERAGEIF(従業員の給与情報!$B:$B,$A180,従業員の給与情報!$E:$E)),0,AVERAGEIF(従業員の給与情報!$B:$B,$A180,従業員の給与情報!$E:$E)))))</f>
        <v/>
      </c>
      <c r="V180" s="117" t="str">
        <f>IF(OR(入力シート!$C$5&lt;&gt;入力リスト!$N$4,COUNTIF(入力シート!$J$16:$S$23,入力リスト!$K$4)=0),"",IF(A180="","",IF(ISERROR(AVERAGEIF(従業員の給与情報!$B:$B,$A180,従業員の給与情報!$F:$F)),0,IF(ISERROR(AVERAGEIF(従業員の給与情報!$B:$B,$A180,従業員の給与情報!$F:$F)),0,AVERAGEIF(従業員の給与情報!$B:$B,$A180,従業員の給与情報!$F:$F)))))</f>
        <v/>
      </c>
      <c r="W180" s="182"/>
      <c r="X180" s="260"/>
    </row>
    <row r="181" spans="1:24" ht="19.5">
      <c r="A181" s="366"/>
      <c r="B181" s="366"/>
      <c r="C181" s="365"/>
      <c r="D181" s="366"/>
      <c r="E181" s="366"/>
      <c r="F181" s="372" t="str">
        <f>IF(G181,"この従業員番号は、すでに他のセルで入力されています。",IF(入力シート!$C$5=入力リスト!$N$5,"",IF(AND(A181="",B181="",C181="",D181="",E181=""),"",IF(OR(A181="",B181="",C181="",D181=""),IF(A181="","従業員番号","")&amp;IF(AND(A181="",OR(B181="",C181="",D181="")),",","")&amp;IF(B181="","雇用形態","")&amp;IF(AND(B181="",OR(C181="",D181="")),",","")&amp;IF(OR(入力シート!$J$18=入力リスト!$K$4,入力シート!$J$22=入力リスト!$K$4),IF(C181="","入社年月日",""),"")&amp;IF(AND(C181="",D181=""),",","")&amp;IF(D181="","性別","")&amp;IF(IF(A181="","従業員番号","")&amp;IF(B181="","雇用形態","")&amp;IF(OR(入力シート!$J$18=入力リスト!$K$4,入力シート!$J$22=入力リスト!$K$4),IF(C181="","入社年月日",""),"")&amp;IF(D181="","性別","")="","","が空白です。"),IF(J181,"入社年月日に「基準日」の翌日以降の日付が入力されています。","")&amp;IF(I181,"入社年月日に数値以外（又は1900/1/1以前の日付）が入力されています。","")&amp;IF(H181,"雇用形態"&amp;IF(OR(K181,L181),",",""),"")&amp;IF(K181,"性別"&amp;IF(L181,",",""),"")&amp;IF(L181,"役職","")&amp;IF(OR(H181,K181,L181),"に、［入力シート］(4)「貴社」欄と異なる文言が入力されています。","")))))</f>
        <v/>
      </c>
      <c r="G181" s="236" t="b">
        <f>COUNTIF($A$4:A180,$A181)&gt;0</f>
        <v>0</v>
      </c>
      <c r="H181" s="237" t="b">
        <f>IF(COUNTIF(入力シート!$J$16:$S$23,入力リスト!$K$4)=0,FALSE,IF(入力シート!$J$16=入力リスト!$K$5,FALSE,ISERROR(VLOOKUP(B181,入力シート!$S$37:$V$62,1,0))))</f>
        <v>0</v>
      </c>
      <c r="I181" s="237" t="b">
        <f>IF(AND(OR(入力シート!$J$18=入力リスト!$K$4,入力シート!$J$22=入力リスト!$K$4),入力シート!$J$24&lt;&gt;""),IF(ISERROR(C181+1),TRUE,IF(ISNUMBER(C181),FALSE,TRUE)),FALSE)</f>
        <v>0</v>
      </c>
      <c r="J181" s="237" t="b">
        <f>IF(AND(入力シート!$J$18=入力リスト!$K$4,入力シート!$J$22=入力リスト!$K$4),FALSE,IF(I181=TRUE,FALSE,IF(ISERROR(C181+1),FALSE,C181&gt;入力シート!$J$24)))</f>
        <v>0</v>
      </c>
      <c r="K181" s="237" t="b">
        <f>IF(COUNTIF(入力シート!$J$16:$S$23,入力リスト!$K$4)=0,FALSE,IF(AND(入力シート!$J$16&lt;&gt;入力リスト!$K$5,入力シート!$J$18&lt;&gt;入力リスト!$K$5,入力シート!$J$20&lt;&gt;入力リスト!$K$5,入力シート!$J$22&lt;&gt;入力リスト!$K$5),FALSE,ISERROR(VLOOKUP(D181,入力シート!$AW$37:$AY$38,1,0))))</f>
        <v>0</v>
      </c>
      <c r="L181" s="237" t="b">
        <f>IF(COUNTIF(入力シート!$J$16:$S$23,入力リスト!$K$4)=0,FALSE,IF(入力シート!$J$20=入力リスト!$K$5,FALSE,IF(E181="",FALSE,ISERROR(VLOOKUP(E181,入力シート!$AH$37:$AK$62,1,0)))))</f>
        <v>0</v>
      </c>
      <c r="M181" s="238" t="str">
        <f t="shared" si="2"/>
        <v/>
      </c>
      <c r="N181" s="236" t="str">
        <f>IF(B181="","",VLOOKUP('従業員情報(給与以外)'!$B181,入力シート!$S$37:$Z$62,5,0))</f>
        <v/>
      </c>
      <c r="O181" s="182" t="str">
        <f>IF(ISNUMBER(C181)=FALSE,"",IF(C181&gt;入力シート!$J$24,"",_xlfn.DAYS(入力シート!$J$24,'従業員情報(給与以外)'!$C181)/365))</f>
        <v/>
      </c>
      <c r="P181" s="237" t="str">
        <f>IF(O181="","",VLOOKUP(_xlfn.DAYS(入力シート!$J$24,'従業員情報(給与以外)'!$C181)/365,入力リスト!$H$4:$I$12,2,2))</f>
        <v/>
      </c>
      <c r="Q181" s="236" t="str">
        <f>IF(D181="","",VLOOKUP('従業員情報(給与以外)'!$D181,入力シート!$AW$37:$BB$38,4,0))</f>
        <v/>
      </c>
      <c r="R181" s="236" t="str">
        <f>IF(A181="","",IF(E181="","非役職",VLOOKUP('従業員情報(給与以外)'!$E181,入力シート!$AH$37:$AO$62,5,0)))</f>
        <v/>
      </c>
      <c r="S181" s="116" t="str">
        <f>IF(OR(入力シート!$C$5&lt;&gt;入力リスト!$N$4,COUNTIF(入力シート!$J$16:$S$23,入力リスト!$K$4)=0),"",IF($A181="","",IF(ISERROR(AVERAGEIF(従業員の給与情報!$B:$B,$A181,従業員の給与情報!$C:$C)),0,IF(ISERROR(AVERAGEIF(従業員の給与情報!$B:$B,$A181,従業員の給与情報!$C:$C)),0,AVERAGEIF(従業員の給与情報!$B:$B,$A181,従業員の給与情報!$C:$C)))))</f>
        <v/>
      </c>
      <c r="T181" s="116" t="str">
        <f>IF(OR(入力シート!$C$5&lt;&gt;入力リスト!$N$4,COUNTIF(入力シート!$J$16:$S$23,入力リスト!$K$4)=0),"",IF(A181="","",IF(ISERROR(AVERAGEIF(従業員の給与情報!$B:$B,$A181,従業員の給与情報!$D:$D)),0,IF(ISERROR(AVERAGEIF(従業員の給与情報!$B:$B,$A181,従業員の給与情報!$D:$D)),0,AVERAGEIF(従業員の給与情報!$B:$B,$A181,従業員の給与情報!$D:$D)))))</f>
        <v/>
      </c>
      <c r="U181" s="116" t="str">
        <f>IF(OR(入力シート!$C$5&lt;&gt;入力リスト!$N$4,COUNTIF(入力シート!$J$16:$S$23,入力リスト!$K$4)=0),"",IF(A181="","",IF(ISERROR(AVERAGEIF(従業員の給与情報!$B:$B,$A181,従業員の給与情報!$E:$E)),0,IF(ISERROR(AVERAGEIF(従業員の給与情報!$B:$B,$A181,従業員の給与情報!$E:$E)),0,AVERAGEIF(従業員の給与情報!$B:$B,$A181,従業員の給与情報!$E:$E)))))</f>
        <v/>
      </c>
      <c r="V181" s="117" t="str">
        <f>IF(OR(入力シート!$C$5&lt;&gt;入力リスト!$N$4,COUNTIF(入力シート!$J$16:$S$23,入力リスト!$K$4)=0),"",IF(A181="","",IF(ISERROR(AVERAGEIF(従業員の給与情報!$B:$B,$A181,従業員の給与情報!$F:$F)),0,IF(ISERROR(AVERAGEIF(従業員の給与情報!$B:$B,$A181,従業員の給与情報!$F:$F)),0,AVERAGEIF(従業員の給与情報!$B:$B,$A181,従業員の給与情報!$F:$F)))))</f>
        <v/>
      </c>
      <c r="W181" s="182"/>
      <c r="X181" s="260"/>
    </row>
    <row r="182" spans="1:24" ht="19.5">
      <c r="A182" s="366"/>
      <c r="B182" s="366"/>
      <c r="C182" s="365"/>
      <c r="D182" s="366"/>
      <c r="E182" s="366"/>
      <c r="F182" s="372" t="str">
        <f>IF(G182,"この従業員番号は、すでに他のセルで入力されています。",IF(入力シート!$C$5=入力リスト!$N$5,"",IF(AND(A182="",B182="",C182="",D182="",E182=""),"",IF(OR(A182="",B182="",C182="",D182=""),IF(A182="","従業員番号","")&amp;IF(AND(A182="",OR(B182="",C182="",D182="")),",","")&amp;IF(B182="","雇用形態","")&amp;IF(AND(B182="",OR(C182="",D182="")),",","")&amp;IF(OR(入力シート!$J$18=入力リスト!$K$4,入力シート!$J$22=入力リスト!$K$4),IF(C182="","入社年月日",""),"")&amp;IF(AND(C182="",D182=""),",","")&amp;IF(D182="","性別","")&amp;IF(IF(A182="","従業員番号","")&amp;IF(B182="","雇用形態","")&amp;IF(OR(入力シート!$J$18=入力リスト!$K$4,入力シート!$J$22=入力リスト!$K$4),IF(C182="","入社年月日",""),"")&amp;IF(D182="","性別","")="","","が空白です。"),IF(J182,"入社年月日に「基準日」の翌日以降の日付が入力されています。","")&amp;IF(I182,"入社年月日に数値以外（又は1900/1/1以前の日付）が入力されています。","")&amp;IF(H182,"雇用形態"&amp;IF(OR(K182,L182),",",""),"")&amp;IF(K182,"性別"&amp;IF(L182,",",""),"")&amp;IF(L182,"役職","")&amp;IF(OR(H182,K182,L182),"に、［入力シート］(4)「貴社」欄と異なる文言が入力されています。","")))))</f>
        <v/>
      </c>
      <c r="G182" s="236" t="b">
        <f>COUNTIF($A$4:A181,$A182)&gt;0</f>
        <v>0</v>
      </c>
      <c r="H182" s="237" t="b">
        <f>IF(COUNTIF(入力シート!$J$16:$S$23,入力リスト!$K$4)=0,FALSE,IF(入力シート!$J$16=入力リスト!$K$5,FALSE,ISERROR(VLOOKUP(B182,入力シート!$S$37:$V$62,1,0))))</f>
        <v>0</v>
      </c>
      <c r="I182" s="237" t="b">
        <f>IF(AND(OR(入力シート!$J$18=入力リスト!$K$4,入力シート!$J$22=入力リスト!$K$4),入力シート!$J$24&lt;&gt;""),IF(ISERROR(C182+1),TRUE,IF(ISNUMBER(C182),FALSE,TRUE)),FALSE)</f>
        <v>0</v>
      </c>
      <c r="J182" s="237" t="b">
        <f>IF(AND(入力シート!$J$18=入力リスト!$K$4,入力シート!$J$22=入力リスト!$K$4),FALSE,IF(I182=TRUE,FALSE,IF(ISERROR(C182+1),FALSE,C182&gt;入力シート!$J$24)))</f>
        <v>0</v>
      </c>
      <c r="K182" s="237" t="b">
        <f>IF(COUNTIF(入力シート!$J$16:$S$23,入力リスト!$K$4)=0,FALSE,IF(AND(入力シート!$J$16&lt;&gt;入力リスト!$K$5,入力シート!$J$18&lt;&gt;入力リスト!$K$5,入力シート!$J$20&lt;&gt;入力リスト!$K$5,入力シート!$J$22&lt;&gt;入力リスト!$K$5),FALSE,ISERROR(VLOOKUP(D182,入力シート!$AW$37:$AY$38,1,0))))</f>
        <v>0</v>
      </c>
      <c r="L182" s="237" t="b">
        <f>IF(COUNTIF(入力シート!$J$16:$S$23,入力リスト!$K$4)=0,FALSE,IF(入力シート!$J$20=入力リスト!$K$5,FALSE,IF(E182="",FALSE,ISERROR(VLOOKUP(E182,入力シート!$AH$37:$AK$62,1,0)))))</f>
        <v>0</v>
      </c>
      <c r="M182" s="238" t="str">
        <f t="shared" si="2"/>
        <v/>
      </c>
      <c r="N182" s="236" t="str">
        <f>IF(B182="","",VLOOKUP('従業員情報(給与以外)'!$B182,入力シート!$S$37:$Z$62,5,0))</f>
        <v/>
      </c>
      <c r="O182" s="182" t="str">
        <f>IF(ISNUMBER(C182)=FALSE,"",IF(C182&gt;入力シート!$J$24,"",_xlfn.DAYS(入力シート!$J$24,'従業員情報(給与以外)'!$C182)/365))</f>
        <v/>
      </c>
      <c r="P182" s="237" t="str">
        <f>IF(O182="","",VLOOKUP(_xlfn.DAYS(入力シート!$J$24,'従業員情報(給与以外)'!$C182)/365,入力リスト!$H$4:$I$12,2,2))</f>
        <v/>
      </c>
      <c r="Q182" s="236" t="str">
        <f>IF(D182="","",VLOOKUP('従業員情報(給与以外)'!$D182,入力シート!$AW$37:$BB$38,4,0))</f>
        <v/>
      </c>
      <c r="R182" s="236" t="str">
        <f>IF(A182="","",IF(E182="","非役職",VLOOKUP('従業員情報(給与以外)'!$E182,入力シート!$AH$37:$AO$62,5,0)))</f>
        <v/>
      </c>
      <c r="S182" s="116" t="str">
        <f>IF(OR(入力シート!$C$5&lt;&gt;入力リスト!$N$4,COUNTIF(入力シート!$J$16:$S$23,入力リスト!$K$4)=0),"",IF($A182="","",IF(ISERROR(AVERAGEIF(従業員の給与情報!$B:$B,$A182,従業員の給与情報!$C:$C)),0,IF(ISERROR(AVERAGEIF(従業員の給与情報!$B:$B,$A182,従業員の給与情報!$C:$C)),0,AVERAGEIF(従業員の給与情報!$B:$B,$A182,従業員の給与情報!$C:$C)))))</f>
        <v/>
      </c>
      <c r="T182" s="116" t="str">
        <f>IF(OR(入力シート!$C$5&lt;&gt;入力リスト!$N$4,COUNTIF(入力シート!$J$16:$S$23,入力リスト!$K$4)=0),"",IF(A182="","",IF(ISERROR(AVERAGEIF(従業員の給与情報!$B:$B,$A182,従業員の給与情報!$D:$D)),0,IF(ISERROR(AVERAGEIF(従業員の給与情報!$B:$B,$A182,従業員の給与情報!$D:$D)),0,AVERAGEIF(従業員の給与情報!$B:$B,$A182,従業員の給与情報!$D:$D)))))</f>
        <v/>
      </c>
      <c r="U182" s="116" t="str">
        <f>IF(OR(入力シート!$C$5&lt;&gt;入力リスト!$N$4,COUNTIF(入力シート!$J$16:$S$23,入力リスト!$K$4)=0),"",IF(A182="","",IF(ISERROR(AVERAGEIF(従業員の給与情報!$B:$B,$A182,従業員の給与情報!$E:$E)),0,IF(ISERROR(AVERAGEIF(従業員の給与情報!$B:$B,$A182,従業員の給与情報!$E:$E)),0,AVERAGEIF(従業員の給与情報!$B:$B,$A182,従業員の給与情報!$E:$E)))))</f>
        <v/>
      </c>
      <c r="V182" s="117" t="str">
        <f>IF(OR(入力シート!$C$5&lt;&gt;入力リスト!$N$4,COUNTIF(入力シート!$J$16:$S$23,入力リスト!$K$4)=0),"",IF(A182="","",IF(ISERROR(AVERAGEIF(従業員の給与情報!$B:$B,$A182,従業員の給与情報!$F:$F)),0,IF(ISERROR(AVERAGEIF(従業員の給与情報!$B:$B,$A182,従業員の給与情報!$F:$F)),0,AVERAGEIF(従業員の給与情報!$B:$B,$A182,従業員の給与情報!$F:$F)))))</f>
        <v/>
      </c>
      <c r="W182" s="182"/>
      <c r="X182" s="260"/>
    </row>
    <row r="183" spans="1:24" ht="19.5">
      <c r="A183" s="366"/>
      <c r="B183" s="366"/>
      <c r="C183" s="365"/>
      <c r="D183" s="366"/>
      <c r="E183" s="366"/>
      <c r="F183" s="372" t="str">
        <f>IF(G183,"この従業員番号は、すでに他のセルで入力されています。",IF(入力シート!$C$5=入力リスト!$N$5,"",IF(AND(A183="",B183="",C183="",D183="",E183=""),"",IF(OR(A183="",B183="",C183="",D183=""),IF(A183="","従業員番号","")&amp;IF(AND(A183="",OR(B183="",C183="",D183="")),",","")&amp;IF(B183="","雇用形態","")&amp;IF(AND(B183="",OR(C183="",D183="")),",","")&amp;IF(OR(入力シート!$J$18=入力リスト!$K$4,入力シート!$J$22=入力リスト!$K$4),IF(C183="","入社年月日",""),"")&amp;IF(AND(C183="",D183=""),",","")&amp;IF(D183="","性別","")&amp;IF(IF(A183="","従業員番号","")&amp;IF(B183="","雇用形態","")&amp;IF(OR(入力シート!$J$18=入力リスト!$K$4,入力シート!$J$22=入力リスト!$K$4),IF(C183="","入社年月日",""),"")&amp;IF(D183="","性別","")="","","が空白です。"),IF(J183,"入社年月日に「基準日」の翌日以降の日付が入力されています。","")&amp;IF(I183,"入社年月日に数値以外（又は1900/1/1以前の日付）が入力されています。","")&amp;IF(H183,"雇用形態"&amp;IF(OR(K183,L183),",",""),"")&amp;IF(K183,"性別"&amp;IF(L183,",",""),"")&amp;IF(L183,"役職","")&amp;IF(OR(H183,K183,L183),"に、［入力シート］(4)「貴社」欄と異なる文言が入力されています。","")))))</f>
        <v/>
      </c>
      <c r="G183" s="236" t="b">
        <f>COUNTIF($A$4:A182,$A183)&gt;0</f>
        <v>0</v>
      </c>
      <c r="H183" s="237" t="b">
        <f>IF(COUNTIF(入力シート!$J$16:$S$23,入力リスト!$K$4)=0,FALSE,IF(入力シート!$J$16=入力リスト!$K$5,FALSE,ISERROR(VLOOKUP(B183,入力シート!$S$37:$V$62,1,0))))</f>
        <v>0</v>
      </c>
      <c r="I183" s="237" t="b">
        <f>IF(AND(OR(入力シート!$J$18=入力リスト!$K$4,入力シート!$J$22=入力リスト!$K$4),入力シート!$J$24&lt;&gt;""),IF(ISERROR(C183+1),TRUE,IF(ISNUMBER(C183),FALSE,TRUE)),FALSE)</f>
        <v>0</v>
      </c>
      <c r="J183" s="237" t="b">
        <f>IF(AND(入力シート!$J$18=入力リスト!$K$4,入力シート!$J$22=入力リスト!$K$4),FALSE,IF(I183=TRUE,FALSE,IF(ISERROR(C183+1),FALSE,C183&gt;入力シート!$J$24)))</f>
        <v>0</v>
      </c>
      <c r="K183" s="237" t="b">
        <f>IF(COUNTIF(入力シート!$J$16:$S$23,入力リスト!$K$4)=0,FALSE,IF(AND(入力シート!$J$16&lt;&gt;入力リスト!$K$5,入力シート!$J$18&lt;&gt;入力リスト!$K$5,入力シート!$J$20&lt;&gt;入力リスト!$K$5,入力シート!$J$22&lt;&gt;入力リスト!$K$5),FALSE,ISERROR(VLOOKUP(D183,入力シート!$AW$37:$AY$38,1,0))))</f>
        <v>0</v>
      </c>
      <c r="L183" s="237" t="b">
        <f>IF(COUNTIF(入力シート!$J$16:$S$23,入力リスト!$K$4)=0,FALSE,IF(入力シート!$J$20=入力リスト!$K$5,FALSE,IF(E183="",FALSE,ISERROR(VLOOKUP(E183,入力シート!$AH$37:$AK$62,1,0)))))</f>
        <v>0</v>
      </c>
      <c r="M183" s="238" t="str">
        <f t="shared" si="2"/>
        <v/>
      </c>
      <c r="N183" s="236" t="str">
        <f>IF(B183="","",VLOOKUP('従業員情報(給与以外)'!$B183,入力シート!$S$37:$Z$62,5,0))</f>
        <v/>
      </c>
      <c r="O183" s="182" t="str">
        <f>IF(ISNUMBER(C183)=FALSE,"",IF(C183&gt;入力シート!$J$24,"",_xlfn.DAYS(入力シート!$J$24,'従業員情報(給与以外)'!$C183)/365))</f>
        <v/>
      </c>
      <c r="P183" s="237" t="str">
        <f>IF(O183="","",VLOOKUP(_xlfn.DAYS(入力シート!$J$24,'従業員情報(給与以外)'!$C183)/365,入力リスト!$H$4:$I$12,2,2))</f>
        <v/>
      </c>
      <c r="Q183" s="236" t="str">
        <f>IF(D183="","",VLOOKUP('従業員情報(給与以外)'!$D183,入力シート!$AW$37:$BB$38,4,0))</f>
        <v/>
      </c>
      <c r="R183" s="236" t="str">
        <f>IF(A183="","",IF(E183="","非役職",VLOOKUP('従業員情報(給与以外)'!$E183,入力シート!$AH$37:$AO$62,5,0)))</f>
        <v/>
      </c>
      <c r="S183" s="116" t="str">
        <f>IF(OR(入力シート!$C$5&lt;&gt;入力リスト!$N$4,COUNTIF(入力シート!$J$16:$S$23,入力リスト!$K$4)=0),"",IF($A183="","",IF(ISERROR(AVERAGEIF(従業員の給与情報!$B:$B,$A183,従業員の給与情報!$C:$C)),0,IF(ISERROR(AVERAGEIF(従業員の給与情報!$B:$B,$A183,従業員の給与情報!$C:$C)),0,AVERAGEIF(従業員の給与情報!$B:$B,$A183,従業員の給与情報!$C:$C)))))</f>
        <v/>
      </c>
      <c r="T183" s="116" t="str">
        <f>IF(OR(入力シート!$C$5&lt;&gt;入力リスト!$N$4,COUNTIF(入力シート!$J$16:$S$23,入力リスト!$K$4)=0),"",IF(A183="","",IF(ISERROR(AVERAGEIF(従業員の給与情報!$B:$B,$A183,従業員の給与情報!$D:$D)),0,IF(ISERROR(AVERAGEIF(従業員の給与情報!$B:$B,$A183,従業員の給与情報!$D:$D)),0,AVERAGEIF(従業員の給与情報!$B:$B,$A183,従業員の給与情報!$D:$D)))))</f>
        <v/>
      </c>
      <c r="U183" s="116" t="str">
        <f>IF(OR(入力シート!$C$5&lt;&gt;入力リスト!$N$4,COUNTIF(入力シート!$J$16:$S$23,入力リスト!$K$4)=0),"",IF(A183="","",IF(ISERROR(AVERAGEIF(従業員の給与情報!$B:$B,$A183,従業員の給与情報!$E:$E)),0,IF(ISERROR(AVERAGEIF(従業員の給与情報!$B:$B,$A183,従業員の給与情報!$E:$E)),0,AVERAGEIF(従業員の給与情報!$B:$B,$A183,従業員の給与情報!$E:$E)))))</f>
        <v/>
      </c>
      <c r="V183" s="117" t="str">
        <f>IF(OR(入力シート!$C$5&lt;&gt;入力リスト!$N$4,COUNTIF(入力シート!$J$16:$S$23,入力リスト!$K$4)=0),"",IF(A183="","",IF(ISERROR(AVERAGEIF(従業員の給与情報!$B:$B,$A183,従業員の給与情報!$F:$F)),0,IF(ISERROR(AVERAGEIF(従業員の給与情報!$B:$B,$A183,従業員の給与情報!$F:$F)),0,AVERAGEIF(従業員の給与情報!$B:$B,$A183,従業員の給与情報!$F:$F)))))</f>
        <v/>
      </c>
      <c r="W183" s="182"/>
      <c r="X183" s="260"/>
    </row>
    <row r="184" spans="1:24" ht="19.5">
      <c r="A184" s="366"/>
      <c r="B184" s="366"/>
      <c r="C184" s="365"/>
      <c r="D184" s="366"/>
      <c r="E184" s="366"/>
      <c r="F184" s="372" t="str">
        <f>IF(G184,"この従業員番号は、すでに他のセルで入力されています。",IF(入力シート!$C$5=入力リスト!$N$5,"",IF(AND(A184="",B184="",C184="",D184="",E184=""),"",IF(OR(A184="",B184="",C184="",D184=""),IF(A184="","従業員番号","")&amp;IF(AND(A184="",OR(B184="",C184="",D184="")),",","")&amp;IF(B184="","雇用形態","")&amp;IF(AND(B184="",OR(C184="",D184="")),",","")&amp;IF(OR(入力シート!$J$18=入力リスト!$K$4,入力シート!$J$22=入力リスト!$K$4),IF(C184="","入社年月日",""),"")&amp;IF(AND(C184="",D184=""),",","")&amp;IF(D184="","性別","")&amp;IF(IF(A184="","従業員番号","")&amp;IF(B184="","雇用形態","")&amp;IF(OR(入力シート!$J$18=入力リスト!$K$4,入力シート!$J$22=入力リスト!$K$4),IF(C184="","入社年月日",""),"")&amp;IF(D184="","性別","")="","","が空白です。"),IF(J184,"入社年月日に「基準日」の翌日以降の日付が入力されています。","")&amp;IF(I184,"入社年月日に数値以外（又は1900/1/1以前の日付）が入力されています。","")&amp;IF(H184,"雇用形態"&amp;IF(OR(K184,L184),",",""),"")&amp;IF(K184,"性別"&amp;IF(L184,",",""),"")&amp;IF(L184,"役職","")&amp;IF(OR(H184,K184,L184),"に、［入力シート］(4)「貴社」欄と異なる文言が入力されています。","")))))</f>
        <v/>
      </c>
      <c r="G184" s="236" t="b">
        <f>COUNTIF($A$4:A183,$A184)&gt;0</f>
        <v>0</v>
      </c>
      <c r="H184" s="237" t="b">
        <f>IF(COUNTIF(入力シート!$J$16:$S$23,入力リスト!$K$4)=0,FALSE,IF(入力シート!$J$16=入力リスト!$K$5,FALSE,ISERROR(VLOOKUP(B184,入力シート!$S$37:$V$62,1,0))))</f>
        <v>0</v>
      </c>
      <c r="I184" s="237" t="b">
        <f>IF(AND(OR(入力シート!$J$18=入力リスト!$K$4,入力シート!$J$22=入力リスト!$K$4),入力シート!$J$24&lt;&gt;""),IF(ISERROR(C184+1),TRUE,IF(ISNUMBER(C184),FALSE,TRUE)),FALSE)</f>
        <v>0</v>
      </c>
      <c r="J184" s="237" t="b">
        <f>IF(AND(入力シート!$J$18=入力リスト!$K$4,入力シート!$J$22=入力リスト!$K$4),FALSE,IF(I184=TRUE,FALSE,IF(ISERROR(C184+1),FALSE,C184&gt;入力シート!$J$24)))</f>
        <v>0</v>
      </c>
      <c r="K184" s="237" t="b">
        <f>IF(COUNTIF(入力シート!$J$16:$S$23,入力リスト!$K$4)=0,FALSE,IF(AND(入力シート!$J$16&lt;&gt;入力リスト!$K$5,入力シート!$J$18&lt;&gt;入力リスト!$K$5,入力シート!$J$20&lt;&gt;入力リスト!$K$5,入力シート!$J$22&lt;&gt;入力リスト!$K$5),FALSE,ISERROR(VLOOKUP(D184,入力シート!$AW$37:$AY$38,1,0))))</f>
        <v>0</v>
      </c>
      <c r="L184" s="237" t="b">
        <f>IF(COUNTIF(入力シート!$J$16:$S$23,入力リスト!$K$4)=0,FALSE,IF(入力シート!$J$20=入力リスト!$K$5,FALSE,IF(E184="",FALSE,ISERROR(VLOOKUP(E184,入力シート!$AH$37:$AK$62,1,0)))))</f>
        <v>0</v>
      </c>
      <c r="M184" s="238" t="str">
        <f t="shared" si="2"/>
        <v/>
      </c>
      <c r="N184" s="236" t="str">
        <f>IF(B184="","",VLOOKUP('従業員情報(給与以外)'!$B184,入力シート!$S$37:$Z$62,5,0))</f>
        <v/>
      </c>
      <c r="O184" s="182" t="str">
        <f>IF(ISNUMBER(C184)=FALSE,"",IF(C184&gt;入力シート!$J$24,"",_xlfn.DAYS(入力シート!$J$24,'従業員情報(給与以外)'!$C184)/365))</f>
        <v/>
      </c>
      <c r="P184" s="237" t="str">
        <f>IF(O184="","",VLOOKUP(_xlfn.DAYS(入力シート!$J$24,'従業員情報(給与以外)'!$C184)/365,入力リスト!$H$4:$I$12,2,2))</f>
        <v/>
      </c>
      <c r="Q184" s="236" t="str">
        <f>IF(D184="","",VLOOKUP('従業員情報(給与以外)'!$D184,入力シート!$AW$37:$BB$38,4,0))</f>
        <v/>
      </c>
      <c r="R184" s="236" t="str">
        <f>IF(A184="","",IF(E184="","非役職",VLOOKUP('従業員情報(給与以外)'!$E184,入力シート!$AH$37:$AO$62,5,0)))</f>
        <v/>
      </c>
      <c r="S184" s="116" t="str">
        <f>IF(OR(入力シート!$C$5&lt;&gt;入力リスト!$N$4,COUNTIF(入力シート!$J$16:$S$23,入力リスト!$K$4)=0),"",IF($A184="","",IF(ISERROR(AVERAGEIF(従業員の給与情報!$B:$B,$A184,従業員の給与情報!$C:$C)),0,IF(ISERROR(AVERAGEIF(従業員の給与情報!$B:$B,$A184,従業員の給与情報!$C:$C)),0,AVERAGEIF(従業員の給与情報!$B:$B,$A184,従業員の給与情報!$C:$C)))))</f>
        <v/>
      </c>
      <c r="T184" s="116" t="str">
        <f>IF(OR(入力シート!$C$5&lt;&gt;入力リスト!$N$4,COUNTIF(入力シート!$J$16:$S$23,入力リスト!$K$4)=0),"",IF(A184="","",IF(ISERROR(AVERAGEIF(従業員の給与情報!$B:$B,$A184,従業員の給与情報!$D:$D)),0,IF(ISERROR(AVERAGEIF(従業員の給与情報!$B:$B,$A184,従業員の給与情報!$D:$D)),0,AVERAGEIF(従業員の給与情報!$B:$B,$A184,従業員の給与情報!$D:$D)))))</f>
        <v/>
      </c>
      <c r="U184" s="116" t="str">
        <f>IF(OR(入力シート!$C$5&lt;&gt;入力リスト!$N$4,COUNTIF(入力シート!$J$16:$S$23,入力リスト!$K$4)=0),"",IF(A184="","",IF(ISERROR(AVERAGEIF(従業員の給与情報!$B:$B,$A184,従業員の給与情報!$E:$E)),0,IF(ISERROR(AVERAGEIF(従業員の給与情報!$B:$B,$A184,従業員の給与情報!$E:$E)),0,AVERAGEIF(従業員の給与情報!$B:$B,$A184,従業員の給与情報!$E:$E)))))</f>
        <v/>
      </c>
      <c r="V184" s="117" t="str">
        <f>IF(OR(入力シート!$C$5&lt;&gt;入力リスト!$N$4,COUNTIF(入力シート!$J$16:$S$23,入力リスト!$K$4)=0),"",IF(A184="","",IF(ISERROR(AVERAGEIF(従業員の給与情報!$B:$B,$A184,従業員の給与情報!$F:$F)),0,IF(ISERROR(AVERAGEIF(従業員の給与情報!$B:$B,$A184,従業員の給与情報!$F:$F)),0,AVERAGEIF(従業員の給与情報!$B:$B,$A184,従業員の給与情報!$F:$F)))))</f>
        <v/>
      </c>
      <c r="W184" s="182"/>
      <c r="X184" s="260"/>
    </row>
    <row r="185" spans="1:24" ht="19.5">
      <c r="A185" s="366"/>
      <c r="B185" s="366"/>
      <c r="C185" s="365"/>
      <c r="D185" s="366"/>
      <c r="E185" s="366"/>
      <c r="F185" s="372" t="str">
        <f>IF(G185,"この従業員番号は、すでに他のセルで入力されています。",IF(入力シート!$C$5=入力リスト!$N$5,"",IF(AND(A185="",B185="",C185="",D185="",E185=""),"",IF(OR(A185="",B185="",C185="",D185=""),IF(A185="","従業員番号","")&amp;IF(AND(A185="",OR(B185="",C185="",D185="")),",","")&amp;IF(B185="","雇用形態","")&amp;IF(AND(B185="",OR(C185="",D185="")),",","")&amp;IF(OR(入力シート!$J$18=入力リスト!$K$4,入力シート!$J$22=入力リスト!$K$4),IF(C185="","入社年月日",""),"")&amp;IF(AND(C185="",D185=""),",","")&amp;IF(D185="","性別","")&amp;IF(IF(A185="","従業員番号","")&amp;IF(B185="","雇用形態","")&amp;IF(OR(入力シート!$J$18=入力リスト!$K$4,入力シート!$J$22=入力リスト!$K$4),IF(C185="","入社年月日",""),"")&amp;IF(D185="","性別","")="","","が空白です。"),IF(J185,"入社年月日に「基準日」の翌日以降の日付が入力されています。","")&amp;IF(I185,"入社年月日に数値以外（又は1900/1/1以前の日付）が入力されています。","")&amp;IF(H185,"雇用形態"&amp;IF(OR(K185,L185),",",""),"")&amp;IF(K185,"性別"&amp;IF(L185,",",""),"")&amp;IF(L185,"役職","")&amp;IF(OR(H185,K185,L185),"に、［入力シート］(4)「貴社」欄と異なる文言が入力されています。","")))))</f>
        <v/>
      </c>
      <c r="G185" s="236" t="b">
        <f>COUNTIF($A$4:A184,$A185)&gt;0</f>
        <v>0</v>
      </c>
      <c r="H185" s="237" t="b">
        <f>IF(COUNTIF(入力シート!$J$16:$S$23,入力リスト!$K$4)=0,FALSE,IF(入力シート!$J$16=入力リスト!$K$5,FALSE,ISERROR(VLOOKUP(B185,入力シート!$S$37:$V$62,1,0))))</f>
        <v>0</v>
      </c>
      <c r="I185" s="237" t="b">
        <f>IF(AND(OR(入力シート!$J$18=入力リスト!$K$4,入力シート!$J$22=入力リスト!$K$4),入力シート!$J$24&lt;&gt;""),IF(ISERROR(C185+1),TRUE,IF(ISNUMBER(C185),FALSE,TRUE)),FALSE)</f>
        <v>0</v>
      </c>
      <c r="J185" s="237" t="b">
        <f>IF(AND(入力シート!$J$18=入力リスト!$K$4,入力シート!$J$22=入力リスト!$K$4),FALSE,IF(I185=TRUE,FALSE,IF(ISERROR(C185+1),FALSE,C185&gt;入力シート!$J$24)))</f>
        <v>0</v>
      </c>
      <c r="K185" s="237" t="b">
        <f>IF(COUNTIF(入力シート!$J$16:$S$23,入力リスト!$K$4)=0,FALSE,IF(AND(入力シート!$J$16&lt;&gt;入力リスト!$K$5,入力シート!$J$18&lt;&gt;入力リスト!$K$5,入力シート!$J$20&lt;&gt;入力リスト!$K$5,入力シート!$J$22&lt;&gt;入力リスト!$K$5),FALSE,ISERROR(VLOOKUP(D185,入力シート!$AW$37:$AY$38,1,0))))</f>
        <v>0</v>
      </c>
      <c r="L185" s="237" t="b">
        <f>IF(COUNTIF(入力シート!$J$16:$S$23,入力リスト!$K$4)=0,FALSE,IF(入力シート!$J$20=入力リスト!$K$5,FALSE,IF(E185="",FALSE,ISERROR(VLOOKUP(E185,入力シート!$AH$37:$AK$62,1,0)))))</f>
        <v>0</v>
      </c>
      <c r="M185" s="238" t="str">
        <f t="shared" si="2"/>
        <v/>
      </c>
      <c r="N185" s="236" t="str">
        <f>IF(B185="","",VLOOKUP('従業員情報(給与以外)'!$B185,入力シート!$S$37:$Z$62,5,0))</f>
        <v/>
      </c>
      <c r="O185" s="182" t="str">
        <f>IF(ISNUMBER(C185)=FALSE,"",IF(C185&gt;入力シート!$J$24,"",_xlfn.DAYS(入力シート!$J$24,'従業員情報(給与以外)'!$C185)/365))</f>
        <v/>
      </c>
      <c r="P185" s="237" t="str">
        <f>IF(O185="","",VLOOKUP(_xlfn.DAYS(入力シート!$J$24,'従業員情報(給与以外)'!$C185)/365,入力リスト!$H$4:$I$12,2,2))</f>
        <v/>
      </c>
      <c r="Q185" s="236" t="str">
        <f>IF(D185="","",VLOOKUP('従業員情報(給与以外)'!$D185,入力シート!$AW$37:$BB$38,4,0))</f>
        <v/>
      </c>
      <c r="R185" s="236" t="str">
        <f>IF(A185="","",IF(E185="","非役職",VLOOKUP('従業員情報(給与以外)'!$E185,入力シート!$AH$37:$AO$62,5,0)))</f>
        <v/>
      </c>
      <c r="S185" s="116" t="str">
        <f>IF(OR(入力シート!$C$5&lt;&gt;入力リスト!$N$4,COUNTIF(入力シート!$J$16:$S$23,入力リスト!$K$4)=0),"",IF($A185="","",IF(ISERROR(AVERAGEIF(従業員の給与情報!$B:$B,$A185,従業員の給与情報!$C:$C)),0,IF(ISERROR(AVERAGEIF(従業員の給与情報!$B:$B,$A185,従業員の給与情報!$C:$C)),0,AVERAGEIF(従業員の給与情報!$B:$B,$A185,従業員の給与情報!$C:$C)))))</f>
        <v/>
      </c>
      <c r="T185" s="116" t="str">
        <f>IF(OR(入力シート!$C$5&lt;&gt;入力リスト!$N$4,COUNTIF(入力シート!$J$16:$S$23,入力リスト!$K$4)=0),"",IF(A185="","",IF(ISERROR(AVERAGEIF(従業員の給与情報!$B:$B,$A185,従業員の給与情報!$D:$D)),0,IF(ISERROR(AVERAGEIF(従業員の給与情報!$B:$B,$A185,従業員の給与情報!$D:$D)),0,AVERAGEIF(従業員の給与情報!$B:$B,$A185,従業員の給与情報!$D:$D)))))</f>
        <v/>
      </c>
      <c r="U185" s="116" t="str">
        <f>IF(OR(入力シート!$C$5&lt;&gt;入力リスト!$N$4,COUNTIF(入力シート!$J$16:$S$23,入力リスト!$K$4)=0),"",IF(A185="","",IF(ISERROR(AVERAGEIF(従業員の給与情報!$B:$B,$A185,従業員の給与情報!$E:$E)),0,IF(ISERROR(AVERAGEIF(従業員の給与情報!$B:$B,$A185,従業員の給与情報!$E:$E)),0,AVERAGEIF(従業員の給与情報!$B:$B,$A185,従業員の給与情報!$E:$E)))))</f>
        <v/>
      </c>
      <c r="V185" s="117" t="str">
        <f>IF(OR(入力シート!$C$5&lt;&gt;入力リスト!$N$4,COUNTIF(入力シート!$J$16:$S$23,入力リスト!$K$4)=0),"",IF(A185="","",IF(ISERROR(AVERAGEIF(従業員の給与情報!$B:$B,$A185,従業員の給与情報!$F:$F)),0,IF(ISERROR(AVERAGEIF(従業員の給与情報!$B:$B,$A185,従業員の給与情報!$F:$F)),0,AVERAGEIF(従業員の給与情報!$B:$B,$A185,従業員の給与情報!$F:$F)))))</f>
        <v/>
      </c>
      <c r="W185" s="182"/>
      <c r="X185" s="260"/>
    </row>
    <row r="186" spans="1:24" ht="19.5">
      <c r="A186" s="366"/>
      <c r="B186" s="366"/>
      <c r="C186" s="365"/>
      <c r="D186" s="366"/>
      <c r="E186" s="366"/>
      <c r="F186" s="372" t="str">
        <f>IF(G186,"この従業員番号は、すでに他のセルで入力されています。",IF(入力シート!$C$5=入力リスト!$N$5,"",IF(AND(A186="",B186="",C186="",D186="",E186=""),"",IF(OR(A186="",B186="",C186="",D186=""),IF(A186="","従業員番号","")&amp;IF(AND(A186="",OR(B186="",C186="",D186="")),",","")&amp;IF(B186="","雇用形態","")&amp;IF(AND(B186="",OR(C186="",D186="")),",","")&amp;IF(OR(入力シート!$J$18=入力リスト!$K$4,入力シート!$J$22=入力リスト!$K$4),IF(C186="","入社年月日",""),"")&amp;IF(AND(C186="",D186=""),",","")&amp;IF(D186="","性別","")&amp;IF(IF(A186="","従業員番号","")&amp;IF(B186="","雇用形態","")&amp;IF(OR(入力シート!$J$18=入力リスト!$K$4,入力シート!$J$22=入力リスト!$K$4),IF(C186="","入社年月日",""),"")&amp;IF(D186="","性別","")="","","が空白です。"),IF(J186,"入社年月日に「基準日」の翌日以降の日付が入力されています。","")&amp;IF(I186,"入社年月日に数値以外（又は1900/1/1以前の日付）が入力されています。","")&amp;IF(H186,"雇用形態"&amp;IF(OR(K186,L186),",",""),"")&amp;IF(K186,"性別"&amp;IF(L186,",",""),"")&amp;IF(L186,"役職","")&amp;IF(OR(H186,K186,L186),"に、［入力シート］(4)「貴社」欄と異なる文言が入力されています。","")))))</f>
        <v/>
      </c>
      <c r="G186" s="236" t="b">
        <f>COUNTIF($A$4:A185,$A186)&gt;0</f>
        <v>0</v>
      </c>
      <c r="H186" s="237" t="b">
        <f>IF(COUNTIF(入力シート!$J$16:$S$23,入力リスト!$K$4)=0,FALSE,IF(入力シート!$J$16=入力リスト!$K$5,FALSE,ISERROR(VLOOKUP(B186,入力シート!$S$37:$V$62,1,0))))</f>
        <v>0</v>
      </c>
      <c r="I186" s="237" t="b">
        <f>IF(AND(OR(入力シート!$J$18=入力リスト!$K$4,入力シート!$J$22=入力リスト!$K$4),入力シート!$J$24&lt;&gt;""),IF(ISERROR(C186+1),TRUE,IF(ISNUMBER(C186),FALSE,TRUE)),FALSE)</f>
        <v>0</v>
      </c>
      <c r="J186" s="237" t="b">
        <f>IF(AND(入力シート!$J$18=入力リスト!$K$4,入力シート!$J$22=入力リスト!$K$4),FALSE,IF(I186=TRUE,FALSE,IF(ISERROR(C186+1),FALSE,C186&gt;入力シート!$J$24)))</f>
        <v>0</v>
      </c>
      <c r="K186" s="237" t="b">
        <f>IF(COUNTIF(入力シート!$J$16:$S$23,入力リスト!$K$4)=0,FALSE,IF(AND(入力シート!$J$16&lt;&gt;入力リスト!$K$5,入力シート!$J$18&lt;&gt;入力リスト!$K$5,入力シート!$J$20&lt;&gt;入力リスト!$K$5,入力シート!$J$22&lt;&gt;入力リスト!$K$5),FALSE,ISERROR(VLOOKUP(D186,入力シート!$AW$37:$AY$38,1,0))))</f>
        <v>0</v>
      </c>
      <c r="L186" s="237" t="b">
        <f>IF(COUNTIF(入力シート!$J$16:$S$23,入力リスト!$K$4)=0,FALSE,IF(入力シート!$J$20=入力リスト!$K$5,FALSE,IF(E186="",FALSE,ISERROR(VLOOKUP(E186,入力シート!$AH$37:$AK$62,1,0)))))</f>
        <v>0</v>
      </c>
      <c r="M186" s="238" t="str">
        <f t="shared" si="2"/>
        <v/>
      </c>
      <c r="N186" s="236" t="str">
        <f>IF(B186="","",VLOOKUP('従業員情報(給与以外)'!$B186,入力シート!$S$37:$Z$62,5,0))</f>
        <v/>
      </c>
      <c r="O186" s="182" t="str">
        <f>IF(ISNUMBER(C186)=FALSE,"",IF(C186&gt;入力シート!$J$24,"",_xlfn.DAYS(入力シート!$J$24,'従業員情報(給与以外)'!$C186)/365))</f>
        <v/>
      </c>
      <c r="P186" s="237" t="str">
        <f>IF(O186="","",VLOOKUP(_xlfn.DAYS(入力シート!$J$24,'従業員情報(給与以外)'!$C186)/365,入力リスト!$H$4:$I$12,2,2))</f>
        <v/>
      </c>
      <c r="Q186" s="236" t="str">
        <f>IF(D186="","",VLOOKUP('従業員情報(給与以外)'!$D186,入力シート!$AW$37:$BB$38,4,0))</f>
        <v/>
      </c>
      <c r="R186" s="236" t="str">
        <f>IF(A186="","",IF(E186="","非役職",VLOOKUP('従業員情報(給与以外)'!$E186,入力シート!$AH$37:$AO$62,5,0)))</f>
        <v/>
      </c>
      <c r="S186" s="116" t="str">
        <f>IF(OR(入力シート!$C$5&lt;&gt;入力リスト!$N$4,COUNTIF(入力シート!$J$16:$S$23,入力リスト!$K$4)=0),"",IF($A186="","",IF(ISERROR(AVERAGEIF(従業員の給与情報!$B:$B,$A186,従業員の給与情報!$C:$C)),0,IF(ISERROR(AVERAGEIF(従業員の給与情報!$B:$B,$A186,従業員の給与情報!$C:$C)),0,AVERAGEIF(従業員の給与情報!$B:$B,$A186,従業員の給与情報!$C:$C)))))</f>
        <v/>
      </c>
      <c r="T186" s="116" t="str">
        <f>IF(OR(入力シート!$C$5&lt;&gt;入力リスト!$N$4,COUNTIF(入力シート!$J$16:$S$23,入力リスト!$K$4)=0),"",IF(A186="","",IF(ISERROR(AVERAGEIF(従業員の給与情報!$B:$B,$A186,従業員の給与情報!$D:$D)),0,IF(ISERROR(AVERAGEIF(従業員の給与情報!$B:$B,$A186,従業員の給与情報!$D:$D)),0,AVERAGEIF(従業員の給与情報!$B:$B,$A186,従業員の給与情報!$D:$D)))))</f>
        <v/>
      </c>
      <c r="U186" s="116" t="str">
        <f>IF(OR(入力シート!$C$5&lt;&gt;入力リスト!$N$4,COUNTIF(入力シート!$J$16:$S$23,入力リスト!$K$4)=0),"",IF(A186="","",IF(ISERROR(AVERAGEIF(従業員の給与情報!$B:$B,$A186,従業員の給与情報!$E:$E)),0,IF(ISERROR(AVERAGEIF(従業員の給与情報!$B:$B,$A186,従業員の給与情報!$E:$E)),0,AVERAGEIF(従業員の給与情報!$B:$B,$A186,従業員の給与情報!$E:$E)))))</f>
        <v/>
      </c>
      <c r="V186" s="117" t="str">
        <f>IF(OR(入力シート!$C$5&lt;&gt;入力リスト!$N$4,COUNTIF(入力シート!$J$16:$S$23,入力リスト!$K$4)=0),"",IF(A186="","",IF(ISERROR(AVERAGEIF(従業員の給与情報!$B:$B,$A186,従業員の給与情報!$F:$F)),0,IF(ISERROR(AVERAGEIF(従業員の給与情報!$B:$B,$A186,従業員の給与情報!$F:$F)),0,AVERAGEIF(従業員の給与情報!$B:$B,$A186,従業員の給与情報!$F:$F)))))</f>
        <v/>
      </c>
      <c r="W186" s="182"/>
      <c r="X186" s="260"/>
    </row>
    <row r="187" spans="1:24" ht="19.5">
      <c r="A187" s="366"/>
      <c r="B187" s="366"/>
      <c r="C187" s="365"/>
      <c r="D187" s="366"/>
      <c r="E187" s="366"/>
      <c r="F187" s="372" t="str">
        <f>IF(G187,"この従業員番号は、すでに他のセルで入力されています。",IF(入力シート!$C$5=入力リスト!$N$5,"",IF(AND(A187="",B187="",C187="",D187="",E187=""),"",IF(OR(A187="",B187="",C187="",D187=""),IF(A187="","従業員番号","")&amp;IF(AND(A187="",OR(B187="",C187="",D187="")),",","")&amp;IF(B187="","雇用形態","")&amp;IF(AND(B187="",OR(C187="",D187="")),",","")&amp;IF(OR(入力シート!$J$18=入力リスト!$K$4,入力シート!$J$22=入力リスト!$K$4),IF(C187="","入社年月日",""),"")&amp;IF(AND(C187="",D187=""),",","")&amp;IF(D187="","性別","")&amp;IF(IF(A187="","従業員番号","")&amp;IF(B187="","雇用形態","")&amp;IF(OR(入力シート!$J$18=入力リスト!$K$4,入力シート!$J$22=入力リスト!$K$4),IF(C187="","入社年月日",""),"")&amp;IF(D187="","性別","")="","","が空白です。"),IF(J187,"入社年月日に「基準日」の翌日以降の日付が入力されています。","")&amp;IF(I187,"入社年月日に数値以外（又は1900/1/1以前の日付）が入力されています。","")&amp;IF(H187,"雇用形態"&amp;IF(OR(K187,L187),",",""),"")&amp;IF(K187,"性別"&amp;IF(L187,",",""),"")&amp;IF(L187,"役職","")&amp;IF(OR(H187,K187,L187),"に、［入力シート］(4)「貴社」欄と異なる文言が入力されています。","")))))</f>
        <v/>
      </c>
      <c r="G187" s="236" t="b">
        <f>COUNTIF($A$4:A186,$A187)&gt;0</f>
        <v>0</v>
      </c>
      <c r="H187" s="237" t="b">
        <f>IF(COUNTIF(入力シート!$J$16:$S$23,入力リスト!$K$4)=0,FALSE,IF(入力シート!$J$16=入力リスト!$K$5,FALSE,ISERROR(VLOOKUP(B187,入力シート!$S$37:$V$62,1,0))))</f>
        <v>0</v>
      </c>
      <c r="I187" s="237" t="b">
        <f>IF(AND(OR(入力シート!$J$18=入力リスト!$K$4,入力シート!$J$22=入力リスト!$K$4),入力シート!$J$24&lt;&gt;""),IF(ISERROR(C187+1),TRUE,IF(ISNUMBER(C187),FALSE,TRUE)),FALSE)</f>
        <v>0</v>
      </c>
      <c r="J187" s="237" t="b">
        <f>IF(AND(入力シート!$J$18=入力リスト!$K$4,入力シート!$J$22=入力リスト!$K$4),FALSE,IF(I187=TRUE,FALSE,IF(ISERROR(C187+1),FALSE,C187&gt;入力シート!$J$24)))</f>
        <v>0</v>
      </c>
      <c r="K187" s="237" t="b">
        <f>IF(COUNTIF(入力シート!$J$16:$S$23,入力リスト!$K$4)=0,FALSE,IF(AND(入力シート!$J$16&lt;&gt;入力リスト!$K$5,入力シート!$J$18&lt;&gt;入力リスト!$K$5,入力シート!$J$20&lt;&gt;入力リスト!$K$5,入力シート!$J$22&lt;&gt;入力リスト!$K$5),FALSE,ISERROR(VLOOKUP(D187,入力シート!$AW$37:$AY$38,1,0))))</f>
        <v>0</v>
      </c>
      <c r="L187" s="237" t="b">
        <f>IF(COUNTIF(入力シート!$J$16:$S$23,入力リスト!$K$4)=0,FALSE,IF(入力シート!$J$20=入力リスト!$K$5,FALSE,IF(E187="",FALSE,ISERROR(VLOOKUP(E187,入力シート!$AH$37:$AK$62,1,0)))))</f>
        <v>0</v>
      </c>
      <c r="M187" s="238" t="str">
        <f t="shared" si="2"/>
        <v/>
      </c>
      <c r="N187" s="236" t="str">
        <f>IF(B187="","",VLOOKUP('従業員情報(給与以外)'!$B187,入力シート!$S$37:$Z$62,5,0))</f>
        <v/>
      </c>
      <c r="O187" s="182" t="str">
        <f>IF(ISNUMBER(C187)=FALSE,"",IF(C187&gt;入力シート!$J$24,"",_xlfn.DAYS(入力シート!$J$24,'従業員情報(給与以外)'!$C187)/365))</f>
        <v/>
      </c>
      <c r="P187" s="237" t="str">
        <f>IF(O187="","",VLOOKUP(_xlfn.DAYS(入力シート!$J$24,'従業員情報(給与以外)'!$C187)/365,入力リスト!$H$4:$I$12,2,2))</f>
        <v/>
      </c>
      <c r="Q187" s="236" t="str">
        <f>IF(D187="","",VLOOKUP('従業員情報(給与以外)'!$D187,入力シート!$AW$37:$BB$38,4,0))</f>
        <v/>
      </c>
      <c r="R187" s="236" t="str">
        <f>IF(A187="","",IF(E187="","非役職",VLOOKUP('従業員情報(給与以外)'!$E187,入力シート!$AH$37:$AO$62,5,0)))</f>
        <v/>
      </c>
      <c r="S187" s="116" t="str">
        <f>IF(OR(入力シート!$C$5&lt;&gt;入力リスト!$N$4,COUNTIF(入力シート!$J$16:$S$23,入力リスト!$K$4)=0),"",IF($A187="","",IF(ISERROR(AVERAGEIF(従業員の給与情報!$B:$B,$A187,従業員の給与情報!$C:$C)),0,IF(ISERROR(AVERAGEIF(従業員の給与情報!$B:$B,$A187,従業員の給与情報!$C:$C)),0,AVERAGEIF(従業員の給与情報!$B:$B,$A187,従業員の給与情報!$C:$C)))))</f>
        <v/>
      </c>
      <c r="T187" s="116" t="str">
        <f>IF(OR(入力シート!$C$5&lt;&gt;入力リスト!$N$4,COUNTIF(入力シート!$J$16:$S$23,入力リスト!$K$4)=0),"",IF(A187="","",IF(ISERROR(AVERAGEIF(従業員の給与情報!$B:$B,$A187,従業員の給与情報!$D:$D)),0,IF(ISERROR(AVERAGEIF(従業員の給与情報!$B:$B,$A187,従業員の給与情報!$D:$D)),0,AVERAGEIF(従業員の給与情報!$B:$B,$A187,従業員の給与情報!$D:$D)))))</f>
        <v/>
      </c>
      <c r="U187" s="116" t="str">
        <f>IF(OR(入力シート!$C$5&lt;&gt;入力リスト!$N$4,COUNTIF(入力シート!$J$16:$S$23,入力リスト!$K$4)=0),"",IF(A187="","",IF(ISERROR(AVERAGEIF(従業員の給与情報!$B:$B,$A187,従業員の給与情報!$E:$E)),0,IF(ISERROR(AVERAGEIF(従業員の給与情報!$B:$B,$A187,従業員の給与情報!$E:$E)),0,AVERAGEIF(従業員の給与情報!$B:$B,$A187,従業員の給与情報!$E:$E)))))</f>
        <v/>
      </c>
      <c r="V187" s="117" t="str">
        <f>IF(OR(入力シート!$C$5&lt;&gt;入力リスト!$N$4,COUNTIF(入力シート!$J$16:$S$23,入力リスト!$K$4)=0),"",IF(A187="","",IF(ISERROR(AVERAGEIF(従業員の給与情報!$B:$B,$A187,従業員の給与情報!$F:$F)),0,IF(ISERROR(AVERAGEIF(従業員の給与情報!$B:$B,$A187,従業員の給与情報!$F:$F)),0,AVERAGEIF(従業員の給与情報!$B:$B,$A187,従業員の給与情報!$F:$F)))))</f>
        <v/>
      </c>
      <c r="W187" s="182"/>
      <c r="X187" s="260"/>
    </row>
    <row r="188" spans="1:24" ht="19.5">
      <c r="A188" s="366"/>
      <c r="B188" s="366"/>
      <c r="C188" s="365"/>
      <c r="D188" s="366"/>
      <c r="E188" s="366"/>
      <c r="F188" s="372" t="str">
        <f>IF(G188,"この従業員番号は、すでに他のセルで入力されています。",IF(入力シート!$C$5=入力リスト!$N$5,"",IF(AND(A188="",B188="",C188="",D188="",E188=""),"",IF(OR(A188="",B188="",C188="",D188=""),IF(A188="","従業員番号","")&amp;IF(AND(A188="",OR(B188="",C188="",D188="")),",","")&amp;IF(B188="","雇用形態","")&amp;IF(AND(B188="",OR(C188="",D188="")),",","")&amp;IF(OR(入力シート!$J$18=入力リスト!$K$4,入力シート!$J$22=入力リスト!$K$4),IF(C188="","入社年月日",""),"")&amp;IF(AND(C188="",D188=""),",","")&amp;IF(D188="","性別","")&amp;IF(IF(A188="","従業員番号","")&amp;IF(B188="","雇用形態","")&amp;IF(OR(入力シート!$J$18=入力リスト!$K$4,入力シート!$J$22=入力リスト!$K$4),IF(C188="","入社年月日",""),"")&amp;IF(D188="","性別","")="","","が空白です。"),IF(J188,"入社年月日に「基準日」の翌日以降の日付が入力されています。","")&amp;IF(I188,"入社年月日に数値以外（又は1900/1/1以前の日付）が入力されています。","")&amp;IF(H188,"雇用形態"&amp;IF(OR(K188,L188),",",""),"")&amp;IF(K188,"性別"&amp;IF(L188,",",""),"")&amp;IF(L188,"役職","")&amp;IF(OR(H188,K188,L188),"に、［入力シート］(4)「貴社」欄と異なる文言が入力されています。","")))))</f>
        <v/>
      </c>
      <c r="G188" s="236" t="b">
        <f>COUNTIF($A$4:A187,$A188)&gt;0</f>
        <v>0</v>
      </c>
      <c r="H188" s="237" t="b">
        <f>IF(COUNTIF(入力シート!$J$16:$S$23,入力リスト!$K$4)=0,FALSE,IF(入力シート!$J$16=入力リスト!$K$5,FALSE,ISERROR(VLOOKUP(B188,入力シート!$S$37:$V$62,1,0))))</f>
        <v>0</v>
      </c>
      <c r="I188" s="237" t="b">
        <f>IF(AND(OR(入力シート!$J$18=入力リスト!$K$4,入力シート!$J$22=入力リスト!$K$4),入力シート!$J$24&lt;&gt;""),IF(ISERROR(C188+1),TRUE,IF(ISNUMBER(C188),FALSE,TRUE)),FALSE)</f>
        <v>0</v>
      </c>
      <c r="J188" s="237" t="b">
        <f>IF(AND(入力シート!$J$18=入力リスト!$K$4,入力シート!$J$22=入力リスト!$K$4),FALSE,IF(I188=TRUE,FALSE,IF(ISERROR(C188+1),FALSE,C188&gt;入力シート!$J$24)))</f>
        <v>0</v>
      </c>
      <c r="K188" s="237" t="b">
        <f>IF(COUNTIF(入力シート!$J$16:$S$23,入力リスト!$K$4)=0,FALSE,IF(AND(入力シート!$J$16&lt;&gt;入力リスト!$K$5,入力シート!$J$18&lt;&gt;入力リスト!$K$5,入力シート!$J$20&lt;&gt;入力リスト!$K$5,入力シート!$J$22&lt;&gt;入力リスト!$K$5),FALSE,ISERROR(VLOOKUP(D188,入力シート!$AW$37:$AY$38,1,0))))</f>
        <v>0</v>
      </c>
      <c r="L188" s="237" t="b">
        <f>IF(COUNTIF(入力シート!$J$16:$S$23,入力リスト!$K$4)=0,FALSE,IF(入力シート!$J$20=入力リスト!$K$5,FALSE,IF(E188="",FALSE,ISERROR(VLOOKUP(E188,入力シート!$AH$37:$AK$62,1,0)))))</f>
        <v>0</v>
      </c>
      <c r="M188" s="238" t="str">
        <f t="shared" si="2"/>
        <v/>
      </c>
      <c r="N188" s="236" t="str">
        <f>IF(B188="","",VLOOKUP('従業員情報(給与以外)'!$B188,入力シート!$S$37:$Z$62,5,0))</f>
        <v/>
      </c>
      <c r="O188" s="182" t="str">
        <f>IF(ISNUMBER(C188)=FALSE,"",IF(C188&gt;入力シート!$J$24,"",_xlfn.DAYS(入力シート!$J$24,'従業員情報(給与以外)'!$C188)/365))</f>
        <v/>
      </c>
      <c r="P188" s="237" t="str">
        <f>IF(O188="","",VLOOKUP(_xlfn.DAYS(入力シート!$J$24,'従業員情報(給与以外)'!$C188)/365,入力リスト!$H$4:$I$12,2,2))</f>
        <v/>
      </c>
      <c r="Q188" s="236" t="str">
        <f>IF(D188="","",VLOOKUP('従業員情報(給与以外)'!$D188,入力シート!$AW$37:$BB$38,4,0))</f>
        <v/>
      </c>
      <c r="R188" s="236" t="str">
        <f>IF(A188="","",IF(E188="","非役職",VLOOKUP('従業員情報(給与以外)'!$E188,入力シート!$AH$37:$AO$62,5,0)))</f>
        <v/>
      </c>
      <c r="S188" s="116" t="str">
        <f>IF(OR(入力シート!$C$5&lt;&gt;入力リスト!$N$4,COUNTIF(入力シート!$J$16:$S$23,入力リスト!$K$4)=0),"",IF($A188="","",IF(ISERROR(AVERAGEIF(従業員の給与情報!$B:$B,$A188,従業員の給与情報!$C:$C)),0,IF(ISERROR(AVERAGEIF(従業員の給与情報!$B:$B,$A188,従業員の給与情報!$C:$C)),0,AVERAGEIF(従業員の給与情報!$B:$B,$A188,従業員の給与情報!$C:$C)))))</f>
        <v/>
      </c>
      <c r="T188" s="116" t="str">
        <f>IF(OR(入力シート!$C$5&lt;&gt;入力リスト!$N$4,COUNTIF(入力シート!$J$16:$S$23,入力リスト!$K$4)=0),"",IF(A188="","",IF(ISERROR(AVERAGEIF(従業員の給与情報!$B:$B,$A188,従業員の給与情報!$D:$D)),0,IF(ISERROR(AVERAGEIF(従業員の給与情報!$B:$B,$A188,従業員の給与情報!$D:$D)),0,AVERAGEIF(従業員の給与情報!$B:$B,$A188,従業員の給与情報!$D:$D)))))</f>
        <v/>
      </c>
      <c r="U188" s="116" t="str">
        <f>IF(OR(入力シート!$C$5&lt;&gt;入力リスト!$N$4,COUNTIF(入力シート!$J$16:$S$23,入力リスト!$K$4)=0),"",IF(A188="","",IF(ISERROR(AVERAGEIF(従業員の給与情報!$B:$B,$A188,従業員の給与情報!$E:$E)),0,IF(ISERROR(AVERAGEIF(従業員の給与情報!$B:$B,$A188,従業員の給与情報!$E:$E)),0,AVERAGEIF(従業員の給与情報!$B:$B,$A188,従業員の給与情報!$E:$E)))))</f>
        <v/>
      </c>
      <c r="V188" s="117" t="str">
        <f>IF(OR(入力シート!$C$5&lt;&gt;入力リスト!$N$4,COUNTIF(入力シート!$J$16:$S$23,入力リスト!$K$4)=0),"",IF(A188="","",IF(ISERROR(AVERAGEIF(従業員の給与情報!$B:$B,$A188,従業員の給与情報!$F:$F)),0,IF(ISERROR(AVERAGEIF(従業員の給与情報!$B:$B,$A188,従業員の給与情報!$F:$F)),0,AVERAGEIF(従業員の給与情報!$B:$B,$A188,従業員の給与情報!$F:$F)))))</f>
        <v/>
      </c>
      <c r="W188" s="182"/>
      <c r="X188" s="260"/>
    </row>
    <row r="189" spans="1:24" ht="19.5">
      <c r="A189" s="366"/>
      <c r="B189" s="366"/>
      <c r="C189" s="365"/>
      <c r="D189" s="366"/>
      <c r="E189" s="366"/>
      <c r="F189" s="372" t="str">
        <f>IF(G189,"この従業員番号は、すでに他のセルで入力されています。",IF(入力シート!$C$5=入力リスト!$N$5,"",IF(AND(A189="",B189="",C189="",D189="",E189=""),"",IF(OR(A189="",B189="",C189="",D189=""),IF(A189="","従業員番号","")&amp;IF(AND(A189="",OR(B189="",C189="",D189="")),",","")&amp;IF(B189="","雇用形態","")&amp;IF(AND(B189="",OR(C189="",D189="")),",","")&amp;IF(OR(入力シート!$J$18=入力リスト!$K$4,入力シート!$J$22=入力リスト!$K$4),IF(C189="","入社年月日",""),"")&amp;IF(AND(C189="",D189=""),",","")&amp;IF(D189="","性別","")&amp;IF(IF(A189="","従業員番号","")&amp;IF(B189="","雇用形態","")&amp;IF(OR(入力シート!$J$18=入力リスト!$K$4,入力シート!$J$22=入力リスト!$K$4),IF(C189="","入社年月日",""),"")&amp;IF(D189="","性別","")="","","が空白です。"),IF(J189,"入社年月日に「基準日」の翌日以降の日付が入力されています。","")&amp;IF(I189,"入社年月日に数値以外（又は1900/1/1以前の日付）が入力されています。","")&amp;IF(H189,"雇用形態"&amp;IF(OR(K189,L189),",",""),"")&amp;IF(K189,"性別"&amp;IF(L189,",",""),"")&amp;IF(L189,"役職","")&amp;IF(OR(H189,K189,L189),"に、［入力シート］(4)「貴社」欄と異なる文言が入力されています。","")))))</f>
        <v/>
      </c>
      <c r="G189" s="236" t="b">
        <f>COUNTIF($A$4:A188,$A189)&gt;0</f>
        <v>0</v>
      </c>
      <c r="H189" s="237" t="b">
        <f>IF(COUNTIF(入力シート!$J$16:$S$23,入力リスト!$K$4)=0,FALSE,IF(入力シート!$J$16=入力リスト!$K$5,FALSE,ISERROR(VLOOKUP(B189,入力シート!$S$37:$V$62,1,0))))</f>
        <v>0</v>
      </c>
      <c r="I189" s="237" t="b">
        <f>IF(AND(OR(入力シート!$J$18=入力リスト!$K$4,入力シート!$J$22=入力リスト!$K$4),入力シート!$J$24&lt;&gt;""),IF(ISERROR(C189+1),TRUE,IF(ISNUMBER(C189),FALSE,TRUE)),FALSE)</f>
        <v>0</v>
      </c>
      <c r="J189" s="237" t="b">
        <f>IF(AND(入力シート!$J$18=入力リスト!$K$4,入力シート!$J$22=入力リスト!$K$4),FALSE,IF(I189=TRUE,FALSE,IF(ISERROR(C189+1),FALSE,C189&gt;入力シート!$J$24)))</f>
        <v>0</v>
      </c>
      <c r="K189" s="237" t="b">
        <f>IF(COUNTIF(入力シート!$J$16:$S$23,入力リスト!$K$4)=0,FALSE,IF(AND(入力シート!$J$16&lt;&gt;入力リスト!$K$5,入力シート!$J$18&lt;&gt;入力リスト!$K$5,入力シート!$J$20&lt;&gt;入力リスト!$K$5,入力シート!$J$22&lt;&gt;入力リスト!$K$5),FALSE,ISERROR(VLOOKUP(D189,入力シート!$AW$37:$AY$38,1,0))))</f>
        <v>0</v>
      </c>
      <c r="L189" s="237" t="b">
        <f>IF(COUNTIF(入力シート!$J$16:$S$23,入力リスト!$K$4)=0,FALSE,IF(入力シート!$J$20=入力リスト!$K$5,FALSE,IF(E189="",FALSE,ISERROR(VLOOKUP(E189,入力シート!$AH$37:$AK$62,1,0)))))</f>
        <v>0</v>
      </c>
      <c r="M189" s="238" t="str">
        <f t="shared" si="2"/>
        <v/>
      </c>
      <c r="N189" s="236" t="str">
        <f>IF(B189="","",VLOOKUP('従業員情報(給与以外)'!$B189,入力シート!$S$37:$Z$62,5,0))</f>
        <v/>
      </c>
      <c r="O189" s="182" t="str">
        <f>IF(ISNUMBER(C189)=FALSE,"",IF(C189&gt;入力シート!$J$24,"",_xlfn.DAYS(入力シート!$J$24,'従業員情報(給与以外)'!$C189)/365))</f>
        <v/>
      </c>
      <c r="P189" s="237" t="str">
        <f>IF(O189="","",VLOOKUP(_xlfn.DAYS(入力シート!$J$24,'従業員情報(給与以外)'!$C189)/365,入力リスト!$H$4:$I$12,2,2))</f>
        <v/>
      </c>
      <c r="Q189" s="236" t="str">
        <f>IF(D189="","",VLOOKUP('従業員情報(給与以外)'!$D189,入力シート!$AW$37:$BB$38,4,0))</f>
        <v/>
      </c>
      <c r="R189" s="236" t="str">
        <f>IF(A189="","",IF(E189="","非役職",VLOOKUP('従業員情報(給与以外)'!$E189,入力シート!$AH$37:$AO$62,5,0)))</f>
        <v/>
      </c>
      <c r="S189" s="116" t="str">
        <f>IF(OR(入力シート!$C$5&lt;&gt;入力リスト!$N$4,COUNTIF(入力シート!$J$16:$S$23,入力リスト!$K$4)=0),"",IF($A189="","",IF(ISERROR(AVERAGEIF(従業員の給与情報!$B:$B,$A189,従業員の給与情報!$C:$C)),0,IF(ISERROR(AVERAGEIF(従業員の給与情報!$B:$B,$A189,従業員の給与情報!$C:$C)),0,AVERAGEIF(従業員の給与情報!$B:$B,$A189,従業員の給与情報!$C:$C)))))</f>
        <v/>
      </c>
      <c r="T189" s="116" t="str">
        <f>IF(OR(入力シート!$C$5&lt;&gt;入力リスト!$N$4,COUNTIF(入力シート!$J$16:$S$23,入力リスト!$K$4)=0),"",IF(A189="","",IF(ISERROR(AVERAGEIF(従業員の給与情報!$B:$B,$A189,従業員の給与情報!$D:$D)),0,IF(ISERROR(AVERAGEIF(従業員の給与情報!$B:$B,$A189,従業員の給与情報!$D:$D)),0,AVERAGEIF(従業員の給与情報!$B:$B,$A189,従業員の給与情報!$D:$D)))))</f>
        <v/>
      </c>
      <c r="U189" s="116" t="str">
        <f>IF(OR(入力シート!$C$5&lt;&gt;入力リスト!$N$4,COUNTIF(入力シート!$J$16:$S$23,入力リスト!$K$4)=0),"",IF(A189="","",IF(ISERROR(AVERAGEIF(従業員の給与情報!$B:$B,$A189,従業員の給与情報!$E:$E)),0,IF(ISERROR(AVERAGEIF(従業員の給与情報!$B:$B,$A189,従業員の給与情報!$E:$E)),0,AVERAGEIF(従業員の給与情報!$B:$B,$A189,従業員の給与情報!$E:$E)))))</f>
        <v/>
      </c>
      <c r="V189" s="117" t="str">
        <f>IF(OR(入力シート!$C$5&lt;&gt;入力リスト!$N$4,COUNTIF(入力シート!$J$16:$S$23,入力リスト!$K$4)=0),"",IF(A189="","",IF(ISERROR(AVERAGEIF(従業員の給与情報!$B:$B,$A189,従業員の給与情報!$F:$F)),0,IF(ISERROR(AVERAGEIF(従業員の給与情報!$B:$B,$A189,従業員の給与情報!$F:$F)),0,AVERAGEIF(従業員の給与情報!$B:$B,$A189,従業員の給与情報!$F:$F)))))</f>
        <v/>
      </c>
      <c r="W189" s="182"/>
      <c r="X189" s="260"/>
    </row>
    <row r="190" spans="1:24" ht="19.5">
      <c r="A190" s="366"/>
      <c r="B190" s="366"/>
      <c r="C190" s="365"/>
      <c r="D190" s="366"/>
      <c r="E190" s="366"/>
      <c r="F190" s="372" t="str">
        <f>IF(G190,"この従業員番号は、すでに他のセルで入力されています。",IF(入力シート!$C$5=入力リスト!$N$5,"",IF(AND(A190="",B190="",C190="",D190="",E190=""),"",IF(OR(A190="",B190="",C190="",D190=""),IF(A190="","従業員番号","")&amp;IF(AND(A190="",OR(B190="",C190="",D190="")),",","")&amp;IF(B190="","雇用形態","")&amp;IF(AND(B190="",OR(C190="",D190="")),",","")&amp;IF(OR(入力シート!$J$18=入力リスト!$K$4,入力シート!$J$22=入力リスト!$K$4),IF(C190="","入社年月日",""),"")&amp;IF(AND(C190="",D190=""),",","")&amp;IF(D190="","性別","")&amp;IF(IF(A190="","従業員番号","")&amp;IF(B190="","雇用形態","")&amp;IF(OR(入力シート!$J$18=入力リスト!$K$4,入力シート!$J$22=入力リスト!$K$4),IF(C190="","入社年月日",""),"")&amp;IF(D190="","性別","")="","","が空白です。"),IF(J190,"入社年月日に「基準日」の翌日以降の日付が入力されています。","")&amp;IF(I190,"入社年月日に数値以外（又は1900/1/1以前の日付）が入力されています。","")&amp;IF(H190,"雇用形態"&amp;IF(OR(K190,L190),",",""),"")&amp;IF(K190,"性別"&amp;IF(L190,",",""),"")&amp;IF(L190,"役職","")&amp;IF(OR(H190,K190,L190),"に、［入力シート］(4)「貴社」欄と異なる文言が入力されています。","")))))</f>
        <v/>
      </c>
      <c r="G190" s="236" t="b">
        <f>COUNTIF($A$4:A189,$A190)&gt;0</f>
        <v>0</v>
      </c>
      <c r="H190" s="237" t="b">
        <f>IF(COUNTIF(入力シート!$J$16:$S$23,入力リスト!$K$4)=0,FALSE,IF(入力シート!$J$16=入力リスト!$K$5,FALSE,ISERROR(VLOOKUP(B190,入力シート!$S$37:$V$62,1,0))))</f>
        <v>0</v>
      </c>
      <c r="I190" s="237" t="b">
        <f>IF(AND(OR(入力シート!$J$18=入力リスト!$K$4,入力シート!$J$22=入力リスト!$K$4),入力シート!$J$24&lt;&gt;""),IF(ISERROR(C190+1),TRUE,IF(ISNUMBER(C190),FALSE,TRUE)),FALSE)</f>
        <v>0</v>
      </c>
      <c r="J190" s="237" t="b">
        <f>IF(AND(入力シート!$J$18=入力リスト!$K$4,入力シート!$J$22=入力リスト!$K$4),FALSE,IF(I190=TRUE,FALSE,IF(ISERROR(C190+1),FALSE,C190&gt;入力シート!$J$24)))</f>
        <v>0</v>
      </c>
      <c r="K190" s="237" t="b">
        <f>IF(COUNTIF(入力シート!$J$16:$S$23,入力リスト!$K$4)=0,FALSE,IF(AND(入力シート!$J$16&lt;&gt;入力リスト!$K$5,入力シート!$J$18&lt;&gt;入力リスト!$K$5,入力シート!$J$20&lt;&gt;入力リスト!$K$5,入力シート!$J$22&lt;&gt;入力リスト!$K$5),FALSE,ISERROR(VLOOKUP(D190,入力シート!$AW$37:$AY$38,1,0))))</f>
        <v>0</v>
      </c>
      <c r="L190" s="237" t="b">
        <f>IF(COUNTIF(入力シート!$J$16:$S$23,入力リスト!$K$4)=0,FALSE,IF(入力シート!$J$20=入力リスト!$K$5,FALSE,IF(E190="",FALSE,ISERROR(VLOOKUP(E190,入力シート!$AH$37:$AK$62,1,0)))))</f>
        <v>0</v>
      </c>
      <c r="M190" s="238" t="str">
        <f t="shared" si="2"/>
        <v/>
      </c>
      <c r="N190" s="236" t="str">
        <f>IF(B190="","",VLOOKUP('従業員情報(給与以外)'!$B190,入力シート!$S$37:$Z$62,5,0))</f>
        <v/>
      </c>
      <c r="O190" s="182" t="str">
        <f>IF(ISNUMBER(C190)=FALSE,"",IF(C190&gt;入力シート!$J$24,"",_xlfn.DAYS(入力シート!$J$24,'従業員情報(給与以外)'!$C190)/365))</f>
        <v/>
      </c>
      <c r="P190" s="237" t="str">
        <f>IF(O190="","",VLOOKUP(_xlfn.DAYS(入力シート!$J$24,'従業員情報(給与以外)'!$C190)/365,入力リスト!$H$4:$I$12,2,2))</f>
        <v/>
      </c>
      <c r="Q190" s="236" t="str">
        <f>IF(D190="","",VLOOKUP('従業員情報(給与以外)'!$D190,入力シート!$AW$37:$BB$38,4,0))</f>
        <v/>
      </c>
      <c r="R190" s="236" t="str">
        <f>IF(A190="","",IF(E190="","非役職",VLOOKUP('従業員情報(給与以外)'!$E190,入力シート!$AH$37:$AO$62,5,0)))</f>
        <v/>
      </c>
      <c r="S190" s="116" t="str">
        <f>IF(OR(入力シート!$C$5&lt;&gt;入力リスト!$N$4,COUNTIF(入力シート!$J$16:$S$23,入力リスト!$K$4)=0),"",IF($A190="","",IF(ISERROR(AVERAGEIF(従業員の給与情報!$B:$B,$A190,従業員の給与情報!$C:$C)),0,IF(ISERROR(AVERAGEIF(従業員の給与情報!$B:$B,$A190,従業員の給与情報!$C:$C)),0,AVERAGEIF(従業員の給与情報!$B:$B,$A190,従業員の給与情報!$C:$C)))))</f>
        <v/>
      </c>
      <c r="T190" s="116" t="str">
        <f>IF(OR(入力シート!$C$5&lt;&gt;入力リスト!$N$4,COUNTIF(入力シート!$J$16:$S$23,入力リスト!$K$4)=0),"",IF(A190="","",IF(ISERROR(AVERAGEIF(従業員の給与情報!$B:$B,$A190,従業員の給与情報!$D:$D)),0,IF(ISERROR(AVERAGEIF(従業員の給与情報!$B:$B,$A190,従業員の給与情報!$D:$D)),0,AVERAGEIF(従業員の給与情報!$B:$B,$A190,従業員の給与情報!$D:$D)))))</f>
        <v/>
      </c>
      <c r="U190" s="116" t="str">
        <f>IF(OR(入力シート!$C$5&lt;&gt;入力リスト!$N$4,COUNTIF(入力シート!$J$16:$S$23,入力リスト!$K$4)=0),"",IF(A190="","",IF(ISERROR(AVERAGEIF(従業員の給与情報!$B:$B,$A190,従業員の給与情報!$E:$E)),0,IF(ISERROR(AVERAGEIF(従業員の給与情報!$B:$B,$A190,従業員の給与情報!$E:$E)),0,AVERAGEIF(従業員の給与情報!$B:$B,$A190,従業員の給与情報!$E:$E)))))</f>
        <v/>
      </c>
      <c r="V190" s="117" t="str">
        <f>IF(OR(入力シート!$C$5&lt;&gt;入力リスト!$N$4,COUNTIF(入力シート!$J$16:$S$23,入力リスト!$K$4)=0),"",IF(A190="","",IF(ISERROR(AVERAGEIF(従業員の給与情報!$B:$B,$A190,従業員の給与情報!$F:$F)),0,IF(ISERROR(AVERAGEIF(従業員の給与情報!$B:$B,$A190,従業員の給与情報!$F:$F)),0,AVERAGEIF(従業員の給与情報!$B:$B,$A190,従業員の給与情報!$F:$F)))))</f>
        <v/>
      </c>
      <c r="W190" s="182"/>
      <c r="X190" s="260"/>
    </row>
    <row r="191" spans="1:24" ht="19.5">
      <c r="A191" s="366"/>
      <c r="B191" s="366"/>
      <c r="C191" s="365"/>
      <c r="D191" s="366"/>
      <c r="E191" s="366"/>
      <c r="F191" s="372" t="str">
        <f>IF(G191,"この従業員番号は、すでに他のセルで入力されています。",IF(入力シート!$C$5=入力リスト!$N$5,"",IF(AND(A191="",B191="",C191="",D191="",E191=""),"",IF(OR(A191="",B191="",C191="",D191=""),IF(A191="","従業員番号","")&amp;IF(AND(A191="",OR(B191="",C191="",D191="")),",","")&amp;IF(B191="","雇用形態","")&amp;IF(AND(B191="",OR(C191="",D191="")),",","")&amp;IF(OR(入力シート!$J$18=入力リスト!$K$4,入力シート!$J$22=入力リスト!$K$4),IF(C191="","入社年月日",""),"")&amp;IF(AND(C191="",D191=""),",","")&amp;IF(D191="","性別","")&amp;IF(IF(A191="","従業員番号","")&amp;IF(B191="","雇用形態","")&amp;IF(OR(入力シート!$J$18=入力リスト!$K$4,入力シート!$J$22=入力リスト!$K$4),IF(C191="","入社年月日",""),"")&amp;IF(D191="","性別","")="","","が空白です。"),IF(J191,"入社年月日に「基準日」の翌日以降の日付が入力されています。","")&amp;IF(I191,"入社年月日に数値以外（又は1900/1/1以前の日付）が入力されています。","")&amp;IF(H191,"雇用形態"&amp;IF(OR(K191,L191),",",""),"")&amp;IF(K191,"性別"&amp;IF(L191,",",""),"")&amp;IF(L191,"役職","")&amp;IF(OR(H191,K191,L191),"に、［入力シート］(4)「貴社」欄と異なる文言が入力されています。","")))))</f>
        <v/>
      </c>
      <c r="G191" s="236" t="b">
        <f>COUNTIF($A$4:A190,$A191)&gt;0</f>
        <v>0</v>
      </c>
      <c r="H191" s="237" t="b">
        <f>IF(COUNTIF(入力シート!$J$16:$S$23,入力リスト!$K$4)=0,FALSE,IF(入力シート!$J$16=入力リスト!$K$5,FALSE,ISERROR(VLOOKUP(B191,入力シート!$S$37:$V$62,1,0))))</f>
        <v>0</v>
      </c>
      <c r="I191" s="237" t="b">
        <f>IF(AND(OR(入力シート!$J$18=入力リスト!$K$4,入力シート!$J$22=入力リスト!$K$4),入力シート!$J$24&lt;&gt;""),IF(ISERROR(C191+1),TRUE,IF(ISNUMBER(C191),FALSE,TRUE)),FALSE)</f>
        <v>0</v>
      </c>
      <c r="J191" s="237" t="b">
        <f>IF(AND(入力シート!$J$18=入力リスト!$K$4,入力シート!$J$22=入力リスト!$K$4),FALSE,IF(I191=TRUE,FALSE,IF(ISERROR(C191+1),FALSE,C191&gt;入力シート!$J$24)))</f>
        <v>0</v>
      </c>
      <c r="K191" s="237" t="b">
        <f>IF(COUNTIF(入力シート!$J$16:$S$23,入力リスト!$K$4)=0,FALSE,IF(AND(入力シート!$J$16&lt;&gt;入力リスト!$K$5,入力シート!$J$18&lt;&gt;入力リスト!$K$5,入力シート!$J$20&lt;&gt;入力リスト!$K$5,入力シート!$J$22&lt;&gt;入力リスト!$K$5),FALSE,ISERROR(VLOOKUP(D191,入力シート!$AW$37:$AY$38,1,0))))</f>
        <v>0</v>
      </c>
      <c r="L191" s="237" t="b">
        <f>IF(COUNTIF(入力シート!$J$16:$S$23,入力リスト!$K$4)=0,FALSE,IF(入力シート!$J$20=入力リスト!$K$5,FALSE,IF(E191="",FALSE,ISERROR(VLOOKUP(E191,入力シート!$AH$37:$AK$62,1,0)))))</f>
        <v>0</v>
      </c>
      <c r="M191" s="238" t="str">
        <f t="shared" si="2"/>
        <v/>
      </c>
      <c r="N191" s="236" t="str">
        <f>IF(B191="","",VLOOKUP('従業員情報(給与以外)'!$B191,入力シート!$S$37:$Z$62,5,0))</f>
        <v/>
      </c>
      <c r="O191" s="182" t="str">
        <f>IF(ISNUMBER(C191)=FALSE,"",IF(C191&gt;入力シート!$J$24,"",_xlfn.DAYS(入力シート!$J$24,'従業員情報(給与以外)'!$C191)/365))</f>
        <v/>
      </c>
      <c r="P191" s="237" t="str">
        <f>IF(O191="","",VLOOKUP(_xlfn.DAYS(入力シート!$J$24,'従業員情報(給与以外)'!$C191)/365,入力リスト!$H$4:$I$12,2,2))</f>
        <v/>
      </c>
      <c r="Q191" s="236" t="str">
        <f>IF(D191="","",VLOOKUP('従業員情報(給与以外)'!$D191,入力シート!$AW$37:$BB$38,4,0))</f>
        <v/>
      </c>
      <c r="R191" s="236" t="str">
        <f>IF(A191="","",IF(E191="","非役職",VLOOKUP('従業員情報(給与以外)'!$E191,入力シート!$AH$37:$AO$62,5,0)))</f>
        <v/>
      </c>
      <c r="S191" s="116" t="str">
        <f>IF(OR(入力シート!$C$5&lt;&gt;入力リスト!$N$4,COUNTIF(入力シート!$J$16:$S$23,入力リスト!$K$4)=0),"",IF($A191="","",IF(ISERROR(AVERAGEIF(従業員の給与情報!$B:$B,$A191,従業員の給与情報!$C:$C)),0,IF(ISERROR(AVERAGEIF(従業員の給与情報!$B:$B,$A191,従業員の給与情報!$C:$C)),0,AVERAGEIF(従業員の給与情報!$B:$B,$A191,従業員の給与情報!$C:$C)))))</f>
        <v/>
      </c>
      <c r="T191" s="116" t="str">
        <f>IF(OR(入力シート!$C$5&lt;&gt;入力リスト!$N$4,COUNTIF(入力シート!$J$16:$S$23,入力リスト!$K$4)=0),"",IF(A191="","",IF(ISERROR(AVERAGEIF(従業員の給与情報!$B:$B,$A191,従業員の給与情報!$D:$D)),0,IF(ISERROR(AVERAGEIF(従業員の給与情報!$B:$B,$A191,従業員の給与情報!$D:$D)),0,AVERAGEIF(従業員の給与情報!$B:$B,$A191,従業員の給与情報!$D:$D)))))</f>
        <v/>
      </c>
      <c r="U191" s="116" t="str">
        <f>IF(OR(入力シート!$C$5&lt;&gt;入力リスト!$N$4,COUNTIF(入力シート!$J$16:$S$23,入力リスト!$K$4)=0),"",IF(A191="","",IF(ISERROR(AVERAGEIF(従業員の給与情報!$B:$B,$A191,従業員の給与情報!$E:$E)),0,IF(ISERROR(AVERAGEIF(従業員の給与情報!$B:$B,$A191,従業員の給与情報!$E:$E)),0,AVERAGEIF(従業員の給与情報!$B:$B,$A191,従業員の給与情報!$E:$E)))))</f>
        <v/>
      </c>
      <c r="V191" s="117" t="str">
        <f>IF(OR(入力シート!$C$5&lt;&gt;入力リスト!$N$4,COUNTIF(入力シート!$J$16:$S$23,入力リスト!$K$4)=0),"",IF(A191="","",IF(ISERROR(AVERAGEIF(従業員の給与情報!$B:$B,$A191,従業員の給与情報!$F:$F)),0,IF(ISERROR(AVERAGEIF(従業員の給与情報!$B:$B,$A191,従業員の給与情報!$F:$F)),0,AVERAGEIF(従業員の給与情報!$B:$B,$A191,従業員の給与情報!$F:$F)))))</f>
        <v/>
      </c>
      <c r="W191" s="182"/>
      <c r="X191" s="260"/>
    </row>
    <row r="192" spans="1:24" ht="19.5">
      <c r="A192" s="366"/>
      <c r="B192" s="366"/>
      <c r="C192" s="365"/>
      <c r="D192" s="366"/>
      <c r="E192" s="366"/>
      <c r="F192" s="372" t="str">
        <f>IF(G192,"この従業員番号は、すでに他のセルで入力されています。",IF(入力シート!$C$5=入力リスト!$N$5,"",IF(AND(A192="",B192="",C192="",D192="",E192=""),"",IF(OR(A192="",B192="",C192="",D192=""),IF(A192="","従業員番号","")&amp;IF(AND(A192="",OR(B192="",C192="",D192="")),",","")&amp;IF(B192="","雇用形態","")&amp;IF(AND(B192="",OR(C192="",D192="")),",","")&amp;IF(OR(入力シート!$J$18=入力リスト!$K$4,入力シート!$J$22=入力リスト!$K$4),IF(C192="","入社年月日",""),"")&amp;IF(AND(C192="",D192=""),",","")&amp;IF(D192="","性別","")&amp;IF(IF(A192="","従業員番号","")&amp;IF(B192="","雇用形態","")&amp;IF(OR(入力シート!$J$18=入力リスト!$K$4,入力シート!$J$22=入力リスト!$K$4),IF(C192="","入社年月日",""),"")&amp;IF(D192="","性別","")="","","が空白です。"),IF(J192,"入社年月日に「基準日」の翌日以降の日付が入力されています。","")&amp;IF(I192,"入社年月日に数値以外（又は1900/1/1以前の日付）が入力されています。","")&amp;IF(H192,"雇用形態"&amp;IF(OR(K192,L192),",",""),"")&amp;IF(K192,"性別"&amp;IF(L192,",",""),"")&amp;IF(L192,"役職","")&amp;IF(OR(H192,K192,L192),"に、［入力シート］(4)「貴社」欄と異なる文言が入力されています。","")))))</f>
        <v/>
      </c>
      <c r="G192" s="236" t="b">
        <f>COUNTIF($A$4:A191,$A192)&gt;0</f>
        <v>0</v>
      </c>
      <c r="H192" s="237" t="b">
        <f>IF(COUNTIF(入力シート!$J$16:$S$23,入力リスト!$K$4)=0,FALSE,IF(入力シート!$J$16=入力リスト!$K$5,FALSE,ISERROR(VLOOKUP(B192,入力シート!$S$37:$V$62,1,0))))</f>
        <v>0</v>
      </c>
      <c r="I192" s="237" t="b">
        <f>IF(AND(OR(入力シート!$J$18=入力リスト!$K$4,入力シート!$J$22=入力リスト!$K$4),入力シート!$J$24&lt;&gt;""),IF(ISERROR(C192+1),TRUE,IF(ISNUMBER(C192),FALSE,TRUE)),FALSE)</f>
        <v>0</v>
      </c>
      <c r="J192" s="237" t="b">
        <f>IF(AND(入力シート!$J$18=入力リスト!$K$4,入力シート!$J$22=入力リスト!$K$4),FALSE,IF(I192=TRUE,FALSE,IF(ISERROR(C192+1),FALSE,C192&gt;入力シート!$J$24)))</f>
        <v>0</v>
      </c>
      <c r="K192" s="237" t="b">
        <f>IF(COUNTIF(入力シート!$J$16:$S$23,入力リスト!$K$4)=0,FALSE,IF(AND(入力シート!$J$16&lt;&gt;入力リスト!$K$5,入力シート!$J$18&lt;&gt;入力リスト!$K$5,入力シート!$J$20&lt;&gt;入力リスト!$K$5,入力シート!$J$22&lt;&gt;入力リスト!$K$5),FALSE,ISERROR(VLOOKUP(D192,入力シート!$AW$37:$AY$38,1,0))))</f>
        <v>0</v>
      </c>
      <c r="L192" s="237" t="b">
        <f>IF(COUNTIF(入力シート!$J$16:$S$23,入力リスト!$K$4)=0,FALSE,IF(入力シート!$J$20=入力リスト!$K$5,FALSE,IF(E192="",FALSE,ISERROR(VLOOKUP(E192,入力シート!$AH$37:$AK$62,1,0)))))</f>
        <v>0</v>
      </c>
      <c r="M192" s="238" t="str">
        <f t="shared" si="2"/>
        <v/>
      </c>
      <c r="N192" s="236" t="str">
        <f>IF(B192="","",VLOOKUP('従業員情報(給与以外)'!$B192,入力シート!$S$37:$Z$62,5,0))</f>
        <v/>
      </c>
      <c r="O192" s="182" t="str">
        <f>IF(ISNUMBER(C192)=FALSE,"",IF(C192&gt;入力シート!$J$24,"",_xlfn.DAYS(入力シート!$J$24,'従業員情報(給与以外)'!$C192)/365))</f>
        <v/>
      </c>
      <c r="P192" s="237" t="str">
        <f>IF(O192="","",VLOOKUP(_xlfn.DAYS(入力シート!$J$24,'従業員情報(給与以外)'!$C192)/365,入力リスト!$H$4:$I$12,2,2))</f>
        <v/>
      </c>
      <c r="Q192" s="236" t="str">
        <f>IF(D192="","",VLOOKUP('従業員情報(給与以外)'!$D192,入力シート!$AW$37:$BB$38,4,0))</f>
        <v/>
      </c>
      <c r="R192" s="236" t="str">
        <f>IF(A192="","",IF(E192="","非役職",VLOOKUP('従業員情報(給与以外)'!$E192,入力シート!$AH$37:$AO$62,5,0)))</f>
        <v/>
      </c>
      <c r="S192" s="116" t="str">
        <f>IF(OR(入力シート!$C$5&lt;&gt;入力リスト!$N$4,COUNTIF(入力シート!$J$16:$S$23,入力リスト!$K$4)=0),"",IF($A192="","",IF(ISERROR(AVERAGEIF(従業員の給与情報!$B:$B,$A192,従業員の給与情報!$C:$C)),0,IF(ISERROR(AVERAGEIF(従業員の給与情報!$B:$B,$A192,従業員の給与情報!$C:$C)),0,AVERAGEIF(従業員の給与情報!$B:$B,$A192,従業員の給与情報!$C:$C)))))</f>
        <v/>
      </c>
      <c r="T192" s="116" t="str">
        <f>IF(OR(入力シート!$C$5&lt;&gt;入力リスト!$N$4,COUNTIF(入力シート!$J$16:$S$23,入力リスト!$K$4)=0),"",IF(A192="","",IF(ISERROR(AVERAGEIF(従業員の給与情報!$B:$B,$A192,従業員の給与情報!$D:$D)),0,IF(ISERROR(AVERAGEIF(従業員の給与情報!$B:$B,$A192,従業員の給与情報!$D:$D)),0,AVERAGEIF(従業員の給与情報!$B:$B,$A192,従業員の給与情報!$D:$D)))))</f>
        <v/>
      </c>
      <c r="U192" s="116" t="str">
        <f>IF(OR(入力シート!$C$5&lt;&gt;入力リスト!$N$4,COUNTIF(入力シート!$J$16:$S$23,入力リスト!$K$4)=0),"",IF(A192="","",IF(ISERROR(AVERAGEIF(従業員の給与情報!$B:$B,$A192,従業員の給与情報!$E:$E)),0,IF(ISERROR(AVERAGEIF(従業員の給与情報!$B:$B,$A192,従業員の給与情報!$E:$E)),0,AVERAGEIF(従業員の給与情報!$B:$B,$A192,従業員の給与情報!$E:$E)))))</f>
        <v/>
      </c>
      <c r="V192" s="117" t="str">
        <f>IF(OR(入力シート!$C$5&lt;&gt;入力リスト!$N$4,COUNTIF(入力シート!$J$16:$S$23,入力リスト!$K$4)=0),"",IF(A192="","",IF(ISERROR(AVERAGEIF(従業員の給与情報!$B:$B,$A192,従業員の給与情報!$F:$F)),0,IF(ISERROR(AVERAGEIF(従業員の給与情報!$B:$B,$A192,従業員の給与情報!$F:$F)),0,AVERAGEIF(従業員の給与情報!$B:$B,$A192,従業員の給与情報!$F:$F)))))</f>
        <v/>
      </c>
      <c r="W192" s="182"/>
      <c r="X192" s="260"/>
    </row>
    <row r="193" spans="1:24" ht="19.5">
      <c r="A193" s="366"/>
      <c r="B193" s="366"/>
      <c r="C193" s="365"/>
      <c r="D193" s="366"/>
      <c r="E193" s="366"/>
      <c r="F193" s="372" t="str">
        <f>IF(G193,"この従業員番号は、すでに他のセルで入力されています。",IF(入力シート!$C$5=入力リスト!$N$5,"",IF(AND(A193="",B193="",C193="",D193="",E193=""),"",IF(OR(A193="",B193="",C193="",D193=""),IF(A193="","従業員番号","")&amp;IF(AND(A193="",OR(B193="",C193="",D193="")),",","")&amp;IF(B193="","雇用形態","")&amp;IF(AND(B193="",OR(C193="",D193="")),",","")&amp;IF(OR(入力シート!$J$18=入力リスト!$K$4,入力シート!$J$22=入力リスト!$K$4),IF(C193="","入社年月日",""),"")&amp;IF(AND(C193="",D193=""),",","")&amp;IF(D193="","性別","")&amp;IF(IF(A193="","従業員番号","")&amp;IF(B193="","雇用形態","")&amp;IF(OR(入力シート!$J$18=入力リスト!$K$4,入力シート!$J$22=入力リスト!$K$4),IF(C193="","入社年月日",""),"")&amp;IF(D193="","性別","")="","","が空白です。"),IF(J193,"入社年月日に「基準日」の翌日以降の日付が入力されています。","")&amp;IF(I193,"入社年月日に数値以外（又は1900/1/1以前の日付）が入力されています。","")&amp;IF(H193,"雇用形態"&amp;IF(OR(K193,L193),",",""),"")&amp;IF(K193,"性別"&amp;IF(L193,",",""),"")&amp;IF(L193,"役職","")&amp;IF(OR(H193,K193,L193),"に、［入力シート］(4)「貴社」欄と異なる文言が入力されています。","")))))</f>
        <v/>
      </c>
      <c r="G193" s="236" t="b">
        <f>COUNTIF($A$4:A192,$A193)&gt;0</f>
        <v>0</v>
      </c>
      <c r="H193" s="237" t="b">
        <f>IF(COUNTIF(入力シート!$J$16:$S$23,入力リスト!$K$4)=0,FALSE,IF(入力シート!$J$16=入力リスト!$K$5,FALSE,ISERROR(VLOOKUP(B193,入力シート!$S$37:$V$62,1,0))))</f>
        <v>0</v>
      </c>
      <c r="I193" s="237" t="b">
        <f>IF(AND(OR(入力シート!$J$18=入力リスト!$K$4,入力シート!$J$22=入力リスト!$K$4),入力シート!$J$24&lt;&gt;""),IF(ISERROR(C193+1),TRUE,IF(ISNUMBER(C193),FALSE,TRUE)),FALSE)</f>
        <v>0</v>
      </c>
      <c r="J193" s="237" t="b">
        <f>IF(AND(入力シート!$J$18=入力リスト!$K$4,入力シート!$J$22=入力リスト!$K$4),FALSE,IF(I193=TRUE,FALSE,IF(ISERROR(C193+1),FALSE,C193&gt;入力シート!$J$24)))</f>
        <v>0</v>
      </c>
      <c r="K193" s="237" t="b">
        <f>IF(COUNTIF(入力シート!$J$16:$S$23,入力リスト!$K$4)=0,FALSE,IF(AND(入力シート!$J$16&lt;&gt;入力リスト!$K$5,入力シート!$J$18&lt;&gt;入力リスト!$K$5,入力シート!$J$20&lt;&gt;入力リスト!$K$5,入力シート!$J$22&lt;&gt;入力リスト!$K$5),FALSE,ISERROR(VLOOKUP(D193,入力シート!$AW$37:$AY$38,1,0))))</f>
        <v>0</v>
      </c>
      <c r="L193" s="237" t="b">
        <f>IF(COUNTIF(入力シート!$J$16:$S$23,入力リスト!$K$4)=0,FALSE,IF(入力シート!$J$20=入力リスト!$K$5,FALSE,IF(E193="",FALSE,ISERROR(VLOOKUP(E193,入力シート!$AH$37:$AK$62,1,0)))))</f>
        <v>0</v>
      </c>
      <c r="M193" s="238" t="str">
        <f t="shared" si="2"/>
        <v/>
      </c>
      <c r="N193" s="236" t="str">
        <f>IF(B193="","",VLOOKUP('従業員情報(給与以外)'!$B193,入力シート!$S$37:$Z$62,5,0))</f>
        <v/>
      </c>
      <c r="O193" s="182" t="str">
        <f>IF(ISNUMBER(C193)=FALSE,"",IF(C193&gt;入力シート!$J$24,"",_xlfn.DAYS(入力シート!$J$24,'従業員情報(給与以外)'!$C193)/365))</f>
        <v/>
      </c>
      <c r="P193" s="237" t="str">
        <f>IF(O193="","",VLOOKUP(_xlfn.DAYS(入力シート!$J$24,'従業員情報(給与以外)'!$C193)/365,入力リスト!$H$4:$I$12,2,2))</f>
        <v/>
      </c>
      <c r="Q193" s="236" t="str">
        <f>IF(D193="","",VLOOKUP('従業員情報(給与以外)'!$D193,入力シート!$AW$37:$BB$38,4,0))</f>
        <v/>
      </c>
      <c r="R193" s="236" t="str">
        <f>IF(A193="","",IF(E193="","非役職",VLOOKUP('従業員情報(給与以外)'!$E193,入力シート!$AH$37:$AO$62,5,0)))</f>
        <v/>
      </c>
      <c r="S193" s="116" t="str">
        <f>IF(OR(入力シート!$C$5&lt;&gt;入力リスト!$N$4,COUNTIF(入力シート!$J$16:$S$23,入力リスト!$K$4)=0),"",IF($A193="","",IF(ISERROR(AVERAGEIF(従業員の給与情報!$B:$B,$A193,従業員の給与情報!$C:$C)),0,IF(ISERROR(AVERAGEIF(従業員の給与情報!$B:$B,$A193,従業員の給与情報!$C:$C)),0,AVERAGEIF(従業員の給与情報!$B:$B,$A193,従業員の給与情報!$C:$C)))))</f>
        <v/>
      </c>
      <c r="T193" s="116" t="str">
        <f>IF(OR(入力シート!$C$5&lt;&gt;入力リスト!$N$4,COUNTIF(入力シート!$J$16:$S$23,入力リスト!$K$4)=0),"",IF(A193="","",IF(ISERROR(AVERAGEIF(従業員の給与情報!$B:$B,$A193,従業員の給与情報!$D:$D)),0,IF(ISERROR(AVERAGEIF(従業員の給与情報!$B:$B,$A193,従業員の給与情報!$D:$D)),0,AVERAGEIF(従業員の給与情報!$B:$B,$A193,従業員の給与情報!$D:$D)))))</f>
        <v/>
      </c>
      <c r="U193" s="116" t="str">
        <f>IF(OR(入力シート!$C$5&lt;&gt;入力リスト!$N$4,COUNTIF(入力シート!$J$16:$S$23,入力リスト!$K$4)=0),"",IF(A193="","",IF(ISERROR(AVERAGEIF(従業員の給与情報!$B:$B,$A193,従業員の給与情報!$E:$E)),0,IF(ISERROR(AVERAGEIF(従業員の給与情報!$B:$B,$A193,従業員の給与情報!$E:$E)),0,AVERAGEIF(従業員の給与情報!$B:$B,$A193,従業員の給与情報!$E:$E)))))</f>
        <v/>
      </c>
      <c r="V193" s="117" t="str">
        <f>IF(OR(入力シート!$C$5&lt;&gt;入力リスト!$N$4,COUNTIF(入力シート!$J$16:$S$23,入力リスト!$K$4)=0),"",IF(A193="","",IF(ISERROR(AVERAGEIF(従業員の給与情報!$B:$B,$A193,従業員の給与情報!$F:$F)),0,IF(ISERROR(AVERAGEIF(従業員の給与情報!$B:$B,$A193,従業員の給与情報!$F:$F)),0,AVERAGEIF(従業員の給与情報!$B:$B,$A193,従業員の給与情報!$F:$F)))))</f>
        <v/>
      </c>
      <c r="W193" s="182"/>
      <c r="X193" s="260"/>
    </row>
    <row r="194" spans="1:24" ht="19.5">
      <c r="A194" s="366"/>
      <c r="B194" s="366"/>
      <c r="C194" s="365"/>
      <c r="D194" s="366"/>
      <c r="E194" s="366"/>
      <c r="F194" s="372" t="str">
        <f>IF(G194,"この従業員番号は、すでに他のセルで入力されています。",IF(入力シート!$C$5=入力リスト!$N$5,"",IF(AND(A194="",B194="",C194="",D194="",E194=""),"",IF(OR(A194="",B194="",C194="",D194=""),IF(A194="","従業員番号","")&amp;IF(AND(A194="",OR(B194="",C194="",D194="")),",","")&amp;IF(B194="","雇用形態","")&amp;IF(AND(B194="",OR(C194="",D194="")),",","")&amp;IF(OR(入力シート!$J$18=入力リスト!$K$4,入力シート!$J$22=入力リスト!$K$4),IF(C194="","入社年月日",""),"")&amp;IF(AND(C194="",D194=""),",","")&amp;IF(D194="","性別","")&amp;IF(IF(A194="","従業員番号","")&amp;IF(B194="","雇用形態","")&amp;IF(OR(入力シート!$J$18=入力リスト!$K$4,入力シート!$J$22=入力リスト!$K$4),IF(C194="","入社年月日",""),"")&amp;IF(D194="","性別","")="","","が空白です。"),IF(J194,"入社年月日に「基準日」の翌日以降の日付が入力されています。","")&amp;IF(I194,"入社年月日に数値以外（又は1900/1/1以前の日付）が入力されています。","")&amp;IF(H194,"雇用形態"&amp;IF(OR(K194,L194),",",""),"")&amp;IF(K194,"性別"&amp;IF(L194,",",""),"")&amp;IF(L194,"役職","")&amp;IF(OR(H194,K194,L194),"に、［入力シート］(4)「貴社」欄と異なる文言が入力されています。","")))))</f>
        <v/>
      </c>
      <c r="G194" s="236" t="b">
        <f>COUNTIF($A$4:A193,$A194)&gt;0</f>
        <v>0</v>
      </c>
      <c r="H194" s="237" t="b">
        <f>IF(COUNTIF(入力シート!$J$16:$S$23,入力リスト!$K$4)=0,FALSE,IF(入力シート!$J$16=入力リスト!$K$5,FALSE,ISERROR(VLOOKUP(B194,入力シート!$S$37:$V$62,1,0))))</f>
        <v>0</v>
      </c>
      <c r="I194" s="237" t="b">
        <f>IF(AND(OR(入力シート!$J$18=入力リスト!$K$4,入力シート!$J$22=入力リスト!$K$4),入力シート!$J$24&lt;&gt;""),IF(ISERROR(C194+1),TRUE,IF(ISNUMBER(C194),FALSE,TRUE)),FALSE)</f>
        <v>0</v>
      </c>
      <c r="J194" s="237" t="b">
        <f>IF(AND(入力シート!$J$18=入力リスト!$K$4,入力シート!$J$22=入力リスト!$K$4),FALSE,IF(I194=TRUE,FALSE,IF(ISERROR(C194+1),FALSE,C194&gt;入力シート!$J$24)))</f>
        <v>0</v>
      </c>
      <c r="K194" s="237" t="b">
        <f>IF(COUNTIF(入力シート!$J$16:$S$23,入力リスト!$K$4)=0,FALSE,IF(AND(入力シート!$J$16&lt;&gt;入力リスト!$K$5,入力シート!$J$18&lt;&gt;入力リスト!$K$5,入力シート!$J$20&lt;&gt;入力リスト!$K$5,入力シート!$J$22&lt;&gt;入力リスト!$K$5),FALSE,ISERROR(VLOOKUP(D194,入力シート!$AW$37:$AY$38,1,0))))</f>
        <v>0</v>
      </c>
      <c r="L194" s="237" t="b">
        <f>IF(COUNTIF(入力シート!$J$16:$S$23,入力リスト!$K$4)=0,FALSE,IF(入力シート!$J$20=入力リスト!$K$5,FALSE,IF(E194="",FALSE,ISERROR(VLOOKUP(E194,入力シート!$AH$37:$AK$62,1,0)))))</f>
        <v>0</v>
      </c>
      <c r="M194" s="238" t="str">
        <f t="shared" si="2"/>
        <v/>
      </c>
      <c r="N194" s="236" t="str">
        <f>IF(B194="","",VLOOKUP('従業員情報(給与以外)'!$B194,入力シート!$S$37:$Z$62,5,0))</f>
        <v/>
      </c>
      <c r="O194" s="182" t="str">
        <f>IF(ISNUMBER(C194)=FALSE,"",IF(C194&gt;入力シート!$J$24,"",_xlfn.DAYS(入力シート!$J$24,'従業員情報(給与以外)'!$C194)/365))</f>
        <v/>
      </c>
      <c r="P194" s="237" t="str">
        <f>IF(O194="","",VLOOKUP(_xlfn.DAYS(入力シート!$J$24,'従業員情報(給与以外)'!$C194)/365,入力リスト!$H$4:$I$12,2,2))</f>
        <v/>
      </c>
      <c r="Q194" s="236" t="str">
        <f>IF(D194="","",VLOOKUP('従業員情報(給与以外)'!$D194,入力シート!$AW$37:$BB$38,4,0))</f>
        <v/>
      </c>
      <c r="R194" s="236" t="str">
        <f>IF(A194="","",IF(E194="","非役職",VLOOKUP('従業員情報(給与以外)'!$E194,入力シート!$AH$37:$AO$62,5,0)))</f>
        <v/>
      </c>
      <c r="S194" s="116" t="str">
        <f>IF(OR(入力シート!$C$5&lt;&gt;入力リスト!$N$4,COUNTIF(入力シート!$J$16:$S$23,入力リスト!$K$4)=0),"",IF($A194="","",IF(ISERROR(AVERAGEIF(従業員の給与情報!$B:$B,$A194,従業員の給与情報!$C:$C)),0,IF(ISERROR(AVERAGEIF(従業員の給与情報!$B:$B,$A194,従業員の給与情報!$C:$C)),0,AVERAGEIF(従業員の給与情報!$B:$B,$A194,従業員の給与情報!$C:$C)))))</f>
        <v/>
      </c>
      <c r="T194" s="116" t="str">
        <f>IF(OR(入力シート!$C$5&lt;&gt;入力リスト!$N$4,COUNTIF(入力シート!$J$16:$S$23,入力リスト!$K$4)=0),"",IF(A194="","",IF(ISERROR(AVERAGEIF(従業員の給与情報!$B:$B,$A194,従業員の給与情報!$D:$D)),0,IF(ISERROR(AVERAGEIF(従業員の給与情報!$B:$B,$A194,従業員の給与情報!$D:$D)),0,AVERAGEIF(従業員の給与情報!$B:$B,$A194,従業員の給与情報!$D:$D)))))</f>
        <v/>
      </c>
      <c r="U194" s="116" t="str">
        <f>IF(OR(入力シート!$C$5&lt;&gt;入力リスト!$N$4,COUNTIF(入力シート!$J$16:$S$23,入力リスト!$K$4)=0),"",IF(A194="","",IF(ISERROR(AVERAGEIF(従業員の給与情報!$B:$B,$A194,従業員の給与情報!$E:$E)),0,IF(ISERROR(AVERAGEIF(従業員の給与情報!$B:$B,$A194,従業員の給与情報!$E:$E)),0,AVERAGEIF(従業員の給与情報!$B:$B,$A194,従業員の給与情報!$E:$E)))))</f>
        <v/>
      </c>
      <c r="V194" s="117" t="str">
        <f>IF(OR(入力シート!$C$5&lt;&gt;入力リスト!$N$4,COUNTIF(入力シート!$J$16:$S$23,入力リスト!$K$4)=0),"",IF(A194="","",IF(ISERROR(AVERAGEIF(従業員の給与情報!$B:$B,$A194,従業員の給与情報!$F:$F)),0,IF(ISERROR(AVERAGEIF(従業員の給与情報!$B:$B,$A194,従業員の給与情報!$F:$F)),0,AVERAGEIF(従業員の給与情報!$B:$B,$A194,従業員の給与情報!$F:$F)))))</f>
        <v/>
      </c>
      <c r="W194" s="182"/>
      <c r="X194" s="260"/>
    </row>
    <row r="195" spans="1:24" ht="19.5">
      <c r="A195" s="366"/>
      <c r="B195" s="366"/>
      <c r="C195" s="365"/>
      <c r="D195" s="366"/>
      <c r="E195" s="366"/>
      <c r="F195" s="372" t="str">
        <f>IF(G195,"この従業員番号は、すでに他のセルで入力されています。",IF(入力シート!$C$5=入力リスト!$N$5,"",IF(AND(A195="",B195="",C195="",D195="",E195=""),"",IF(OR(A195="",B195="",C195="",D195=""),IF(A195="","従業員番号","")&amp;IF(AND(A195="",OR(B195="",C195="",D195="")),",","")&amp;IF(B195="","雇用形態","")&amp;IF(AND(B195="",OR(C195="",D195="")),",","")&amp;IF(OR(入力シート!$J$18=入力リスト!$K$4,入力シート!$J$22=入力リスト!$K$4),IF(C195="","入社年月日",""),"")&amp;IF(AND(C195="",D195=""),",","")&amp;IF(D195="","性別","")&amp;IF(IF(A195="","従業員番号","")&amp;IF(B195="","雇用形態","")&amp;IF(OR(入力シート!$J$18=入力リスト!$K$4,入力シート!$J$22=入力リスト!$K$4),IF(C195="","入社年月日",""),"")&amp;IF(D195="","性別","")="","","が空白です。"),IF(J195,"入社年月日に「基準日」の翌日以降の日付が入力されています。","")&amp;IF(I195,"入社年月日に数値以外（又は1900/1/1以前の日付）が入力されています。","")&amp;IF(H195,"雇用形態"&amp;IF(OR(K195,L195),",",""),"")&amp;IF(K195,"性別"&amp;IF(L195,",",""),"")&amp;IF(L195,"役職","")&amp;IF(OR(H195,K195,L195),"に、［入力シート］(4)「貴社」欄と異なる文言が入力されています。","")))))</f>
        <v/>
      </c>
      <c r="G195" s="236" t="b">
        <f>COUNTIF($A$4:A194,$A195)&gt;0</f>
        <v>0</v>
      </c>
      <c r="H195" s="237" t="b">
        <f>IF(COUNTIF(入力シート!$J$16:$S$23,入力リスト!$K$4)=0,FALSE,IF(入力シート!$J$16=入力リスト!$K$5,FALSE,ISERROR(VLOOKUP(B195,入力シート!$S$37:$V$62,1,0))))</f>
        <v>0</v>
      </c>
      <c r="I195" s="237" t="b">
        <f>IF(AND(OR(入力シート!$J$18=入力リスト!$K$4,入力シート!$J$22=入力リスト!$K$4),入力シート!$J$24&lt;&gt;""),IF(ISERROR(C195+1),TRUE,IF(ISNUMBER(C195),FALSE,TRUE)),FALSE)</f>
        <v>0</v>
      </c>
      <c r="J195" s="237" t="b">
        <f>IF(AND(入力シート!$J$18=入力リスト!$K$4,入力シート!$J$22=入力リスト!$K$4),FALSE,IF(I195=TRUE,FALSE,IF(ISERROR(C195+1),FALSE,C195&gt;入力シート!$J$24)))</f>
        <v>0</v>
      </c>
      <c r="K195" s="237" t="b">
        <f>IF(COUNTIF(入力シート!$J$16:$S$23,入力リスト!$K$4)=0,FALSE,IF(AND(入力シート!$J$16&lt;&gt;入力リスト!$K$5,入力シート!$J$18&lt;&gt;入力リスト!$K$5,入力シート!$J$20&lt;&gt;入力リスト!$K$5,入力シート!$J$22&lt;&gt;入力リスト!$K$5),FALSE,ISERROR(VLOOKUP(D195,入力シート!$AW$37:$AY$38,1,0))))</f>
        <v>0</v>
      </c>
      <c r="L195" s="237" t="b">
        <f>IF(COUNTIF(入力シート!$J$16:$S$23,入力リスト!$K$4)=0,FALSE,IF(入力シート!$J$20=入力リスト!$K$5,FALSE,IF(E195="",FALSE,ISERROR(VLOOKUP(E195,入力シート!$AH$37:$AK$62,1,0)))))</f>
        <v>0</v>
      </c>
      <c r="M195" s="238" t="str">
        <f t="shared" si="2"/>
        <v/>
      </c>
      <c r="N195" s="236" t="str">
        <f>IF(B195="","",VLOOKUP('従業員情報(給与以外)'!$B195,入力シート!$S$37:$Z$62,5,0))</f>
        <v/>
      </c>
      <c r="O195" s="182" t="str">
        <f>IF(ISNUMBER(C195)=FALSE,"",IF(C195&gt;入力シート!$J$24,"",_xlfn.DAYS(入力シート!$J$24,'従業員情報(給与以外)'!$C195)/365))</f>
        <v/>
      </c>
      <c r="P195" s="237" t="str">
        <f>IF(O195="","",VLOOKUP(_xlfn.DAYS(入力シート!$J$24,'従業員情報(給与以外)'!$C195)/365,入力リスト!$H$4:$I$12,2,2))</f>
        <v/>
      </c>
      <c r="Q195" s="236" t="str">
        <f>IF(D195="","",VLOOKUP('従業員情報(給与以外)'!$D195,入力シート!$AW$37:$BB$38,4,0))</f>
        <v/>
      </c>
      <c r="R195" s="236" t="str">
        <f>IF(A195="","",IF(E195="","非役職",VLOOKUP('従業員情報(給与以外)'!$E195,入力シート!$AH$37:$AO$62,5,0)))</f>
        <v/>
      </c>
      <c r="S195" s="116" t="str">
        <f>IF(OR(入力シート!$C$5&lt;&gt;入力リスト!$N$4,COUNTIF(入力シート!$J$16:$S$23,入力リスト!$K$4)=0),"",IF($A195="","",IF(ISERROR(AVERAGEIF(従業員の給与情報!$B:$B,$A195,従業員の給与情報!$C:$C)),0,IF(ISERROR(AVERAGEIF(従業員の給与情報!$B:$B,$A195,従業員の給与情報!$C:$C)),0,AVERAGEIF(従業員の給与情報!$B:$B,$A195,従業員の給与情報!$C:$C)))))</f>
        <v/>
      </c>
      <c r="T195" s="116" t="str">
        <f>IF(OR(入力シート!$C$5&lt;&gt;入力リスト!$N$4,COUNTIF(入力シート!$J$16:$S$23,入力リスト!$K$4)=0),"",IF(A195="","",IF(ISERROR(AVERAGEIF(従業員の給与情報!$B:$B,$A195,従業員の給与情報!$D:$D)),0,IF(ISERROR(AVERAGEIF(従業員の給与情報!$B:$B,$A195,従業員の給与情報!$D:$D)),0,AVERAGEIF(従業員の給与情報!$B:$B,$A195,従業員の給与情報!$D:$D)))))</f>
        <v/>
      </c>
      <c r="U195" s="116" t="str">
        <f>IF(OR(入力シート!$C$5&lt;&gt;入力リスト!$N$4,COUNTIF(入力シート!$J$16:$S$23,入力リスト!$K$4)=0),"",IF(A195="","",IF(ISERROR(AVERAGEIF(従業員の給与情報!$B:$B,$A195,従業員の給与情報!$E:$E)),0,IF(ISERROR(AVERAGEIF(従業員の給与情報!$B:$B,$A195,従業員の給与情報!$E:$E)),0,AVERAGEIF(従業員の給与情報!$B:$B,$A195,従業員の給与情報!$E:$E)))))</f>
        <v/>
      </c>
      <c r="V195" s="117" t="str">
        <f>IF(OR(入力シート!$C$5&lt;&gt;入力リスト!$N$4,COUNTIF(入力シート!$J$16:$S$23,入力リスト!$K$4)=0),"",IF(A195="","",IF(ISERROR(AVERAGEIF(従業員の給与情報!$B:$B,$A195,従業員の給与情報!$F:$F)),0,IF(ISERROR(AVERAGEIF(従業員の給与情報!$B:$B,$A195,従業員の給与情報!$F:$F)),0,AVERAGEIF(従業員の給与情報!$B:$B,$A195,従業員の給与情報!$F:$F)))))</f>
        <v/>
      </c>
      <c r="W195" s="182"/>
      <c r="X195" s="260"/>
    </row>
    <row r="196" spans="1:24" ht="19.5">
      <c r="A196" s="366"/>
      <c r="B196" s="366"/>
      <c r="C196" s="365"/>
      <c r="D196" s="366"/>
      <c r="E196" s="366"/>
      <c r="F196" s="372" t="str">
        <f>IF(G196,"この従業員番号は、すでに他のセルで入力されています。",IF(入力シート!$C$5=入力リスト!$N$5,"",IF(AND(A196="",B196="",C196="",D196="",E196=""),"",IF(OR(A196="",B196="",C196="",D196=""),IF(A196="","従業員番号","")&amp;IF(AND(A196="",OR(B196="",C196="",D196="")),",","")&amp;IF(B196="","雇用形態","")&amp;IF(AND(B196="",OR(C196="",D196="")),",","")&amp;IF(OR(入力シート!$J$18=入力リスト!$K$4,入力シート!$J$22=入力リスト!$K$4),IF(C196="","入社年月日",""),"")&amp;IF(AND(C196="",D196=""),",","")&amp;IF(D196="","性別","")&amp;IF(IF(A196="","従業員番号","")&amp;IF(B196="","雇用形態","")&amp;IF(OR(入力シート!$J$18=入力リスト!$K$4,入力シート!$J$22=入力リスト!$K$4),IF(C196="","入社年月日",""),"")&amp;IF(D196="","性別","")="","","が空白です。"),IF(J196,"入社年月日に「基準日」の翌日以降の日付が入力されています。","")&amp;IF(I196,"入社年月日に数値以外（又は1900/1/1以前の日付）が入力されています。","")&amp;IF(H196,"雇用形態"&amp;IF(OR(K196,L196),",",""),"")&amp;IF(K196,"性別"&amp;IF(L196,",",""),"")&amp;IF(L196,"役職","")&amp;IF(OR(H196,K196,L196),"に、［入力シート］(4)「貴社」欄と異なる文言が入力されています。","")))))</f>
        <v/>
      </c>
      <c r="G196" s="236" t="b">
        <f>COUNTIF($A$4:A195,$A196)&gt;0</f>
        <v>0</v>
      </c>
      <c r="H196" s="237" t="b">
        <f>IF(COUNTIF(入力シート!$J$16:$S$23,入力リスト!$K$4)=0,FALSE,IF(入力シート!$J$16=入力リスト!$K$5,FALSE,ISERROR(VLOOKUP(B196,入力シート!$S$37:$V$62,1,0))))</f>
        <v>0</v>
      </c>
      <c r="I196" s="237" t="b">
        <f>IF(AND(OR(入力シート!$J$18=入力リスト!$K$4,入力シート!$J$22=入力リスト!$K$4),入力シート!$J$24&lt;&gt;""),IF(ISERROR(C196+1),TRUE,IF(ISNUMBER(C196),FALSE,TRUE)),FALSE)</f>
        <v>0</v>
      </c>
      <c r="J196" s="237" t="b">
        <f>IF(AND(入力シート!$J$18=入力リスト!$K$4,入力シート!$J$22=入力リスト!$K$4),FALSE,IF(I196=TRUE,FALSE,IF(ISERROR(C196+1),FALSE,C196&gt;入力シート!$J$24)))</f>
        <v>0</v>
      </c>
      <c r="K196" s="237" t="b">
        <f>IF(COUNTIF(入力シート!$J$16:$S$23,入力リスト!$K$4)=0,FALSE,IF(AND(入力シート!$J$16&lt;&gt;入力リスト!$K$5,入力シート!$J$18&lt;&gt;入力リスト!$K$5,入力シート!$J$20&lt;&gt;入力リスト!$K$5,入力シート!$J$22&lt;&gt;入力リスト!$K$5),FALSE,ISERROR(VLOOKUP(D196,入力シート!$AW$37:$AY$38,1,0))))</f>
        <v>0</v>
      </c>
      <c r="L196" s="237" t="b">
        <f>IF(COUNTIF(入力シート!$J$16:$S$23,入力リスト!$K$4)=0,FALSE,IF(入力シート!$J$20=入力リスト!$K$5,FALSE,IF(E196="",FALSE,ISERROR(VLOOKUP(E196,入力シート!$AH$37:$AK$62,1,0)))))</f>
        <v>0</v>
      </c>
      <c r="M196" s="238" t="str">
        <f t="shared" si="2"/>
        <v/>
      </c>
      <c r="N196" s="236" t="str">
        <f>IF(B196="","",VLOOKUP('従業員情報(給与以外)'!$B196,入力シート!$S$37:$Z$62,5,0))</f>
        <v/>
      </c>
      <c r="O196" s="182" t="str">
        <f>IF(ISNUMBER(C196)=FALSE,"",IF(C196&gt;入力シート!$J$24,"",_xlfn.DAYS(入力シート!$J$24,'従業員情報(給与以外)'!$C196)/365))</f>
        <v/>
      </c>
      <c r="P196" s="237" t="str">
        <f>IF(O196="","",VLOOKUP(_xlfn.DAYS(入力シート!$J$24,'従業員情報(給与以外)'!$C196)/365,入力リスト!$H$4:$I$12,2,2))</f>
        <v/>
      </c>
      <c r="Q196" s="236" t="str">
        <f>IF(D196="","",VLOOKUP('従業員情報(給与以外)'!$D196,入力シート!$AW$37:$BB$38,4,0))</f>
        <v/>
      </c>
      <c r="R196" s="236" t="str">
        <f>IF(A196="","",IF(E196="","非役職",VLOOKUP('従業員情報(給与以外)'!$E196,入力シート!$AH$37:$AO$62,5,0)))</f>
        <v/>
      </c>
      <c r="S196" s="116" t="str">
        <f>IF(OR(入力シート!$C$5&lt;&gt;入力リスト!$N$4,COUNTIF(入力シート!$J$16:$S$23,入力リスト!$K$4)=0),"",IF($A196="","",IF(ISERROR(AVERAGEIF(従業員の給与情報!$B:$B,$A196,従業員の給与情報!$C:$C)),0,IF(ISERROR(AVERAGEIF(従業員の給与情報!$B:$B,$A196,従業員の給与情報!$C:$C)),0,AVERAGEIF(従業員の給与情報!$B:$B,$A196,従業員の給与情報!$C:$C)))))</f>
        <v/>
      </c>
      <c r="T196" s="116" t="str">
        <f>IF(OR(入力シート!$C$5&lt;&gt;入力リスト!$N$4,COUNTIF(入力シート!$J$16:$S$23,入力リスト!$K$4)=0),"",IF(A196="","",IF(ISERROR(AVERAGEIF(従業員の給与情報!$B:$B,$A196,従業員の給与情報!$D:$D)),0,IF(ISERROR(AVERAGEIF(従業員の給与情報!$B:$B,$A196,従業員の給与情報!$D:$D)),0,AVERAGEIF(従業員の給与情報!$B:$B,$A196,従業員の給与情報!$D:$D)))))</f>
        <v/>
      </c>
      <c r="U196" s="116" t="str">
        <f>IF(OR(入力シート!$C$5&lt;&gt;入力リスト!$N$4,COUNTIF(入力シート!$J$16:$S$23,入力リスト!$K$4)=0),"",IF(A196="","",IF(ISERROR(AVERAGEIF(従業員の給与情報!$B:$B,$A196,従業員の給与情報!$E:$E)),0,IF(ISERROR(AVERAGEIF(従業員の給与情報!$B:$B,$A196,従業員の給与情報!$E:$E)),0,AVERAGEIF(従業員の給与情報!$B:$B,$A196,従業員の給与情報!$E:$E)))))</f>
        <v/>
      </c>
      <c r="V196" s="117" t="str">
        <f>IF(OR(入力シート!$C$5&lt;&gt;入力リスト!$N$4,COUNTIF(入力シート!$J$16:$S$23,入力リスト!$K$4)=0),"",IF(A196="","",IF(ISERROR(AVERAGEIF(従業員の給与情報!$B:$B,$A196,従業員の給与情報!$F:$F)),0,IF(ISERROR(AVERAGEIF(従業員の給与情報!$B:$B,$A196,従業員の給与情報!$F:$F)),0,AVERAGEIF(従業員の給与情報!$B:$B,$A196,従業員の給与情報!$F:$F)))))</f>
        <v/>
      </c>
      <c r="W196" s="182"/>
      <c r="X196" s="260"/>
    </row>
    <row r="197" spans="1:24" ht="19.5">
      <c r="A197" s="366"/>
      <c r="B197" s="366"/>
      <c r="C197" s="365"/>
      <c r="D197" s="366"/>
      <c r="E197" s="366"/>
      <c r="F197" s="372" t="str">
        <f>IF(G197,"この従業員番号は、すでに他のセルで入力されています。",IF(入力シート!$C$5=入力リスト!$N$5,"",IF(AND(A197="",B197="",C197="",D197="",E197=""),"",IF(OR(A197="",B197="",C197="",D197=""),IF(A197="","従業員番号","")&amp;IF(AND(A197="",OR(B197="",C197="",D197="")),",","")&amp;IF(B197="","雇用形態","")&amp;IF(AND(B197="",OR(C197="",D197="")),",","")&amp;IF(OR(入力シート!$J$18=入力リスト!$K$4,入力シート!$J$22=入力リスト!$K$4),IF(C197="","入社年月日",""),"")&amp;IF(AND(C197="",D197=""),",","")&amp;IF(D197="","性別","")&amp;IF(IF(A197="","従業員番号","")&amp;IF(B197="","雇用形態","")&amp;IF(OR(入力シート!$J$18=入力リスト!$K$4,入力シート!$J$22=入力リスト!$K$4),IF(C197="","入社年月日",""),"")&amp;IF(D197="","性別","")="","","が空白です。"),IF(J197,"入社年月日に「基準日」の翌日以降の日付が入力されています。","")&amp;IF(I197,"入社年月日に数値以外（又は1900/1/1以前の日付）が入力されています。","")&amp;IF(H197,"雇用形態"&amp;IF(OR(K197,L197),",",""),"")&amp;IF(K197,"性別"&amp;IF(L197,",",""),"")&amp;IF(L197,"役職","")&amp;IF(OR(H197,K197,L197),"に、［入力シート］(4)「貴社」欄と異なる文言が入力されています。","")))))</f>
        <v/>
      </c>
      <c r="G197" s="236" t="b">
        <f>COUNTIF($A$4:A196,$A197)&gt;0</f>
        <v>0</v>
      </c>
      <c r="H197" s="237" t="b">
        <f>IF(COUNTIF(入力シート!$J$16:$S$23,入力リスト!$K$4)=0,FALSE,IF(入力シート!$J$16=入力リスト!$K$5,FALSE,ISERROR(VLOOKUP(B197,入力シート!$S$37:$V$62,1,0))))</f>
        <v>0</v>
      </c>
      <c r="I197" s="237" t="b">
        <f>IF(AND(OR(入力シート!$J$18=入力リスト!$K$4,入力シート!$J$22=入力リスト!$K$4),入力シート!$J$24&lt;&gt;""),IF(ISERROR(C197+1),TRUE,IF(ISNUMBER(C197),FALSE,TRUE)),FALSE)</f>
        <v>0</v>
      </c>
      <c r="J197" s="237" t="b">
        <f>IF(AND(入力シート!$J$18=入力リスト!$K$4,入力シート!$J$22=入力リスト!$K$4),FALSE,IF(I197=TRUE,FALSE,IF(ISERROR(C197+1),FALSE,C197&gt;入力シート!$J$24)))</f>
        <v>0</v>
      </c>
      <c r="K197" s="237" t="b">
        <f>IF(COUNTIF(入力シート!$J$16:$S$23,入力リスト!$K$4)=0,FALSE,IF(AND(入力シート!$J$16&lt;&gt;入力リスト!$K$5,入力シート!$J$18&lt;&gt;入力リスト!$K$5,入力シート!$J$20&lt;&gt;入力リスト!$K$5,入力シート!$J$22&lt;&gt;入力リスト!$K$5),FALSE,ISERROR(VLOOKUP(D197,入力シート!$AW$37:$AY$38,1,0))))</f>
        <v>0</v>
      </c>
      <c r="L197" s="237" t="b">
        <f>IF(COUNTIF(入力シート!$J$16:$S$23,入力リスト!$K$4)=0,FALSE,IF(入力シート!$J$20=入力リスト!$K$5,FALSE,IF(E197="",FALSE,ISERROR(VLOOKUP(E197,入力シート!$AH$37:$AK$62,1,0)))))</f>
        <v>0</v>
      </c>
      <c r="M197" s="238" t="str">
        <f t="shared" ref="M197:M260" si="3">IF(COUNTIF(F197,"*入社年月日に数値以外*"),"※1900/0/0以前は数値として認識されません。","")</f>
        <v/>
      </c>
      <c r="N197" s="236" t="str">
        <f>IF(B197="","",VLOOKUP('従業員情報(給与以外)'!$B197,入力シート!$S$37:$Z$62,5,0))</f>
        <v/>
      </c>
      <c r="O197" s="182" t="str">
        <f>IF(ISNUMBER(C197)=FALSE,"",IF(C197&gt;入力シート!$J$24,"",_xlfn.DAYS(入力シート!$J$24,'従業員情報(給与以外)'!$C197)/365))</f>
        <v/>
      </c>
      <c r="P197" s="237" t="str">
        <f>IF(O197="","",VLOOKUP(_xlfn.DAYS(入力シート!$J$24,'従業員情報(給与以外)'!$C197)/365,入力リスト!$H$4:$I$12,2,2))</f>
        <v/>
      </c>
      <c r="Q197" s="236" t="str">
        <f>IF(D197="","",VLOOKUP('従業員情報(給与以外)'!$D197,入力シート!$AW$37:$BB$38,4,0))</f>
        <v/>
      </c>
      <c r="R197" s="236" t="str">
        <f>IF(A197="","",IF(E197="","非役職",VLOOKUP('従業員情報(給与以外)'!$E197,入力シート!$AH$37:$AO$62,5,0)))</f>
        <v/>
      </c>
      <c r="S197" s="116" t="str">
        <f>IF(OR(入力シート!$C$5&lt;&gt;入力リスト!$N$4,COUNTIF(入力シート!$J$16:$S$23,入力リスト!$K$4)=0),"",IF($A197="","",IF(ISERROR(AVERAGEIF(従業員の給与情報!$B:$B,$A197,従業員の給与情報!$C:$C)),0,IF(ISERROR(AVERAGEIF(従業員の給与情報!$B:$B,$A197,従業員の給与情報!$C:$C)),0,AVERAGEIF(従業員の給与情報!$B:$B,$A197,従業員の給与情報!$C:$C)))))</f>
        <v/>
      </c>
      <c r="T197" s="116" t="str">
        <f>IF(OR(入力シート!$C$5&lt;&gt;入力リスト!$N$4,COUNTIF(入力シート!$J$16:$S$23,入力リスト!$K$4)=0),"",IF(A197="","",IF(ISERROR(AVERAGEIF(従業員の給与情報!$B:$B,$A197,従業員の給与情報!$D:$D)),0,IF(ISERROR(AVERAGEIF(従業員の給与情報!$B:$B,$A197,従業員の給与情報!$D:$D)),0,AVERAGEIF(従業員の給与情報!$B:$B,$A197,従業員の給与情報!$D:$D)))))</f>
        <v/>
      </c>
      <c r="U197" s="116" t="str">
        <f>IF(OR(入力シート!$C$5&lt;&gt;入力リスト!$N$4,COUNTIF(入力シート!$J$16:$S$23,入力リスト!$K$4)=0),"",IF(A197="","",IF(ISERROR(AVERAGEIF(従業員の給与情報!$B:$B,$A197,従業員の給与情報!$E:$E)),0,IF(ISERROR(AVERAGEIF(従業員の給与情報!$B:$B,$A197,従業員の給与情報!$E:$E)),0,AVERAGEIF(従業員の給与情報!$B:$B,$A197,従業員の給与情報!$E:$E)))))</f>
        <v/>
      </c>
      <c r="V197" s="117" t="str">
        <f>IF(OR(入力シート!$C$5&lt;&gt;入力リスト!$N$4,COUNTIF(入力シート!$J$16:$S$23,入力リスト!$K$4)=0),"",IF(A197="","",IF(ISERROR(AVERAGEIF(従業員の給与情報!$B:$B,$A197,従業員の給与情報!$F:$F)),0,IF(ISERROR(AVERAGEIF(従業員の給与情報!$B:$B,$A197,従業員の給与情報!$F:$F)),0,AVERAGEIF(従業員の給与情報!$B:$B,$A197,従業員の給与情報!$F:$F)))))</f>
        <v/>
      </c>
      <c r="W197" s="182"/>
      <c r="X197" s="260"/>
    </row>
    <row r="198" spans="1:24" ht="19.5">
      <c r="A198" s="366"/>
      <c r="B198" s="366"/>
      <c r="C198" s="365"/>
      <c r="D198" s="366"/>
      <c r="E198" s="366"/>
      <c r="F198" s="372" t="str">
        <f>IF(G198,"この従業員番号は、すでに他のセルで入力されています。",IF(入力シート!$C$5=入力リスト!$N$5,"",IF(AND(A198="",B198="",C198="",D198="",E198=""),"",IF(OR(A198="",B198="",C198="",D198=""),IF(A198="","従業員番号","")&amp;IF(AND(A198="",OR(B198="",C198="",D198="")),",","")&amp;IF(B198="","雇用形態","")&amp;IF(AND(B198="",OR(C198="",D198="")),",","")&amp;IF(OR(入力シート!$J$18=入力リスト!$K$4,入力シート!$J$22=入力リスト!$K$4),IF(C198="","入社年月日",""),"")&amp;IF(AND(C198="",D198=""),",","")&amp;IF(D198="","性別","")&amp;IF(IF(A198="","従業員番号","")&amp;IF(B198="","雇用形態","")&amp;IF(OR(入力シート!$J$18=入力リスト!$K$4,入力シート!$J$22=入力リスト!$K$4),IF(C198="","入社年月日",""),"")&amp;IF(D198="","性別","")="","","が空白です。"),IF(J198,"入社年月日に「基準日」の翌日以降の日付が入力されています。","")&amp;IF(I198,"入社年月日に数値以外（又は1900/1/1以前の日付）が入力されています。","")&amp;IF(H198,"雇用形態"&amp;IF(OR(K198,L198),",",""),"")&amp;IF(K198,"性別"&amp;IF(L198,",",""),"")&amp;IF(L198,"役職","")&amp;IF(OR(H198,K198,L198),"に、［入力シート］(4)「貴社」欄と異なる文言が入力されています。","")))))</f>
        <v/>
      </c>
      <c r="G198" s="236" t="b">
        <f>COUNTIF($A$4:A197,$A198)&gt;0</f>
        <v>0</v>
      </c>
      <c r="H198" s="237" t="b">
        <f>IF(COUNTIF(入力シート!$J$16:$S$23,入力リスト!$K$4)=0,FALSE,IF(入力シート!$J$16=入力リスト!$K$5,FALSE,ISERROR(VLOOKUP(B198,入力シート!$S$37:$V$62,1,0))))</f>
        <v>0</v>
      </c>
      <c r="I198" s="237" t="b">
        <f>IF(AND(OR(入力シート!$J$18=入力リスト!$K$4,入力シート!$J$22=入力リスト!$K$4),入力シート!$J$24&lt;&gt;""),IF(ISERROR(C198+1),TRUE,IF(ISNUMBER(C198),FALSE,TRUE)),FALSE)</f>
        <v>0</v>
      </c>
      <c r="J198" s="237" t="b">
        <f>IF(AND(入力シート!$J$18=入力リスト!$K$4,入力シート!$J$22=入力リスト!$K$4),FALSE,IF(I198=TRUE,FALSE,IF(ISERROR(C198+1),FALSE,C198&gt;入力シート!$J$24)))</f>
        <v>0</v>
      </c>
      <c r="K198" s="237" t="b">
        <f>IF(COUNTIF(入力シート!$J$16:$S$23,入力リスト!$K$4)=0,FALSE,IF(AND(入力シート!$J$16&lt;&gt;入力リスト!$K$5,入力シート!$J$18&lt;&gt;入力リスト!$K$5,入力シート!$J$20&lt;&gt;入力リスト!$K$5,入力シート!$J$22&lt;&gt;入力リスト!$K$5),FALSE,ISERROR(VLOOKUP(D198,入力シート!$AW$37:$AY$38,1,0))))</f>
        <v>0</v>
      </c>
      <c r="L198" s="237" t="b">
        <f>IF(COUNTIF(入力シート!$J$16:$S$23,入力リスト!$K$4)=0,FALSE,IF(入力シート!$J$20=入力リスト!$K$5,FALSE,IF(E198="",FALSE,ISERROR(VLOOKUP(E198,入力シート!$AH$37:$AK$62,1,0)))))</f>
        <v>0</v>
      </c>
      <c r="M198" s="238" t="str">
        <f t="shared" si="3"/>
        <v/>
      </c>
      <c r="N198" s="236" t="str">
        <f>IF(B198="","",VLOOKUP('従業員情報(給与以外)'!$B198,入力シート!$S$37:$Z$62,5,0))</f>
        <v/>
      </c>
      <c r="O198" s="182" t="str">
        <f>IF(ISNUMBER(C198)=FALSE,"",IF(C198&gt;入力シート!$J$24,"",_xlfn.DAYS(入力シート!$J$24,'従業員情報(給与以外)'!$C198)/365))</f>
        <v/>
      </c>
      <c r="P198" s="237" t="str">
        <f>IF(O198="","",VLOOKUP(_xlfn.DAYS(入力シート!$J$24,'従業員情報(給与以外)'!$C198)/365,入力リスト!$H$4:$I$12,2,2))</f>
        <v/>
      </c>
      <c r="Q198" s="236" t="str">
        <f>IF(D198="","",VLOOKUP('従業員情報(給与以外)'!$D198,入力シート!$AW$37:$BB$38,4,0))</f>
        <v/>
      </c>
      <c r="R198" s="236" t="str">
        <f>IF(A198="","",IF(E198="","非役職",VLOOKUP('従業員情報(給与以外)'!$E198,入力シート!$AH$37:$AO$62,5,0)))</f>
        <v/>
      </c>
      <c r="S198" s="116" t="str">
        <f>IF(OR(入力シート!$C$5&lt;&gt;入力リスト!$N$4,COUNTIF(入力シート!$J$16:$S$23,入力リスト!$K$4)=0),"",IF($A198="","",IF(ISERROR(AVERAGEIF(従業員の給与情報!$B:$B,$A198,従業員の給与情報!$C:$C)),0,IF(ISERROR(AVERAGEIF(従業員の給与情報!$B:$B,$A198,従業員の給与情報!$C:$C)),0,AVERAGEIF(従業員の給与情報!$B:$B,$A198,従業員の給与情報!$C:$C)))))</f>
        <v/>
      </c>
      <c r="T198" s="116" t="str">
        <f>IF(OR(入力シート!$C$5&lt;&gt;入力リスト!$N$4,COUNTIF(入力シート!$J$16:$S$23,入力リスト!$K$4)=0),"",IF(A198="","",IF(ISERROR(AVERAGEIF(従業員の給与情報!$B:$B,$A198,従業員の給与情報!$D:$D)),0,IF(ISERROR(AVERAGEIF(従業員の給与情報!$B:$B,$A198,従業員の給与情報!$D:$D)),0,AVERAGEIF(従業員の給与情報!$B:$B,$A198,従業員の給与情報!$D:$D)))))</f>
        <v/>
      </c>
      <c r="U198" s="116" t="str">
        <f>IF(OR(入力シート!$C$5&lt;&gt;入力リスト!$N$4,COUNTIF(入力シート!$J$16:$S$23,入力リスト!$K$4)=0),"",IF(A198="","",IF(ISERROR(AVERAGEIF(従業員の給与情報!$B:$B,$A198,従業員の給与情報!$E:$E)),0,IF(ISERROR(AVERAGEIF(従業員の給与情報!$B:$B,$A198,従業員の給与情報!$E:$E)),0,AVERAGEIF(従業員の給与情報!$B:$B,$A198,従業員の給与情報!$E:$E)))))</f>
        <v/>
      </c>
      <c r="V198" s="117" t="str">
        <f>IF(OR(入力シート!$C$5&lt;&gt;入力リスト!$N$4,COUNTIF(入力シート!$J$16:$S$23,入力リスト!$K$4)=0),"",IF(A198="","",IF(ISERROR(AVERAGEIF(従業員の給与情報!$B:$B,$A198,従業員の給与情報!$F:$F)),0,IF(ISERROR(AVERAGEIF(従業員の給与情報!$B:$B,$A198,従業員の給与情報!$F:$F)),0,AVERAGEIF(従業員の給与情報!$B:$B,$A198,従業員の給与情報!$F:$F)))))</f>
        <v/>
      </c>
      <c r="W198" s="182"/>
      <c r="X198" s="260"/>
    </row>
    <row r="199" spans="1:24" ht="19.5">
      <c r="A199" s="366"/>
      <c r="B199" s="366"/>
      <c r="C199" s="365"/>
      <c r="D199" s="366"/>
      <c r="E199" s="366"/>
      <c r="F199" s="372" t="str">
        <f>IF(G199,"この従業員番号は、すでに他のセルで入力されています。",IF(入力シート!$C$5=入力リスト!$N$5,"",IF(AND(A199="",B199="",C199="",D199="",E199=""),"",IF(OR(A199="",B199="",C199="",D199=""),IF(A199="","従業員番号","")&amp;IF(AND(A199="",OR(B199="",C199="",D199="")),",","")&amp;IF(B199="","雇用形態","")&amp;IF(AND(B199="",OR(C199="",D199="")),",","")&amp;IF(OR(入力シート!$J$18=入力リスト!$K$4,入力シート!$J$22=入力リスト!$K$4),IF(C199="","入社年月日",""),"")&amp;IF(AND(C199="",D199=""),",","")&amp;IF(D199="","性別","")&amp;IF(IF(A199="","従業員番号","")&amp;IF(B199="","雇用形態","")&amp;IF(OR(入力シート!$J$18=入力リスト!$K$4,入力シート!$J$22=入力リスト!$K$4),IF(C199="","入社年月日",""),"")&amp;IF(D199="","性別","")="","","が空白です。"),IF(J199,"入社年月日に「基準日」の翌日以降の日付が入力されています。","")&amp;IF(I199,"入社年月日に数値以外（又は1900/1/1以前の日付）が入力されています。","")&amp;IF(H199,"雇用形態"&amp;IF(OR(K199,L199),",",""),"")&amp;IF(K199,"性別"&amp;IF(L199,",",""),"")&amp;IF(L199,"役職","")&amp;IF(OR(H199,K199,L199),"に、［入力シート］(4)「貴社」欄と異なる文言が入力されています。","")))))</f>
        <v/>
      </c>
      <c r="G199" s="236" t="b">
        <f>COUNTIF($A$4:A198,$A199)&gt;0</f>
        <v>0</v>
      </c>
      <c r="H199" s="237" t="b">
        <f>IF(COUNTIF(入力シート!$J$16:$S$23,入力リスト!$K$4)=0,FALSE,IF(入力シート!$J$16=入力リスト!$K$5,FALSE,ISERROR(VLOOKUP(B199,入力シート!$S$37:$V$62,1,0))))</f>
        <v>0</v>
      </c>
      <c r="I199" s="237" t="b">
        <f>IF(AND(OR(入力シート!$J$18=入力リスト!$K$4,入力シート!$J$22=入力リスト!$K$4),入力シート!$J$24&lt;&gt;""),IF(ISERROR(C199+1),TRUE,IF(ISNUMBER(C199),FALSE,TRUE)),FALSE)</f>
        <v>0</v>
      </c>
      <c r="J199" s="237" t="b">
        <f>IF(AND(入力シート!$J$18=入力リスト!$K$4,入力シート!$J$22=入力リスト!$K$4),FALSE,IF(I199=TRUE,FALSE,IF(ISERROR(C199+1),FALSE,C199&gt;入力シート!$J$24)))</f>
        <v>0</v>
      </c>
      <c r="K199" s="237" t="b">
        <f>IF(COUNTIF(入力シート!$J$16:$S$23,入力リスト!$K$4)=0,FALSE,IF(AND(入力シート!$J$16&lt;&gt;入力リスト!$K$5,入力シート!$J$18&lt;&gt;入力リスト!$K$5,入力シート!$J$20&lt;&gt;入力リスト!$K$5,入力シート!$J$22&lt;&gt;入力リスト!$K$5),FALSE,ISERROR(VLOOKUP(D199,入力シート!$AW$37:$AY$38,1,0))))</f>
        <v>0</v>
      </c>
      <c r="L199" s="237" t="b">
        <f>IF(COUNTIF(入力シート!$J$16:$S$23,入力リスト!$K$4)=0,FALSE,IF(入力シート!$J$20=入力リスト!$K$5,FALSE,IF(E199="",FALSE,ISERROR(VLOOKUP(E199,入力シート!$AH$37:$AK$62,1,0)))))</f>
        <v>0</v>
      </c>
      <c r="M199" s="238" t="str">
        <f t="shared" si="3"/>
        <v/>
      </c>
      <c r="N199" s="236" t="str">
        <f>IF(B199="","",VLOOKUP('従業員情報(給与以外)'!$B199,入力シート!$S$37:$Z$62,5,0))</f>
        <v/>
      </c>
      <c r="O199" s="182" t="str">
        <f>IF(ISNUMBER(C199)=FALSE,"",IF(C199&gt;入力シート!$J$24,"",_xlfn.DAYS(入力シート!$J$24,'従業員情報(給与以外)'!$C199)/365))</f>
        <v/>
      </c>
      <c r="P199" s="237" t="str">
        <f>IF(O199="","",VLOOKUP(_xlfn.DAYS(入力シート!$J$24,'従業員情報(給与以外)'!$C199)/365,入力リスト!$H$4:$I$12,2,2))</f>
        <v/>
      </c>
      <c r="Q199" s="236" t="str">
        <f>IF(D199="","",VLOOKUP('従業員情報(給与以外)'!$D199,入力シート!$AW$37:$BB$38,4,0))</f>
        <v/>
      </c>
      <c r="R199" s="236" t="str">
        <f>IF(A199="","",IF(E199="","非役職",VLOOKUP('従業員情報(給与以外)'!$E199,入力シート!$AH$37:$AO$62,5,0)))</f>
        <v/>
      </c>
      <c r="S199" s="116" t="str">
        <f>IF(OR(入力シート!$C$5&lt;&gt;入力リスト!$N$4,COUNTIF(入力シート!$J$16:$S$23,入力リスト!$K$4)=0),"",IF($A199="","",IF(ISERROR(AVERAGEIF(従業員の給与情報!$B:$B,$A199,従業員の給与情報!$C:$C)),0,IF(ISERROR(AVERAGEIF(従業員の給与情報!$B:$B,$A199,従業員の給与情報!$C:$C)),0,AVERAGEIF(従業員の給与情報!$B:$B,$A199,従業員の給与情報!$C:$C)))))</f>
        <v/>
      </c>
      <c r="T199" s="116" t="str">
        <f>IF(OR(入力シート!$C$5&lt;&gt;入力リスト!$N$4,COUNTIF(入力シート!$J$16:$S$23,入力リスト!$K$4)=0),"",IF(A199="","",IF(ISERROR(AVERAGEIF(従業員の給与情報!$B:$B,$A199,従業員の給与情報!$D:$D)),0,IF(ISERROR(AVERAGEIF(従業員の給与情報!$B:$B,$A199,従業員の給与情報!$D:$D)),0,AVERAGEIF(従業員の給与情報!$B:$B,$A199,従業員の給与情報!$D:$D)))))</f>
        <v/>
      </c>
      <c r="U199" s="116" t="str">
        <f>IF(OR(入力シート!$C$5&lt;&gt;入力リスト!$N$4,COUNTIF(入力シート!$J$16:$S$23,入力リスト!$K$4)=0),"",IF(A199="","",IF(ISERROR(AVERAGEIF(従業員の給与情報!$B:$B,$A199,従業員の給与情報!$E:$E)),0,IF(ISERROR(AVERAGEIF(従業員の給与情報!$B:$B,$A199,従業員の給与情報!$E:$E)),0,AVERAGEIF(従業員の給与情報!$B:$B,$A199,従業員の給与情報!$E:$E)))))</f>
        <v/>
      </c>
      <c r="V199" s="117" t="str">
        <f>IF(OR(入力シート!$C$5&lt;&gt;入力リスト!$N$4,COUNTIF(入力シート!$J$16:$S$23,入力リスト!$K$4)=0),"",IF(A199="","",IF(ISERROR(AVERAGEIF(従業員の給与情報!$B:$B,$A199,従業員の給与情報!$F:$F)),0,IF(ISERROR(AVERAGEIF(従業員の給与情報!$B:$B,$A199,従業員の給与情報!$F:$F)),0,AVERAGEIF(従業員の給与情報!$B:$B,$A199,従業員の給与情報!$F:$F)))))</f>
        <v/>
      </c>
      <c r="W199" s="182"/>
      <c r="X199" s="260"/>
    </row>
    <row r="200" spans="1:24" ht="19.5">
      <c r="A200" s="366"/>
      <c r="B200" s="366"/>
      <c r="C200" s="365"/>
      <c r="D200" s="366"/>
      <c r="E200" s="366"/>
      <c r="F200" s="372" t="str">
        <f>IF(G200,"この従業員番号は、すでに他のセルで入力されています。",IF(入力シート!$C$5=入力リスト!$N$5,"",IF(AND(A200="",B200="",C200="",D200="",E200=""),"",IF(OR(A200="",B200="",C200="",D200=""),IF(A200="","従業員番号","")&amp;IF(AND(A200="",OR(B200="",C200="",D200="")),",","")&amp;IF(B200="","雇用形態","")&amp;IF(AND(B200="",OR(C200="",D200="")),",","")&amp;IF(OR(入力シート!$J$18=入力リスト!$K$4,入力シート!$J$22=入力リスト!$K$4),IF(C200="","入社年月日",""),"")&amp;IF(AND(C200="",D200=""),",","")&amp;IF(D200="","性別","")&amp;IF(IF(A200="","従業員番号","")&amp;IF(B200="","雇用形態","")&amp;IF(OR(入力シート!$J$18=入力リスト!$K$4,入力シート!$J$22=入力リスト!$K$4),IF(C200="","入社年月日",""),"")&amp;IF(D200="","性別","")="","","が空白です。"),IF(J200,"入社年月日に「基準日」の翌日以降の日付が入力されています。","")&amp;IF(I200,"入社年月日に数値以外（又は1900/1/1以前の日付）が入力されています。","")&amp;IF(H200,"雇用形態"&amp;IF(OR(K200,L200),",",""),"")&amp;IF(K200,"性別"&amp;IF(L200,",",""),"")&amp;IF(L200,"役職","")&amp;IF(OR(H200,K200,L200),"に、［入力シート］(4)「貴社」欄と異なる文言が入力されています。","")))))</f>
        <v/>
      </c>
      <c r="G200" s="236" t="b">
        <f>COUNTIF($A$4:A199,$A200)&gt;0</f>
        <v>0</v>
      </c>
      <c r="H200" s="237" t="b">
        <f>IF(COUNTIF(入力シート!$J$16:$S$23,入力リスト!$K$4)=0,FALSE,IF(入力シート!$J$16=入力リスト!$K$5,FALSE,ISERROR(VLOOKUP(B200,入力シート!$S$37:$V$62,1,0))))</f>
        <v>0</v>
      </c>
      <c r="I200" s="237" t="b">
        <f>IF(AND(OR(入力シート!$J$18=入力リスト!$K$4,入力シート!$J$22=入力リスト!$K$4),入力シート!$J$24&lt;&gt;""),IF(ISERROR(C200+1),TRUE,IF(ISNUMBER(C200),FALSE,TRUE)),FALSE)</f>
        <v>0</v>
      </c>
      <c r="J200" s="237" t="b">
        <f>IF(AND(入力シート!$J$18=入力リスト!$K$4,入力シート!$J$22=入力リスト!$K$4),FALSE,IF(I200=TRUE,FALSE,IF(ISERROR(C200+1),FALSE,C200&gt;入力シート!$J$24)))</f>
        <v>0</v>
      </c>
      <c r="K200" s="237" t="b">
        <f>IF(COUNTIF(入力シート!$J$16:$S$23,入力リスト!$K$4)=0,FALSE,IF(AND(入力シート!$J$16&lt;&gt;入力リスト!$K$5,入力シート!$J$18&lt;&gt;入力リスト!$K$5,入力シート!$J$20&lt;&gt;入力リスト!$K$5,入力シート!$J$22&lt;&gt;入力リスト!$K$5),FALSE,ISERROR(VLOOKUP(D200,入力シート!$AW$37:$AY$38,1,0))))</f>
        <v>0</v>
      </c>
      <c r="L200" s="237" t="b">
        <f>IF(COUNTIF(入力シート!$J$16:$S$23,入力リスト!$K$4)=0,FALSE,IF(入力シート!$J$20=入力リスト!$K$5,FALSE,IF(E200="",FALSE,ISERROR(VLOOKUP(E200,入力シート!$AH$37:$AK$62,1,0)))))</f>
        <v>0</v>
      </c>
      <c r="M200" s="238" t="str">
        <f t="shared" si="3"/>
        <v/>
      </c>
      <c r="N200" s="236" t="str">
        <f>IF(B200="","",VLOOKUP('従業員情報(給与以外)'!$B200,入力シート!$S$37:$Z$62,5,0))</f>
        <v/>
      </c>
      <c r="O200" s="182" t="str">
        <f>IF(ISNUMBER(C200)=FALSE,"",IF(C200&gt;入力シート!$J$24,"",_xlfn.DAYS(入力シート!$J$24,'従業員情報(給与以外)'!$C200)/365))</f>
        <v/>
      </c>
      <c r="P200" s="237" t="str">
        <f>IF(O200="","",VLOOKUP(_xlfn.DAYS(入力シート!$J$24,'従業員情報(給与以外)'!$C200)/365,入力リスト!$H$4:$I$12,2,2))</f>
        <v/>
      </c>
      <c r="Q200" s="236" t="str">
        <f>IF(D200="","",VLOOKUP('従業員情報(給与以外)'!$D200,入力シート!$AW$37:$BB$38,4,0))</f>
        <v/>
      </c>
      <c r="R200" s="236" t="str">
        <f>IF(A200="","",IF(E200="","非役職",VLOOKUP('従業員情報(給与以外)'!$E200,入力シート!$AH$37:$AO$62,5,0)))</f>
        <v/>
      </c>
      <c r="S200" s="116" t="str">
        <f>IF(OR(入力シート!$C$5&lt;&gt;入力リスト!$N$4,COUNTIF(入力シート!$J$16:$S$23,入力リスト!$K$4)=0),"",IF($A200="","",IF(ISERROR(AVERAGEIF(従業員の給与情報!$B:$B,$A200,従業員の給与情報!$C:$C)),0,IF(ISERROR(AVERAGEIF(従業員の給与情報!$B:$B,$A200,従業員の給与情報!$C:$C)),0,AVERAGEIF(従業員の給与情報!$B:$B,$A200,従業員の給与情報!$C:$C)))))</f>
        <v/>
      </c>
      <c r="T200" s="116" t="str">
        <f>IF(OR(入力シート!$C$5&lt;&gt;入力リスト!$N$4,COUNTIF(入力シート!$J$16:$S$23,入力リスト!$K$4)=0),"",IF(A200="","",IF(ISERROR(AVERAGEIF(従業員の給与情報!$B:$B,$A200,従業員の給与情報!$D:$D)),0,IF(ISERROR(AVERAGEIF(従業員の給与情報!$B:$B,$A200,従業員の給与情報!$D:$D)),0,AVERAGEIF(従業員の給与情報!$B:$B,$A200,従業員の給与情報!$D:$D)))))</f>
        <v/>
      </c>
      <c r="U200" s="116" t="str">
        <f>IF(OR(入力シート!$C$5&lt;&gt;入力リスト!$N$4,COUNTIF(入力シート!$J$16:$S$23,入力リスト!$K$4)=0),"",IF(A200="","",IF(ISERROR(AVERAGEIF(従業員の給与情報!$B:$B,$A200,従業員の給与情報!$E:$E)),0,IF(ISERROR(AVERAGEIF(従業員の給与情報!$B:$B,$A200,従業員の給与情報!$E:$E)),0,AVERAGEIF(従業員の給与情報!$B:$B,$A200,従業員の給与情報!$E:$E)))))</f>
        <v/>
      </c>
      <c r="V200" s="117" t="str">
        <f>IF(OR(入力シート!$C$5&lt;&gt;入力リスト!$N$4,COUNTIF(入力シート!$J$16:$S$23,入力リスト!$K$4)=0),"",IF(A200="","",IF(ISERROR(AVERAGEIF(従業員の給与情報!$B:$B,$A200,従業員の給与情報!$F:$F)),0,IF(ISERROR(AVERAGEIF(従業員の給与情報!$B:$B,$A200,従業員の給与情報!$F:$F)),0,AVERAGEIF(従業員の給与情報!$B:$B,$A200,従業員の給与情報!$F:$F)))))</f>
        <v/>
      </c>
      <c r="W200" s="182"/>
      <c r="X200" s="260"/>
    </row>
    <row r="201" spans="1:24" ht="19.5">
      <c r="A201" s="366"/>
      <c r="B201" s="366"/>
      <c r="C201" s="365"/>
      <c r="D201" s="366"/>
      <c r="E201" s="366"/>
      <c r="F201" s="372" t="str">
        <f>IF(G201,"この従業員番号は、すでに他のセルで入力されています。",IF(入力シート!$C$5=入力リスト!$N$5,"",IF(AND(A201="",B201="",C201="",D201="",E201=""),"",IF(OR(A201="",B201="",C201="",D201=""),IF(A201="","従業員番号","")&amp;IF(AND(A201="",OR(B201="",C201="",D201="")),",","")&amp;IF(B201="","雇用形態","")&amp;IF(AND(B201="",OR(C201="",D201="")),",","")&amp;IF(OR(入力シート!$J$18=入力リスト!$K$4,入力シート!$J$22=入力リスト!$K$4),IF(C201="","入社年月日",""),"")&amp;IF(AND(C201="",D201=""),",","")&amp;IF(D201="","性別","")&amp;IF(IF(A201="","従業員番号","")&amp;IF(B201="","雇用形態","")&amp;IF(OR(入力シート!$J$18=入力リスト!$K$4,入力シート!$J$22=入力リスト!$K$4),IF(C201="","入社年月日",""),"")&amp;IF(D201="","性別","")="","","が空白です。"),IF(J201,"入社年月日に「基準日」の翌日以降の日付が入力されています。","")&amp;IF(I201,"入社年月日に数値以外（又は1900/1/1以前の日付）が入力されています。","")&amp;IF(H201,"雇用形態"&amp;IF(OR(K201,L201),",",""),"")&amp;IF(K201,"性別"&amp;IF(L201,",",""),"")&amp;IF(L201,"役職","")&amp;IF(OR(H201,K201,L201),"に、［入力シート］(4)「貴社」欄と異なる文言が入力されています。","")))))</f>
        <v/>
      </c>
      <c r="G201" s="236" t="b">
        <f>COUNTIF($A$4:A200,$A201)&gt;0</f>
        <v>0</v>
      </c>
      <c r="H201" s="237" t="b">
        <f>IF(COUNTIF(入力シート!$J$16:$S$23,入力リスト!$K$4)=0,FALSE,IF(入力シート!$J$16=入力リスト!$K$5,FALSE,ISERROR(VLOOKUP(B201,入力シート!$S$37:$V$62,1,0))))</f>
        <v>0</v>
      </c>
      <c r="I201" s="237" t="b">
        <f>IF(AND(OR(入力シート!$J$18=入力リスト!$K$4,入力シート!$J$22=入力リスト!$K$4),入力シート!$J$24&lt;&gt;""),IF(ISERROR(C201+1),TRUE,IF(ISNUMBER(C201),FALSE,TRUE)),FALSE)</f>
        <v>0</v>
      </c>
      <c r="J201" s="237" t="b">
        <f>IF(AND(入力シート!$J$18=入力リスト!$K$4,入力シート!$J$22=入力リスト!$K$4),FALSE,IF(I201=TRUE,FALSE,IF(ISERROR(C201+1),FALSE,C201&gt;入力シート!$J$24)))</f>
        <v>0</v>
      </c>
      <c r="K201" s="237" t="b">
        <f>IF(COUNTIF(入力シート!$J$16:$S$23,入力リスト!$K$4)=0,FALSE,IF(AND(入力シート!$J$16&lt;&gt;入力リスト!$K$5,入力シート!$J$18&lt;&gt;入力リスト!$K$5,入力シート!$J$20&lt;&gt;入力リスト!$K$5,入力シート!$J$22&lt;&gt;入力リスト!$K$5),FALSE,ISERROR(VLOOKUP(D201,入力シート!$AW$37:$AY$38,1,0))))</f>
        <v>0</v>
      </c>
      <c r="L201" s="237" t="b">
        <f>IF(COUNTIF(入力シート!$J$16:$S$23,入力リスト!$K$4)=0,FALSE,IF(入力シート!$J$20=入力リスト!$K$5,FALSE,IF(E201="",FALSE,ISERROR(VLOOKUP(E201,入力シート!$AH$37:$AK$62,1,0)))))</f>
        <v>0</v>
      </c>
      <c r="M201" s="238" t="str">
        <f t="shared" si="3"/>
        <v/>
      </c>
      <c r="N201" s="236" t="str">
        <f>IF(B201="","",VLOOKUP('従業員情報(給与以外)'!$B201,入力シート!$S$37:$Z$62,5,0))</f>
        <v/>
      </c>
      <c r="O201" s="182" t="str">
        <f>IF(ISNUMBER(C201)=FALSE,"",IF(C201&gt;入力シート!$J$24,"",_xlfn.DAYS(入力シート!$J$24,'従業員情報(給与以外)'!$C201)/365))</f>
        <v/>
      </c>
      <c r="P201" s="237" t="str">
        <f>IF(O201="","",VLOOKUP(_xlfn.DAYS(入力シート!$J$24,'従業員情報(給与以外)'!$C201)/365,入力リスト!$H$4:$I$12,2,2))</f>
        <v/>
      </c>
      <c r="Q201" s="236" t="str">
        <f>IF(D201="","",VLOOKUP('従業員情報(給与以外)'!$D201,入力シート!$AW$37:$BB$38,4,0))</f>
        <v/>
      </c>
      <c r="R201" s="236" t="str">
        <f>IF(A201="","",IF(E201="","非役職",VLOOKUP('従業員情報(給与以外)'!$E201,入力シート!$AH$37:$AO$62,5,0)))</f>
        <v/>
      </c>
      <c r="S201" s="116" t="str">
        <f>IF(OR(入力シート!$C$5&lt;&gt;入力リスト!$N$4,COUNTIF(入力シート!$J$16:$S$23,入力リスト!$K$4)=0),"",IF($A201="","",IF(ISERROR(AVERAGEIF(従業員の給与情報!$B:$B,$A201,従業員の給与情報!$C:$C)),0,IF(ISERROR(AVERAGEIF(従業員の給与情報!$B:$B,$A201,従業員の給与情報!$C:$C)),0,AVERAGEIF(従業員の給与情報!$B:$B,$A201,従業員の給与情報!$C:$C)))))</f>
        <v/>
      </c>
      <c r="T201" s="116" t="str">
        <f>IF(OR(入力シート!$C$5&lt;&gt;入力リスト!$N$4,COUNTIF(入力シート!$J$16:$S$23,入力リスト!$K$4)=0),"",IF(A201="","",IF(ISERROR(AVERAGEIF(従業員の給与情報!$B:$B,$A201,従業員の給与情報!$D:$D)),0,IF(ISERROR(AVERAGEIF(従業員の給与情報!$B:$B,$A201,従業員の給与情報!$D:$D)),0,AVERAGEIF(従業員の給与情報!$B:$B,$A201,従業員の給与情報!$D:$D)))))</f>
        <v/>
      </c>
      <c r="U201" s="116" t="str">
        <f>IF(OR(入力シート!$C$5&lt;&gt;入力リスト!$N$4,COUNTIF(入力シート!$J$16:$S$23,入力リスト!$K$4)=0),"",IF(A201="","",IF(ISERROR(AVERAGEIF(従業員の給与情報!$B:$B,$A201,従業員の給与情報!$E:$E)),0,IF(ISERROR(AVERAGEIF(従業員の給与情報!$B:$B,$A201,従業員の給与情報!$E:$E)),0,AVERAGEIF(従業員の給与情報!$B:$B,$A201,従業員の給与情報!$E:$E)))))</f>
        <v/>
      </c>
      <c r="V201" s="117" t="str">
        <f>IF(OR(入力シート!$C$5&lt;&gt;入力リスト!$N$4,COUNTIF(入力シート!$J$16:$S$23,入力リスト!$K$4)=0),"",IF(A201="","",IF(ISERROR(AVERAGEIF(従業員の給与情報!$B:$B,$A201,従業員の給与情報!$F:$F)),0,IF(ISERROR(AVERAGEIF(従業員の給与情報!$B:$B,$A201,従業員の給与情報!$F:$F)),0,AVERAGEIF(従業員の給与情報!$B:$B,$A201,従業員の給与情報!$F:$F)))))</f>
        <v/>
      </c>
      <c r="W201" s="182"/>
      <c r="X201" s="260"/>
    </row>
    <row r="202" spans="1:24" ht="19.5">
      <c r="A202" s="366"/>
      <c r="B202" s="366"/>
      <c r="C202" s="365"/>
      <c r="D202" s="366"/>
      <c r="E202" s="366"/>
      <c r="F202" s="372" t="str">
        <f>IF(G202,"この従業員番号は、すでに他のセルで入力されています。",IF(入力シート!$C$5=入力リスト!$N$5,"",IF(AND(A202="",B202="",C202="",D202="",E202=""),"",IF(OR(A202="",B202="",C202="",D202=""),IF(A202="","従業員番号","")&amp;IF(AND(A202="",OR(B202="",C202="",D202="")),",","")&amp;IF(B202="","雇用形態","")&amp;IF(AND(B202="",OR(C202="",D202="")),",","")&amp;IF(OR(入力シート!$J$18=入力リスト!$K$4,入力シート!$J$22=入力リスト!$K$4),IF(C202="","入社年月日",""),"")&amp;IF(AND(C202="",D202=""),",","")&amp;IF(D202="","性別","")&amp;IF(IF(A202="","従業員番号","")&amp;IF(B202="","雇用形態","")&amp;IF(OR(入力シート!$J$18=入力リスト!$K$4,入力シート!$J$22=入力リスト!$K$4),IF(C202="","入社年月日",""),"")&amp;IF(D202="","性別","")="","","が空白です。"),IF(J202,"入社年月日に「基準日」の翌日以降の日付が入力されています。","")&amp;IF(I202,"入社年月日に数値以外（又は1900/1/1以前の日付）が入力されています。","")&amp;IF(H202,"雇用形態"&amp;IF(OR(K202,L202),",",""),"")&amp;IF(K202,"性別"&amp;IF(L202,",",""),"")&amp;IF(L202,"役職","")&amp;IF(OR(H202,K202,L202),"に、［入力シート］(4)「貴社」欄と異なる文言が入力されています。","")))))</f>
        <v/>
      </c>
      <c r="G202" s="236" t="b">
        <f>COUNTIF($A$4:A201,$A202)&gt;0</f>
        <v>0</v>
      </c>
      <c r="H202" s="237" t="b">
        <f>IF(COUNTIF(入力シート!$J$16:$S$23,入力リスト!$K$4)=0,FALSE,IF(入力シート!$J$16=入力リスト!$K$5,FALSE,ISERROR(VLOOKUP(B202,入力シート!$S$37:$V$62,1,0))))</f>
        <v>0</v>
      </c>
      <c r="I202" s="237" t="b">
        <f>IF(AND(OR(入力シート!$J$18=入力リスト!$K$4,入力シート!$J$22=入力リスト!$K$4),入力シート!$J$24&lt;&gt;""),IF(ISERROR(C202+1),TRUE,IF(ISNUMBER(C202),FALSE,TRUE)),FALSE)</f>
        <v>0</v>
      </c>
      <c r="J202" s="237" t="b">
        <f>IF(AND(入力シート!$J$18=入力リスト!$K$4,入力シート!$J$22=入力リスト!$K$4),FALSE,IF(I202=TRUE,FALSE,IF(ISERROR(C202+1),FALSE,C202&gt;入力シート!$J$24)))</f>
        <v>0</v>
      </c>
      <c r="K202" s="237" t="b">
        <f>IF(COUNTIF(入力シート!$J$16:$S$23,入力リスト!$K$4)=0,FALSE,IF(AND(入力シート!$J$16&lt;&gt;入力リスト!$K$5,入力シート!$J$18&lt;&gt;入力リスト!$K$5,入力シート!$J$20&lt;&gt;入力リスト!$K$5,入力シート!$J$22&lt;&gt;入力リスト!$K$5),FALSE,ISERROR(VLOOKUP(D202,入力シート!$AW$37:$AY$38,1,0))))</f>
        <v>0</v>
      </c>
      <c r="L202" s="237" t="b">
        <f>IF(COUNTIF(入力シート!$J$16:$S$23,入力リスト!$K$4)=0,FALSE,IF(入力シート!$J$20=入力リスト!$K$5,FALSE,IF(E202="",FALSE,ISERROR(VLOOKUP(E202,入力シート!$AH$37:$AK$62,1,0)))))</f>
        <v>0</v>
      </c>
      <c r="M202" s="238" t="str">
        <f t="shared" si="3"/>
        <v/>
      </c>
      <c r="N202" s="236" t="str">
        <f>IF(B202="","",VLOOKUP('従業員情報(給与以外)'!$B202,入力シート!$S$37:$Z$62,5,0))</f>
        <v/>
      </c>
      <c r="O202" s="182" t="str">
        <f>IF(ISNUMBER(C202)=FALSE,"",IF(C202&gt;入力シート!$J$24,"",_xlfn.DAYS(入力シート!$J$24,'従業員情報(給与以外)'!$C202)/365))</f>
        <v/>
      </c>
      <c r="P202" s="237" t="str">
        <f>IF(O202="","",VLOOKUP(_xlfn.DAYS(入力シート!$J$24,'従業員情報(給与以外)'!$C202)/365,入力リスト!$H$4:$I$12,2,2))</f>
        <v/>
      </c>
      <c r="Q202" s="236" t="str">
        <f>IF(D202="","",VLOOKUP('従業員情報(給与以外)'!$D202,入力シート!$AW$37:$BB$38,4,0))</f>
        <v/>
      </c>
      <c r="R202" s="236" t="str">
        <f>IF(A202="","",IF(E202="","非役職",VLOOKUP('従業員情報(給与以外)'!$E202,入力シート!$AH$37:$AO$62,5,0)))</f>
        <v/>
      </c>
      <c r="S202" s="116" t="str">
        <f>IF(OR(入力シート!$C$5&lt;&gt;入力リスト!$N$4,COUNTIF(入力シート!$J$16:$S$23,入力リスト!$K$4)=0),"",IF($A202="","",IF(ISERROR(AVERAGEIF(従業員の給与情報!$B:$B,$A202,従業員の給与情報!$C:$C)),0,IF(ISERROR(AVERAGEIF(従業員の給与情報!$B:$B,$A202,従業員の給与情報!$C:$C)),0,AVERAGEIF(従業員の給与情報!$B:$B,$A202,従業員の給与情報!$C:$C)))))</f>
        <v/>
      </c>
      <c r="T202" s="116" t="str">
        <f>IF(OR(入力シート!$C$5&lt;&gt;入力リスト!$N$4,COUNTIF(入力シート!$J$16:$S$23,入力リスト!$K$4)=0),"",IF(A202="","",IF(ISERROR(AVERAGEIF(従業員の給与情報!$B:$B,$A202,従業員の給与情報!$D:$D)),0,IF(ISERROR(AVERAGEIF(従業員の給与情報!$B:$B,$A202,従業員の給与情報!$D:$D)),0,AVERAGEIF(従業員の給与情報!$B:$B,$A202,従業員の給与情報!$D:$D)))))</f>
        <v/>
      </c>
      <c r="U202" s="116" t="str">
        <f>IF(OR(入力シート!$C$5&lt;&gt;入力リスト!$N$4,COUNTIF(入力シート!$J$16:$S$23,入力リスト!$K$4)=0),"",IF(A202="","",IF(ISERROR(AVERAGEIF(従業員の給与情報!$B:$B,$A202,従業員の給与情報!$E:$E)),0,IF(ISERROR(AVERAGEIF(従業員の給与情報!$B:$B,$A202,従業員の給与情報!$E:$E)),0,AVERAGEIF(従業員の給与情報!$B:$B,$A202,従業員の給与情報!$E:$E)))))</f>
        <v/>
      </c>
      <c r="V202" s="117" t="str">
        <f>IF(OR(入力シート!$C$5&lt;&gt;入力リスト!$N$4,COUNTIF(入力シート!$J$16:$S$23,入力リスト!$K$4)=0),"",IF(A202="","",IF(ISERROR(AVERAGEIF(従業員の給与情報!$B:$B,$A202,従業員の給与情報!$F:$F)),0,IF(ISERROR(AVERAGEIF(従業員の給与情報!$B:$B,$A202,従業員の給与情報!$F:$F)),0,AVERAGEIF(従業員の給与情報!$B:$B,$A202,従業員の給与情報!$F:$F)))))</f>
        <v/>
      </c>
      <c r="W202" s="182"/>
      <c r="X202" s="260"/>
    </row>
    <row r="203" spans="1:24" ht="19.5">
      <c r="A203" s="366"/>
      <c r="B203" s="366"/>
      <c r="C203" s="365"/>
      <c r="D203" s="366"/>
      <c r="E203" s="366"/>
      <c r="F203" s="372" t="str">
        <f>IF(G203,"この従業員番号は、すでに他のセルで入力されています。",IF(入力シート!$C$5=入力リスト!$N$5,"",IF(AND(A203="",B203="",C203="",D203="",E203=""),"",IF(OR(A203="",B203="",C203="",D203=""),IF(A203="","従業員番号","")&amp;IF(AND(A203="",OR(B203="",C203="",D203="")),",","")&amp;IF(B203="","雇用形態","")&amp;IF(AND(B203="",OR(C203="",D203="")),",","")&amp;IF(OR(入力シート!$J$18=入力リスト!$K$4,入力シート!$J$22=入力リスト!$K$4),IF(C203="","入社年月日",""),"")&amp;IF(AND(C203="",D203=""),",","")&amp;IF(D203="","性別","")&amp;IF(IF(A203="","従業員番号","")&amp;IF(B203="","雇用形態","")&amp;IF(OR(入力シート!$J$18=入力リスト!$K$4,入力シート!$J$22=入力リスト!$K$4),IF(C203="","入社年月日",""),"")&amp;IF(D203="","性別","")="","","が空白です。"),IF(J203,"入社年月日に「基準日」の翌日以降の日付が入力されています。","")&amp;IF(I203,"入社年月日に数値以外（又は1900/1/1以前の日付）が入力されています。","")&amp;IF(H203,"雇用形態"&amp;IF(OR(K203,L203),",",""),"")&amp;IF(K203,"性別"&amp;IF(L203,",",""),"")&amp;IF(L203,"役職","")&amp;IF(OR(H203,K203,L203),"に、［入力シート］(4)「貴社」欄と異なる文言が入力されています。","")))))</f>
        <v/>
      </c>
      <c r="G203" s="236" t="b">
        <f>COUNTIF($A$4:A202,$A203)&gt;0</f>
        <v>0</v>
      </c>
      <c r="H203" s="237" t="b">
        <f>IF(COUNTIF(入力シート!$J$16:$S$23,入力リスト!$K$4)=0,FALSE,IF(入力シート!$J$16=入力リスト!$K$5,FALSE,ISERROR(VLOOKUP(B203,入力シート!$S$37:$V$62,1,0))))</f>
        <v>0</v>
      </c>
      <c r="I203" s="237" t="b">
        <f>IF(AND(OR(入力シート!$J$18=入力リスト!$K$4,入力シート!$J$22=入力リスト!$K$4),入力シート!$J$24&lt;&gt;""),IF(ISERROR(C203+1),TRUE,IF(ISNUMBER(C203),FALSE,TRUE)),FALSE)</f>
        <v>0</v>
      </c>
      <c r="J203" s="237" t="b">
        <f>IF(AND(入力シート!$J$18=入力リスト!$K$4,入力シート!$J$22=入力リスト!$K$4),FALSE,IF(I203=TRUE,FALSE,IF(ISERROR(C203+1),FALSE,C203&gt;入力シート!$J$24)))</f>
        <v>0</v>
      </c>
      <c r="K203" s="237" t="b">
        <f>IF(COUNTIF(入力シート!$J$16:$S$23,入力リスト!$K$4)=0,FALSE,IF(AND(入力シート!$J$16&lt;&gt;入力リスト!$K$5,入力シート!$J$18&lt;&gt;入力リスト!$K$5,入力シート!$J$20&lt;&gt;入力リスト!$K$5,入力シート!$J$22&lt;&gt;入力リスト!$K$5),FALSE,ISERROR(VLOOKUP(D203,入力シート!$AW$37:$AY$38,1,0))))</f>
        <v>0</v>
      </c>
      <c r="L203" s="237" t="b">
        <f>IF(COUNTIF(入力シート!$J$16:$S$23,入力リスト!$K$4)=0,FALSE,IF(入力シート!$J$20=入力リスト!$K$5,FALSE,IF(E203="",FALSE,ISERROR(VLOOKUP(E203,入力シート!$AH$37:$AK$62,1,0)))))</f>
        <v>0</v>
      </c>
      <c r="M203" s="238" t="str">
        <f t="shared" si="3"/>
        <v/>
      </c>
      <c r="N203" s="236" t="str">
        <f>IF(B203="","",VLOOKUP('従業員情報(給与以外)'!$B203,入力シート!$S$37:$Z$62,5,0))</f>
        <v/>
      </c>
      <c r="O203" s="182" t="str">
        <f>IF(ISNUMBER(C203)=FALSE,"",IF(C203&gt;入力シート!$J$24,"",_xlfn.DAYS(入力シート!$J$24,'従業員情報(給与以外)'!$C203)/365))</f>
        <v/>
      </c>
      <c r="P203" s="237" t="str">
        <f>IF(O203="","",VLOOKUP(_xlfn.DAYS(入力シート!$J$24,'従業員情報(給与以外)'!$C203)/365,入力リスト!$H$4:$I$12,2,2))</f>
        <v/>
      </c>
      <c r="Q203" s="236" t="str">
        <f>IF(D203="","",VLOOKUP('従業員情報(給与以外)'!$D203,入力シート!$AW$37:$BB$38,4,0))</f>
        <v/>
      </c>
      <c r="R203" s="236" t="str">
        <f>IF(A203="","",IF(E203="","非役職",VLOOKUP('従業員情報(給与以外)'!$E203,入力シート!$AH$37:$AO$62,5,0)))</f>
        <v/>
      </c>
      <c r="S203" s="116" t="str">
        <f>IF(OR(入力シート!$C$5&lt;&gt;入力リスト!$N$4,COUNTIF(入力シート!$J$16:$S$23,入力リスト!$K$4)=0),"",IF($A203="","",IF(ISERROR(AVERAGEIF(従業員の給与情報!$B:$B,$A203,従業員の給与情報!$C:$C)),0,IF(ISERROR(AVERAGEIF(従業員の給与情報!$B:$B,$A203,従業員の給与情報!$C:$C)),0,AVERAGEIF(従業員の給与情報!$B:$B,$A203,従業員の給与情報!$C:$C)))))</f>
        <v/>
      </c>
      <c r="T203" s="116" t="str">
        <f>IF(OR(入力シート!$C$5&lt;&gt;入力リスト!$N$4,COUNTIF(入力シート!$J$16:$S$23,入力リスト!$K$4)=0),"",IF(A203="","",IF(ISERROR(AVERAGEIF(従業員の給与情報!$B:$B,$A203,従業員の給与情報!$D:$D)),0,IF(ISERROR(AVERAGEIF(従業員の給与情報!$B:$B,$A203,従業員の給与情報!$D:$D)),0,AVERAGEIF(従業員の給与情報!$B:$B,$A203,従業員の給与情報!$D:$D)))))</f>
        <v/>
      </c>
      <c r="U203" s="116" t="str">
        <f>IF(OR(入力シート!$C$5&lt;&gt;入力リスト!$N$4,COUNTIF(入力シート!$J$16:$S$23,入力リスト!$K$4)=0),"",IF(A203="","",IF(ISERROR(AVERAGEIF(従業員の給与情報!$B:$B,$A203,従業員の給与情報!$E:$E)),0,IF(ISERROR(AVERAGEIF(従業員の給与情報!$B:$B,$A203,従業員の給与情報!$E:$E)),0,AVERAGEIF(従業員の給与情報!$B:$B,$A203,従業員の給与情報!$E:$E)))))</f>
        <v/>
      </c>
      <c r="V203" s="117" t="str">
        <f>IF(OR(入力シート!$C$5&lt;&gt;入力リスト!$N$4,COUNTIF(入力シート!$J$16:$S$23,入力リスト!$K$4)=0),"",IF(A203="","",IF(ISERROR(AVERAGEIF(従業員の給与情報!$B:$B,$A203,従業員の給与情報!$F:$F)),0,IF(ISERROR(AVERAGEIF(従業員の給与情報!$B:$B,$A203,従業員の給与情報!$F:$F)),0,AVERAGEIF(従業員の給与情報!$B:$B,$A203,従業員の給与情報!$F:$F)))))</f>
        <v/>
      </c>
      <c r="W203" s="182"/>
      <c r="X203" s="260"/>
    </row>
    <row r="204" spans="1:24" ht="19.5">
      <c r="A204" s="366"/>
      <c r="B204" s="366"/>
      <c r="C204" s="365"/>
      <c r="D204" s="366"/>
      <c r="E204" s="366"/>
      <c r="F204" s="372" t="str">
        <f>IF(G204,"この従業員番号は、すでに他のセルで入力されています。",IF(入力シート!$C$5=入力リスト!$N$5,"",IF(AND(A204="",B204="",C204="",D204="",E204=""),"",IF(OR(A204="",B204="",C204="",D204=""),IF(A204="","従業員番号","")&amp;IF(AND(A204="",OR(B204="",C204="",D204="")),",","")&amp;IF(B204="","雇用形態","")&amp;IF(AND(B204="",OR(C204="",D204="")),",","")&amp;IF(OR(入力シート!$J$18=入力リスト!$K$4,入力シート!$J$22=入力リスト!$K$4),IF(C204="","入社年月日",""),"")&amp;IF(AND(C204="",D204=""),",","")&amp;IF(D204="","性別","")&amp;IF(IF(A204="","従業員番号","")&amp;IF(B204="","雇用形態","")&amp;IF(OR(入力シート!$J$18=入力リスト!$K$4,入力シート!$J$22=入力リスト!$K$4),IF(C204="","入社年月日",""),"")&amp;IF(D204="","性別","")="","","が空白です。"),IF(J204,"入社年月日に「基準日」の翌日以降の日付が入力されています。","")&amp;IF(I204,"入社年月日に数値以外（又は1900/1/1以前の日付）が入力されています。","")&amp;IF(H204,"雇用形態"&amp;IF(OR(K204,L204),",",""),"")&amp;IF(K204,"性別"&amp;IF(L204,",",""),"")&amp;IF(L204,"役職","")&amp;IF(OR(H204,K204,L204),"に、［入力シート］(4)「貴社」欄と異なる文言が入力されています。","")))))</f>
        <v/>
      </c>
      <c r="G204" s="236" t="b">
        <f>COUNTIF($A$4:A203,$A204)&gt;0</f>
        <v>0</v>
      </c>
      <c r="H204" s="237" t="b">
        <f>IF(COUNTIF(入力シート!$J$16:$S$23,入力リスト!$K$4)=0,FALSE,IF(入力シート!$J$16=入力リスト!$K$5,FALSE,ISERROR(VLOOKUP(B204,入力シート!$S$37:$V$62,1,0))))</f>
        <v>0</v>
      </c>
      <c r="I204" s="237" t="b">
        <f>IF(AND(OR(入力シート!$J$18=入力リスト!$K$4,入力シート!$J$22=入力リスト!$K$4),入力シート!$J$24&lt;&gt;""),IF(ISERROR(C204+1),TRUE,IF(ISNUMBER(C204),FALSE,TRUE)),FALSE)</f>
        <v>0</v>
      </c>
      <c r="J204" s="237" t="b">
        <f>IF(AND(入力シート!$J$18=入力リスト!$K$4,入力シート!$J$22=入力リスト!$K$4),FALSE,IF(I204=TRUE,FALSE,IF(ISERROR(C204+1),FALSE,C204&gt;入力シート!$J$24)))</f>
        <v>0</v>
      </c>
      <c r="K204" s="237" t="b">
        <f>IF(COUNTIF(入力シート!$J$16:$S$23,入力リスト!$K$4)=0,FALSE,IF(AND(入力シート!$J$16&lt;&gt;入力リスト!$K$5,入力シート!$J$18&lt;&gt;入力リスト!$K$5,入力シート!$J$20&lt;&gt;入力リスト!$K$5,入力シート!$J$22&lt;&gt;入力リスト!$K$5),FALSE,ISERROR(VLOOKUP(D204,入力シート!$AW$37:$AY$38,1,0))))</f>
        <v>0</v>
      </c>
      <c r="L204" s="237" t="b">
        <f>IF(COUNTIF(入力シート!$J$16:$S$23,入力リスト!$K$4)=0,FALSE,IF(入力シート!$J$20=入力リスト!$K$5,FALSE,IF(E204="",FALSE,ISERROR(VLOOKUP(E204,入力シート!$AH$37:$AK$62,1,0)))))</f>
        <v>0</v>
      </c>
      <c r="M204" s="238" t="str">
        <f t="shared" si="3"/>
        <v/>
      </c>
      <c r="N204" s="236" t="str">
        <f>IF(B204="","",VLOOKUP('従業員情報(給与以外)'!$B204,入力シート!$S$37:$Z$62,5,0))</f>
        <v/>
      </c>
      <c r="O204" s="182" t="str">
        <f>IF(ISNUMBER(C204)=FALSE,"",IF(C204&gt;入力シート!$J$24,"",_xlfn.DAYS(入力シート!$J$24,'従業員情報(給与以外)'!$C204)/365))</f>
        <v/>
      </c>
      <c r="P204" s="237" t="str">
        <f>IF(O204="","",VLOOKUP(_xlfn.DAYS(入力シート!$J$24,'従業員情報(給与以外)'!$C204)/365,入力リスト!$H$4:$I$12,2,2))</f>
        <v/>
      </c>
      <c r="Q204" s="236" t="str">
        <f>IF(D204="","",VLOOKUP('従業員情報(給与以外)'!$D204,入力シート!$AW$37:$BB$38,4,0))</f>
        <v/>
      </c>
      <c r="R204" s="236" t="str">
        <f>IF(A204="","",IF(E204="","非役職",VLOOKUP('従業員情報(給与以外)'!$E204,入力シート!$AH$37:$AO$62,5,0)))</f>
        <v/>
      </c>
      <c r="S204" s="116" t="str">
        <f>IF(OR(入力シート!$C$5&lt;&gt;入力リスト!$N$4,COUNTIF(入力シート!$J$16:$S$23,入力リスト!$K$4)=0),"",IF($A204="","",IF(ISERROR(AVERAGEIF(従業員の給与情報!$B:$B,$A204,従業員の給与情報!$C:$C)),0,IF(ISERROR(AVERAGEIF(従業員の給与情報!$B:$B,$A204,従業員の給与情報!$C:$C)),0,AVERAGEIF(従業員の給与情報!$B:$B,$A204,従業員の給与情報!$C:$C)))))</f>
        <v/>
      </c>
      <c r="T204" s="116" t="str">
        <f>IF(OR(入力シート!$C$5&lt;&gt;入力リスト!$N$4,COUNTIF(入力シート!$J$16:$S$23,入力リスト!$K$4)=0),"",IF(A204="","",IF(ISERROR(AVERAGEIF(従業員の給与情報!$B:$B,$A204,従業員の給与情報!$D:$D)),0,IF(ISERROR(AVERAGEIF(従業員の給与情報!$B:$B,$A204,従業員の給与情報!$D:$D)),0,AVERAGEIF(従業員の給与情報!$B:$B,$A204,従業員の給与情報!$D:$D)))))</f>
        <v/>
      </c>
      <c r="U204" s="116" t="str">
        <f>IF(OR(入力シート!$C$5&lt;&gt;入力リスト!$N$4,COUNTIF(入力シート!$J$16:$S$23,入力リスト!$K$4)=0),"",IF(A204="","",IF(ISERROR(AVERAGEIF(従業員の給与情報!$B:$B,$A204,従業員の給与情報!$E:$E)),0,IF(ISERROR(AVERAGEIF(従業員の給与情報!$B:$B,$A204,従業員の給与情報!$E:$E)),0,AVERAGEIF(従業員の給与情報!$B:$B,$A204,従業員の給与情報!$E:$E)))))</f>
        <v/>
      </c>
      <c r="V204" s="117" t="str">
        <f>IF(OR(入力シート!$C$5&lt;&gt;入力リスト!$N$4,COUNTIF(入力シート!$J$16:$S$23,入力リスト!$K$4)=0),"",IF(A204="","",IF(ISERROR(AVERAGEIF(従業員の給与情報!$B:$B,$A204,従業員の給与情報!$F:$F)),0,IF(ISERROR(AVERAGEIF(従業員の給与情報!$B:$B,$A204,従業員の給与情報!$F:$F)),0,AVERAGEIF(従業員の給与情報!$B:$B,$A204,従業員の給与情報!$F:$F)))))</f>
        <v/>
      </c>
      <c r="W204" s="182"/>
      <c r="X204" s="260"/>
    </row>
    <row r="205" spans="1:24" ht="19.5">
      <c r="A205" s="366"/>
      <c r="B205" s="366"/>
      <c r="C205" s="365"/>
      <c r="D205" s="366"/>
      <c r="E205" s="366"/>
      <c r="F205" s="372" t="str">
        <f>IF(G205,"この従業員番号は、すでに他のセルで入力されています。",IF(入力シート!$C$5=入力リスト!$N$5,"",IF(AND(A205="",B205="",C205="",D205="",E205=""),"",IF(OR(A205="",B205="",C205="",D205=""),IF(A205="","従業員番号","")&amp;IF(AND(A205="",OR(B205="",C205="",D205="")),",","")&amp;IF(B205="","雇用形態","")&amp;IF(AND(B205="",OR(C205="",D205="")),",","")&amp;IF(OR(入力シート!$J$18=入力リスト!$K$4,入力シート!$J$22=入力リスト!$K$4),IF(C205="","入社年月日",""),"")&amp;IF(AND(C205="",D205=""),",","")&amp;IF(D205="","性別","")&amp;IF(IF(A205="","従業員番号","")&amp;IF(B205="","雇用形態","")&amp;IF(OR(入力シート!$J$18=入力リスト!$K$4,入力シート!$J$22=入力リスト!$K$4),IF(C205="","入社年月日",""),"")&amp;IF(D205="","性別","")="","","が空白です。"),IF(J205,"入社年月日に「基準日」の翌日以降の日付が入力されています。","")&amp;IF(I205,"入社年月日に数値以外（又は1900/1/1以前の日付）が入力されています。","")&amp;IF(H205,"雇用形態"&amp;IF(OR(K205,L205),",",""),"")&amp;IF(K205,"性別"&amp;IF(L205,",",""),"")&amp;IF(L205,"役職","")&amp;IF(OR(H205,K205,L205),"に、［入力シート］(4)「貴社」欄と異なる文言が入力されています。","")))))</f>
        <v/>
      </c>
      <c r="G205" s="236" t="b">
        <f>COUNTIF($A$4:A204,$A205)&gt;0</f>
        <v>0</v>
      </c>
      <c r="H205" s="237" t="b">
        <f>IF(COUNTIF(入力シート!$J$16:$S$23,入力リスト!$K$4)=0,FALSE,IF(入力シート!$J$16=入力リスト!$K$5,FALSE,ISERROR(VLOOKUP(B205,入力シート!$S$37:$V$62,1,0))))</f>
        <v>0</v>
      </c>
      <c r="I205" s="237" t="b">
        <f>IF(AND(OR(入力シート!$J$18=入力リスト!$K$4,入力シート!$J$22=入力リスト!$K$4),入力シート!$J$24&lt;&gt;""),IF(ISERROR(C205+1),TRUE,IF(ISNUMBER(C205),FALSE,TRUE)),FALSE)</f>
        <v>0</v>
      </c>
      <c r="J205" s="237" t="b">
        <f>IF(AND(入力シート!$J$18=入力リスト!$K$4,入力シート!$J$22=入力リスト!$K$4),FALSE,IF(I205=TRUE,FALSE,IF(ISERROR(C205+1),FALSE,C205&gt;入力シート!$J$24)))</f>
        <v>0</v>
      </c>
      <c r="K205" s="237" t="b">
        <f>IF(COUNTIF(入力シート!$J$16:$S$23,入力リスト!$K$4)=0,FALSE,IF(AND(入力シート!$J$16&lt;&gt;入力リスト!$K$5,入力シート!$J$18&lt;&gt;入力リスト!$K$5,入力シート!$J$20&lt;&gt;入力リスト!$K$5,入力シート!$J$22&lt;&gt;入力リスト!$K$5),FALSE,ISERROR(VLOOKUP(D205,入力シート!$AW$37:$AY$38,1,0))))</f>
        <v>0</v>
      </c>
      <c r="L205" s="237" t="b">
        <f>IF(COUNTIF(入力シート!$J$16:$S$23,入力リスト!$K$4)=0,FALSE,IF(入力シート!$J$20=入力リスト!$K$5,FALSE,IF(E205="",FALSE,ISERROR(VLOOKUP(E205,入力シート!$AH$37:$AK$62,1,0)))))</f>
        <v>0</v>
      </c>
      <c r="M205" s="238" t="str">
        <f t="shared" si="3"/>
        <v/>
      </c>
      <c r="N205" s="236" t="str">
        <f>IF(B205="","",VLOOKUP('従業員情報(給与以外)'!$B205,入力シート!$S$37:$Z$62,5,0))</f>
        <v/>
      </c>
      <c r="O205" s="182" t="str">
        <f>IF(ISNUMBER(C205)=FALSE,"",IF(C205&gt;入力シート!$J$24,"",_xlfn.DAYS(入力シート!$J$24,'従業員情報(給与以外)'!$C205)/365))</f>
        <v/>
      </c>
      <c r="P205" s="237" t="str">
        <f>IF(O205="","",VLOOKUP(_xlfn.DAYS(入力シート!$J$24,'従業員情報(給与以外)'!$C205)/365,入力リスト!$H$4:$I$12,2,2))</f>
        <v/>
      </c>
      <c r="Q205" s="236" t="str">
        <f>IF(D205="","",VLOOKUP('従業員情報(給与以外)'!$D205,入力シート!$AW$37:$BB$38,4,0))</f>
        <v/>
      </c>
      <c r="R205" s="236" t="str">
        <f>IF(A205="","",IF(E205="","非役職",VLOOKUP('従業員情報(給与以外)'!$E205,入力シート!$AH$37:$AO$62,5,0)))</f>
        <v/>
      </c>
      <c r="S205" s="116" t="str">
        <f>IF(OR(入力シート!$C$5&lt;&gt;入力リスト!$N$4,COUNTIF(入力シート!$J$16:$S$23,入力リスト!$K$4)=0),"",IF($A205="","",IF(ISERROR(AVERAGEIF(従業員の給与情報!$B:$B,$A205,従業員の給与情報!$C:$C)),0,IF(ISERROR(AVERAGEIF(従業員の給与情報!$B:$B,$A205,従業員の給与情報!$C:$C)),0,AVERAGEIF(従業員の給与情報!$B:$B,$A205,従業員の給与情報!$C:$C)))))</f>
        <v/>
      </c>
      <c r="T205" s="116" t="str">
        <f>IF(OR(入力シート!$C$5&lt;&gt;入力リスト!$N$4,COUNTIF(入力シート!$J$16:$S$23,入力リスト!$K$4)=0),"",IF(A205="","",IF(ISERROR(AVERAGEIF(従業員の給与情報!$B:$B,$A205,従業員の給与情報!$D:$D)),0,IF(ISERROR(AVERAGEIF(従業員の給与情報!$B:$B,$A205,従業員の給与情報!$D:$D)),0,AVERAGEIF(従業員の給与情報!$B:$B,$A205,従業員の給与情報!$D:$D)))))</f>
        <v/>
      </c>
      <c r="U205" s="116" t="str">
        <f>IF(OR(入力シート!$C$5&lt;&gt;入力リスト!$N$4,COUNTIF(入力シート!$J$16:$S$23,入力リスト!$K$4)=0),"",IF(A205="","",IF(ISERROR(AVERAGEIF(従業員の給与情報!$B:$B,$A205,従業員の給与情報!$E:$E)),0,IF(ISERROR(AVERAGEIF(従業員の給与情報!$B:$B,$A205,従業員の給与情報!$E:$E)),0,AVERAGEIF(従業員の給与情報!$B:$B,$A205,従業員の給与情報!$E:$E)))))</f>
        <v/>
      </c>
      <c r="V205" s="117" t="str">
        <f>IF(OR(入力シート!$C$5&lt;&gt;入力リスト!$N$4,COUNTIF(入力シート!$J$16:$S$23,入力リスト!$K$4)=0),"",IF(A205="","",IF(ISERROR(AVERAGEIF(従業員の給与情報!$B:$B,$A205,従業員の給与情報!$F:$F)),0,IF(ISERROR(AVERAGEIF(従業員の給与情報!$B:$B,$A205,従業員の給与情報!$F:$F)),0,AVERAGEIF(従業員の給与情報!$B:$B,$A205,従業員の給与情報!$F:$F)))))</f>
        <v/>
      </c>
      <c r="W205" s="182"/>
      <c r="X205" s="260"/>
    </row>
    <row r="206" spans="1:24" ht="19.5">
      <c r="A206" s="366"/>
      <c r="B206" s="366"/>
      <c r="C206" s="365"/>
      <c r="D206" s="366"/>
      <c r="E206" s="366"/>
      <c r="F206" s="372" t="str">
        <f>IF(G206,"この従業員番号は、すでに他のセルで入力されています。",IF(入力シート!$C$5=入力リスト!$N$5,"",IF(AND(A206="",B206="",C206="",D206="",E206=""),"",IF(OR(A206="",B206="",C206="",D206=""),IF(A206="","従業員番号","")&amp;IF(AND(A206="",OR(B206="",C206="",D206="")),",","")&amp;IF(B206="","雇用形態","")&amp;IF(AND(B206="",OR(C206="",D206="")),",","")&amp;IF(OR(入力シート!$J$18=入力リスト!$K$4,入力シート!$J$22=入力リスト!$K$4),IF(C206="","入社年月日",""),"")&amp;IF(AND(C206="",D206=""),",","")&amp;IF(D206="","性別","")&amp;IF(IF(A206="","従業員番号","")&amp;IF(B206="","雇用形態","")&amp;IF(OR(入力シート!$J$18=入力リスト!$K$4,入力シート!$J$22=入力リスト!$K$4),IF(C206="","入社年月日",""),"")&amp;IF(D206="","性別","")="","","が空白です。"),IF(J206,"入社年月日に「基準日」の翌日以降の日付が入力されています。","")&amp;IF(I206,"入社年月日に数値以外（又は1900/1/1以前の日付）が入力されています。","")&amp;IF(H206,"雇用形態"&amp;IF(OR(K206,L206),",",""),"")&amp;IF(K206,"性別"&amp;IF(L206,",",""),"")&amp;IF(L206,"役職","")&amp;IF(OR(H206,K206,L206),"に、［入力シート］(4)「貴社」欄と異なる文言が入力されています。","")))))</f>
        <v/>
      </c>
      <c r="G206" s="236" t="b">
        <f>COUNTIF($A$4:A205,$A206)&gt;0</f>
        <v>0</v>
      </c>
      <c r="H206" s="237" t="b">
        <f>IF(COUNTIF(入力シート!$J$16:$S$23,入力リスト!$K$4)=0,FALSE,IF(入力シート!$J$16=入力リスト!$K$5,FALSE,ISERROR(VLOOKUP(B206,入力シート!$S$37:$V$62,1,0))))</f>
        <v>0</v>
      </c>
      <c r="I206" s="237" t="b">
        <f>IF(AND(OR(入力シート!$J$18=入力リスト!$K$4,入力シート!$J$22=入力リスト!$K$4),入力シート!$J$24&lt;&gt;""),IF(ISERROR(C206+1),TRUE,IF(ISNUMBER(C206),FALSE,TRUE)),FALSE)</f>
        <v>0</v>
      </c>
      <c r="J206" s="237" t="b">
        <f>IF(AND(入力シート!$J$18=入力リスト!$K$4,入力シート!$J$22=入力リスト!$K$4),FALSE,IF(I206=TRUE,FALSE,IF(ISERROR(C206+1),FALSE,C206&gt;入力シート!$J$24)))</f>
        <v>0</v>
      </c>
      <c r="K206" s="237" t="b">
        <f>IF(COUNTIF(入力シート!$J$16:$S$23,入力リスト!$K$4)=0,FALSE,IF(AND(入力シート!$J$16&lt;&gt;入力リスト!$K$5,入力シート!$J$18&lt;&gt;入力リスト!$K$5,入力シート!$J$20&lt;&gt;入力リスト!$K$5,入力シート!$J$22&lt;&gt;入力リスト!$K$5),FALSE,ISERROR(VLOOKUP(D206,入力シート!$AW$37:$AY$38,1,0))))</f>
        <v>0</v>
      </c>
      <c r="L206" s="237" t="b">
        <f>IF(COUNTIF(入力シート!$J$16:$S$23,入力リスト!$K$4)=0,FALSE,IF(入力シート!$J$20=入力リスト!$K$5,FALSE,IF(E206="",FALSE,ISERROR(VLOOKUP(E206,入力シート!$AH$37:$AK$62,1,0)))))</f>
        <v>0</v>
      </c>
      <c r="M206" s="238" t="str">
        <f t="shared" si="3"/>
        <v/>
      </c>
      <c r="N206" s="236" t="str">
        <f>IF(B206="","",VLOOKUP('従業員情報(給与以外)'!$B206,入力シート!$S$37:$Z$62,5,0))</f>
        <v/>
      </c>
      <c r="O206" s="182" t="str">
        <f>IF(ISNUMBER(C206)=FALSE,"",IF(C206&gt;入力シート!$J$24,"",_xlfn.DAYS(入力シート!$J$24,'従業員情報(給与以外)'!$C206)/365))</f>
        <v/>
      </c>
      <c r="P206" s="237" t="str">
        <f>IF(O206="","",VLOOKUP(_xlfn.DAYS(入力シート!$J$24,'従業員情報(給与以外)'!$C206)/365,入力リスト!$H$4:$I$12,2,2))</f>
        <v/>
      </c>
      <c r="Q206" s="236" t="str">
        <f>IF(D206="","",VLOOKUP('従業員情報(給与以外)'!$D206,入力シート!$AW$37:$BB$38,4,0))</f>
        <v/>
      </c>
      <c r="R206" s="236" t="str">
        <f>IF(A206="","",IF(E206="","非役職",VLOOKUP('従業員情報(給与以外)'!$E206,入力シート!$AH$37:$AO$62,5,0)))</f>
        <v/>
      </c>
      <c r="S206" s="116" t="str">
        <f>IF(OR(入力シート!$C$5&lt;&gt;入力リスト!$N$4,COUNTIF(入力シート!$J$16:$S$23,入力リスト!$K$4)=0),"",IF($A206="","",IF(ISERROR(AVERAGEIF(従業員の給与情報!$B:$B,$A206,従業員の給与情報!$C:$C)),0,IF(ISERROR(AVERAGEIF(従業員の給与情報!$B:$B,$A206,従業員の給与情報!$C:$C)),0,AVERAGEIF(従業員の給与情報!$B:$B,$A206,従業員の給与情報!$C:$C)))))</f>
        <v/>
      </c>
      <c r="T206" s="116" t="str">
        <f>IF(OR(入力シート!$C$5&lt;&gt;入力リスト!$N$4,COUNTIF(入力シート!$J$16:$S$23,入力リスト!$K$4)=0),"",IF(A206="","",IF(ISERROR(AVERAGEIF(従業員の給与情報!$B:$B,$A206,従業員の給与情報!$D:$D)),0,IF(ISERROR(AVERAGEIF(従業員の給与情報!$B:$B,$A206,従業員の給与情報!$D:$D)),0,AVERAGEIF(従業員の給与情報!$B:$B,$A206,従業員の給与情報!$D:$D)))))</f>
        <v/>
      </c>
      <c r="U206" s="116" t="str">
        <f>IF(OR(入力シート!$C$5&lt;&gt;入力リスト!$N$4,COUNTIF(入力シート!$J$16:$S$23,入力リスト!$K$4)=0),"",IF(A206="","",IF(ISERROR(AVERAGEIF(従業員の給与情報!$B:$B,$A206,従業員の給与情報!$E:$E)),0,IF(ISERROR(AVERAGEIF(従業員の給与情報!$B:$B,$A206,従業員の給与情報!$E:$E)),0,AVERAGEIF(従業員の給与情報!$B:$B,$A206,従業員の給与情報!$E:$E)))))</f>
        <v/>
      </c>
      <c r="V206" s="117" t="str">
        <f>IF(OR(入力シート!$C$5&lt;&gt;入力リスト!$N$4,COUNTIF(入力シート!$J$16:$S$23,入力リスト!$K$4)=0),"",IF(A206="","",IF(ISERROR(AVERAGEIF(従業員の給与情報!$B:$B,$A206,従業員の給与情報!$F:$F)),0,IF(ISERROR(AVERAGEIF(従業員の給与情報!$B:$B,$A206,従業員の給与情報!$F:$F)),0,AVERAGEIF(従業員の給与情報!$B:$B,$A206,従業員の給与情報!$F:$F)))))</f>
        <v/>
      </c>
      <c r="W206" s="182"/>
      <c r="X206" s="260"/>
    </row>
    <row r="207" spans="1:24" ht="19.5">
      <c r="A207" s="366"/>
      <c r="B207" s="366"/>
      <c r="C207" s="365"/>
      <c r="D207" s="366"/>
      <c r="E207" s="366"/>
      <c r="F207" s="372" t="str">
        <f>IF(G207,"この従業員番号は、すでに他のセルで入力されています。",IF(入力シート!$C$5=入力リスト!$N$5,"",IF(AND(A207="",B207="",C207="",D207="",E207=""),"",IF(OR(A207="",B207="",C207="",D207=""),IF(A207="","従業員番号","")&amp;IF(AND(A207="",OR(B207="",C207="",D207="")),",","")&amp;IF(B207="","雇用形態","")&amp;IF(AND(B207="",OR(C207="",D207="")),",","")&amp;IF(OR(入力シート!$J$18=入力リスト!$K$4,入力シート!$J$22=入力リスト!$K$4),IF(C207="","入社年月日",""),"")&amp;IF(AND(C207="",D207=""),",","")&amp;IF(D207="","性別","")&amp;IF(IF(A207="","従業員番号","")&amp;IF(B207="","雇用形態","")&amp;IF(OR(入力シート!$J$18=入力リスト!$K$4,入力シート!$J$22=入力リスト!$K$4),IF(C207="","入社年月日",""),"")&amp;IF(D207="","性別","")="","","が空白です。"),IF(J207,"入社年月日に「基準日」の翌日以降の日付が入力されています。","")&amp;IF(I207,"入社年月日に数値以外（又は1900/1/1以前の日付）が入力されています。","")&amp;IF(H207,"雇用形態"&amp;IF(OR(K207,L207),",",""),"")&amp;IF(K207,"性別"&amp;IF(L207,",",""),"")&amp;IF(L207,"役職","")&amp;IF(OR(H207,K207,L207),"に、［入力シート］(4)「貴社」欄と異なる文言が入力されています。","")))))</f>
        <v/>
      </c>
      <c r="G207" s="236" t="b">
        <f>COUNTIF($A$4:A206,$A207)&gt;0</f>
        <v>0</v>
      </c>
      <c r="H207" s="237" t="b">
        <f>IF(COUNTIF(入力シート!$J$16:$S$23,入力リスト!$K$4)=0,FALSE,IF(入力シート!$J$16=入力リスト!$K$5,FALSE,ISERROR(VLOOKUP(B207,入力シート!$S$37:$V$62,1,0))))</f>
        <v>0</v>
      </c>
      <c r="I207" s="237" t="b">
        <f>IF(AND(OR(入力シート!$J$18=入力リスト!$K$4,入力シート!$J$22=入力リスト!$K$4),入力シート!$J$24&lt;&gt;""),IF(ISERROR(C207+1),TRUE,IF(ISNUMBER(C207),FALSE,TRUE)),FALSE)</f>
        <v>0</v>
      </c>
      <c r="J207" s="237" t="b">
        <f>IF(AND(入力シート!$J$18=入力リスト!$K$4,入力シート!$J$22=入力リスト!$K$4),FALSE,IF(I207=TRUE,FALSE,IF(ISERROR(C207+1),FALSE,C207&gt;入力シート!$J$24)))</f>
        <v>0</v>
      </c>
      <c r="K207" s="237" t="b">
        <f>IF(COUNTIF(入力シート!$J$16:$S$23,入力リスト!$K$4)=0,FALSE,IF(AND(入力シート!$J$16&lt;&gt;入力リスト!$K$5,入力シート!$J$18&lt;&gt;入力リスト!$K$5,入力シート!$J$20&lt;&gt;入力リスト!$K$5,入力シート!$J$22&lt;&gt;入力リスト!$K$5),FALSE,ISERROR(VLOOKUP(D207,入力シート!$AW$37:$AY$38,1,0))))</f>
        <v>0</v>
      </c>
      <c r="L207" s="237" t="b">
        <f>IF(COUNTIF(入力シート!$J$16:$S$23,入力リスト!$K$4)=0,FALSE,IF(入力シート!$J$20=入力リスト!$K$5,FALSE,IF(E207="",FALSE,ISERROR(VLOOKUP(E207,入力シート!$AH$37:$AK$62,1,0)))))</f>
        <v>0</v>
      </c>
      <c r="M207" s="238" t="str">
        <f t="shared" si="3"/>
        <v/>
      </c>
      <c r="N207" s="236" t="str">
        <f>IF(B207="","",VLOOKUP('従業員情報(給与以外)'!$B207,入力シート!$S$37:$Z$62,5,0))</f>
        <v/>
      </c>
      <c r="O207" s="182" t="str">
        <f>IF(ISNUMBER(C207)=FALSE,"",IF(C207&gt;入力シート!$J$24,"",_xlfn.DAYS(入力シート!$J$24,'従業員情報(給与以外)'!$C207)/365))</f>
        <v/>
      </c>
      <c r="P207" s="237" t="str">
        <f>IF(O207="","",VLOOKUP(_xlfn.DAYS(入力シート!$J$24,'従業員情報(給与以外)'!$C207)/365,入力リスト!$H$4:$I$12,2,2))</f>
        <v/>
      </c>
      <c r="Q207" s="236" t="str">
        <f>IF(D207="","",VLOOKUP('従業員情報(給与以外)'!$D207,入力シート!$AW$37:$BB$38,4,0))</f>
        <v/>
      </c>
      <c r="R207" s="236" t="str">
        <f>IF(A207="","",IF(E207="","非役職",VLOOKUP('従業員情報(給与以外)'!$E207,入力シート!$AH$37:$AO$62,5,0)))</f>
        <v/>
      </c>
      <c r="S207" s="116" t="str">
        <f>IF(OR(入力シート!$C$5&lt;&gt;入力リスト!$N$4,COUNTIF(入力シート!$J$16:$S$23,入力リスト!$K$4)=0),"",IF($A207="","",IF(ISERROR(AVERAGEIF(従業員の給与情報!$B:$B,$A207,従業員の給与情報!$C:$C)),0,IF(ISERROR(AVERAGEIF(従業員の給与情報!$B:$B,$A207,従業員の給与情報!$C:$C)),0,AVERAGEIF(従業員の給与情報!$B:$B,$A207,従業員の給与情報!$C:$C)))))</f>
        <v/>
      </c>
      <c r="T207" s="116" t="str">
        <f>IF(OR(入力シート!$C$5&lt;&gt;入力リスト!$N$4,COUNTIF(入力シート!$J$16:$S$23,入力リスト!$K$4)=0),"",IF(A207="","",IF(ISERROR(AVERAGEIF(従業員の給与情報!$B:$B,$A207,従業員の給与情報!$D:$D)),0,IF(ISERROR(AVERAGEIF(従業員の給与情報!$B:$B,$A207,従業員の給与情報!$D:$D)),0,AVERAGEIF(従業員の給与情報!$B:$B,$A207,従業員の給与情報!$D:$D)))))</f>
        <v/>
      </c>
      <c r="U207" s="116" t="str">
        <f>IF(OR(入力シート!$C$5&lt;&gt;入力リスト!$N$4,COUNTIF(入力シート!$J$16:$S$23,入力リスト!$K$4)=0),"",IF(A207="","",IF(ISERROR(AVERAGEIF(従業員の給与情報!$B:$B,$A207,従業員の給与情報!$E:$E)),0,IF(ISERROR(AVERAGEIF(従業員の給与情報!$B:$B,$A207,従業員の給与情報!$E:$E)),0,AVERAGEIF(従業員の給与情報!$B:$B,$A207,従業員の給与情報!$E:$E)))))</f>
        <v/>
      </c>
      <c r="V207" s="117" t="str">
        <f>IF(OR(入力シート!$C$5&lt;&gt;入力リスト!$N$4,COUNTIF(入力シート!$J$16:$S$23,入力リスト!$K$4)=0),"",IF(A207="","",IF(ISERROR(AVERAGEIF(従業員の給与情報!$B:$B,$A207,従業員の給与情報!$F:$F)),0,IF(ISERROR(AVERAGEIF(従業員の給与情報!$B:$B,$A207,従業員の給与情報!$F:$F)),0,AVERAGEIF(従業員の給与情報!$B:$B,$A207,従業員の給与情報!$F:$F)))))</f>
        <v/>
      </c>
      <c r="W207" s="182"/>
      <c r="X207" s="260"/>
    </row>
    <row r="208" spans="1:24" ht="19.5">
      <c r="A208" s="366"/>
      <c r="B208" s="366"/>
      <c r="C208" s="365"/>
      <c r="D208" s="366"/>
      <c r="E208" s="366"/>
      <c r="F208" s="372" t="str">
        <f>IF(G208,"この従業員番号は、すでに他のセルで入力されています。",IF(入力シート!$C$5=入力リスト!$N$5,"",IF(AND(A208="",B208="",C208="",D208="",E208=""),"",IF(OR(A208="",B208="",C208="",D208=""),IF(A208="","従業員番号","")&amp;IF(AND(A208="",OR(B208="",C208="",D208="")),",","")&amp;IF(B208="","雇用形態","")&amp;IF(AND(B208="",OR(C208="",D208="")),",","")&amp;IF(OR(入力シート!$J$18=入力リスト!$K$4,入力シート!$J$22=入力リスト!$K$4),IF(C208="","入社年月日",""),"")&amp;IF(AND(C208="",D208=""),",","")&amp;IF(D208="","性別","")&amp;IF(IF(A208="","従業員番号","")&amp;IF(B208="","雇用形態","")&amp;IF(OR(入力シート!$J$18=入力リスト!$K$4,入力シート!$J$22=入力リスト!$K$4),IF(C208="","入社年月日",""),"")&amp;IF(D208="","性別","")="","","が空白です。"),IF(J208,"入社年月日に「基準日」の翌日以降の日付が入力されています。","")&amp;IF(I208,"入社年月日に数値以外（又は1900/1/1以前の日付）が入力されています。","")&amp;IF(H208,"雇用形態"&amp;IF(OR(K208,L208),",",""),"")&amp;IF(K208,"性別"&amp;IF(L208,",",""),"")&amp;IF(L208,"役職","")&amp;IF(OR(H208,K208,L208),"に、［入力シート］(4)「貴社」欄と異なる文言が入力されています。","")))))</f>
        <v/>
      </c>
      <c r="G208" s="236" t="b">
        <f>COUNTIF($A$4:A207,$A208)&gt;0</f>
        <v>0</v>
      </c>
      <c r="H208" s="237" t="b">
        <f>IF(COUNTIF(入力シート!$J$16:$S$23,入力リスト!$K$4)=0,FALSE,IF(入力シート!$J$16=入力リスト!$K$5,FALSE,ISERROR(VLOOKUP(B208,入力シート!$S$37:$V$62,1,0))))</f>
        <v>0</v>
      </c>
      <c r="I208" s="237" t="b">
        <f>IF(AND(OR(入力シート!$J$18=入力リスト!$K$4,入力シート!$J$22=入力リスト!$K$4),入力シート!$J$24&lt;&gt;""),IF(ISERROR(C208+1),TRUE,IF(ISNUMBER(C208),FALSE,TRUE)),FALSE)</f>
        <v>0</v>
      </c>
      <c r="J208" s="237" t="b">
        <f>IF(AND(入力シート!$J$18=入力リスト!$K$4,入力シート!$J$22=入力リスト!$K$4),FALSE,IF(I208=TRUE,FALSE,IF(ISERROR(C208+1),FALSE,C208&gt;入力シート!$J$24)))</f>
        <v>0</v>
      </c>
      <c r="K208" s="237" t="b">
        <f>IF(COUNTIF(入力シート!$J$16:$S$23,入力リスト!$K$4)=0,FALSE,IF(AND(入力シート!$J$16&lt;&gt;入力リスト!$K$5,入力シート!$J$18&lt;&gt;入力リスト!$K$5,入力シート!$J$20&lt;&gt;入力リスト!$K$5,入力シート!$J$22&lt;&gt;入力リスト!$K$5),FALSE,ISERROR(VLOOKUP(D208,入力シート!$AW$37:$AY$38,1,0))))</f>
        <v>0</v>
      </c>
      <c r="L208" s="237" t="b">
        <f>IF(COUNTIF(入力シート!$J$16:$S$23,入力リスト!$K$4)=0,FALSE,IF(入力シート!$J$20=入力リスト!$K$5,FALSE,IF(E208="",FALSE,ISERROR(VLOOKUP(E208,入力シート!$AH$37:$AK$62,1,0)))))</f>
        <v>0</v>
      </c>
      <c r="M208" s="238" t="str">
        <f t="shared" si="3"/>
        <v/>
      </c>
      <c r="N208" s="236" t="str">
        <f>IF(B208="","",VLOOKUP('従業員情報(給与以外)'!$B208,入力シート!$S$37:$Z$62,5,0))</f>
        <v/>
      </c>
      <c r="O208" s="182" t="str">
        <f>IF(ISNUMBER(C208)=FALSE,"",IF(C208&gt;入力シート!$J$24,"",_xlfn.DAYS(入力シート!$J$24,'従業員情報(給与以外)'!$C208)/365))</f>
        <v/>
      </c>
      <c r="P208" s="237" t="str">
        <f>IF(O208="","",VLOOKUP(_xlfn.DAYS(入力シート!$J$24,'従業員情報(給与以外)'!$C208)/365,入力リスト!$H$4:$I$12,2,2))</f>
        <v/>
      </c>
      <c r="Q208" s="236" t="str">
        <f>IF(D208="","",VLOOKUP('従業員情報(給与以外)'!$D208,入力シート!$AW$37:$BB$38,4,0))</f>
        <v/>
      </c>
      <c r="R208" s="236" t="str">
        <f>IF(A208="","",IF(E208="","非役職",VLOOKUP('従業員情報(給与以外)'!$E208,入力シート!$AH$37:$AO$62,5,0)))</f>
        <v/>
      </c>
      <c r="S208" s="116" t="str">
        <f>IF(OR(入力シート!$C$5&lt;&gt;入力リスト!$N$4,COUNTIF(入力シート!$J$16:$S$23,入力リスト!$K$4)=0),"",IF($A208="","",IF(ISERROR(AVERAGEIF(従業員の給与情報!$B:$B,$A208,従業員の給与情報!$C:$C)),0,IF(ISERROR(AVERAGEIF(従業員の給与情報!$B:$B,$A208,従業員の給与情報!$C:$C)),0,AVERAGEIF(従業員の給与情報!$B:$B,$A208,従業員の給与情報!$C:$C)))))</f>
        <v/>
      </c>
      <c r="T208" s="116" t="str">
        <f>IF(OR(入力シート!$C$5&lt;&gt;入力リスト!$N$4,COUNTIF(入力シート!$J$16:$S$23,入力リスト!$K$4)=0),"",IF(A208="","",IF(ISERROR(AVERAGEIF(従業員の給与情報!$B:$B,$A208,従業員の給与情報!$D:$D)),0,IF(ISERROR(AVERAGEIF(従業員の給与情報!$B:$B,$A208,従業員の給与情報!$D:$D)),0,AVERAGEIF(従業員の給与情報!$B:$B,$A208,従業員の給与情報!$D:$D)))))</f>
        <v/>
      </c>
      <c r="U208" s="116" t="str">
        <f>IF(OR(入力シート!$C$5&lt;&gt;入力リスト!$N$4,COUNTIF(入力シート!$J$16:$S$23,入力リスト!$K$4)=0),"",IF(A208="","",IF(ISERROR(AVERAGEIF(従業員の給与情報!$B:$B,$A208,従業員の給与情報!$E:$E)),0,IF(ISERROR(AVERAGEIF(従業員の給与情報!$B:$B,$A208,従業員の給与情報!$E:$E)),0,AVERAGEIF(従業員の給与情報!$B:$B,$A208,従業員の給与情報!$E:$E)))))</f>
        <v/>
      </c>
      <c r="V208" s="117" t="str">
        <f>IF(OR(入力シート!$C$5&lt;&gt;入力リスト!$N$4,COUNTIF(入力シート!$J$16:$S$23,入力リスト!$K$4)=0),"",IF(A208="","",IF(ISERROR(AVERAGEIF(従業員の給与情報!$B:$B,$A208,従業員の給与情報!$F:$F)),0,IF(ISERROR(AVERAGEIF(従業員の給与情報!$B:$B,$A208,従業員の給与情報!$F:$F)),0,AVERAGEIF(従業員の給与情報!$B:$B,$A208,従業員の給与情報!$F:$F)))))</f>
        <v/>
      </c>
      <c r="W208" s="182"/>
      <c r="X208" s="260"/>
    </row>
    <row r="209" spans="1:24" ht="19.5">
      <c r="A209" s="366"/>
      <c r="B209" s="366"/>
      <c r="C209" s="365"/>
      <c r="D209" s="366"/>
      <c r="E209" s="366"/>
      <c r="F209" s="372" t="str">
        <f>IF(G209,"この従業員番号は、すでに他のセルで入力されています。",IF(入力シート!$C$5=入力リスト!$N$5,"",IF(AND(A209="",B209="",C209="",D209="",E209=""),"",IF(OR(A209="",B209="",C209="",D209=""),IF(A209="","従業員番号","")&amp;IF(AND(A209="",OR(B209="",C209="",D209="")),",","")&amp;IF(B209="","雇用形態","")&amp;IF(AND(B209="",OR(C209="",D209="")),",","")&amp;IF(OR(入力シート!$J$18=入力リスト!$K$4,入力シート!$J$22=入力リスト!$K$4),IF(C209="","入社年月日",""),"")&amp;IF(AND(C209="",D209=""),",","")&amp;IF(D209="","性別","")&amp;IF(IF(A209="","従業員番号","")&amp;IF(B209="","雇用形態","")&amp;IF(OR(入力シート!$J$18=入力リスト!$K$4,入力シート!$J$22=入力リスト!$K$4),IF(C209="","入社年月日",""),"")&amp;IF(D209="","性別","")="","","が空白です。"),IF(J209,"入社年月日に「基準日」の翌日以降の日付が入力されています。","")&amp;IF(I209,"入社年月日に数値以外（又は1900/1/1以前の日付）が入力されています。","")&amp;IF(H209,"雇用形態"&amp;IF(OR(K209,L209),",",""),"")&amp;IF(K209,"性別"&amp;IF(L209,",",""),"")&amp;IF(L209,"役職","")&amp;IF(OR(H209,K209,L209),"に、［入力シート］(4)「貴社」欄と異なる文言が入力されています。","")))))</f>
        <v/>
      </c>
      <c r="G209" s="236" t="b">
        <f>COUNTIF($A$4:A208,$A209)&gt;0</f>
        <v>0</v>
      </c>
      <c r="H209" s="237" t="b">
        <f>IF(COUNTIF(入力シート!$J$16:$S$23,入力リスト!$K$4)=0,FALSE,IF(入力シート!$J$16=入力リスト!$K$5,FALSE,ISERROR(VLOOKUP(B209,入力シート!$S$37:$V$62,1,0))))</f>
        <v>0</v>
      </c>
      <c r="I209" s="237" t="b">
        <f>IF(AND(OR(入力シート!$J$18=入力リスト!$K$4,入力シート!$J$22=入力リスト!$K$4),入力シート!$J$24&lt;&gt;""),IF(ISERROR(C209+1),TRUE,IF(ISNUMBER(C209),FALSE,TRUE)),FALSE)</f>
        <v>0</v>
      </c>
      <c r="J209" s="237" t="b">
        <f>IF(AND(入力シート!$J$18=入力リスト!$K$4,入力シート!$J$22=入力リスト!$K$4),FALSE,IF(I209=TRUE,FALSE,IF(ISERROR(C209+1),FALSE,C209&gt;入力シート!$J$24)))</f>
        <v>0</v>
      </c>
      <c r="K209" s="237" t="b">
        <f>IF(COUNTIF(入力シート!$J$16:$S$23,入力リスト!$K$4)=0,FALSE,IF(AND(入力シート!$J$16&lt;&gt;入力リスト!$K$5,入力シート!$J$18&lt;&gt;入力リスト!$K$5,入力シート!$J$20&lt;&gt;入力リスト!$K$5,入力シート!$J$22&lt;&gt;入力リスト!$K$5),FALSE,ISERROR(VLOOKUP(D209,入力シート!$AW$37:$AY$38,1,0))))</f>
        <v>0</v>
      </c>
      <c r="L209" s="237" t="b">
        <f>IF(COUNTIF(入力シート!$J$16:$S$23,入力リスト!$K$4)=0,FALSE,IF(入力シート!$J$20=入力リスト!$K$5,FALSE,IF(E209="",FALSE,ISERROR(VLOOKUP(E209,入力シート!$AH$37:$AK$62,1,0)))))</f>
        <v>0</v>
      </c>
      <c r="M209" s="238" t="str">
        <f t="shared" si="3"/>
        <v/>
      </c>
      <c r="N209" s="236" t="str">
        <f>IF(B209="","",VLOOKUP('従業員情報(給与以外)'!$B209,入力シート!$S$37:$Z$62,5,0))</f>
        <v/>
      </c>
      <c r="O209" s="182" t="str">
        <f>IF(ISNUMBER(C209)=FALSE,"",IF(C209&gt;入力シート!$J$24,"",_xlfn.DAYS(入力シート!$J$24,'従業員情報(給与以外)'!$C209)/365))</f>
        <v/>
      </c>
      <c r="P209" s="237" t="str">
        <f>IF(O209="","",VLOOKUP(_xlfn.DAYS(入力シート!$J$24,'従業員情報(給与以外)'!$C209)/365,入力リスト!$H$4:$I$12,2,2))</f>
        <v/>
      </c>
      <c r="Q209" s="236" t="str">
        <f>IF(D209="","",VLOOKUP('従業員情報(給与以外)'!$D209,入力シート!$AW$37:$BB$38,4,0))</f>
        <v/>
      </c>
      <c r="R209" s="236" t="str">
        <f>IF(A209="","",IF(E209="","非役職",VLOOKUP('従業員情報(給与以外)'!$E209,入力シート!$AH$37:$AO$62,5,0)))</f>
        <v/>
      </c>
      <c r="S209" s="116" t="str">
        <f>IF(OR(入力シート!$C$5&lt;&gt;入力リスト!$N$4,COUNTIF(入力シート!$J$16:$S$23,入力リスト!$K$4)=0),"",IF($A209="","",IF(ISERROR(AVERAGEIF(従業員の給与情報!$B:$B,$A209,従業員の給与情報!$C:$C)),0,IF(ISERROR(AVERAGEIF(従業員の給与情報!$B:$B,$A209,従業員の給与情報!$C:$C)),0,AVERAGEIF(従業員の給与情報!$B:$B,$A209,従業員の給与情報!$C:$C)))))</f>
        <v/>
      </c>
      <c r="T209" s="116" t="str">
        <f>IF(OR(入力シート!$C$5&lt;&gt;入力リスト!$N$4,COUNTIF(入力シート!$J$16:$S$23,入力リスト!$K$4)=0),"",IF(A209="","",IF(ISERROR(AVERAGEIF(従業員の給与情報!$B:$B,$A209,従業員の給与情報!$D:$D)),0,IF(ISERROR(AVERAGEIF(従業員の給与情報!$B:$B,$A209,従業員の給与情報!$D:$D)),0,AVERAGEIF(従業員の給与情報!$B:$B,$A209,従業員の給与情報!$D:$D)))))</f>
        <v/>
      </c>
      <c r="U209" s="116" t="str">
        <f>IF(OR(入力シート!$C$5&lt;&gt;入力リスト!$N$4,COUNTIF(入力シート!$J$16:$S$23,入力リスト!$K$4)=0),"",IF(A209="","",IF(ISERROR(AVERAGEIF(従業員の給与情報!$B:$B,$A209,従業員の給与情報!$E:$E)),0,IF(ISERROR(AVERAGEIF(従業員の給与情報!$B:$B,$A209,従業員の給与情報!$E:$E)),0,AVERAGEIF(従業員の給与情報!$B:$B,$A209,従業員の給与情報!$E:$E)))))</f>
        <v/>
      </c>
      <c r="V209" s="117" t="str">
        <f>IF(OR(入力シート!$C$5&lt;&gt;入力リスト!$N$4,COUNTIF(入力シート!$J$16:$S$23,入力リスト!$K$4)=0),"",IF(A209="","",IF(ISERROR(AVERAGEIF(従業員の給与情報!$B:$B,$A209,従業員の給与情報!$F:$F)),0,IF(ISERROR(AVERAGEIF(従業員の給与情報!$B:$B,$A209,従業員の給与情報!$F:$F)),0,AVERAGEIF(従業員の給与情報!$B:$B,$A209,従業員の給与情報!$F:$F)))))</f>
        <v/>
      </c>
      <c r="W209" s="182"/>
      <c r="X209" s="260"/>
    </row>
    <row r="210" spans="1:24" ht="19.5">
      <c r="A210" s="366"/>
      <c r="B210" s="366"/>
      <c r="C210" s="365"/>
      <c r="D210" s="366"/>
      <c r="E210" s="366"/>
      <c r="F210" s="372" t="str">
        <f>IF(G210,"この従業員番号は、すでに他のセルで入力されています。",IF(入力シート!$C$5=入力リスト!$N$5,"",IF(AND(A210="",B210="",C210="",D210="",E210=""),"",IF(OR(A210="",B210="",C210="",D210=""),IF(A210="","従業員番号","")&amp;IF(AND(A210="",OR(B210="",C210="",D210="")),",","")&amp;IF(B210="","雇用形態","")&amp;IF(AND(B210="",OR(C210="",D210="")),",","")&amp;IF(OR(入力シート!$J$18=入力リスト!$K$4,入力シート!$J$22=入力リスト!$K$4),IF(C210="","入社年月日",""),"")&amp;IF(AND(C210="",D210=""),",","")&amp;IF(D210="","性別","")&amp;IF(IF(A210="","従業員番号","")&amp;IF(B210="","雇用形態","")&amp;IF(OR(入力シート!$J$18=入力リスト!$K$4,入力シート!$J$22=入力リスト!$K$4),IF(C210="","入社年月日",""),"")&amp;IF(D210="","性別","")="","","が空白です。"),IF(J210,"入社年月日に「基準日」の翌日以降の日付が入力されています。","")&amp;IF(I210,"入社年月日に数値以外（又は1900/1/1以前の日付）が入力されています。","")&amp;IF(H210,"雇用形態"&amp;IF(OR(K210,L210),",",""),"")&amp;IF(K210,"性別"&amp;IF(L210,",",""),"")&amp;IF(L210,"役職","")&amp;IF(OR(H210,K210,L210),"に、［入力シート］(4)「貴社」欄と異なる文言が入力されています。","")))))</f>
        <v/>
      </c>
      <c r="G210" s="236" t="b">
        <f>COUNTIF($A$4:A209,$A210)&gt;0</f>
        <v>0</v>
      </c>
      <c r="H210" s="237" t="b">
        <f>IF(COUNTIF(入力シート!$J$16:$S$23,入力リスト!$K$4)=0,FALSE,IF(入力シート!$J$16=入力リスト!$K$5,FALSE,ISERROR(VLOOKUP(B210,入力シート!$S$37:$V$62,1,0))))</f>
        <v>0</v>
      </c>
      <c r="I210" s="237" t="b">
        <f>IF(AND(OR(入力シート!$J$18=入力リスト!$K$4,入力シート!$J$22=入力リスト!$K$4),入力シート!$J$24&lt;&gt;""),IF(ISERROR(C210+1),TRUE,IF(ISNUMBER(C210),FALSE,TRUE)),FALSE)</f>
        <v>0</v>
      </c>
      <c r="J210" s="237" t="b">
        <f>IF(AND(入力シート!$J$18=入力リスト!$K$4,入力シート!$J$22=入力リスト!$K$4),FALSE,IF(I210=TRUE,FALSE,IF(ISERROR(C210+1),FALSE,C210&gt;入力シート!$J$24)))</f>
        <v>0</v>
      </c>
      <c r="K210" s="237" t="b">
        <f>IF(COUNTIF(入力シート!$J$16:$S$23,入力リスト!$K$4)=0,FALSE,IF(AND(入力シート!$J$16&lt;&gt;入力リスト!$K$5,入力シート!$J$18&lt;&gt;入力リスト!$K$5,入力シート!$J$20&lt;&gt;入力リスト!$K$5,入力シート!$J$22&lt;&gt;入力リスト!$K$5),FALSE,ISERROR(VLOOKUP(D210,入力シート!$AW$37:$AY$38,1,0))))</f>
        <v>0</v>
      </c>
      <c r="L210" s="237" t="b">
        <f>IF(COUNTIF(入力シート!$J$16:$S$23,入力リスト!$K$4)=0,FALSE,IF(入力シート!$J$20=入力リスト!$K$5,FALSE,IF(E210="",FALSE,ISERROR(VLOOKUP(E210,入力シート!$AH$37:$AK$62,1,0)))))</f>
        <v>0</v>
      </c>
      <c r="M210" s="238" t="str">
        <f t="shared" si="3"/>
        <v/>
      </c>
      <c r="N210" s="236" t="str">
        <f>IF(B210="","",VLOOKUP('従業員情報(給与以外)'!$B210,入力シート!$S$37:$Z$62,5,0))</f>
        <v/>
      </c>
      <c r="O210" s="182" t="str">
        <f>IF(ISNUMBER(C210)=FALSE,"",IF(C210&gt;入力シート!$J$24,"",_xlfn.DAYS(入力シート!$J$24,'従業員情報(給与以外)'!$C210)/365))</f>
        <v/>
      </c>
      <c r="P210" s="237" t="str">
        <f>IF(O210="","",VLOOKUP(_xlfn.DAYS(入力シート!$J$24,'従業員情報(給与以外)'!$C210)/365,入力リスト!$H$4:$I$12,2,2))</f>
        <v/>
      </c>
      <c r="Q210" s="236" t="str">
        <f>IF(D210="","",VLOOKUP('従業員情報(給与以外)'!$D210,入力シート!$AW$37:$BB$38,4,0))</f>
        <v/>
      </c>
      <c r="R210" s="236" t="str">
        <f>IF(A210="","",IF(E210="","非役職",VLOOKUP('従業員情報(給与以外)'!$E210,入力シート!$AH$37:$AO$62,5,0)))</f>
        <v/>
      </c>
      <c r="S210" s="116" t="str">
        <f>IF(OR(入力シート!$C$5&lt;&gt;入力リスト!$N$4,COUNTIF(入力シート!$J$16:$S$23,入力リスト!$K$4)=0),"",IF($A210="","",IF(ISERROR(AVERAGEIF(従業員の給与情報!$B:$B,$A210,従業員の給与情報!$C:$C)),0,IF(ISERROR(AVERAGEIF(従業員の給与情報!$B:$B,$A210,従業員の給与情報!$C:$C)),0,AVERAGEIF(従業員の給与情報!$B:$B,$A210,従業員の給与情報!$C:$C)))))</f>
        <v/>
      </c>
      <c r="T210" s="116" t="str">
        <f>IF(OR(入力シート!$C$5&lt;&gt;入力リスト!$N$4,COUNTIF(入力シート!$J$16:$S$23,入力リスト!$K$4)=0),"",IF(A210="","",IF(ISERROR(AVERAGEIF(従業員の給与情報!$B:$B,$A210,従業員の給与情報!$D:$D)),0,IF(ISERROR(AVERAGEIF(従業員の給与情報!$B:$B,$A210,従業員の給与情報!$D:$D)),0,AVERAGEIF(従業員の給与情報!$B:$B,$A210,従業員の給与情報!$D:$D)))))</f>
        <v/>
      </c>
      <c r="U210" s="116" t="str">
        <f>IF(OR(入力シート!$C$5&lt;&gt;入力リスト!$N$4,COUNTIF(入力シート!$J$16:$S$23,入力リスト!$K$4)=0),"",IF(A210="","",IF(ISERROR(AVERAGEIF(従業員の給与情報!$B:$B,$A210,従業員の給与情報!$E:$E)),0,IF(ISERROR(AVERAGEIF(従業員の給与情報!$B:$B,$A210,従業員の給与情報!$E:$E)),0,AVERAGEIF(従業員の給与情報!$B:$B,$A210,従業員の給与情報!$E:$E)))))</f>
        <v/>
      </c>
      <c r="V210" s="117" t="str">
        <f>IF(OR(入力シート!$C$5&lt;&gt;入力リスト!$N$4,COUNTIF(入力シート!$J$16:$S$23,入力リスト!$K$4)=0),"",IF(A210="","",IF(ISERROR(AVERAGEIF(従業員の給与情報!$B:$B,$A210,従業員の給与情報!$F:$F)),0,IF(ISERROR(AVERAGEIF(従業員の給与情報!$B:$B,$A210,従業員の給与情報!$F:$F)),0,AVERAGEIF(従業員の給与情報!$B:$B,$A210,従業員の給与情報!$F:$F)))))</f>
        <v/>
      </c>
      <c r="W210" s="182"/>
      <c r="X210" s="260"/>
    </row>
    <row r="211" spans="1:24" ht="19.5">
      <c r="A211" s="366"/>
      <c r="B211" s="366"/>
      <c r="C211" s="365"/>
      <c r="D211" s="366"/>
      <c r="E211" s="366"/>
      <c r="F211" s="372" t="str">
        <f>IF(G211,"この従業員番号は、すでに他のセルで入力されています。",IF(入力シート!$C$5=入力リスト!$N$5,"",IF(AND(A211="",B211="",C211="",D211="",E211=""),"",IF(OR(A211="",B211="",C211="",D211=""),IF(A211="","従業員番号","")&amp;IF(AND(A211="",OR(B211="",C211="",D211="")),",","")&amp;IF(B211="","雇用形態","")&amp;IF(AND(B211="",OR(C211="",D211="")),",","")&amp;IF(OR(入力シート!$J$18=入力リスト!$K$4,入力シート!$J$22=入力リスト!$K$4),IF(C211="","入社年月日",""),"")&amp;IF(AND(C211="",D211=""),",","")&amp;IF(D211="","性別","")&amp;IF(IF(A211="","従業員番号","")&amp;IF(B211="","雇用形態","")&amp;IF(OR(入力シート!$J$18=入力リスト!$K$4,入力シート!$J$22=入力リスト!$K$4),IF(C211="","入社年月日",""),"")&amp;IF(D211="","性別","")="","","が空白です。"),IF(J211,"入社年月日に「基準日」の翌日以降の日付が入力されています。","")&amp;IF(I211,"入社年月日に数値以外（又は1900/1/1以前の日付）が入力されています。","")&amp;IF(H211,"雇用形態"&amp;IF(OR(K211,L211),",",""),"")&amp;IF(K211,"性別"&amp;IF(L211,",",""),"")&amp;IF(L211,"役職","")&amp;IF(OR(H211,K211,L211),"に、［入力シート］(4)「貴社」欄と異なる文言が入力されています。","")))))</f>
        <v/>
      </c>
      <c r="G211" s="236" t="b">
        <f>COUNTIF($A$4:A210,$A211)&gt;0</f>
        <v>0</v>
      </c>
      <c r="H211" s="237" t="b">
        <f>IF(COUNTIF(入力シート!$J$16:$S$23,入力リスト!$K$4)=0,FALSE,IF(入力シート!$J$16=入力リスト!$K$5,FALSE,ISERROR(VLOOKUP(B211,入力シート!$S$37:$V$62,1,0))))</f>
        <v>0</v>
      </c>
      <c r="I211" s="237" t="b">
        <f>IF(AND(OR(入力シート!$J$18=入力リスト!$K$4,入力シート!$J$22=入力リスト!$K$4),入力シート!$J$24&lt;&gt;""),IF(ISERROR(C211+1),TRUE,IF(ISNUMBER(C211),FALSE,TRUE)),FALSE)</f>
        <v>0</v>
      </c>
      <c r="J211" s="237" t="b">
        <f>IF(AND(入力シート!$J$18=入力リスト!$K$4,入力シート!$J$22=入力リスト!$K$4),FALSE,IF(I211=TRUE,FALSE,IF(ISERROR(C211+1),FALSE,C211&gt;入力シート!$J$24)))</f>
        <v>0</v>
      </c>
      <c r="K211" s="237" t="b">
        <f>IF(COUNTIF(入力シート!$J$16:$S$23,入力リスト!$K$4)=0,FALSE,IF(AND(入力シート!$J$16&lt;&gt;入力リスト!$K$5,入力シート!$J$18&lt;&gt;入力リスト!$K$5,入力シート!$J$20&lt;&gt;入力リスト!$K$5,入力シート!$J$22&lt;&gt;入力リスト!$K$5),FALSE,ISERROR(VLOOKUP(D211,入力シート!$AW$37:$AY$38,1,0))))</f>
        <v>0</v>
      </c>
      <c r="L211" s="237" t="b">
        <f>IF(COUNTIF(入力シート!$J$16:$S$23,入力リスト!$K$4)=0,FALSE,IF(入力シート!$J$20=入力リスト!$K$5,FALSE,IF(E211="",FALSE,ISERROR(VLOOKUP(E211,入力シート!$AH$37:$AK$62,1,0)))))</f>
        <v>0</v>
      </c>
      <c r="M211" s="238" t="str">
        <f t="shared" si="3"/>
        <v/>
      </c>
      <c r="N211" s="236" t="str">
        <f>IF(B211="","",VLOOKUP('従業員情報(給与以外)'!$B211,入力シート!$S$37:$Z$62,5,0))</f>
        <v/>
      </c>
      <c r="O211" s="182" t="str">
        <f>IF(ISNUMBER(C211)=FALSE,"",IF(C211&gt;入力シート!$J$24,"",_xlfn.DAYS(入力シート!$J$24,'従業員情報(給与以外)'!$C211)/365))</f>
        <v/>
      </c>
      <c r="P211" s="237" t="str">
        <f>IF(O211="","",VLOOKUP(_xlfn.DAYS(入力シート!$J$24,'従業員情報(給与以外)'!$C211)/365,入力リスト!$H$4:$I$12,2,2))</f>
        <v/>
      </c>
      <c r="Q211" s="236" t="str">
        <f>IF(D211="","",VLOOKUP('従業員情報(給与以外)'!$D211,入力シート!$AW$37:$BB$38,4,0))</f>
        <v/>
      </c>
      <c r="R211" s="236" t="str">
        <f>IF(A211="","",IF(E211="","非役職",VLOOKUP('従業員情報(給与以外)'!$E211,入力シート!$AH$37:$AO$62,5,0)))</f>
        <v/>
      </c>
      <c r="S211" s="116" t="str">
        <f>IF(OR(入力シート!$C$5&lt;&gt;入力リスト!$N$4,COUNTIF(入力シート!$J$16:$S$23,入力リスト!$K$4)=0),"",IF($A211="","",IF(ISERROR(AVERAGEIF(従業員の給与情報!$B:$B,$A211,従業員の給与情報!$C:$C)),0,IF(ISERROR(AVERAGEIF(従業員の給与情報!$B:$B,$A211,従業員の給与情報!$C:$C)),0,AVERAGEIF(従業員の給与情報!$B:$B,$A211,従業員の給与情報!$C:$C)))))</f>
        <v/>
      </c>
      <c r="T211" s="116" t="str">
        <f>IF(OR(入力シート!$C$5&lt;&gt;入力リスト!$N$4,COUNTIF(入力シート!$J$16:$S$23,入力リスト!$K$4)=0),"",IF(A211="","",IF(ISERROR(AVERAGEIF(従業員の給与情報!$B:$B,$A211,従業員の給与情報!$D:$D)),0,IF(ISERROR(AVERAGEIF(従業員の給与情報!$B:$B,$A211,従業員の給与情報!$D:$D)),0,AVERAGEIF(従業員の給与情報!$B:$B,$A211,従業員の給与情報!$D:$D)))))</f>
        <v/>
      </c>
      <c r="U211" s="116" t="str">
        <f>IF(OR(入力シート!$C$5&lt;&gt;入力リスト!$N$4,COUNTIF(入力シート!$J$16:$S$23,入力リスト!$K$4)=0),"",IF(A211="","",IF(ISERROR(AVERAGEIF(従業員の給与情報!$B:$B,$A211,従業員の給与情報!$E:$E)),0,IF(ISERROR(AVERAGEIF(従業員の給与情報!$B:$B,$A211,従業員の給与情報!$E:$E)),0,AVERAGEIF(従業員の給与情報!$B:$B,$A211,従業員の給与情報!$E:$E)))))</f>
        <v/>
      </c>
      <c r="V211" s="117" t="str">
        <f>IF(OR(入力シート!$C$5&lt;&gt;入力リスト!$N$4,COUNTIF(入力シート!$J$16:$S$23,入力リスト!$K$4)=0),"",IF(A211="","",IF(ISERROR(AVERAGEIF(従業員の給与情報!$B:$B,$A211,従業員の給与情報!$F:$F)),0,IF(ISERROR(AVERAGEIF(従業員の給与情報!$B:$B,$A211,従業員の給与情報!$F:$F)),0,AVERAGEIF(従業員の給与情報!$B:$B,$A211,従業員の給与情報!$F:$F)))))</f>
        <v/>
      </c>
      <c r="W211" s="182"/>
      <c r="X211" s="260"/>
    </row>
    <row r="212" spans="1:24" ht="19.5">
      <c r="A212" s="366"/>
      <c r="B212" s="366"/>
      <c r="C212" s="365"/>
      <c r="D212" s="366"/>
      <c r="E212" s="366"/>
      <c r="F212" s="372" t="str">
        <f>IF(G212,"この従業員番号は、すでに他のセルで入力されています。",IF(入力シート!$C$5=入力リスト!$N$5,"",IF(AND(A212="",B212="",C212="",D212="",E212=""),"",IF(OR(A212="",B212="",C212="",D212=""),IF(A212="","従業員番号","")&amp;IF(AND(A212="",OR(B212="",C212="",D212="")),",","")&amp;IF(B212="","雇用形態","")&amp;IF(AND(B212="",OR(C212="",D212="")),",","")&amp;IF(OR(入力シート!$J$18=入力リスト!$K$4,入力シート!$J$22=入力リスト!$K$4),IF(C212="","入社年月日",""),"")&amp;IF(AND(C212="",D212=""),",","")&amp;IF(D212="","性別","")&amp;IF(IF(A212="","従業員番号","")&amp;IF(B212="","雇用形態","")&amp;IF(OR(入力シート!$J$18=入力リスト!$K$4,入力シート!$J$22=入力リスト!$K$4),IF(C212="","入社年月日",""),"")&amp;IF(D212="","性別","")="","","が空白です。"),IF(J212,"入社年月日に「基準日」の翌日以降の日付が入力されています。","")&amp;IF(I212,"入社年月日に数値以外（又は1900/1/1以前の日付）が入力されています。","")&amp;IF(H212,"雇用形態"&amp;IF(OR(K212,L212),",",""),"")&amp;IF(K212,"性別"&amp;IF(L212,",",""),"")&amp;IF(L212,"役職","")&amp;IF(OR(H212,K212,L212),"に、［入力シート］(4)「貴社」欄と異なる文言が入力されています。","")))))</f>
        <v/>
      </c>
      <c r="G212" s="236" t="b">
        <f>COUNTIF($A$4:A211,$A212)&gt;0</f>
        <v>0</v>
      </c>
      <c r="H212" s="237" t="b">
        <f>IF(COUNTIF(入力シート!$J$16:$S$23,入力リスト!$K$4)=0,FALSE,IF(入力シート!$J$16=入力リスト!$K$5,FALSE,ISERROR(VLOOKUP(B212,入力シート!$S$37:$V$62,1,0))))</f>
        <v>0</v>
      </c>
      <c r="I212" s="237" t="b">
        <f>IF(AND(OR(入力シート!$J$18=入力リスト!$K$4,入力シート!$J$22=入力リスト!$K$4),入力シート!$J$24&lt;&gt;""),IF(ISERROR(C212+1),TRUE,IF(ISNUMBER(C212),FALSE,TRUE)),FALSE)</f>
        <v>0</v>
      </c>
      <c r="J212" s="237" t="b">
        <f>IF(AND(入力シート!$J$18=入力リスト!$K$4,入力シート!$J$22=入力リスト!$K$4),FALSE,IF(I212=TRUE,FALSE,IF(ISERROR(C212+1),FALSE,C212&gt;入力シート!$J$24)))</f>
        <v>0</v>
      </c>
      <c r="K212" s="237" t="b">
        <f>IF(COUNTIF(入力シート!$J$16:$S$23,入力リスト!$K$4)=0,FALSE,IF(AND(入力シート!$J$16&lt;&gt;入力リスト!$K$5,入力シート!$J$18&lt;&gt;入力リスト!$K$5,入力シート!$J$20&lt;&gt;入力リスト!$K$5,入力シート!$J$22&lt;&gt;入力リスト!$K$5),FALSE,ISERROR(VLOOKUP(D212,入力シート!$AW$37:$AY$38,1,0))))</f>
        <v>0</v>
      </c>
      <c r="L212" s="237" t="b">
        <f>IF(COUNTIF(入力シート!$J$16:$S$23,入力リスト!$K$4)=0,FALSE,IF(入力シート!$J$20=入力リスト!$K$5,FALSE,IF(E212="",FALSE,ISERROR(VLOOKUP(E212,入力シート!$AH$37:$AK$62,1,0)))))</f>
        <v>0</v>
      </c>
      <c r="M212" s="238" t="str">
        <f t="shared" si="3"/>
        <v/>
      </c>
      <c r="N212" s="236" t="str">
        <f>IF(B212="","",VLOOKUP('従業員情報(給与以外)'!$B212,入力シート!$S$37:$Z$62,5,0))</f>
        <v/>
      </c>
      <c r="O212" s="182" t="str">
        <f>IF(ISNUMBER(C212)=FALSE,"",IF(C212&gt;入力シート!$J$24,"",_xlfn.DAYS(入力シート!$J$24,'従業員情報(給与以外)'!$C212)/365))</f>
        <v/>
      </c>
      <c r="P212" s="237" t="str">
        <f>IF(O212="","",VLOOKUP(_xlfn.DAYS(入力シート!$J$24,'従業員情報(給与以外)'!$C212)/365,入力リスト!$H$4:$I$12,2,2))</f>
        <v/>
      </c>
      <c r="Q212" s="236" t="str">
        <f>IF(D212="","",VLOOKUP('従業員情報(給与以外)'!$D212,入力シート!$AW$37:$BB$38,4,0))</f>
        <v/>
      </c>
      <c r="R212" s="236" t="str">
        <f>IF(A212="","",IF(E212="","非役職",VLOOKUP('従業員情報(給与以外)'!$E212,入力シート!$AH$37:$AO$62,5,0)))</f>
        <v/>
      </c>
      <c r="S212" s="116" t="str">
        <f>IF(OR(入力シート!$C$5&lt;&gt;入力リスト!$N$4,COUNTIF(入力シート!$J$16:$S$23,入力リスト!$K$4)=0),"",IF($A212="","",IF(ISERROR(AVERAGEIF(従業員の給与情報!$B:$B,$A212,従業員の給与情報!$C:$C)),0,IF(ISERROR(AVERAGEIF(従業員の給与情報!$B:$B,$A212,従業員の給与情報!$C:$C)),0,AVERAGEIF(従業員の給与情報!$B:$B,$A212,従業員の給与情報!$C:$C)))))</f>
        <v/>
      </c>
      <c r="T212" s="116" t="str">
        <f>IF(OR(入力シート!$C$5&lt;&gt;入力リスト!$N$4,COUNTIF(入力シート!$J$16:$S$23,入力リスト!$K$4)=0),"",IF(A212="","",IF(ISERROR(AVERAGEIF(従業員の給与情報!$B:$B,$A212,従業員の給与情報!$D:$D)),0,IF(ISERROR(AVERAGEIF(従業員の給与情報!$B:$B,$A212,従業員の給与情報!$D:$D)),0,AVERAGEIF(従業員の給与情報!$B:$B,$A212,従業員の給与情報!$D:$D)))))</f>
        <v/>
      </c>
      <c r="U212" s="116" t="str">
        <f>IF(OR(入力シート!$C$5&lt;&gt;入力リスト!$N$4,COUNTIF(入力シート!$J$16:$S$23,入力リスト!$K$4)=0),"",IF(A212="","",IF(ISERROR(AVERAGEIF(従業員の給与情報!$B:$B,$A212,従業員の給与情報!$E:$E)),0,IF(ISERROR(AVERAGEIF(従業員の給与情報!$B:$B,$A212,従業員の給与情報!$E:$E)),0,AVERAGEIF(従業員の給与情報!$B:$B,$A212,従業員の給与情報!$E:$E)))))</f>
        <v/>
      </c>
      <c r="V212" s="117" t="str">
        <f>IF(OR(入力シート!$C$5&lt;&gt;入力リスト!$N$4,COUNTIF(入力シート!$J$16:$S$23,入力リスト!$K$4)=0),"",IF(A212="","",IF(ISERROR(AVERAGEIF(従業員の給与情報!$B:$B,$A212,従業員の給与情報!$F:$F)),0,IF(ISERROR(AVERAGEIF(従業員の給与情報!$B:$B,$A212,従業員の給与情報!$F:$F)),0,AVERAGEIF(従業員の給与情報!$B:$B,$A212,従業員の給与情報!$F:$F)))))</f>
        <v/>
      </c>
      <c r="W212" s="182"/>
      <c r="X212" s="260"/>
    </row>
    <row r="213" spans="1:24">
      <c r="A213" s="368"/>
      <c r="B213" s="361"/>
      <c r="C213" s="362"/>
      <c r="D213" s="361"/>
      <c r="E213" s="361"/>
      <c r="F213" s="372" t="str">
        <f>IF(G213,"この従業員番号は、すでに他のセルで入力されています。",IF(入力シート!$C$5=入力リスト!$N$5,"",IF(AND(A213="",B213="",C213="",D213="",E213=""),"",IF(OR(A213="",B213="",C213="",D213=""),IF(A213="","従業員番号","")&amp;IF(AND(A213="",OR(B213="",C213="",D213="")),",","")&amp;IF(B213="","雇用形態","")&amp;IF(AND(B213="",OR(C213="",D213="")),",","")&amp;IF(OR(入力シート!$J$18=入力リスト!$K$4,入力シート!$J$22=入力リスト!$K$4),IF(C213="","入社年月日",""),"")&amp;IF(AND(C213="",D213=""),",","")&amp;IF(D213="","性別","")&amp;IF(IF(A213="","従業員番号","")&amp;IF(B213="","雇用形態","")&amp;IF(OR(入力シート!$J$18=入力リスト!$K$4,入力シート!$J$22=入力リスト!$K$4),IF(C213="","入社年月日",""),"")&amp;IF(D213="","性別","")="","","が空白です。"),IF(J213,"入社年月日に「基準日」の翌日以降の日付が入力されています。","")&amp;IF(I213,"入社年月日に数値以外（又は1900/1/1以前の日付）が入力されています。","")&amp;IF(H213,"雇用形態"&amp;IF(OR(K213,L213),",",""),"")&amp;IF(K213,"性別"&amp;IF(L213,",",""),"")&amp;IF(L213,"役職","")&amp;IF(OR(H213,K213,L213),"に、［入力シート］(4)「貴社」欄と異なる文言が入力されています。","")))))</f>
        <v/>
      </c>
      <c r="G213" s="236" t="b">
        <f>COUNTIF($A$4:A212,$A213)&gt;0</f>
        <v>0</v>
      </c>
      <c r="H213" s="237" t="b">
        <f>IF(COUNTIF(入力シート!$J$16:$S$23,入力リスト!$K$4)=0,FALSE,IF(入力シート!$J$16=入力リスト!$K$5,FALSE,ISERROR(VLOOKUP(B213,入力シート!$S$37:$V$62,1,0))))</f>
        <v>0</v>
      </c>
      <c r="I213" s="237" t="b">
        <f>IF(AND(OR(入力シート!$J$18=入力リスト!$K$4,入力シート!$J$22=入力リスト!$K$4),入力シート!$J$24&lt;&gt;""),IF(ISERROR(C213+1),TRUE,IF(ISNUMBER(C213),FALSE,TRUE)),FALSE)</f>
        <v>0</v>
      </c>
      <c r="J213" s="237" t="b">
        <f>IF(AND(入力シート!$J$18=入力リスト!$K$4,入力シート!$J$22=入力リスト!$K$4),FALSE,IF(I213=TRUE,FALSE,IF(ISERROR(C213+1),FALSE,C213&gt;入力シート!$J$24)))</f>
        <v>0</v>
      </c>
      <c r="K213" s="237" t="b">
        <f>IF(COUNTIF(入力シート!$J$16:$S$23,入力リスト!$K$4)=0,FALSE,IF(AND(入力シート!$J$16&lt;&gt;入力リスト!$K$5,入力シート!$J$18&lt;&gt;入力リスト!$K$5,入力シート!$J$20&lt;&gt;入力リスト!$K$5,入力シート!$J$22&lt;&gt;入力リスト!$K$5),FALSE,ISERROR(VLOOKUP(D213,入力シート!$AW$37:$AY$38,1,0))))</f>
        <v>0</v>
      </c>
      <c r="L213" s="237" t="b">
        <f>IF(COUNTIF(入力シート!$J$16:$S$23,入力リスト!$K$4)=0,FALSE,IF(入力シート!$J$20=入力リスト!$K$5,FALSE,IF(E213="",FALSE,ISERROR(VLOOKUP(E213,入力シート!$AH$37:$AK$62,1,0)))))</f>
        <v>0</v>
      </c>
      <c r="M213" s="238" t="str">
        <f t="shared" si="3"/>
        <v/>
      </c>
      <c r="N213" s="236" t="str">
        <f>IF(B213="","",VLOOKUP('従業員情報(給与以外)'!$B213,入力シート!$S$37:$Z$62,5,0))</f>
        <v/>
      </c>
      <c r="O213" s="182" t="str">
        <f>IF(ISNUMBER(C213)=FALSE,"",IF(C213&gt;入力シート!$J$24,"",_xlfn.DAYS(入力シート!$J$24,'従業員情報(給与以外)'!$C213)/365))</f>
        <v/>
      </c>
      <c r="P213" s="237" t="str">
        <f>IF(O213="","",VLOOKUP(_xlfn.DAYS(入力シート!$J$24,'従業員情報(給与以外)'!$C213)/365,入力リスト!$H$4:$I$12,2,2))</f>
        <v/>
      </c>
      <c r="Q213" s="236" t="str">
        <f>IF(D213="","",VLOOKUP('従業員情報(給与以外)'!$D213,入力シート!$AW$37:$BB$38,4,0))</f>
        <v/>
      </c>
      <c r="R213" s="236" t="str">
        <f>IF(A213="","",IF(E213="","非役職",VLOOKUP('従業員情報(給与以外)'!$E213,入力シート!$AH$37:$AO$62,5,0)))</f>
        <v/>
      </c>
      <c r="S213" s="116" t="str">
        <f>IF(OR(入力シート!$C$5&lt;&gt;入力リスト!$N$4,COUNTIF(入力シート!$J$16:$S$23,入力リスト!$K$4)=0),"",IF($A213="","",IF(ISERROR(AVERAGEIF(従業員の給与情報!$B:$B,$A213,従業員の給与情報!$C:$C)),0,IF(ISERROR(AVERAGEIF(従業員の給与情報!$B:$B,$A213,従業員の給与情報!$C:$C)),0,AVERAGEIF(従業員の給与情報!$B:$B,$A213,従業員の給与情報!$C:$C)))))</f>
        <v/>
      </c>
      <c r="T213" s="116" t="str">
        <f>IF(OR(入力シート!$C$5&lt;&gt;入力リスト!$N$4,COUNTIF(入力シート!$J$16:$S$23,入力リスト!$K$4)=0),"",IF(A213="","",IF(ISERROR(AVERAGEIF(従業員の給与情報!$B:$B,$A213,従業員の給与情報!$D:$D)),0,IF(ISERROR(AVERAGEIF(従業員の給与情報!$B:$B,$A213,従業員の給与情報!$D:$D)),0,AVERAGEIF(従業員の給与情報!$B:$B,$A213,従業員の給与情報!$D:$D)))))</f>
        <v/>
      </c>
      <c r="U213" s="116" t="str">
        <f>IF(OR(入力シート!$C$5&lt;&gt;入力リスト!$N$4,COUNTIF(入力シート!$J$16:$S$23,入力リスト!$K$4)=0),"",IF(A213="","",IF(ISERROR(AVERAGEIF(従業員の給与情報!$B:$B,$A213,従業員の給与情報!$E:$E)),0,IF(ISERROR(AVERAGEIF(従業員の給与情報!$B:$B,$A213,従業員の給与情報!$E:$E)),0,AVERAGEIF(従業員の給与情報!$B:$B,$A213,従業員の給与情報!$E:$E)))))</f>
        <v/>
      </c>
      <c r="V213" s="117" t="str">
        <f>IF(OR(入力シート!$C$5&lt;&gt;入力リスト!$N$4,COUNTIF(入力シート!$J$16:$S$23,入力リスト!$K$4)=0),"",IF(A213="","",IF(ISERROR(AVERAGEIF(従業員の給与情報!$B:$B,$A213,従業員の給与情報!$F:$F)),0,IF(ISERROR(AVERAGEIF(従業員の給与情報!$B:$B,$A213,従業員の給与情報!$F:$F)),0,AVERAGEIF(従業員の給与情報!$B:$B,$A213,従業員の給与情報!$F:$F)))))</f>
        <v/>
      </c>
      <c r="W213" s="182"/>
      <c r="X213" s="260"/>
    </row>
    <row r="214" spans="1:24">
      <c r="A214" s="368"/>
      <c r="B214" s="361"/>
      <c r="C214" s="362"/>
      <c r="D214" s="361"/>
      <c r="E214" s="361"/>
      <c r="F214" s="372" t="str">
        <f>IF(G214,"この従業員番号は、すでに他のセルで入力されています。",IF(入力シート!$C$5=入力リスト!$N$5,"",IF(AND(A214="",B214="",C214="",D214="",E214=""),"",IF(OR(A214="",B214="",C214="",D214=""),IF(A214="","従業員番号","")&amp;IF(AND(A214="",OR(B214="",C214="",D214="")),",","")&amp;IF(B214="","雇用形態","")&amp;IF(AND(B214="",OR(C214="",D214="")),",","")&amp;IF(OR(入力シート!$J$18=入力リスト!$K$4,入力シート!$J$22=入力リスト!$K$4),IF(C214="","入社年月日",""),"")&amp;IF(AND(C214="",D214=""),",","")&amp;IF(D214="","性別","")&amp;IF(IF(A214="","従業員番号","")&amp;IF(B214="","雇用形態","")&amp;IF(OR(入力シート!$J$18=入力リスト!$K$4,入力シート!$J$22=入力リスト!$K$4),IF(C214="","入社年月日",""),"")&amp;IF(D214="","性別","")="","","が空白です。"),IF(J214,"入社年月日に「基準日」の翌日以降の日付が入力されています。","")&amp;IF(I214,"入社年月日に数値以外（又は1900/1/1以前の日付）が入力されています。","")&amp;IF(H214,"雇用形態"&amp;IF(OR(K214,L214),",",""),"")&amp;IF(K214,"性別"&amp;IF(L214,",",""),"")&amp;IF(L214,"役職","")&amp;IF(OR(H214,K214,L214),"に、［入力シート］(4)「貴社」欄と異なる文言が入力されています。","")))))</f>
        <v/>
      </c>
      <c r="G214" s="236" t="b">
        <f>COUNTIF($A$4:A213,$A214)&gt;0</f>
        <v>0</v>
      </c>
      <c r="H214" s="237" t="b">
        <f>IF(COUNTIF(入力シート!$J$16:$S$23,入力リスト!$K$4)=0,FALSE,IF(入力シート!$J$16=入力リスト!$K$5,FALSE,ISERROR(VLOOKUP(B214,入力シート!$S$37:$V$62,1,0))))</f>
        <v>0</v>
      </c>
      <c r="I214" s="237" t="b">
        <f>IF(AND(OR(入力シート!$J$18=入力リスト!$K$4,入力シート!$J$22=入力リスト!$K$4),入力シート!$J$24&lt;&gt;""),IF(ISERROR(C214+1),TRUE,IF(ISNUMBER(C214),FALSE,TRUE)),FALSE)</f>
        <v>0</v>
      </c>
      <c r="J214" s="237" t="b">
        <f>IF(AND(入力シート!$J$18=入力リスト!$K$4,入力シート!$J$22=入力リスト!$K$4),FALSE,IF(I214=TRUE,FALSE,IF(ISERROR(C214+1),FALSE,C214&gt;入力シート!$J$24)))</f>
        <v>0</v>
      </c>
      <c r="K214" s="237" t="b">
        <f>IF(COUNTIF(入力シート!$J$16:$S$23,入力リスト!$K$4)=0,FALSE,IF(AND(入力シート!$J$16&lt;&gt;入力リスト!$K$5,入力シート!$J$18&lt;&gt;入力リスト!$K$5,入力シート!$J$20&lt;&gt;入力リスト!$K$5,入力シート!$J$22&lt;&gt;入力リスト!$K$5),FALSE,ISERROR(VLOOKUP(D214,入力シート!$AW$37:$AY$38,1,0))))</f>
        <v>0</v>
      </c>
      <c r="L214" s="237" t="b">
        <f>IF(COUNTIF(入力シート!$J$16:$S$23,入力リスト!$K$4)=0,FALSE,IF(入力シート!$J$20=入力リスト!$K$5,FALSE,IF(E214="",FALSE,ISERROR(VLOOKUP(E214,入力シート!$AH$37:$AK$62,1,0)))))</f>
        <v>0</v>
      </c>
      <c r="M214" s="238" t="str">
        <f t="shared" si="3"/>
        <v/>
      </c>
      <c r="N214" s="236" t="str">
        <f>IF(B214="","",VLOOKUP('従業員情報(給与以外)'!$B214,入力シート!$S$37:$Z$62,5,0))</f>
        <v/>
      </c>
      <c r="O214" s="182" t="str">
        <f>IF(ISNUMBER(C214)=FALSE,"",IF(C214&gt;入力シート!$J$24,"",_xlfn.DAYS(入力シート!$J$24,'従業員情報(給与以外)'!$C214)/365))</f>
        <v/>
      </c>
      <c r="P214" s="237" t="str">
        <f>IF(O214="","",VLOOKUP(_xlfn.DAYS(入力シート!$J$24,'従業員情報(給与以外)'!$C214)/365,入力リスト!$H$4:$I$12,2,2))</f>
        <v/>
      </c>
      <c r="Q214" s="236" t="str">
        <f>IF(D214="","",VLOOKUP('従業員情報(給与以外)'!$D214,入力シート!$AW$37:$BB$38,4,0))</f>
        <v/>
      </c>
      <c r="R214" s="236" t="str">
        <f>IF(A214="","",IF(E214="","非役職",VLOOKUP('従業員情報(給与以外)'!$E214,入力シート!$AH$37:$AO$62,5,0)))</f>
        <v/>
      </c>
      <c r="S214" s="116" t="str">
        <f>IF(OR(入力シート!$C$5&lt;&gt;入力リスト!$N$4,COUNTIF(入力シート!$J$16:$S$23,入力リスト!$K$4)=0),"",IF($A214="","",IF(ISERROR(AVERAGEIF(従業員の給与情報!$B:$B,$A214,従業員の給与情報!$C:$C)),0,IF(ISERROR(AVERAGEIF(従業員の給与情報!$B:$B,$A214,従業員の給与情報!$C:$C)),0,AVERAGEIF(従業員の給与情報!$B:$B,$A214,従業員の給与情報!$C:$C)))))</f>
        <v/>
      </c>
      <c r="T214" s="116" t="str">
        <f>IF(OR(入力シート!$C$5&lt;&gt;入力リスト!$N$4,COUNTIF(入力シート!$J$16:$S$23,入力リスト!$K$4)=0),"",IF(A214="","",IF(ISERROR(AVERAGEIF(従業員の給与情報!$B:$B,$A214,従業員の給与情報!$D:$D)),0,IF(ISERROR(AVERAGEIF(従業員の給与情報!$B:$B,$A214,従業員の給与情報!$D:$D)),0,AVERAGEIF(従業員の給与情報!$B:$B,$A214,従業員の給与情報!$D:$D)))))</f>
        <v/>
      </c>
      <c r="U214" s="116" t="str">
        <f>IF(OR(入力シート!$C$5&lt;&gt;入力リスト!$N$4,COUNTIF(入力シート!$J$16:$S$23,入力リスト!$K$4)=0),"",IF(A214="","",IF(ISERROR(AVERAGEIF(従業員の給与情報!$B:$B,$A214,従業員の給与情報!$E:$E)),0,IF(ISERROR(AVERAGEIF(従業員の給与情報!$B:$B,$A214,従業員の給与情報!$E:$E)),0,AVERAGEIF(従業員の給与情報!$B:$B,$A214,従業員の給与情報!$E:$E)))))</f>
        <v/>
      </c>
      <c r="V214" s="117" t="str">
        <f>IF(OR(入力シート!$C$5&lt;&gt;入力リスト!$N$4,COUNTIF(入力シート!$J$16:$S$23,入力リスト!$K$4)=0),"",IF(A214="","",IF(ISERROR(AVERAGEIF(従業員の給与情報!$B:$B,$A214,従業員の給与情報!$F:$F)),0,IF(ISERROR(AVERAGEIF(従業員の給与情報!$B:$B,$A214,従業員の給与情報!$F:$F)),0,AVERAGEIF(従業員の給与情報!$B:$B,$A214,従業員の給与情報!$F:$F)))))</f>
        <v/>
      </c>
      <c r="W214" s="182"/>
      <c r="X214" s="260"/>
    </row>
    <row r="215" spans="1:24">
      <c r="A215" s="368"/>
      <c r="B215" s="361"/>
      <c r="C215" s="362"/>
      <c r="D215" s="361"/>
      <c r="E215" s="361"/>
      <c r="F215" s="372" t="str">
        <f>IF(G215,"この従業員番号は、すでに他のセルで入力されています。",IF(入力シート!$C$5=入力リスト!$N$5,"",IF(AND(A215="",B215="",C215="",D215="",E215=""),"",IF(OR(A215="",B215="",C215="",D215=""),IF(A215="","従業員番号","")&amp;IF(AND(A215="",OR(B215="",C215="",D215="")),",","")&amp;IF(B215="","雇用形態","")&amp;IF(AND(B215="",OR(C215="",D215="")),",","")&amp;IF(OR(入力シート!$J$18=入力リスト!$K$4,入力シート!$J$22=入力リスト!$K$4),IF(C215="","入社年月日",""),"")&amp;IF(AND(C215="",D215=""),",","")&amp;IF(D215="","性別","")&amp;IF(IF(A215="","従業員番号","")&amp;IF(B215="","雇用形態","")&amp;IF(OR(入力シート!$J$18=入力リスト!$K$4,入力シート!$J$22=入力リスト!$K$4),IF(C215="","入社年月日",""),"")&amp;IF(D215="","性別","")="","","が空白です。"),IF(J215,"入社年月日に「基準日」の翌日以降の日付が入力されています。","")&amp;IF(I215,"入社年月日に数値以外（又は1900/1/1以前の日付）が入力されています。","")&amp;IF(H215,"雇用形態"&amp;IF(OR(K215,L215),",",""),"")&amp;IF(K215,"性別"&amp;IF(L215,",",""),"")&amp;IF(L215,"役職","")&amp;IF(OR(H215,K215,L215),"に、［入力シート］(4)「貴社」欄と異なる文言が入力されています。","")))))</f>
        <v/>
      </c>
      <c r="G215" s="236" t="b">
        <f>COUNTIF($A$4:A214,$A215)&gt;0</f>
        <v>0</v>
      </c>
      <c r="H215" s="237" t="b">
        <f>IF(COUNTIF(入力シート!$J$16:$S$23,入力リスト!$K$4)=0,FALSE,IF(入力シート!$J$16=入力リスト!$K$5,FALSE,ISERROR(VLOOKUP(B215,入力シート!$S$37:$V$62,1,0))))</f>
        <v>0</v>
      </c>
      <c r="I215" s="237" t="b">
        <f>IF(AND(OR(入力シート!$J$18=入力リスト!$K$4,入力シート!$J$22=入力リスト!$K$4),入力シート!$J$24&lt;&gt;""),IF(ISERROR(C215+1),TRUE,IF(ISNUMBER(C215),FALSE,TRUE)),FALSE)</f>
        <v>0</v>
      </c>
      <c r="J215" s="237" t="b">
        <f>IF(AND(入力シート!$J$18=入力リスト!$K$4,入力シート!$J$22=入力リスト!$K$4),FALSE,IF(I215=TRUE,FALSE,IF(ISERROR(C215+1),FALSE,C215&gt;入力シート!$J$24)))</f>
        <v>0</v>
      </c>
      <c r="K215" s="237" t="b">
        <f>IF(COUNTIF(入力シート!$J$16:$S$23,入力リスト!$K$4)=0,FALSE,IF(AND(入力シート!$J$16&lt;&gt;入力リスト!$K$5,入力シート!$J$18&lt;&gt;入力リスト!$K$5,入力シート!$J$20&lt;&gt;入力リスト!$K$5,入力シート!$J$22&lt;&gt;入力リスト!$K$5),FALSE,ISERROR(VLOOKUP(D215,入力シート!$AW$37:$AY$38,1,0))))</f>
        <v>0</v>
      </c>
      <c r="L215" s="237" t="b">
        <f>IF(COUNTIF(入力シート!$J$16:$S$23,入力リスト!$K$4)=0,FALSE,IF(入力シート!$J$20=入力リスト!$K$5,FALSE,IF(E215="",FALSE,ISERROR(VLOOKUP(E215,入力シート!$AH$37:$AK$62,1,0)))))</f>
        <v>0</v>
      </c>
      <c r="M215" s="238" t="str">
        <f t="shared" si="3"/>
        <v/>
      </c>
      <c r="N215" s="236" t="str">
        <f>IF(B215="","",VLOOKUP('従業員情報(給与以外)'!$B215,入力シート!$S$37:$Z$62,5,0))</f>
        <v/>
      </c>
      <c r="O215" s="182" t="str">
        <f>IF(ISNUMBER(C215)=FALSE,"",IF(C215&gt;入力シート!$J$24,"",_xlfn.DAYS(入力シート!$J$24,'従業員情報(給与以外)'!$C215)/365))</f>
        <v/>
      </c>
      <c r="P215" s="237" t="str">
        <f>IF(O215="","",VLOOKUP(_xlfn.DAYS(入力シート!$J$24,'従業員情報(給与以外)'!$C215)/365,入力リスト!$H$4:$I$12,2,2))</f>
        <v/>
      </c>
      <c r="Q215" s="236" t="str">
        <f>IF(D215="","",VLOOKUP('従業員情報(給与以外)'!$D215,入力シート!$AW$37:$BB$38,4,0))</f>
        <v/>
      </c>
      <c r="R215" s="236" t="str">
        <f>IF(A215="","",IF(E215="","非役職",VLOOKUP('従業員情報(給与以外)'!$E215,入力シート!$AH$37:$AO$62,5,0)))</f>
        <v/>
      </c>
      <c r="S215" s="116" t="str">
        <f>IF(OR(入力シート!$C$5&lt;&gt;入力リスト!$N$4,COUNTIF(入力シート!$J$16:$S$23,入力リスト!$K$4)=0),"",IF($A215="","",IF(ISERROR(AVERAGEIF(従業員の給与情報!$B:$B,$A215,従業員の給与情報!$C:$C)),0,IF(ISERROR(AVERAGEIF(従業員の給与情報!$B:$B,$A215,従業員の給与情報!$C:$C)),0,AVERAGEIF(従業員の給与情報!$B:$B,$A215,従業員の給与情報!$C:$C)))))</f>
        <v/>
      </c>
      <c r="T215" s="116" t="str">
        <f>IF(OR(入力シート!$C$5&lt;&gt;入力リスト!$N$4,COUNTIF(入力シート!$J$16:$S$23,入力リスト!$K$4)=0),"",IF(A215="","",IF(ISERROR(AVERAGEIF(従業員の給与情報!$B:$B,$A215,従業員の給与情報!$D:$D)),0,IF(ISERROR(AVERAGEIF(従業員の給与情報!$B:$B,$A215,従業員の給与情報!$D:$D)),0,AVERAGEIF(従業員の給与情報!$B:$B,$A215,従業員の給与情報!$D:$D)))))</f>
        <v/>
      </c>
      <c r="U215" s="116" t="str">
        <f>IF(OR(入力シート!$C$5&lt;&gt;入力リスト!$N$4,COUNTIF(入力シート!$J$16:$S$23,入力リスト!$K$4)=0),"",IF(A215="","",IF(ISERROR(AVERAGEIF(従業員の給与情報!$B:$B,$A215,従業員の給与情報!$E:$E)),0,IF(ISERROR(AVERAGEIF(従業員の給与情報!$B:$B,$A215,従業員の給与情報!$E:$E)),0,AVERAGEIF(従業員の給与情報!$B:$B,$A215,従業員の給与情報!$E:$E)))))</f>
        <v/>
      </c>
      <c r="V215" s="117" t="str">
        <f>IF(OR(入力シート!$C$5&lt;&gt;入力リスト!$N$4,COUNTIF(入力シート!$J$16:$S$23,入力リスト!$K$4)=0),"",IF(A215="","",IF(ISERROR(AVERAGEIF(従業員の給与情報!$B:$B,$A215,従業員の給与情報!$F:$F)),0,IF(ISERROR(AVERAGEIF(従業員の給与情報!$B:$B,$A215,従業員の給与情報!$F:$F)),0,AVERAGEIF(従業員の給与情報!$B:$B,$A215,従業員の給与情報!$F:$F)))))</f>
        <v/>
      </c>
      <c r="W215" s="182"/>
      <c r="X215" s="260"/>
    </row>
    <row r="216" spans="1:24">
      <c r="A216" s="368"/>
      <c r="B216" s="361"/>
      <c r="C216" s="362"/>
      <c r="D216" s="361"/>
      <c r="E216" s="361"/>
      <c r="F216" s="372" t="str">
        <f>IF(G216,"この従業員番号は、すでに他のセルで入力されています。",IF(入力シート!$C$5=入力リスト!$N$5,"",IF(AND(A216="",B216="",C216="",D216="",E216=""),"",IF(OR(A216="",B216="",C216="",D216=""),IF(A216="","従業員番号","")&amp;IF(AND(A216="",OR(B216="",C216="",D216="")),",","")&amp;IF(B216="","雇用形態","")&amp;IF(AND(B216="",OR(C216="",D216="")),",","")&amp;IF(OR(入力シート!$J$18=入力リスト!$K$4,入力シート!$J$22=入力リスト!$K$4),IF(C216="","入社年月日",""),"")&amp;IF(AND(C216="",D216=""),",","")&amp;IF(D216="","性別","")&amp;IF(IF(A216="","従業員番号","")&amp;IF(B216="","雇用形態","")&amp;IF(OR(入力シート!$J$18=入力リスト!$K$4,入力シート!$J$22=入力リスト!$K$4),IF(C216="","入社年月日",""),"")&amp;IF(D216="","性別","")="","","が空白です。"),IF(J216,"入社年月日に「基準日」の翌日以降の日付が入力されています。","")&amp;IF(I216,"入社年月日に数値以外（又は1900/1/1以前の日付）が入力されています。","")&amp;IF(H216,"雇用形態"&amp;IF(OR(K216,L216),",",""),"")&amp;IF(K216,"性別"&amp;IF(L216,",",""),"")&amp;IF(L216,"役職","")&amp;IF(OR(H216,K216,L216),"に、［入力シート］(4)「貴社」欄と異なる文言が入力されています。","")))))</f>
        <v/>
      </c>
      <c r="G216" s="236" t="b">
        <f>COUNTIF($A$4:A215,$A216)&gt;0</f>
        <v>0</v>
      </c>
      <c r="H216" s="237" t="b">
        <f>IF(COUNTIF(入力シート!$J$16:$S$23,入力リスト!$K$4)=0,FALSE,IF(入力シート!$J$16=入力リスト!$K$5,FALSE,ISERROR(VLOOKUP(B216,入力シート!$S$37:$V$62,1,0))))</f>
        <v>0</v>
      </c>
      <c r="I216" s="237" t="b">
        <f>IF(AND(OR(入力シート!$J$18=入力リスト!$K$4,入力シート!$J$22=入力リスト!$K$4),入力シート!$J$24&lt;&gt;""),IF(ISERROR(C216+1),TRUE,IF(ISNUMBER(C216),FALSE,TRUE)),FALSE)</f>
        <v>0</v>
      </c>
      <c r="J216" s="237" t="b">
        <f>IF(AND(入力シート!$J$18=入力リスト!$K$4,入力シート!$J$22=入力リスト!$K$4),FALSE,IF(I216=TRUE,FALSE,IF(ISERROR(C216+1),FALSE,C216&gt;入力シート!$J$24)))</f>
        <v>0</v>
      </c>
      <c r="K216" s="237" t="b">
        <f>IF(COUNTIF(入力シート!$J$16:$S$23,入力リスト!$K$4)=0,FALSE,IF(AND(入力シート!$J$16&lt;&gt;入力リスト!$K$5,入力シート!$J$18&lt;&gt;入力リスト!$K$5,入力シート!$J$20&lt;&gt;入力リスト!$K$5,入力シート!$J$22&lt;&gt;入力リスト!$K$5),FALSE,ISERROR(VLOOKUP(D216,入力シート!$AW$37:$AY$38,1,0))))</f>
        <v>0</v>
      </c>
      <c r="L216" s="237" t="b">
        <f>IF(COUNTIF(入力シート!$J$16:$S$23,入力リスト!$K$4)=0,FALSE,IF(入力シート!$J$20=入力リスト!$K$5,FALSE,IF(E216="",FALSE,ISERROR(VLOOKUP(E216,入力シート!$AH$37:$AK$62,1,0)))))</f>
        <v>0</v>
      </c>
      <c r="M216" s="238" t="str">
        <f t="shared" si="3"/>
        <v/>
      </c>
      <c r="N216" s="236" t="str">
        <f>IF(B216="","",VLOOKUP('従業員情報(給与以外)'!$B216,入力シート!$S$37:$Z$62,5,0))</f>
        <v/>
      </c>
      <c r="O216" s="182" t="str">
        <f>IF(ISNUMBER(C216)=FALSE,"",IF(C216&gt;入力シート!$J$24,"",_xlfn.DAYS(入力シート!$J$24,'従業員情報(給与以外)'!$C216)/365))</f>
        <v/>
      </c>
      <c r="P216" s="237" t="str">
        <f>IF(O216="","",VLOOKUP(_xlfn.DAYS(入力シート!$J$24,'従業員情報(給与以外)'!$C216)/365,入力リスト!$H$4:$I$12,2,2))</f>
        <v/>
      </c>
      <c r="Q216" s="236" t="str">
        <f>IF(D216="","",VLOOKUP('従業員情報(給与以外)'!$D216,入力シート!$AW$37:$BB$38,4,0))</f>
        <v/>
      </c>
      <c r="R216" s="236" t="str">
        <f>IF(A216="","",IF(E216="","非役職",VLOOKUP('従業員情報(給与以外)'!$E216,入力シート!$AH$37:$AO$62,5,0)))</f>
        <v/>
      </c>
      <c r="S216" s="116" t="str">
        <f>IF(OR(入力シート!$C$5&lt;&gt;入力リスト!$N$4,COUNTIF(入力シート!$J$16:$S$23,入力リスト!$K$4)=0),"",IF($A216="","",IF(ISERROR(AVERAGEIF(従業員の給与情報!$B:$B,$A216,従業員の給与情報!$C:$C)),0,IF(ISERROR(AVERAGEIF(従業員の給与情報!$B:$B,$A216,従業員の給与情報!$C:$C)),0,AVERAGEIF(従業員の給与情報!$B:$B,$A216,従業員の給与情報!$C:$C)))))</f>
        <v/>
      </c>
      <c r="T216" s="116" t="str">
        <f>IF(OR(入力シート!$C$5&lt;&gt;入力リスト!$N$4,COUNTIF(入力シート!$J$16:$S$23,入力リスト!$K$4)=0),"",IF(A216="","",IF(ISERROR(AVERAGEIF(従業員の給与情報!$B:$B,$A216,従業員の給与情報!$D:$D)),0,IF(ISERROR(AVERAGEIF(従業員の給与情報!$B:$B,$A216,従業員の給与情報!$D:$D)),0,AVERAGEIF(従業員の給与情報!$B:$B,$A216,従業員の給与情報!$D:$D)))))</f>
        <v/>
      </c>
      <c r="U216" s="116" t="str">
        <f>IF(OR(入力シート!$C$5&lt;&gt;入力リスト!$N$4,COUNTIF(入力シート!$J$16:$S$23,入力リスト!$K$4)=0),"",IF(A216="","",IF(ISERROR(AVERAGEIF(従業員の給与情報!$B:$B,$A216,従業員の給与情報!$E:$E)),0,IF(ISERROR(AVERAGEIF(従業員の給与情報!$B:$B,$A216,従業員の給与情報!$E:$E)),0,AVERAGEIF(従業員の給与情報!$B:$B,$A216,従業員の給与情報!$E:$E)))))</f>
        <v/>
      </c>
      <c r="V216" s="117" t="str">
        <f>IF(OR(入力シート!$C$5&lt;&gt;入力リスト!$N$4,COUNTIF(入力シート!$J$16:$S$23,入力リスト!$K$4)=0),"",IF(A216="","",IF(ISERROR(AVERAGEIF(従業員の給与情報!$B:$B,$A216,従業員の給与情報!$F:$F)),0,IF(ISERROR(AVERAGEIF(従業員の給与情報!$B:$B,$A216,従業員の給与情報!$F:$F)),0,AVERAGEIF(従業員の給与情報!$B:$B,$A216,従業員の給与情報!$F:$F)))))</f>
        <v/>
      </c>
      <c r="W216" s="182"/>
      <c r="X216" s="260"/>
    </row>
    <row r="217" spans="1:24">
      <c r="A217" s="368"/>
      <c r="B217" s="361"/>
      <c r="C217" s="362"/>
      <c r="D217" s="361"/>
      <c r="E217" s="361"/>
      <c r="F217" s="372" t="str">
        <f>IF(G217,"この従業員番号は、すでに他のセルで入力されています。",IF(入力シート!$C$5=入力リスト!$N$5,"",IF(AND(A217="",B217="",C217="",D217="",E217=""),"",IF(OR(A217="",B217="",C217="",D217=""),IF(A217="","従業員番号","")&amp;IF(AND(A217="",OR(B217="",C217="",D217="")),",","")&amp;IF(B217="","雇用形態","")&amp;IF(AND(B217="",OR(C217="",D217="")),",","")&amp;IF(OR(入力シート!$J$18=入力リスト!$K$4,入力シート!$J$22=入力リスト!$K$4),IF(C217="","入社年月日",""),"")&amp;IF(AND(C217="",D217=""),",","")&amp;IF(D217="","性別","")&amp;IF(IF(A217="","従業員番号","")&amp;IF(B217="","雇用形態","")&amp;IF(OR(入力シート!$J$18=入力リスト!$K$4,入力シート!$J$22=入力リスト!$K$4),IF(C217="","入社年月日",""),"")&amp;IF(D217="","性別","")="","","が空白です。"),IF(J217,"入社年月日に「基準日」の翌日以降の日付が入力されています。","")&amp;IF(I217,"入社年月日に数値以外（又は1900/1/1以前の日付）が入力されています。","")&amp;IF(H217,"雇用形態"&amp;IF(OR(K217,L217),",",""),"")&amp;IF(K217,"性別"&amp;IF(L217,",",""),"")&amp;IF(L217,"役職","")&amp;IF(OR(H217,K217,L217),"に、［入力シート］(4)「貴社」欄と異なる文言が入力されています。","")))))</f>
        <v/>
      </c>
      <c r="G217" s="236" t="b">
        <f>COUNTIF($A$4:A216,$A217)&gt;0</f>
        <v>0</v>
      </c>
      <c r="H217" s="237" t="b">
        <f>IF(COUNTIF(入力シート!$J$16:$S$23,入力リスト!$K$4)=0,FALSE,IF(入力シート!$J$16=入力リスト!$K$5,FALSE,ISERROR(VLOOKUP(B217,入力シート!$S$37:$V$62,1,0))))</f>
        <v>0</v>
      </c>
      <c r="I217" s="237" t="b">
        <f>IF(AND(OR(入力シート!$J$18=入力リスト!$K$4,入力シート!$J$22=入力リスト!$K$4),入力シート!$J$24&lt;&gt;""),IF(ISERROR(C217+1),TRUE,IF(ISNUMBER(C217),FALSE,TRUE)),FALSE)</f>
        <v>0</v>
      </c>
      <c r="J217" s="237" t="b">
        <f>IF(AND(入力シート!$J$18=入力リスト!$K$4,入力シート!$J$22=入力リスト!$K$4),FALSE,IF(I217=TRUE,FALSE,IF(ISERROR(C217+1),FALSE,C217&gt;入力シート!$J$24)))</f>
        <v>0</v>
      </c>
      <c r="K217" s="237" t="b">
        <f>IF(COUNTIF(入力シート!$J$16:$S$23,入力リスト!$K$4)=0,FALSE,IF(AND(入力シート!$J$16&lt;&gt;入力リスト!$K$5,入力シート!$J$18&lt;&gt;入力リスト!$K$5,入力シート!$J$20&lt;&gt;入力リスト!$K$5,入力シート!$J$22&lt;&gt;入力リスト!$K$5),FALSE,ISERROR(VLOOKUP(D217,入力シート!$AW$37:$AY$38,1,0))))</f>
        <v>0</v>
      </c>
      <c r="L217" s="237" t="b">
        <f>IF(COUNTIF(入力シート!$J$16:$S$23,入力リスト!$K$4)=0,FALSE,IF(入力シート!$J$20=入力リスト!$K$5,FALSE,IF(E217="",FALSE,ISERROR(VLOOKUP(E217,入力シート!$AH$37:$AK$62,1,0)))))</f>
        <v>0</v>
      </c>
      <c r="M217" s="238" t="str">
        <f t="shared" si="3"/>
        <v/>
      </c>
      <c r="N217" s="236" t="str">
        <f>IF(B217="","",VLOOKUP('従業員情報(給与以外)'!$B217,入力シート!$S$37:$Z$62,5,0))</f>
        <v/>
      </c>
      <c r="O217" s="182" t="str">
        <f>IF(ISNUMBER(C217)=FALSE,"",IF(C217&gt;入力シート!$J$24,"",_xlfn.DAYS(入力シート!$J$24,'従業員情報(給与以外)'!$C217)/365))</f>
        <v/>
      </c>
      <c r="P217" s="237" t="str">
        <f>IF(O217="","",VLOOKUP(_xlfn.DAYS(入力シート!$J$24,'従業員情報(給与以外)'!$C217)/365,入力リスト!$H$4:$I$12,2,2))</f>
        <v/>
      </c>
      <c r="Q217" s="236" t="str">
        <f>IF(D217="","",VLOOKUP('従業員情報(給与以外)'!$D217,入力シート!$AW$37:$BB$38,4,0))</f>
        <v/>
      </c>
      <c r="R217" s="236" t="str">
        <f>IF(A217="","",IF(E217="","非役職",VLOOKUP('従業員情報(給与以外)'!$E217,入力シート!$AH$37:$AO$62,5,0)))</f>
        <v/>
      </c>
      <c r="S217" s="116" t="str">
        <f>IF(OR(入力シート!$C$5&lt;&gt;入力リスト!$N$4,COUNTIF(入力シート!$J$16:$S$23,入力リスト!$K$4)=0),"",IF($A217="","",IF(ISERROR(AVERAGEIF(従業員の給与情報!$B:$B,$A217,従業員の給与情報!$C:$C)),0,IF(ISERROR(AVERAGEIF(従業員の給与情報!$B:$B,$A217,従業員の給与情報!$C:$C)),0,AVERAGEIF(従業員の給与情報!$B:$B,$A217,従業員の給与情報!$C:$C)))))</f>
        <v/>
      </c>
      <c r="T217" s="116" t="str">
        <f>IF(OR(入力シート!$C$5&lt;&gt;入力リスト!$N$4,COUNTIF(入力シート!$J$16:$S$23,入力リスト!$K$4)=0),"",IF(A217="","",IF(ISERROR(AVERAGEIF(従業員の給与情報!$B:$B,$A217,従業員の給与情報!$D:$D)),0,IF(ISERROR(AVERAGEIF(従業員の給与情報!$B:$B,$A217,従業員の給与情報!$D:$D)),0,AVERAGEIF(従業員の給与情報!$B:$B,$A217,従業員の給与情報!$D:$D)))))</f>
        <v/>
      </c>
      <c r="U217" s="116" t="str">
        <f>IF(OR(入力シート!$C$5&lt;&gt;入力リスト!$N$4,COUNTIF(入力シート!$J$16:$S$23,入力リスト!$K$4)=0),"",IF(A217="","",IF(ISERROR(AVERAGEIF(従業員の給与情報!$B:$B,$A217,従業員の給与情報!$E:$E)),0,IF(ISERROR(AVERAGEIF(従業員の給与情報!$B:$B,$A217,従業員の給与情報!$E:$E)),0,AVERAGEIF(従業員の給与情報!$B:$B,$A217,従業員の給与情報!$E:$E)))))</f>
        <v/>
      </c>
      <c r="V217" s="117" t="str">
        <f>IF(OR(入力シート!$C$5&lt;&gt;入力リスト!$N$4,COUNTIF(入力シート!$J$16:$S$23,入力リスト!$K$4)=0),"",IF(A217="","",IF(ISERROR(AVERAGEIF(従業員の給与情報!$B:$B,$A217,従業員の給与情報!$F:$F)),0,IF(ISERROR(AVERAGEIF(従業員の給与情報!$B:$B,$A217,従業員の給与情報!$F:$F)),0,AVERAGEIF(従業員の給与情報!$B:$B,$A217,従業員の給与情報!$F:$F)))))</f>
        <v/>
      </c>
      <c r="W217" s="182"/>
      <c r="X217" s="260"/>
    </row>
    <row r="218" spans="1:24">
      <c r="A218" s="368"/>
      <c r="B218" s="361"/>
      <c r="C218" s="362"/>
      <c r="D218" s="361"/>
      <c r="E218" s="361"/>
      <c r="F218" s="372" t="str">
        <f>IF(G218,"この従業員番号は、すでに他のセルで入力されています。",IF(入力シート!$C$5=入力リスト!$N$5,"",IF(AND(A218="",B218="",C218="",D218="",E218=""),"",IF(OR(A218="",B218="",C218="",D218=""),IF(A218="","従業員番号","")&amp;IF(AND(A218="",OR(B218="",C218="",D218="")),",","")&amp;IF(B218="","雇用形態","")&amp;IF(AND(B218="",OR(C218="",D218="")),",","")&amp;IF(OR(入力シート!$J$18=入力リスト!$K$4,入力シート!$J$22=入力リスト!$K$4),IF(C218="","入社年月日",""),"")&amp;IF(AND(C218="",D218=""),",","")&amp;IF(D218="","性別","")&amp;IF(IF(A218="","従業員番号","")&amp;IF(B218="","雇用形態","")&amp;IF(OR(入力シート!$J$18=入力リスト!$K$4,入力シート!$J$22=入力リスト!$K$4),IF(C218="","入社年月日",""),"")&amp;IF(D218="","性別","")="","","が空白です。"),IF(J218,"入社年月日に「基準日」の翌日以降の日付が入力されています。","")&amp;IF(I218,"入社年月日に数値以外（又は1900/1/1以前の日付）が入力されています。","")&amp;IF(H218,"雇用形態"&amp;IF(OR(K218,L218),",",""),"")&amp;IF(K218,"性別"&amp;IF(L218,",",""),"")&amp;IF(L218,"役職","")&amp;IF(OR(H218,K218,L218),"に、［入力シート］(4)「貴社」欄と異なる文言が入力されています。","")))))</f>
        <v/>
      </c>
      <c r="G218" s="236" t="b">
        <f>COUNTIF($A$4:A217,$A218)&gt;0</f>
        <v>0</v>
      </c>
      <c r="H218" s="237" t="b">
        <f>IF(COUNTIF(入力シート!$J$16:$S$23,入力リスト!$K$4)=0,FALSE,IF(入力シート!$J$16=入力リスト!$K$5,FALSE,ISERROR(VLOOKUP(B218,入力シート!$S$37:$V$62,1,0))))</f>
        <v>0</v>
      </c>
      <c r="I218" s="237" t="b">
        <f>IF(AND(OR(入力シート!$J$18=入力リスト!$K$4,入力シート!$J$22=入力リスト!$K$4),入力シート!$J$24&lt;&gt;""),IF(ISERROR(C218+1),TRUE,IF(ISNUMBER(C218),FALSE,TRUE)),FALSE)</f>
        <v>0</v>
      </c>
      <c r="J218" s="237" t="b">
        <f>IF(AND(入力シート!$J$18=入力リスト!$K$4,入力シート!$J$22=入力リスト!$K$4),FALSE,IF(I218=TRUE,FALSE,IF(ISERROR(C218+1),FALSE,C218&gt;入力シート!$J$24)))</f>
        <v>0</v>
      </c>
      <c r="K218" s="237" t="b">
        <f>IF(COUNTIF(入力シート!$J$16:$S$23,入力リスト!$K$4)=0,FALSE,IF(AND(入力シート!$J$16&lt;&gt;入力リスト!$K$5,入力シート!$J$18&lt;&gt;入力リスト!$K$5,入力シート!$J$20&lt;&gt;入力リスト!$K$5,入力シート!$J$22&lt;&gt;入力リスト!$K$5),FALSE,ISERROR(VLOOKUP(D218,入力シート!$AW$37:$AY$38,1,0))))</f>
        <v>0</v>
      </c>
      <c r="L218" s="237" t="b">
        <f>IF(COUNTIF(入力シート!$J$16:$S$23,入力リスト!$K$4)=0,FALSE,IF(入力シート!$J$20=入力リスト!$K$5,FALSE,IF(E218="",FALSE,ISERROR(VLOOKUP(E218,入力シート!$AH$37:$AK$62,1,0)))))</f>
        <v>0</v>
      </c>
      <c r="M218" s="238" t="str">
        <f t="shared" si="3"/>
        <v/>
      </c>
      <c r="N218" s="236" t="str">
        <f>IF(B218="","",VLOOKUP('従業員情報(給与以外)'!$B218,入力シート!$S$37:$Z$62,5,0))</f>
        <v/>
      </c>
      <c r="O218" s="182" t="str">
        <f>IF(ISNUMBER(C218)=FALSE,"",IF(C218&gt;入力シート!$J$24,"",_xlfn.DAYS(入力シート!$J$24,'従業員情報(給与以外)'!$C218)/365))</f>
        <v/>
      </c>
      <c r="P218" s="237" t="str">
        <f>IF(O218="","",VLOOKUP(_xlfn.DAYS(入力シート!$J$24,'従業員情報(給与以外)'!$C218)/365,入力リスト!$H$4:$I$12,2,2))</f>
        <v/>
      </c>
      <c r="Q218" s="236" t="str">
        <f>IF(D218="","",VLOOKUP('従業員情報(給与以外)'!$D218,入力シート!$AW$37:$BB$38,4,0))</f>
        <v/>
      </c>
      <c r="R218" s="236" t="str">
        <f>IF(A218="","",IF(E218="","非役職",VLOOKUP('従業員情報(給与以外)'!$E218,入力シート!$AH$37:$AO$62,5,0)))</f>
        <v/>
      </c>
      <c r="S218" s="116" t="str">
        <f>IF(OR(入力シート!$C$5&lt;&gt;入力リスト!$N$4,COUNTIF(入力シート!$J$16:$S$23,入力リスト!$K$4)=0),"",IF($A218="","",IF(ISERROR(AVERAGEIF(従業員の給与情報!$B:$B,$A218,従業員の給与情報!$C:$C)),0,IF(ISERROR(AVERAGEIF(従業員の給与情報!$B:$B,$A218,従業員の給与情報!$C:$C)),0,AVERAGEIF(従業員の給与情報!$B:$B,$A218,従業員の給与情報!$C:$C)))))</f>
        <v/>
      </c>
      <c r="T218" s="116" t="str">
        <f>IF(OR(入力シート!$C$5&lt;&gt;入力リスト!$N$4,COUNTIF(入力シート!$J$16:$S$23,入力リスト!$K$4)=0),"",IF(A218="","",IF(ISERROR(AVERAGEIF(従業員の給与情報!$B:$B,$A218,従業員の給与情報!$D:$D)),0,IF(ISERROR(AVERAGEIF(従業員の給与情報!$B:$B,$A218,従業員の給与情報!$D:$D)),0,AVERAGEIF(従業員の給与情報!$B:$B,$A218,従業員の給与情報!$D:$D)))))</f>
        <v/>
      </c>
      <c r="U218" s="116" t="str">
        <f>IF(OR(入力シート!$C$5&lt;&gt;入力リスト!$N$4,COUNTIF(入力シート!$J$16:$S$23,入力リスト!$K$4)=0),"",IF(A218="","",IF(ISERROR(AVERAGEIF(従業員の給与情報!$B:$B,$A218,従業員の給与情報!$E:$E)),0,IF(ISERROR(AVERAGEIF(従業員の給与情報!$B:$B,$A218,従業員の給与情報!$E:$E)),0,AVERAGEIF(従業員の給与情報!$B:$B,$A218,従業員の給与情報!$E:$E)))))</f>
        <v/>
      </c>
      <c r="V218" s="117" t="str">
        <f>IF(OR(入力シート!$C$5&lt;&gt;入力リスト!$N$4,COUNTIF(入力シート!$J$16:$S$23,入力リスト!$K$4)=0),"",IF(A218="","",IF(ISERROR(AVERAGEIF(従業員の給与情報!$B:$B,$A218,従業員の給与情報!$F:$F)),0,IF(ISERROR(AVERAGEIF(従業員の給与情報!$B:$B,$A218,従業員の給与情報!$F:$F)),0,AVERAGEIF(従業員の給与情報!$B:$B,$A218,従業員の給与情報!$F:$F)))))</f>
        <v/>
      </c>
      <c r="W218" s="182"/>
      <c r="X218" s="260"/>
    </row>
    <row r="219" spans="1:24">
      <c r="A219" s="368"/>
      <c r="B219" s="361"/>
      <c r="C219" s="362"/>
      <c r="D219" s="361"/>
      <c r="E219" s="361"/>
      <c r="F219" s="372" t="str">
        <f>IF(G219,"この従業員番号は、すでに他のセルで入力されています。",IF(入力シート!$C$5=入力リスト!$N$5,"",IF(AND(A219="",B219="",C219="",D219="",E219=""),"",IF(OR(A219="",B219="",C219="",D219=""),IF(A219="","従業員番号","")&amp;IF(AND(A219="",OR(B219="",C219="",D219="")),",","")&amp;IF(B219="","雇用形態","")&amp;IF(AND(B219="",OR(C219="",D219="")),",","")&amp;IF(OR(入力シート!$J$18=入力リスト!$K$4,入力シート!$J$22=入力リスト!$K$4),IF(C219="","入社年月日",""),"")&amp;IF(AND(C219="",D219=""),",","")&amp;IF(D219="","性別","")&amp;IF(IF(A219="","従業員番号","")&amp;IF(B219="","雇用形態","")&amp;IF(OR(入力シート!$J$18=入力リスト!$K$4,入力シート!$J$22=入力リスト!$K$4),IF(C219="","入社年月日",""),"")&amp;IF(D219="","性別","")="","","が空白です。"),IF(J219,"入社年月日に「基準日」の翌日以降の日付が入力されています。","")&amp;IF(I219,"入社年月日に数値以外（又は1900/1/1以前の日付）が入力されています。","")&amp;IF(H219,"雇用形態"&amp;IF(OR(K219,L219),",",""),"")&amp;IF(K219,"性別"&amp;IF(L219,",",""),"")&amp;IF(L219,"役職","")&amp;IF(OR(H219,K219,L219),"に、［入力シート］(4)「貴社」欄と異なる文言が入力されています。","")))))</f>
        <v/>
      </c>
      <c r="G219" s="236" t="b">
        <f>COUNTIF($A$4:A218,$A219)&gt;0</f>
        <v>0</v>
      </c>
      <c r="H219" s="237" t="b">
        <f>IF(COUNTIF(入力シート!$J$16:$S$23,入力リスト!$K$4)=0,FALSE,IF(入力シート!$J$16=入力リスト!$K$5,FALSE,ISERROR(VLOOKUP(B219,入力シート!$S$37:$V$62,1,0))))</f>
        <v>0</v>
      </c>
      <c r="I219" s="237" t="b">
        <f>IF(AND(OR(入力シート!$J$18=入力リスト!$K$4,入力シート!$J$22=入力リスト!$K$4),入力シート!$J$24&lt;&gt;""),IF(ISERROR(C219+1),TRUE,IF(ISNUMBER(C219),FALSE,TRUE)),FALSE)</f>
        <v>0</v>
      </c>
      <c r="J219" s="237" t="b">
        <f>IF(AND(入力シート!$J$18=入力リスト!$K$4,入力シート!$J$22=入力リスト!$K$4),FALSE,IF(I219=TRUE,FALSE,IF(ISERROR(C219+1),FALSE,C219&gt;入力シート!$J$24)))</f>
        <v>0</v>
      </c>
      <c r="K219" s="237" t="b">
        <f>IF(COUNTIF(入力シート!$J$16:$S$23,入力リスト!$K$4)=0,FALSE,IF(AND(入力シート!$J$16&lt;&gt;入力リスト!$K$5,入力シート!$J$18&lt;&gt;入力リスト!$K$5,入力シート!$J$20&lt;&gt;入力リスト!$K$5,入力シート!$J$22&lt;&gt;入力リスト!$K$5),FALSE,ISERROR(VLOOKUP(D219,入力シート!$AW$37:$AY$38,1,0))))</f>
        <v>0</v>
      </c>
      <c r="L219" s="237" t="b">
        <f>IF(COUNTIF(入力シート!$J$16:$S$23,入力リスト!$K$4)=0,FALSE,IF(入力シート!$J$20=入力リスト!$K$5,FALSE,IF(E219="",FALSE,ISERROR(VLOOKUP(E219,入力シート!$AH$37:$AK$62,1,0)))))</f>
        <v>0</v>
      </c>
      <c r="M219" s="238" t="str">
        <f t="shared" si="3"/>
        <v/>
      </c>
      <c r="N219" s="236" t="str">
        <f>IF(B219="","",VLOOKUP('従業員情報(給与以外)'!$B219,入力シート!$S$37:$Z$62,5,0))</f>
        <v/>
      </c>
      <c r="O219" s="182" t="str">
        <f>IF(ISNUMBER(C219)=FALSE,"",IF(C219&gt;入力シート!$J$24,"",_xlfn.DAYS(入力シート!$J$24,'従業員情報(給与以外)'!$C219)/365))</f>
        <v/>
      </c>
      <c r="P219" s="237" t="str">
        <f>IF(O219="","",VLOOKUP(_xlfn.DAYS(入力シート!$J$24,'従業員情報(給与以外)'!$C219)/365,入力リスト!$H$4:$I$12,2,2))</f>
        <v/>
      </c>
      <c r="Q219" s="236" t="str">
        <f>IF(D219="","",VLOOKUP('従業員情報(給与以外)'!$D219,入力シート!$AW$37:$BB$38,4,0))</f>
        <v/>
      </c>
      <c r="R219" s="236" t="str">
        <f>IF(A219="","",IF(E219="","非役職",VLOOKUP('従業員情報(給与以外)'!$E219,入力シート!$AH$37:$AO$62,5,0)))</f>
        <v/>
      </c>
      <c r="S219" s="116" t="str">
        <f>IF(OR(入力シート!$C$5&lt;&gt;入力リスト!$N$4,COUNTIF(入力シート!$J$16:$S$23,入力リスト!$K$4)=0),"",IF($A219="","",IF(ISERROR(AVERAGEIF(従業員の給与情報!$B:$B,$A219,従業員の給与情報!$C:$C)),0,IF(ISERROR(AVERAGEIF(従業員の給与情報!$B:$B,$A219,従業員の給与情報!$C:$C)),0,AVERAGEIF(従業員の給与情報!$B:$B,$A219,従業員の給与情報!$C:$C)))))</f>
        <v/>
      </c>
      <c r="T219" s="116" t="str">
        <f>IF(OR(入力シート!$C$5&lt;&gt;入力リスト!$N$4,COUNTIF(入力シート!$J$16:$S$23,入力リスト!$K$4)=0),"",IF(A219="","",IF(ISERROR(AVERAGEIF(従業員の給与情報!$B:$B,$A219,従業員の給与情報!$D:$D)),0,IF(ISERROR(AVERAGEIF(従業員の給与情報!$B:$B,$A219,従業員の給与情報!$D:$D)),0,AVERAGEIF(従業員の給与情報!$B:$B,$A219,従業員の給与情報!$D:$D)))))</f>
        <v/>
      </c>
      <c r="U219" s="116" t="str">
        <f>IF(OR(入力シート!$C$5&lt;&gt;入力リスト!$N$4,COUNTIF(入力シート!$J$16:$S$23,入力リスト!$K$4)=0),"",IF(A219="","",IF(ISERROR(AVERAGEIF(従業員の給与情報!$B:$B,$A219,従業員の給与情報!$E:$E)),0,IF(ISERROR(AVERAGEIF(従業員の給与情報!$B:$B,$A219,従業員の給与情報!$E:$E)),0,AVERAGEIF(従業員の給与情報!$B:$B,$A219,従業員の給与情報!$E:$E)))))</f>
        <v/>
      </c>
      <c r="V219" s="117" t="str">
        <f>IF(OR(入力シート!$C$5&lt;&gt;入力リスト!$N$4,COUNTIF(入力シート!$J$16:$S$23,入力リスト!$K$4)=0),"",IF(A219="","",IF(ISERROR(AVERAGEIF(従業員の給与情報!$B:$B,$A219,従業員の給与情報!$F:$F)),0,IF(ISERROR(AVERAGEIF(従業員の給与情報!$B:$B,$A219,従業員の給与情報!$F:$F)),0,AVERAGEIF(従業員の給与情報!$B:$B,$A219,従業員の給与情報!$F:$F)))))</f>
        <v/>
      </c>
      <c r="W219" s="182"/>
      <c r="X219" s="260"/>
    </row>
    <row r="220" spans="1:24">
      <c r="A220" s="368"/>
      <c r="B220" s="361"/>
      <c r="C220" s="362"/>
      <c r="D220" s="361"/>
      <c r="E220" s="361"/>
      <c r="F220" s="372" t="str">
        <f>IF(G220,"この従業員番号は、すでに他のセルで入力されています。",IF(入力シート!$C$5=入力リスト!$N$5,"",IF(AND(A220="",B220="",C220="",D220="",E220=""),"",IF(OR(A220="",B220="",C220="",D220=""),IF(A220="","従業員番号","")&amp;IF(AND(A220="",OR(B220="",C220="",D220="")),",","")&amp;IF(B220="","雇用形態","")&amp;IF(AND(B220="",OR(C220="",D220="")),",","")&amp;IF(OR(入力シート!$J$18=入力リスト!$K$4,入力シート!$J$22=入力リスト!$K$4),IF(C220="","入社年月日",""),"")&amp;IF(AND(C220="",D220=""),",","")&amp;IF(D220="","性別","")&amp;IF(IF(A220="","従業員番号","")&amp;IF(B220="","雇用形態","")&amp;IF(OR(入力シート!$J$18=入力リスト!$K$4,入力シート!$J$22=入力リスト!$K$4),IF(C220="","入社年月日",""),"")&amp;IF(D220="","性別","")="","","が空白です。"),IF(J220,"入社年月日に「基準日」の翌日以降の日付が入力されています。","")&amp;IF(I220,"入社年月日に数値以外（又は1900/1/1以前の日付）が入力されています。","")&amp;IF(H220,"雇用形態"&amp;IF(OR(K220,L220),",",""),"")&amp;IF(K220,"性別"&amp;IF(L220,",",""),"")&amp;IF(L220,"役職","")&amp;IF(OR(H220,K220,L220),"に、［入力シート］(4)「貴社」欄と異なる文言が入力されています。","")))))</f>
        <v/>
      </c>
      <c r="G220" s="236" t="b">
        <f>COUNTIF($A$4:A219,$A220)&gt;0</f>
        <v>0</v>
      </c>
      <c r="H220" s="237" t="b">
        <f>IF(COUNTIF(入力シート!$J$16:$S$23,入力リスト!$K$4)=0,FALSE,IF(入力シート!$J$16=入力リスト!$K$5,FALSE,ISERROR(VLOOKUP(B220,入力シート!$S$37:$V$62,1,0))))</f>
        <v>0</v>
      </c>
      <c r="I220" s="237" t="b">
        <f>IF(AND(OR(入力シート!$J$18=入力リスト!$K$4,入力シート!$J$22=入力リスト!$K$4),入力シート!$J$24&lt;&gt;""),IF(ISERROR(C220+1),TRUE,IF(ISNUMBER(C220),FALSE,TRUE)),FALSE)</f>
        <v>0</v>
      </c>
      <c r="J220" s="237" t="b">
        <f>IF(AND(入力シート!$J$18=入力リスト!$K$4,入力シート!$J$22=入力リスト!$K$4),FALSE,IF(I220=TRUE,FALSE,IF(ISERROR(C220+1),FALSE,C220&gt;入力シート!$J$24)))</f>
        <v>0</v>
      </c>
      <c r="K220" s="237" t="b">
        <f>IF(COUNTIF(入力シート!$J$16:$S$23,入力リスト!$K$4)=0,FALSE,IF(AND(入力シート!$J$16&lt;&gt;入力リスト!$K$5,入力シート!$J$18&lt;&gt;入力リスト!$K$5,入力シート!$J$20&lt;&gt;入力リスト!$K$5,入力シート!$J$22&lt;&gt;入力リスト!$K$5),FALSE,ISERROR(VLOOKUP(D220,入力シート!$AW$37:$AY$38,1,0))))</f>
        <v>0</v>
      </c>
      <c r="L220" s="237" t="b">
        <f>IF(COUNTIF(入力シート!$J$16:$S$23,入力リスト!$K$4)=0,FALSE,IF(入力シート!$J$20=入力リスト!$K$5,FALSE,IF(E220="",FALSE,ISERROR(VLOOKUP(E220,入力シート!$AH$37:$AK$62,1,0)))))</f>
        <v>0</v>
      </c>
      <c r="M220" s="238" t="str">
        <f t="shared" si="3"/>
        <v/>
      </c>
      <c r="N220" s="236" t="str">
        <f>IF(B220="","",VLOOKUP('従業員情報(給与以外)'!$B220,入力シート!$S$37:$Z$62,5,0))</f>
        <v/>
      </c>
      <c r="O220" s="182" t="str">
        <f>IF(ISNUMBER(C220)=FALSE,"",IF(C220&gt;入力シート!$J$24,"",_xlfn.DAYS(入力シート!$J$24,'従業員情報(給与以外)'!$C220)/365))</f>
        <v/>
      </c>
      <c r="P220" s="237" t="str">
        <f>IF(O220="","",VLOOKUP(_xlfn.DAYS(入力シート!$J$24,'従業員情報(給与以外)'!$C220)/365,入力リスト!$H$4:$I$12,2,2))</f>
        <v/>
      </c>
      <c r="Q220" s="236" t="str">
        <f>IF(D220="","",VLOOKUP('従業員情報(給与以外)'!$D220,入力シート!$AW$37:$BB$38,4,0))</f>
        <v/>
      </c>
      <c r="R220" s="236" t="str">
        <f>IF(A220="","",IF(E220="","非役職",VLOOKUP('従業員情報(給与以外)'!$E220,入力シート!$AH$37:$AO$62,5,0)))</f>
        <v/>
      </c>
      <c r="S220" s="116" t="str">
        <f>IF(OR(入力シート!$C$5&lt;&gt;入力リスト!$N$4,COUNTIF(入力シート!$J$16:$S$23,入力リスト!$K$4)=0),"",IF($A220="","",IF(ISERROR(AVERAGEIF(従業員の給与情報!$B:$B,$A220,従業員の給与情報!$C:$C)),0,IF(ISERROR(AVERAGEIF(従業員の給与情報!$B:$B,$A220,従業員の給与情報!$C:$C)),0,AVERAGEIF(従業員の給与情報!$B:$B,$A220,従業員の給与情報!$C:$C)))))</f>
        <v/>
      </c>
      <c r="T220" s="116" t="str">
        <f>IF(OR(入力シート!$C$5&lt;&gt;入力リスト!$N$4,COUNTIF(入力シート!$J$16:$S$23,入力リスト!$K$4)=0),"",IF(A220="","",IF(ISERROR(AVERAGEIF(従業員の給与情報!$B:$B,$A220,従業員の給与情報!$D:$D)),0,IF(ISERROR(AVERAGEIF(従業員の給与情報!$B:$B,$A220,従業員の給与情報!$D:$D)),0,AVERAGEIF(従業員の給与情報!$B:$B,$A220,従業員の給与情報!$D:$D)))))</f>
        <v/>
      </c>
      <c r="U220" s="116" t="str">
        <f>IF(OR(入力シート!$C$5&lt;&gt;入力リスト!$N$4,COUNTIF(入力シート!$J$16:$S$23,入力リスト!$K$4)=0),"",IF(A220="","",IF(ISERROR(AVERAGEIF(従業員の給与情報!$B:$B,$A220,従業員の給与情報!$E:$E)),0,IF(ISERROR(AVERAGEIF(従業員の給与情報!$B:$B,$A220,従業員の給与情報!$E:$E)),0,AVERAGEIF(従業員の給与情報!$B:$B,$A220,従業員の給与情報!$E:$E)))))</f>
        <v/>
      </c>
      <c r="V220" s="117" t="str">
        <f>IF(OR(入力シート!$C$5&lt;&gt;入力リスト!$N$4,COUNTIF(入力シート!$J$16:$S$23,入力リスト!$K$4)=0),"",IF(A220="","",IF(ISERROR(AVERAGEIF(従業員の給与情報!$B:$B,$A220,従業員の給与情報!$F:$F)),0,IF(ISERROR(AVERAGEIF(従業員の給与情報!$B:$B,$A220,従業員の給与情報!$F:$F)),0,AVERAGEIF(従業員の給与情報!$B:$B,$A220,従業員の給与情報!$F:$F)))))</f>
        <v/>
      </c>
      <c r="W220" s="182"/>
      <c r="X220" s="260"/>
    </row>
    <row r="221" spans="1:24">
      <c r="A221" s="368"/>
      <c r="B221" s="361"/>
      <c r="C221" s="362"/>
      <c r="D221" s="361"/>
      <c r="E221" s="361"/>
      <c r="F221" s="372" t="str">
        <f>IF(G221,"この従業員番号は、すでに他のセルで入力されています。",IF(入力シート!$C$5=入力リスト!$N$5,"",IF(AND(A221="",B221="",C221="",D221="",E221=""),"",IF(OR(A221="",B221="",C221="",D221=""),IF(A221="","従業員番号","")&amp;IF(AND(A221="",OR(B221="",C221="",D221="")),",","")&amp;IF(B221="","雇用形態","")&amp;IF(AND(B221="",OR(C221="",D221="")),",","")&amp;IF(OR(入力シート!$J$18=入力リスト!$K$4,入力シート!$J$22=入力リスト!$K$4),IF(C221="","入社年月日",""),"")&amp;IF(AND(C221="",D221=""),",","")&amp;IF(D221="","性別","")&amp;IF(IF(A221="","従業員番号","")&amp;IF(B221="","雇用形態","")&amp;IF(OR(入力シート!$J$18=入力リスト!$K$4,入力シート!$J$22=入力リスト!$K$4),IF(C221="","入社年月日",""),"")&amp;IF(D221="","性別","")="","","が空白です。"),IF(J221,"入社年月日に「基準日」の翌日以降の日付が入力されています。","")&amp;IF(I221,"入社年月日に数値以外（又は1900/1/1以前の日付）が入力されています。","")&amp;IF(H221,"雇用形態"&amp;IF(OR(K221,L221),",",""),"")&amp;IF(K221,"性別"&amp;IF(L221,",",""),"")&amp;IF(L221,"役職","")&amp;IF(OR(H221,K221,L221),"に、［入力シート］(4)「貴社」欄と異なる文言が入力されています。","")))))</f>
        <v/>
      </c>
      <c r="G221" s="236" t="b">
        <f>COUNTIF($A$4:A220,$A221)&gt;0</f>
        <v>0</v>
      </c>
      <c r="H221" s="237" t="b">
        <f>IF(COUNTIF(入力シート!$J$16:$S$23,入力リスト!$K$4)=0,FALSE,IF(入力シート!$J$16=入力リスト!$K$5,FALSE,ISERROR(VLOOKUP(B221,入力シート!$S$37:$V$62,1,0))))</f>
        <v>0</v>
      </c>
      <c r="I221" s="237" t="b">
        <f>IF(AND(OR(入力シート!$J$18=入力リスト!$K$4,入力シート!$J$22=入力リスト!$K$4),入力シート!$J$24&lt;&gt;""),IF(ISERROR(C221+1),TRUE,IF(ISNUMBER(C221),FALSE,TRUE)),FALSE)</f>
        <v>0</v>
      </c>
      <c r="J221" s="237" t="b">
        <f>IF(AND(入力シート!$J$18=入力リスト!$K$4,入力シート!$J$22=入力リスト!$K$4),FALSE,IF(I221=TRUE,FALSE,IF(ISERROR(C221+1),FALSE,C221&gt;入力シート!$J$24)))</f>
        <v>0</v>
      </c>
      <c r="K221" s="237" t="b">
        <f>IF(COUNTIF(入力シート!$J$16:$S$23,入力リスト!$K$4)=0,FALSE,IF(AND(入力シート!$J$16&lt;&gt;入力リスト!$K$5,入力シート!$J$18&lt;&gt;入力リスト!$K$5,入力シート!$J$20&lt;&gt;入力リスト!$K$5,入力シート!$J$22&lt;&gt;入力リスト!$K$5),FALSE,ISERROR(VLOOKUP(D221,入力シート!$AW$37:$AY$38,1,0))))</f>
        <v>0</v>
      </c>
      <c r="L221" s="237" t="b">
        <f>IF(COUNTIF(入力シート!$J$16:$S$23,入力リスト!$K$4)=0,FALSE,IF(入力シート!$J$20=入力リスト!$K$5,FALSE,IF(E221="",FALSE,ISERROR(VLOOKUP(E221,入力シート!$AH$37:$AK$62,1,0)))))</f>
        <v>0</v>
      </c>
      <c r="M221" s="238" t="str">
        <f t="shared" si="3"/>
        <v/>
      </c>
      <c r="N221" s="236" t="str">
        <f>IF(B221="","",VLOOKUP('従業員情報(給与以外)'!$B221,入力シート!$S$37:$Z$62,5,0))</f>
        <v/>
      </c>
      <c r="O221" s="182" t="str">
        <f>IF(ISNUMBER(C221)=FALSE,"",IF(C221&gt;入力シート!$J$24,"",_xlfn.DAYS(入力シート!$J$24,'従業員情報(給与以外)'!$C221)/365))</f>
        <v/>
      </c>
      <c r="P221" s="237" t="str">
        <f>IF(O221="","",VLOOKUP(_xlfn.DAYS(入力シート!$J$24,'従業員情報(給与以外)'!$C221)/365,入力リスト!$H$4:$I$12,2,2))</f>
        <v/>
      </c>
      <c r="Q221" s="236" t="str">
        <f>IF(D221="","",VLOOKUP('従業員情報(給与以外)'!$D221,入力シート!$AW$37:$BB$38,4,0))</f>
        <v/>
      </c>
      <c r="R221" s="236" t="str">
        <f>IF(A221="","",IF(E221="","非役職",VLOOKUP('従業員情報(給与以外)'!$E221,入力シート!$AH$37:$AO$62,5,0)))</f>
        <v/>
      </c>
      <c r="S221" s="116" t="str">
        <f>IF(OR(入力シート!$C$5&lt;&gt;入力リスト!$N$4,COUNTIF(入力シート!$J$16:$S$23,入力リスト!$K$4)=0),"",IF($A221="","",IF(ISERROR(AVERAGEIF(従業員の給与情報!$B:$B,$A221,従業員の給与情報!$C:$C)),0,IF(ISERROR(AVERAGEIF(従業員の給与情報!$B:$B,$A221,従業員の給与情報!$C:$C)),0,AVERAGEIF(従業員の給与情報!$B:$B,$A221,従業員の給与情報!$C:$C)))))</f>
        <v/>
      </c>
      <c r="T221" s="116" t="str">
        <f>IF(OR(入力シート!$C$5&lt;&gt;入力リスト!$N$4,COUNTIF(入力シート!$J$16:$S$23,入力リスト!$K$4)=0),"",IF(A221="","",IF(ISERROR(AVERAGEIF(従業員の給与情報!$B:$B,$A221,従業員の給与情報!$D:$D)),0,IF(ISERROR(AVERAGEIF(従業員の給与情報!$B:$B,$A221,従業員の給与情報!$D:$D)),0,AVERAGEIF(従業員の給与情報!$B:$B,$A221,従業員の給与情報!$D:$D)))))</f>
        <v/>
      </c>
      <c r="U221" s="116" t="str">
        <f>IF(OR(入力シート!$C$5&lt;&gt;入力リスト!$N$4,COUNTIF(入力シート!$J$16:$S$23,入力リスト!$K$4)=0),"",IF(A221="","",IF(ISERROR(AVERAGEIF(従業員の給与情報!$B:$B,$A221,従業員の給与情報!$E:$E)),0,IF(ISERROR(AVERAGEIF(従業員の給与情報!$B:$B,$A221,従業員の給与情報!$E:$E)),0,AVERAGEIF(従業員の給与情報!$B:$B,$A221,従業員の給与情報!$E:$E)))))</f>
        <v/>
      </c>
      <c r="V221" s="117" t="str">
        <f>IF(OR(入力シート!$C$5&lt;&gt;入力リスト!$N$4,COUNTIF(入力シート!$J$16:$S$23,入力リスト!$K$4)=0),"",IF(A221="","",IF(ISERROR(AVERAGEIF(従業員の給与情報!$B:$B,$A221,従業員の給与情報!$F:$F)),0,IF(ISERROR(AVERAGEIF(従業員の給与情報!$B:$B,$A221,従業員の給与情報!$F:$F)),0,AVERAGEIF(従業員の給与情報!$B:$B,$A221,従業員の給与情報!$F:$F)))))</f>
        <v/>
      </c>
      <c r="W221" s="182"/>
      <c r="X221" s="260"/>
    </row>
    <row r="222" spans="1:24">
      <c r="A222" s="368"/>
      <c r="B222" s="361"/>
      <c r="C222" s="362"/>
      <c r="D222" s="361"/>
      <c r="E222" s="361"/>
      <c r="F222" s="372" t="str">
        <f>IF(G222,"この従業員番号は、すでに他のセルで入力されています。",IF(入力シート!$C$5=入力リスト!$N$5,"",IF(AND(A222="",B222="",C222="",D222="",E222=""),"",IF(OR(A222="",B222="",C222="",D222=""),IF(A222="","従業員番号","")&amp;IF(AND(A222="",OR(B222="",C222="",D222="")),",","")&amp;IF(B222="","雇用形態","")&amp;IF(AND(B222="",OR(C222="",D222="")),",","")&amp;IF(OR(入力シート!$J$18=入力リスト!$K$4,入力シート!$J$22=入力リスト!$K$4),IF(C222="","入社年月日",""),"")&amp;IF(AND(C222="",D222=""),",","")&amp;IF(D222="","性別","")&amp;IF(IF(A222="","従業員番号","")&amp;IF(B222="","雇用形態","")&amp;IF(OR(入力シート!$J$18=入力リスト!$K$4,入力シート!$J$22=入力リスト!$K$4),IF(C222="","入社年月日",""),"")&amp;IF(D222="","性別","")="","","が空白です。"),IF(J222,"入社年月日に「基準日」の翌日以降の日付が入力されています。","")&amp;IF(I222,"入社年月日に数値以外（又は1900/1/1以前の日付）が入力されています。","")&amp;IF(H222,"雇用形態"&amp;IF(OR(K222,L222),",",""),"")&amp;IF(K222,"性別"&amp;IF(L222,",",""),"")&amp;IF(L222,"役職","")&amp;IF(OR(H222,K222,L222),"に、［入力シート］(4)「貴社」欄と異なる文言が入力されています。","")))))</f>
        <v/>
      </c>
      <c r="G222" s="236" t="b">
        <f>COUNTIF($A$4:A221,$A222)&gt;0</f>
        <v>0</v>
      </c>
      <c r="H222" s="237" t="b">
        <f>IF(COUNTIF(入力シート!$J$16:$S$23,入力リスト!$K$4)=0,FALSE,IF(入力シート!$J$16=入力リスト!$K$5,FALSE,ISERROR(VLOOKUP(B222,入力シート!$S$37:$V$62,1,0))))</f>
        <v>0</v>
      </c>
      <c r="I222" s="237" t="b">
        <f>IF(AND(OR(入力シート!$J$18=入力リスト!$K$4,入力シート!$J$22=入力リスト!$K$4),入力シート!$J$24&lt;&gt;""),IF(ISERROR(C222+1),TRUE,IF(ISNUMBER(C222),FALSE,TRUE)),FALSE)</f>
        <v>0</v>
      </c>
      <c r="J222" s="237" t="b">
        <f>IF(AND(入力シート!$J$18=入力リスト!$K$4,入力シート!$J$22=入力リスト!$K$4),FALSE,IF(I222=TRUE,FALSE,IF(ISERROR(C222+1),FALSE,C222&gt;入力シート!$J$24)))</f>
        <v>0</v>
      </c>
      <c r="K222" s="237" t="b">
        <f>IF(COUNTIF(入力シート!$J$16:$S$23,入力リスト!$K$4)=0,FALSE,IF(AND(入力シート!$J$16&lt;&gt;入力リスト!$K$5,入力シート!$J$18&lt;&gt;入力リスト!$K$5,入力シート!$J$20&lt;&gt;入力リスト!$K$5,入力シート!$J$22&lt;&gt;入力リスト!$K$5),FALSE,ISERROR(VLOOKUP(D222,入力シート!$AW$37:$AY$38,1,0))))</f>
        <v>0</v>
      </c>
      <c r="L222" s="237" t="b">
        <f>IF(COUNTIF(入力シート!$J$16:$S$23,入力リスト!$K$4)=0,FALSE,IF(入力シート!$J$20=入力リスト!$K$5,FALSE,IF(E222="",FALSE,ISERROR(VLOOKUP(E222,入力シート!$AH$37:$AK$62,1,0)))))</f>
        <v>0</v>
      </c>
      <c r="M222" s="238" t="str">
        <f t="shared" si="3"/>
        <v/>
      </c>
      <c r="N222" s="236" t="str">
        <f>IF(B222="","",VLOOKUP('従業員情報(給与以外)'!$B222,入力シート!$S$37:$Z$62,5,0))</f>
        <v/>
      </c>
      <c r="O222" s="182" t="str">
        <f>IF(ISNUMBER(C222)=FALSE,"",IF(C222&gt;入力シート!$J$24,"",_xlfn.DAYS(入力シート!$J$24,'従業員情報(給与以外)'!$C222)/365))</f>
        <v/>
      </c>
      <c r="P222" s="237" t="str">
        <f>IF(O222="","",VLOOKUP(_xlfn.DAYS(入力シート!$J$24,'従業員情報(給与以外)'!$C222)/365,入力リスト!$H$4:$I$12,2,2))</f>
        <v/>
      </c>
      <c r="Q222" s="236" t="str">
        <f>IF(D222="","",VLOOKUP('従業員情報(給与以外)'!$D222,入力シート!$AW$37:$BB$38,4,0))</f>
        <v/>
      </c>
      <c r="R222" s="236" t="str">
        <f>IF(A222="","",IF(E222="","非役職",VLOOKUP('従業員情報(給与以外)'!$E222,入力シート!$AH$37:$AO$62,5,0)))</f>
        <v/>
      </c>
      <c r="S222" s="116" t="str">
        <f>IF(OR(入力シート!$C$5&lt;&gt;入力リスト!$N$4,COUNTIF(入力シート!$J$16:$S$23,入力リスト!$K$4)=0),"",IF($A222="","",IF(ISERROR(AVERAGEIF(従業員の給与情報!$B:$B,$A222,従業員の給与情報!$C:$C)),0,IF(ISERROR(AVERAGEIF(従業員の給与情報!$B:$B,$A222,従業員の給与情報!$C:$C)),0,AVERAGEIF(従業員の給与情報!$B:$B,$A222,従業員の給与情報!$C:$C)))))</f>
        <v/>
      </c>
      <c r="T222" s="116" t="str">
        <f>IF(OR(入力シート!$C$5&lt;&gt;入力リスト!$N$4,COUNTIF(入力シート!$J$16:$S$23,入力リスト!$K$4)=0),"",IF(A222="","",IF(ISERROR(AVERAGEIF(従業員の給与情報!$B:$B,$A222,従業員の給与情報!$D:$D)),0,IF(ISERROR(AVERAGEIF(従業員の給与情報!$B:$B,$A222,従業員の給与情報!$D:$D)),0,AVERAGEIF(従業員の給与情報!$B:$B,$A222,従業員の給与情報!$D:$D)))))</f>
        <v/>
      </c>
      <c r="U222" s="116" t="str">
        <f>IF(OR(入力シート!$C$5&lt;&gt;入力リスト!$N$4,COUNTIF(入力シート!$J$16:$S$23,入力リスト!$K$4)=0),"",IF(A222="","",IF(ISERROR(AVERAGEIF(従業員の給与情報!$B:$B,$A222,従業員の給与情報!$E:$E)),0,IF(ISERROR(AVERAGEIF(従業員の給与情報!$B:$B,$A222,従業員の給与情報!$E:$E)),0,AVERAGEIF(従業員の給与情報!$B:$B,$A222,従業員の給与情報!$E:$E)))))</f>
        <v/>
      </c>
      <c r="V222" s="117" t="str">
        <f>IF(OR(入力シート!$C$5&lt;&gt;入力リスト!$N$4,COUNTIF(入力シート!$J$16:$S$23,入力リスト!$K$4)=0),"",IF(A222="","",IF(ISERROR(AVERAGEIF(従業員の給与情報!$B:$B,$A222,従業員の給与情報!$F:$F)),0,IF(ISERROR(AVERAGEIF(従業員の給与情報!$B:$B,$A222,従業員の給与情報!$F:$F)),0,AVERAGEIF(従業員の給与情報!$B:$B,$A222,従業員の給与情報!$F:$F)))))</f>
        <v/>
      </c>
      <c r="W222" s="182"/>
      <c r="X222" s="260"/>
    </row>
    <row r="223" spans="1:24">
      <c r="A223" s="368"/>
      <c r="B223" s="361"/>
      <c r="C223" s="362"/>
      <c r="D223" s="361"/>
      <c r="E223" s="361"/>
      <c r="F223" s="372" t="str">
        <f>IF(G223,"この従業員番号は、すでに他のセルで入力されています。",IF(入力シート!$C$5=入力リスト!$N$5,"",IF(AND(A223="",B223="",C223="",D223="",E223=""),"",IF(OR(A223="",B223="",C223="",D223=""),IF(A223="","従業員番号","")&amp;IF(AND(A223="",OR(B223="",C223="",D223="")),",","")&amp;IF(B223="","雇用形態","")&amp;IF(AND(B223="",OR(C223="",D223="")),",","")&amp;IF(OR(入力シート!$J$18=入力リスト!$K$4,入力シート!$J$22=入力リスト!$K$4),IF(C223="","入社年月日",""),"")&amp;IF(AND(C223="",D223=""),",","")&amp;IF(D223="","性別","")&amp;IF(IF(A223="","従業員番号","")&amp;IF(B223="","雇用形態","")&amp;IF(OR(入力シート!$J$18=入力リスト!$K$4,入力シート!$J$22=入力リスト!$K$4),IF(C223="","入社年月日",""),"")&amp;IF(D223="","性別","")="","","が空白です。"),IF(J223,"入社年月日に「基準日」の翌日以降の日付が入力されています。","")&amp;IF(I223,"入社年月日に数値以外（又は1900/1/1以前の日付）が入力されています。","")&amp;IF(H223,"雇用形態"&amp;IF(OR(K223,L223),",",""),"")&amp;IF(K223,"性別"&amp;IF(L223,",",""),"")&amp;IF(L223,"役職","")&amp;IF(OR(H223,K223,L223),"に、［入力シート］(4)「貴社」欄と異なる文言が入力されています。","")))))</f>
        <v/>
      </c>
      <c r="G223" s="236" t="b">
        <f>COUNTIF($A$4:A222,$A223)&gt;0</f>
        <v>0</v>
      </c>
      <c r="H223" s="237" t="b">
        <f>IF(COUNTIF(入力シート!$J$16:$S$23,入力リスト!$K$4)=0,FALSE,IF(入力シート!$J$16=入力リスト!$K$5,FALSE,ISERROR(VLOOKUP(B223,入力シート!$S$37:$V$62,1,0))))</f>
        <v>0</v>
      </c>
      <c r="I223" s="237" t="b">
        <f>IF(AND(OR(入力シート!$J$18=入力リスト!$K$4,入力シート!$J$22=入力リスト!$K$4),入力シート!$J$24&lt;&gt;""),IF(ISERROR(C223+1),TRUE,IF(ISNUMBER(C223),FALSE,TRUE)),FALSE)</f>
        <v>0</v>
      </c>
      <c r="J223" s="237" t="b">
        <f>IF(AND(入力シート!$J$18=入力リスト!$K$4,入力シート!$J$22=入力リスト!$K$4),FALSE,IF(I223=TRUE,FALSE,IF(ISERROR(C223+1),FALSE,C223&gt;入力シート!$J$24)))</f>
        <v>0</v>
      </c>
      <c r="K223" s="237" t="b">
        <f>IF(COUNTIF(入力シート!$J$16:$S$23,入力リスト!$K$4)=0,FALSE,IF(AND(入力シート!$J$16&lt;&gt;入力リスト!$K$5,入力シート!$J$18&lt;&gt;入力リスト!$K$5,入力シート!$J$20&lt;&gt;入力リスト!$K$5,入力シート!$J$22&lt;&gt;入力リスト!$K$5),FALSE,ISERROR(VLOOKUP(D223,入力シート!$AW$37:$AY$38,1,0))))</f>
        <v>0</v>
      </c>
      <c r="L223" s="237" t="b">
        <f>IF(COUNTIF(入力シート!$J$16:$S$23,入力リスト!$K$4)=0,FALSE,IF(入力シート!$J$20=入力リスト!$K$5,FALSE,IF(E223="",FALSE,ISERROR(VLOOKUP(E223,入力シート!$AH$37:$AK$62,1,0)))))</f>
        <v>0</v>
      </c>
      <c r="M223" s="238" t="str">
        <f t="shared" si="3"/>
        <v/>
      </c>
      <c r="N223" s="236" t="str">
        <f>IF(B223="","",VLOOKUP('従業員情報(給与以外)'!$B223,入力シート!$S$37:$Z$62,5,0))</f>
        <v/>
      </c>
      <c r="O223" s="182" t="str">
        <f>IF(ISNUMBER(C223)=FALSE,"",IF(C223&gt;入力シート!$J$24,"",_xlfn.DAYS(入力シート!$J$24,'従業員情報(給与以外)'!$C223)/365))</f>
        <v/>
      </c>
      <c r="P223" s="237" t="str">
        <f>IF(O223="","",VLOOKUP(_xlfn.DAYS(入力シート!$J$24,'従業員情報(給与以外)'!$C223)/365,入力リスト!$H$4:$I$12,2,2))</f>
        <v/>
      </c>
      <c r="Q223" s="236" t="str">
        <f>IF(D223="","",VLOOKUP('従業員情報(給与以外)'!$D223,入力シート!$AW$37:$BB$38,4,0))</f>
        <v/>
      </c>
      <c r="R223" s="236" t="str">
        <f>IF(A223="","",IF(E223="","非役職",VLOOKUP('従業員情報(給与以外)'!$E223,入力シート!$AH$37:$AO$62,5,0)))</f>
        <v/>
      </c>
      <c r="S223" s="116" t="str">
        <f>IF(OR(入力シート!$C$5&lt;&gt;入力リスト!$N$4,COUNTIF(入力シート!$J$16:$S$23,入力リスト!$K$4)=0),"",IF($A223="","",IF(ISERROR(AVERAGEIF(従業員の給与情報!$B:$B,$A223,従業員の給与情報!$C:$C)),0,IF(ISERROR(AVERAGEIF(従業員の給与情報!$B:$B,$A223,従業員の給与情報!$C:$C)),0,AVERAGEIF(従業員の給与情報!$B:$B,$A223,従業員の給与情報!$C:$C)))))</f>
        <v/>
      </c>
      <c r="T223" s="116" t="str">
        <f>IF(OR(入力シート!$C$5&lt;&gt;入力リスト!$N$4,COUNTIF(入力シート!$J$16:$S$23,入力リスト!$K$4)=0),"",IF(A223="","",IF(ISERROR(AVERAGEIF(従業員の給与情報!$B:$B,$A223,従業員の給与情報!$D:$D)),0,IF(ISERROR(AVERAGEIF(従業員の給与情報!$B:$B,$A223,従業員の給与情報!$D:$D)),0,AVERAGEIF(従業員の給与情報!$B:$B,$A223,従業員の給与情報!$D:$D)))))</f>
        <v/>
      </c>
      <c r="U223" s="116" t="str">
        <f>IF(OR(入力シート!$C$5&lt;&gt;入力リスト!$N$4,COUNTIF(入力シート!$J$16:$S$23,入力リスト!$K$4)=0),"",IF(A223="","",IF(ISERROR(AVERAGEIF(従業員の給与情報!$B:$B,$A223,従業員の給与情報!$E:$E)),0,IF(ISERROR(AVERAGEIF(従業員の給与情報!$B:$B,$A223,従業員の給与情報!$E:$E)),0,AVERAGEIF(従業員の給与情報!$B:$B,$A223,従業員の給与情報!$E:$E)))))</f>
        <v/>
      </c>
      <c r="V223" s="117" t="str">
        <f>IF(OR(入力シート!$C$5&lt;&gt;入力リスト!$N$4,COUNTIF(入力シート!$J$16:$S$23,入力リスト!$K$4)=0),"",IF(A223="","",IF(ISERROR(AVERAGEIF(従業員の給与情報!$B:$B,$A223,従業員の給与情報!$F:$F)),0,IF(ISERROR(AVERAGEIF(従業員の給与情報!$B:$B,$A223,従業員の給与情報!$F:$F)),0,AVERAGEIF(従業員の給与情報!$B:$B,$A223,従業員の給与情報!$F:$F)))))</f>
        <v/>
      </c>
      <c r="W223" s="182"/>
      <c r="X223" s="260"/>
    </row>
    <row r="224" spans="1:24">
      <c r="A224" s="368"/>
      <c r="B224" s="361"/>
      <c r="C224" s="362"/>
      <c r="D224" s="361"/>
      <c r="E224" s="361"/>
      <c r="F224" s="372" t="str">
        <f>IF(G224,"この従業員番号は、すでに他のセルで入力されています。",IF(入力シート!$C$5=入力リスト!$N$5,"",IF(AND(A224="",B224="",C224="",D224="",E224=""),"",IF(OR(A224="",B224="",C224="",D224=""),IF(A224="","従業員番号","")&amp;IF(AND(A224="",OR(B224="",C224="",D224="")),",","")&amp;IF(B224="","雇用形態","")&amp;IF(AND(B224="",OR(C224="",D224="")),",","")&amp;IF(OR(入力シート!$J$18=入力リスト!$K$4,入力シート!$J$22=入力リスト!$K$4),IF(C224="","入社年月日",""),"")&amp;IF(AND(C224="",D224=""),",","")&amp;IF(D224="","性別","")&amp;IF(IF(A224="","従業員番号","")&amp;IF(B224="","雇用形態","")&amp;IF(OR(入力シート!$J$18=入力リスト!$K$4,入力シート!$J$22=入力リスト!$K$4),IF(C224="","入社年月日",""),"")&amp;IF(D224="","性別","")="","","が空白です。"),IF(J224,"入社年月日に「基準日」の翌日以降の日付が入力されています。","")&amp;IF(I224,"入社年月日に数値以外（又は1900/1/1以前の日付）が入力されています。","")&amp;IF(H224,"雇用形態"&amp;IF(OR(K224,L224),",",""),"")&amp;IF(K224,"性別"&amp;IF(L224,",",""),"")&amp;IF(L224,"役職","")&amp;IF(OR(H224,K224,L224),"に、［入力シート］(4)「貴社」欄と異なる文言が入力されています。","")))))</f>
        <v/>
      </c>
      <c r="G224" s="236" t="b">
        <f>COUNTIF($A$4:A223,$A224)&gt;0</f>
        <v>0</v>
      </c>
      <c r="H224" s="237" t="b">
        <f>IF(COUNTIF(入力シート!$J$16:$S$23,入力リスト!$K$4)=0,FALSE,IF(入力シート!$J$16=入力リスト!$K$5,FALSE,ISERROR(VLOOKUP(B224,入力シート!$S$37:$V$62,1,0))))</f>
        <v>0</v>
      </c>
      <c r="I224" s="237" t="b">
        <f>IF(AND(OR(入力シート!$J$18=入力リスト!$K$4,入力シート!$J$22=入力リスト!$K$4),入力シート!$J$24&lt;&gt;""),IF(ISERROR(C224+1),TRUE,IF(ISNUMBER(C224),FALSE,TRUE)),FALSE)</f>
        <v>0</v>
      </c>
      <c r="J224" s="237" t="b">
        <f>IF(AND(入力シート!$J$18=入力リスト!$K$4,入力シート!$J$22=入力リスト!$K$4),FALSE,IF(I224=TRUE,FALSE,IF(ISERROR(C224+1),FALSE,C224&gt;入力シート!$J$24)))</f>
        <v>0</v>
      </c>
      <c r="K224" s="237" t="b">
        <f>IF(COUNTIF(入力シート!$J$16:$S$23,入力リスト!$K$4)=0,FALSE,IF(AND(入力シート!$J$16&lt;&gt;入力リスト!$K$5,入力シート!$J$18&lt;&gt;入力リスト!$K$5,入力シート!$J$20&lt;&gt;入力リスト!$K$5,入力シート!$J$22&lt;&gt;入力リスト!$K$5),FALSE,ISERROR(VLOOKUP(D224,入力シート!$AW$37:$AY$38,1,0))))</f>
        <v>0</v>
      </c>
      <c r="L224" s="237" t="b">
        <f>IF(COUNTIF(入力シート!$J$16:$S$23,入力リスト!$K$4)=0,FALSE,IF(入力シート!$J$20=入力リスト!$K$5,FALSE,IF(E224="",FALSE,ISERROR(VLOOKUP(E224,入力シート!$AH$37:$AK$62,1,0)))))</f>
        <v>0</v>
      </c>
      <c r="M224" s="238" t="str">
        <f t="shared" si="3"/>
        <v/>
      </c>
      <c r="N224" s="236" t="str">
        <f>IF(B224="","",VLOOKUP('従業員情報(給与以外)'!$B224,入力シート!$S$37:$Z$62,5,0))</f>
        <v/>
      </c>
      <c r="O224" s="182" t="str">
        <f>IF(ISNUMBER(C224)=FALSE,"",IF(C224&gt;入力シート!$J$24,"",_xlfn.DAYS(入力シート!$J$24,'従業員情報(給与以外)'!$C224)/365))</f>
        <v/>
      </c>
      <c r="P224" s="237" t="str">
        <f>IF(O224="","",VLOOKUP(_xlfn.DAYS(入力シート!$J$24,'従業員情報(給与以外)'!$C224)/365,入力リスト!$H$4:$I$12,2,2))</f>
        <v/>
      </c>
      <c r="Q224" s="236" t="str">
        <f>IF(D224="","",VLOOKUP('従業員情報(給与以外)'!$D224,入力シート!$AW$37:$BB$38,4,0))</f>
        <v/>
      </c>
      <c r="R224" s="236" t="str">
        <f>IF(A224="","",IF(E224="","非役職",VLOOKUP('従業員情報(給与以外)'!$E224,入力シート!$AH$37:$AO$62,5,0)))</f>
        <v/>
      </c>
      <c r="S224" s="116" t="str">
        <f>IF(OR(入力シート!$C$5&lt;&gt;入力リスト!$N$4,COUNTIF(入力シート!$J$16:$S$23,入力リスト!$K$4)=0),"",IF($A224="","",IF(ISERROR(AVERAGEIF(従業員の給与情報!$B:$B,$A224,従業員の給与情報!$C:$C)),0,IF(ISERROR(AVERAGEIF(従業員の給与情報!$B:$B,$A224,従業員の給与情報!$C:$C)),0,AVERAGEIF(従業員の給与情報!$B:$B,$A224,従業員の給与情報!$C:$C)))))</f>
        <v/>
      </c>
      <c r="T224" s="116" t="str">
        <f>IF(OR(入力シート!$C$5&lt;&gt;入力リスト!$N$4,COUNTIF(入力シート!$J$16:$S$23,入力リスト!$K$4)=0),"",IF(A224="","",IF(ISERROR(AVERAGEIF(従業員の給与情報!$B:$B,$A224,従業員の給与情報!$D:$D)),0,IF(ISERROR(AVERAGEIF(従業員の給与情報!$B:$B,$A224,従業員の給与情報!$D:$D)),0,AVERAGEIF(従業員の給与情報!$B:$B,$A224,従業員の給与情報!$D:$D)))))</f>
        <v/>
      </c>
      <c r="U224" s="116" t="str">
        <f>IF(OR(入力シート!$C$5&lt;&gt;入力リスト!$N$4,COUNTIF(入力シート!$J$16:$S$23,入力リスト!$K$4)=0),"",IF(A224="","",IF(ISERROR(AVERAGEIF(従業員の給与情報!$B:$B,$A224,従業員の給与情報!$E:$E)),0,IF(ISERROR(AVERAGEIF(従業員の給与情報!$B:$B,$A224,従業員の給与情報!$E:$E)),0,AVERAGEIF(従業員の給与情報!$B:$B,$A224,従業員の給与情報!$E:$E)))))</f>
        <v/>
      </c>
      <c r="V224" s="117" t="str">
        <f>IF(OR(入力シート!$C$5&lt;&gt;入力リスト!$N$4,COUNTIF(入力シート!$J$16:$S$23,入力リスト!$K$4)=0),"",IF(A224="","",IF(ISERROR(AVERAGEIF(従業員の給与情報!$B:$B,$A224,従業員の給与情報!$F:$F)),0,IF(ISERROR(AVERAGEIF(従業員の給与情報!$B:$B,$A224,従業員の給与情報!$F:$F)),0,AVERAGEIF(従業員の給与情報!$B:$B,$A224,従業員の給与情報!$F:$F)))))</f>
        <v/>
      </c>
      <c r="W224" s="182"/>
      <c r="X224" s="260"/>
    </row>
    <row r="225" spans="1:24">
      <c r="A225" s="368"/>
      <c r="B225" s="361"/>
      <c r="C225" s="362"/>
      <c r="D225" s="361"/>
      <c r="E225" s="361"/>
      <c r="F225" s="372" t="str">
        <f>IF(G225,"この従業員番号は、すでに他のセルで入力されています。",IF(入力シート!$C$5=入力リスト!$N$5,"",IF(AND(A225="",B225="",C225="",D225="",E225=""),"",IF(OR(A225="",B225="",C225="",D225=""),IF(A225="","従業員番号","")&amp;IF(AND(A225="",OR(B225="",C225="",D225="")),",","")&amp;IF(B225="","雇用形態","")&amp;IF(AND(B225="",OR(C225="",D225="")),",","")&amp;IF(OR(入力シート!$J$18=入力リスト!$K$4,入力シート!$J$22=入力リスト!$K$4),IF(C225="","入社年月日",""),"")&amp;IF(AND(C225="",D225=""),",","")&amp;IF(D225="","性別","")&amp;IF(IF(A225="","従業員番号","")&amp;IF(B225="","雇用形態","")&amp;IF(OR(入力シート!$J$18=入力リスト!$K$4,入力シート!$J$22=入力リスト!$K$4),IF(C225="","入社年月日",""),"")&amp;IF(D225="","性別","")="","","が空白です。"),IF(J225,"入社年月日に「基準日」の翌日以降の日付が入力されています。","")&amp;IF(I225,"入社年月日に数値以外（又は1900/1/1以前の日付）が入力されています。","")&amp;IF(H225,"雇用形態"&amp;IF(OR(K225,L225),",",""),"")&amp;IF(K225,"性別"&amp;IF(L225,",",""),"")&amp;IF(L225,"役職","")&amp;IF(OR(H225,K225,L225),"に、［入力シート］(4)「貴社」欄と異なる文言が入力されています。","")))))</f>
        <v/>
      </c>
      <c r="G225" s="236" t="b">
        <f>COUNTIF($A$4:A224,$A225)&gt;0</f>
        <v>0</v>
      </c>
      <c r="H225" s="237" t="b">
        <f>IF(COUNTIF(入力シート!$J$16:$S$23,入力リスト!$K$4)=0,FALSE,IF(入力シート!$J$16=入力リスト!$K$5,FALSE,ISERROR(VLOOKUP(B225,入力シート!$S$37:$V$62,1,0))))</f>
        <v>0</v>
      </c>
      <c r="I225" s="237" t="b">
        <f>IF(AND(OR(入力シート!$J$18=入力リスト!$K$4,入力シート!$J$22=入力リスト!$K$4),入力シート!$J$24&lt;&gt;""),IF(ISERROR(C225+1),TRUE,IF(ISNUMBER(C225),FALSE,TRUE)),FALSE)</f>
        <v>0</v>
      </c>
      <c r="J225" s="237" t="b">
        <f>IF(AND(入力シート!$J$18=入力リスト!$K$4,入力シート!$J$22=入力リスト!$K$4),FALSE,IF(I225=TRUE,FALSE,IF(ISERROR(C225+1),FALSE,C225&gt;入力シート!$J$24)))</f>
        <v>0</v>
      </c>
      <c r="K225" s="237" t="b">
        <f>IF(COUNTIF(入力シート!$J$16:$S$23,入力リスト!$K$4)=0,FALSE,IF(AND(入力シート!$J$16&lt;&gt;入力リスト!$K$5,入力シート!$J$18&lt;&gt;入力リスト!$K$5,入力シート!$J$20&lt;&gt;入力リスト!$K$5,入力シート!$J$22&lt;&gt;入力リスト!$K$5),FALSE,ISERROR(VLOOKUP(D225,入力シート!$AW$37:$AY$38,1,0))))</f>
        <v>0</v>
      </c>
      <c r="L225" s="237" t="b">
        <f>IF(COUNTIF(入力シート!$J$16:$S$23,入力リスト!$K$4)=0,FALSE,IF(入力シート!$J$20=入力リスト!$K$5,FALSE,IF(E225="",FALSE,ISERROR(VLOOKUP(E225,入力シート!$AH$37:$AK$62,1,0)))))</f>
        <v>0</v>
      </c>
      <c r="M225" s="238" t="str">
        <f t="shared" si="3"/>
        <v/>
      </c>
      <c r="N225" s="236" t="str">
        <f>IF(B225="","",VLOOKUP('従業員情報(給与以外)'!$B225,入力シート!$S$37:$Z$62,5,0))</f>
        <v/>
      </c>
      <c r="O225" s="182" t="str">
        <f>IF(ISNUMBER(C225)=FALSE,"",IF(C225&gt;入力シート!$J$24,"",_xlfn.DAYS(入力シート!$J$24,'従業員情報(給与以外)'!$C225)/365))</f>
        <v/>
      </c>
      <c r="P225" s="237" t="str">
        <f>IF(O225="","",VLOOKUP(_xlfn.DAYS(入力シート!$J$24,'従業員情報(給与以外)'!$C225)/365,入力リスト!$H$4:$I$12,2,2))</f>
        <v/>
      </c>
      <c r="Q225" s="236" t="str">
        <f>IF(D225="","",VLOOKUP('従業員情報(給与以外)'!$D225,入力シート!$AW$37:$BB$38,4,0))</f>
        <v/>
      </c>
      <c r="R225" s="236" t="str">
        <f>IF(A225="","",IF(E225="","非役職",VLOOKUP('従業員情報(給与以外)'!$E225,入力シート!$AH$37:$AO$62,5,0)))</f>
        <v/>
      </c>
      <c r="S225" s="116" t="str">
        <f>IF(OR(入力シート!$C$5&lt;&gt;入力リスト!$N$4,COUNTIF(入力シート!$J$16:$S$23,入力リスト!$K$4)=0),"",IF($A225="","",IF(ISERROR(AVERAGEIF(従業員の給与情報!$B:$B,$A225,従業員の給与情報!$C:$C)),0,IF(ISERROR(AVERAGEIF(従業員の給与情報!$B:$B,$A225,従業員の給与情報!$C:$C)),0,AVERAGEIF(従業員の給与情報!$B:$B,$A225,従業員の給与情報!$C:$C)))))</f>
        <v/>
      </c>
      <c r="T225" s="116" t="str">
        <f>IF(OR(入力シート!$C$5&lt;&gt;入力リスト!$N$4,COUNTIF(入力シート!$J$16:$S$23,入力リスト!$K$4)=0),"",IF(A225="","",IF(ISERROR(AVERAGEIF(従業員の給与情報!$B:$B,$A225,従業員の給与情報!$D:$D)),0,IF(ISERROR(AVERAGEIF(従業員の給与情報!$B:$B,$A225,従業員の給与情報!$D:$D)),0,AVERAGEIF(従業員の給与情報!$B:$B,$A225,従業員の給与情報!$D:$D)))))</f>
        <v/>
      </c>
      <c r="U225" s="116" t="str">
        <f>IF(OR(入力シート!$C$5&lt;&gt;入力リスト!$N$4,COUNTIF(入力シート!$J$16:$S$23,入力リスト!$K$4)=0),"",IF(A225="","",IF(ISERROR(AVERAGEIF(従業員の給与情報!$B:$B,$A225,従業員の給与情報!$E:$E)),0,IF(ISERROR(AVERAGEIF(従業員の給与情報!$B:$B,$A225,従業員の給与情報!$E:$E)),0,AVERAGEIF(従業員の給与情報!$B:$B,$A225,従業員の給与情報!$E:$E)))))</f>
        <v/>
      </c>
      <c r="V225" s="117" t="str">
        <f>IF(OR(入力シート!$C$5&lt;&gt;入力リスト!$N$4,COUNTIF(入力シート!$J$16:$S$23,入力リスト!$K$4)=0),"",IF(A225="","",IF(ISERROR(AVERAGEIF(従業員の給与情報!$B:$B,$A225,従業員の給与情報!$F:$F)),0,IF(ISERROR(AVERAGEIF(従業員の給与情報!$B:$B,$A225,従業員の給与情報!$F:$F)),0,AVERAGEIF(従業員の給与情報!$B:$B,$A225,従業員の給与情報!$F:$F)))))</f>
        <v/>
      </c>
      <c r="W225" s="182"/>
      <c r="X225" s="260"/>
    </row>
    <row r="226" spans="1:24">
      <c r="A226" s="368"/>
      <c r="B226" s="361"/>
      <c r="C226" s="362"/>
      <c r="D226" s="361"/>
      <c r="E226" s="361"/>
      <c r="F226" s="372" t="str">
        <f>IF(G226,"この従業員番号は、すでに他のセルで入力されています。",IF(入力シート!$C$5=入力リスト!$N$5,"",IF(AND(A226="",B226="",C226="",D226="",E226=""),"",IF(OR(A226="",B226="",C226="",D226=""),IF(A226="","従業員番号","")&amp;IF(AND(A226="",OR(B226="",C226="",D226="")),",","")&amp;IF(B226="","雇用形態","")&amp;IF(AND(B226="",OR(C226="",D226="")),",","")&amp;IF(OR(入力シート!$J$18=入力リスト!$K$4,入力シート!$J$22=入力リスト!$K$4),IF(C226="","入社年月日",""),"")&amp;IF(AND(C226="",D226=""),",","")&amp;IF(D226="","性別","")&amp;IF(IF(A226="","従業員番号","")&amp;IF(B226="","雇用形態","")&amp;IF(OR(入力シート!$J$18=入力リスト!$K$4,入力シート!$J$22=入力リスト!$K$4),IF(C226="","入社年月日",""),"")&amp;IF(D226="","性別","")="","","が空白です。"),IF(J226,"入社年月日に「基準日」の翌日以降の日付が入力されています。","")&amp;IF(I226,"入社年月日に数値以外（又は1900/1/1以前の日付）が入力されています。","")&amp;IF(H226,"雇用形態"&amp;IF(OR(K226,L226),",",""),"")&amp;IF(K226,"性別"&amp;IF(L226,",",""),"")&amp;IF(L226,"役職","")&amp;IF(OR(H226,K226,L226),"に、［入力シート］(4)「貴社」欄と異なる文言が入力されています。","")))))</f>
        <v/>
      </c>
      <c r="G226" s="236" t="b">
        <f>COUNTIF($A$4:A225,$A226)&gt;0</f>
        <v>0</v>
      </c>
      <c r="H226" s="237" t="b">
        <f>IF(COUNTIF(入力シート!$J$16:$S$23,入力リスト!$K$4)=0,FALSE,IF(入力シート!$J$16=入力リスト!$K$5,FALSE,ISERROR(VLOOKUP(B226,入力シート!$S$37:$V$62,1,0))))</f>
        <v>0</v>
      </c>
      <c r="I226" s="237" t="b">
        <f>IF(AND(OR(入力シート!$J$18=入力リスト!$K$4,入力シート!$J$22=入力リスト!$K$4),入力シート!$J$24&lt;&gt;""),IF(ISERROR(C226+1),TRUE,IF(ISNUMBER(C226),FALSE,TRUE)),FALSE)</f>
        <v>0</v>
      </c>
      <c r="J226" s="237" t="b">
        <f>IF(AND(入力シート!$J$18=入力リスト!$K$4,入力シート!$J$22=入力リスト!$K$4),FALSE,IF(I226=TRUE,FALSE,IF(ISERROR(C226+1),FALSE,C226&gt;入力シート!$J$24)))</f>
        <v>0</v>
      </c>
      <c r="K226" s="237" t="b">
        <f>IF(COUNTIF(入力シート!$J$16:$S$23,入力リスト!$K$4)=0,FALSE,IF(AND(入力シート!$J$16&lt;&gt;入力リスト!$K$5,入力シート!$J$18&lt;&gt;入力リスト!$K$5,入力シート!$J$20&lt;&gt;入力リスト!$K$5,入力シート!$J$22&lt;&gt;入力リスト!$K$5),FALSE,ISERROR(VLOOKUP(D226,入力シート!$AW$37:$AY$38,1,0))))</f>
        <v>0</v>
      </c>
      <c r="L226" s="237" t="b">
        <f>IF(COUNTIF(入力シート!$J$16:$S$23,入力リスト!$K$4)=0,FALSE,IF(入力シート!$J$20=入力リスト!$K$5,FALSE,IF(E226="",FALSE,ISERROR(VLOOKUP(E226,入力シート!$AH$37:$AK$62,1,0)))))</f>
        <v>0</v>
      </c>
      <c r="M226" s="238" t="str">
        <f t="shared" si="3"/>
        <v/>
      </c>
      <c r="N226" s="236" t="str">
        <f>IF(B226="","",VLOOKUP('従業員情報(給与以外)'!$B226,入力シート!$S$37:$Z$62,5,0))</f>
        <v/>
      </c>
      <c r="O226" s="182" t="str">
        <f>IF(ISNUMBER(C226)=FALSE,"",IF(C226&gt;入力シート!$J$24,"",_xlfn.DAYS(入力シート!$J$24,'従業員情報(給与以外)'!$C226)/365))</f>
        <v/>
      </c>
      <c r="P226" s="237" t="str">
        <f>IF(O226="","",VLOOKUP(_xlfn.DAYS(入力シート!$J$24,'従業員情報(給与以外)'!$C226)/365,入力リスト!$H$4:$I$12,2,2))</f>
        <v/>
      </c>
      <c r="Q226" s="236" t="str">
        <f>IF(D226="","",VLOOKUP('従業員情報(給与以外)'!$D226,入力シート!$AW$37:$BB$38,4,0))</f>
        <v/>
      </c>
      <c r="R226" s="236" t="str">
        <f>IF(A226="","",IF(E226="","非役職",VLOOKUP('従業員情報(給与以外)'!$E226,入力シート!$AH$37:$AO$62,5,0)))</f>
        <v/>
      </c>
      <c r="S226" s="116" t="str">
        <f>IF(OR(入力シート!$C$5&lt;&gt;入力リスト!$N$4,COUNTIF(入力シート!$J$16:$S$23,入力リスト!$K$4)=0),"",IF($A226="","",IF(ISERROR(AVERAGEIF(従業員の給与情報!$B:$B,$A226,従業員の給与情報!$C:$C)),0,IF(ISERROR(AVERAGEIF(従業員の給与情報!$B:$B,$A226,従業員の給与情報!$C:$C)),0,AVERAGEIF(従業員の給与情報!$B:$B,$A226,従業員の給与情報!$C:$C)))))</f>
        <v/>
      </c>
      <c r="T226" s="116" t="str">
        <f>IF(OR(入力シート!$C$5&lt;&gt;入力リスト!$N$4,COUNTIF(入力シート!$J$16:$S$23,入力リスト!$K$4)=0),"",IF(A226="","",IF(ISERROR(AVERAGEIF(従業員の給与情報!$B:$B,$A226,従業員の給与情報!$D:$D)),0,IF(ISERROR(AVERAGEIF(従業員の給与情報!$B:$B,$A226,従業員の給与情報!$D:$D)),0,AVERAGEIF(従業員の給与情報!$B:$B,$A226,従業員の給与情報!$D:$D)))))</f>
        <v/>
      </c>
      <c r="U226" s="116" t="str">
        <f>IF(OR(入力シート!$C$5&lt;&gt;入力リスト!$N$4,COUNTIF(入力シート!$J$16:$S$23,入力リスト!$K$4)=0),"",IF(A226="","",IF(ISERROR(AVERAGEIF(従業員の給与情報!$B:$B,$A226,従業員の給与情報!$E:$E)),0,IF(ISERROR(AVERAGEIF(従業員の給与情報!$B:$B,$A226,従業員の給与情報!$E:$E)),0,AVERAGEIF(従業員の給与情報!$B:$B,$A226,従業員の給与情報!$E:$E)))))</f>
        <v/>
      </c>
      <c r="V226" s="117" t="str">
        <f>IF(OR(入力シート!$C$5&lt;&gt;入力リスト!$N$4,COUNTIF(入力シート!$J$16:$S$23,入力リスト!$K$4)=0),"",IF(A226="","",IF(ISERROR(AVERAGEIF(従業員の給与情報!$B:$B,$A226,従業員の給与情報!$F:$F)),0,IF(ISERROR(AVERAGEIF(従業員の給与情報!$B:$B,$A226,従業員の給与情報!$F:$F)),0,AVERAGEIF(従業員の給与情報!$B:$B,$A226,従業員の給与情報!$F:$F)))))</f>
        <v/>
      </c>
      <c r="W226" s="182"/>
      <c r="X226" s="260"/>
    </row>
    <row r="227" spans="1:24">
      <c r="A227" s="368"/>
      <c r="B227" s="361"/>
      <c r="C227" s="362"/>
      <c r="D227" s="361"/>
      <c r="E227" s="361"/>
      <c r="F227" s="372" t="str">
        <f>IF(G227,"この従業員番号は、すでに他のセルで入力されています。",IF(入力シート!$C$5=入力リスト!$N$5,"",IF(AND(A227="",B227="",C227="",D227="",E227=""),"",IF(OR(A227="",B227="",C227="",D227=""),IF(A227="","従業員番号","")&amp;IF(AND(A227="",OR(B227="",C227="",D227="")),",","")&amp;IF(B227="","雇用形態","")&amp;IF(AND(B227="",OR(C227="",D227="")),",","")&amp;IF(OR(入力シート!$J$18=入力リスト!$K$4,入力シート!$J$22=入力リスト!$K$4),IF(C227="","入社年月日",""),"")&amp;IF(AND(C227="",D227=""),",","")&amp;IF(D227="","性別","")&amp;IF(IF(A227="","従業員番号","")&amp;IF(B227="","雇用形態","")&amp;IF(OR(入力シート!$J$18=入力リスト!$K$4,入力シート!$J$22=入力リスト!$K$4),IF(C227="","入社年月日",""),"")&amp;IF(D227="","性別","")="","","が空白です。"),IF(J227,"入社年月日に「基準日」の翌日以降の日付が入力されています。","")&amp;IF(I227,"入社年月日に数値以外（又は1900/1/1以前の日付）が入力されています。","")&amp;IF(H227,"雇用形態"&amp;IF(OR(K227,L227),",",""),"")&amp;IF(K227,"性別"&amp;IF(L227,",",""),"")&amp;IF(L227,"役職","")&amp;IF(OR(H227,K227,L227),"に、［入力シート］(4)「貴社」欄と異なる文言が入力されています。","")))))</f>
        <v/>
      </c>
      <c r="G227" s="236" t="b">
        <f>COUNTIF($A$4:A226,$A227)&gt;0</f>
        <v>0</v>
      </c>
      <c r="H227" s="237" t="b">
        <f>IF(COUNTIF(入力シート!$J$16:$S$23,入力リスト!$K$4)=0,FALSE,IF(入力シート!$J$16=入力リスト!$K$5,FALSE,ISERROR(VLOOKUP(B227,入力シート!$S$37:$V$62,1,0))))</f>
        <v>0</v>
      </c>
      <c r="I227" s="237" t="b">
        <f>IF(AND(OR(入力シート!$J$18=入力リスト!$K$4,入力シート!$J$22=入力リスト!$K$4),入力シート!$J$24&lt;&gt;""),IF(ISERROR(C227+1),TRUE,IF(ISNUMBER(C227),FALSE,TRUE)),FALSE)</f>
        <v>0</v>
      </c>
      <c r="J227" s="237" t="b">
        <f>IF(AND(入力シート!$J$18=入力リスト!$K$4,入力シート!$J$22=入力リスト!$K$4),FALSE,IF(I227=TRUE,FALSE,IF(ISERROR(C227+1),FALSE,C227&gt;入力シート!$J$24)))</f>
        <v>0</v>
      </c>
      <c r="K227" s="237" t="b">
        <f>IF(COUNTIF(入力シート!$J$16:$S$23,入力リスト!$K$4)=0,FALSE,IF(AND(入力シート!$J$16&lt;&gt;入力リスト!$K$5,入力シート!$J$18&lt;&gt;入力リスト!$K$5,入力シート!$J$20&lt;&gt;入力リスト!$K$5,入力シート!$J$22&lt;&gt;入力リスト!$K$5),FALSE,ISERROR(VLOOKUP(D227,入力シート!$AW$37:$AY$38,1,0))))</f>
        <v>0</v>
      </c>
      <c r="L227" s="237" t="b">
        <f>IF(COUNTIF(入力シート!$J$16:$S$23,入力リスト!$K$4)=0,FALSE,IF(入力シート!$J$20=入力リスト!$K$5,FALSE,IF(E227="",FALSE,ISERROR(VLOOKUP(E227,入力シート!$AH$37:$AK$62,1,0)))))</f>
        <v>0</v>
      </c>
      <c r="M227" s="238" t="str">
        <f t="shared" si="3"/>
        <v/>
      </c>
      <c r="N227" s="236" t="str">
        <f>IF(B227="","",VLOOKUP('従業員情報(給与以外)'!$B227,入力シート!$S$37:$Z$62,5,0))</f>
        <v/>
      </c>
      <c r="O227" s="182" t="str">
        <f>IF(ISNUMBER(C227)=FALSE,"",IF(C227&gt;入力シート!$J$24,"",_xlfn.DAYS(入力シート!$J$24,'従業員情報(給与以外)'!$C227)/365))</f>
        <v/>
      </c>
      <c r="P227" s="237" t="str">
        <f>IF(O227="","",VLOOKUP(_xlfn.DAYS(入力シート!$J$24,'従業員情報(給与以外)'!$C227)/365,入力リスト!$H$4:$I$12,2,2))</f>
        <v/>
      </c>
      <c r="Q227" s="236" t="str">
        <f>IF(D227="","",VLOOKUP('従業員情報(給与以外)'!$D227,入力シート!$AW$37:$BB$38,4,0))</f>
        <v/>
      </c>
      <c r="R227" s="236" t="str">
        <f>IF(A227="","",IF(E227="","非役職",VLOOKUP('従業員情報(給与以外)'!$E227,入力シート!$AH$37:$AO$62,5,0)))</f>
        <v/>
      </c>
      <c r="S227" s="116" t="str">
        <f>IF(OR(入力シート!$C$5&lt;&gt;入力リスト!$N$4,COUNTIF(入力シート!$J$16:$S$23,入力リスト!$K$4)=0),"",IF($A227="","",IF(ISERROR(AVERAGEIF(従業員の給与情報!$B:$B,$A227,従業員の給与情報!$C:$C)),0,IF(ISERROR(AVERAGEIF(従業員の給与情報!$B:$B,$A227,従業員の給与情報!$C:$C)),0,AVERAGEIF(従業員の給与情報!$B:$B,$A227,従業員の給与情報!$C:$C)))))</f>
        <v/>
      </c>
      <c r="T227" s="116" t="str">
        <f>IF(OR(入力シート!$C$5&lt;&gt;入力リスト!$N$4,COUNTIF(入力シート!$J$16:$S$23,入力リスト!$K$4)=0),"",IF(A227="","",IF(ISERROR(AVERAGEIF(従業員の給与情報!$B:$B,$A227,従業員の給与情報!$D:$D)),0,IF(ISERROR(AVERAGEIF(従業員の給与情報!$B:$B,$A227,従業員の給与情報!$D:$D)),0,AVERAGEIF(従業員の給与情報!$B:$B,$A227,従業員の給与情報!$D:$D)))))</f>
        <v/>
      </c>
      <c r="U227" s="116" t="str">
        <f>IF(OR(入力シート!$C$5&lt;&gt;入力リスト!$N$4,COUNTIF(入力シート!$J$16:$S$23,入力リスト!$K$4)=0),"",IF(A227="","",IF(ISERROR(AVERAGEIF(従業員の給与情報!$B:$B,$A227,従業員の給与情報!$E:$E)),0,IF(ISERROR(AVERAGEIF(従業員の給与情報!$B:$B,$A227,従業員の給与情報!$E:$E)),0,AVERAGEIF(従業員の給与情報!$B:$B,$A227,従業員の給与情報!$E:$E)))))</f>
        <v/>
      </c>
      <c r="V227" s="117" t="str">
        <f>IF(OR(入力シート!$C$5&lt;&gt;入力リスト!$N$4,COUNTIF(入力シート!$J$16:$S$23,入力リスト!$K$4)=0),"",IF(A227="","",IF(ISERROR(AVERAGEIF(従業員の給与情報!$B:$B,$A227,従業員の給与情報!$F:$F)),0,IF(ISERROR(AVERAGEIF(従業員の給与情報!$B:$B,$A227,従業員の給与情報!$F:$F)),0,AVERAGEIF(従業員の給与情報!$B:$B,$A227,従業員の給与情報!$F:$F)))))</f>
        <v/>
      </c>
      <c r="W227" s="182"/>
      <c r="X227" s="260"/>
    </row>
    <row r="228" spans="1:24">
      <c r="A228" s="368"/>
      <c r="B228" s="361"/>
      <c r="C228" s="362"/>
      <c r="D228" s="361"/>
      <c r="E228" s="361"/>
      <c r="F228" s="372" t="str">
        <f>IF(G228,"この従業員番号は、すでに他のセルで入力されています。",IF(入力シート!$C$5=入力リスト!$N$5,"",IF(AND(A228="",B228="",C228="",D228="",E228=""),"",IF(OR(A228="",B228="",C228="",D228=""),IF(A228="","従業員番号","")&amp;IF(AND(A228="",OR(B228="",C228="",D228="")),",","")&amp;IF(B228="","雇用形態","")&amp;IF(AND(B228="",OR(C228="",D228="")),",","")&amp;IF(OR(入力シート!$J$18=入力リスト!$K$4,入力シート!$J$22=入力リスト!$K$4),IF(C228="","入社年月日",""),"")&amp;IF(AND(C228="",D228=""),",","")&amp;IF(D228="","性別","")&amp;IF(IF(A228="","従業員番号","")&amp;IF(B228="","雇用形態","")&amp;IF(OR(入力シート!$J$18=入力リスト!$K$4,入力シート!$J$22=入力リスト!$K$4),IF(C228="","入社年月日",""),"")&amp;IF(D228="","性別","")="","","が空白です。"),IF(J228,"入社年月日に「基準日」の翌日以降の日付が入力されています。","")&amp;IF(I228,"入社年月日に数値以外（又は1900/1/1以前の日付）が入力されています。","")&amp;IF(H228,"雇用形態"&amp;IF(OR(K228,L228),",",""),"")&amp;IF(K228,"性別"&amp;IF(L228,",",""),"")&amp;IF(L228,"役職","")&amp;IF(OR(H228,K228,L228),"に、［入力シート］(4)「貴社」欄と異なる文言が入力されています。","")))))</f>
        <v/>
      </c>
      <c r="G228" s="236" t="b">
        <f>COUNTIF($A$4:A227,$A228)&gt;0</f>
        <v>0</v>
      </c>
      <c r="H228" s="237" t="b">
        <f>IF(COUNTIF(入力シート!$J$16:$S$23,入力リスト!$K$4)=0,FALSE,IF(入力シート!$J$16=入力リスト!$K$5,FALSE,ISERROR(VLOOKUP(B228,入力シート!$S$37:$V$62,1,0))))</f>
        <v>0</v>
      </c>
      <c r="I228" s="237" t="b">
        <f>IF(AND(OR(入力シート!$J$18=入力リスト!$K$4,入力シート!$J$22=入力リスト!$K$4),入力シート!$J$24&lt;&gt;""),IF(ISERROR(C228+1),TRUE,IF(ISNUMBER(C228),FALSE,TRUE)),FALSE)</f>
        <v>0</v>
      </c>
      <c r="J228" s="237" t="b">
        <f>IF(AND(入力シート!$J$18=入力リスト!$K$4,入力シート!$J$22=入力リスト!$K$4),FALSE,IF(I228=TRUE,FALSE,IF(ISERROR(C228+1),FALSE,C228&gt;入力シート!$J$24)))</f>
        <v>0</v>
      </c>
      <c r="K228" s="237" t="b">
        <f>IF(COUNTIF(入力シート!$J$16:$S$23,入力リスト!$K$4)=0,FALSE,IF(AND(入力シート!$J$16&lt;&gt;入力リスト!$K$5,入力シート!$J$18&lt;&gt;入力リスト!$K$5,入力シート!$J$20&lt;&gt;入力リスト!$K$5,入力シート!$J$22&lt;&gt;入力リスト!$K$5),FALSE,ISERROR(VLOOKUP(D228,入力シート!$AW$37:$AY$38,1,0))))</f>
        <v>0</v>
      </c>
      <c r="L228" s="237" t="b">
        <f>IF(COUNTIF(入力シート!$J$16:$S$23,入力リスト!$K$4)=0,FALSE,IF(入力シート!$J$20=入力リスト!$K$5,FALSE,IF(E228="",FALSE,ISERROR(VLOOKUP(E228,入力シート!$AH$37:$AK$62,1,0)))))</f>
        <v>0</v>
      </c>
      <c r="M228" s="238" t="str">
        <f t="shared" si="3"/>
        <v/>
      </c>
      <c r="N228" s="236" t="str">
        <f>IF(B228="","",VLOOKUP('従業員情報(給与以外)'!$B228,入力シート!$S$37:$Z$62,5,0))</f>
        <v/>
      </c>
      <c r="O228" s="182" t="str">
        <f>IF(ISNUMBER(C228)=FALSE,"",IF(C228&gt;入力シート!$J$24,"",_xlfn.DAYS(入力シート!$J$24,'従業員情報(給与以外)'!$C228)/365))</f>
        <v/>
      </c>
      <c r="P228" s="237" t="str">
        <f>IF(O228="","",VLOOKUP(_xlfn.DAYS(入力シート!$J$24,'従業員情報(給与以外)'!$C228)/365,入力リスト!$H$4:$I$12,2,2))</f>
        <v/>
      </c>
      <c r="Q228" s="236" t="str">
        <f>IF(D228="","",VLOOKUP('従業員情報(給与以外)'!$D228,入力シート!$AW$37:$BB$38,4,0))</f>
        <v/>
      </c>
      <c r="R228" s="236" t="str">
        <f>IF(A228="","",IF(E228="","非役職",VLOOKUP('従業員情報(給与以外)'!$E228,入力シート!$AH$37:$AO$62,5,0)))</f>
        <v/>
      </c>
      <c r="S228" s="116" t="str">
        <f>IF(OR(入力シート!$C$5&lt;&gt;入力リスト!$N$4,COUNTIF(入力シート!$J$16:$S$23,入力リスト!$K$4)=0),"",IF($A228="","",IF(ISERROR(AVERAGEIF(従業員の給与情報!$B:$B,$A228,従業員の給与情報!$C:$C)),0,IF(ISERROR(AVERAGEIF(従業員の給与情報!$B:$B,$A228,従業員の給与情報!$C:$C)),0,AVERAGEIF(従業員の給与情報!$B:$B,$A228,従業員の給与情報!$C:$C)))))</f>
        <v/>
      </c>
      <c r="T228" s="116" t="str">
        <f>IF(OR(入力シート!$C$5&lt;&gt;入力リスト!$N$4,COUNTIF(入力シート!$J$16:$S$23,入力リスト!$K$4)=0),"",IF(A228="","",IF(ISERROR(AVERAGEIF(従業員の給与情報!$B:$B,$A228,従業員の給与情報!$D:$D)),0,IF(ISERROR(AVERAGEIF(従業員の給与情報!$B:$B,$A228,従業員の給与情報!$D:$D)),0,AVERAGEIF(従業員の給与情報!$B:$B,$A228,従業員の給与情報!$D:$D)))))</f>
        <v/>
      </c>
      <c r="U228" s="116" t="str">
        <f>IF(OR(入力シート!$C$5&lt;&gt;入力リスト!$N$4,COUNTIF(入力シート!$J$16:$S$23,入力リスト!$K$4)=0),"",IF(A228="","",IF(ISERROR(AVERAGEIF(従業員の給与情報!$B:$B,$A228,従業員の給与情報!$E:$E)),0,IF(ISERROR(AVERAGEIF(従業員の給与情報!$B:$B,$A228,従業員の給与情報!$E:$E)),0,AVERAGEIF(従業員の給与情報!$B:$B,$A228,従業員の給与情報!$E:$E)))))</f>
        <v/>
      </c>
      <c r="V228" s="117" t="str">
        <f>IF(OR(入力シート!$C$5&lt;&gt;入力リスト!$N$4,COUNTIF(入力シート!$J$16:$S$23,入力リスト!$K$4)=0),"",IF(A228="","",IF(ISERROR(AVERAGEIF(従業員の給与情報!$B:$B,$A228,従業員の給与情報!$F:$F)),0,IF(ISERROR(AVERAGEIF(従業員の給与情報!$B:$B,$A228,従業員の給与情報!$F:$F)),0,AVERAGEIF(従業員の給与情報!$B:$B,$A228,従業員の給与情報!$F:$F)))))</f>
        <v/>
      </c>
      <c r="W228" s="182"/>
      <c r="X228" s="260"/>
    </row>
    <row r="229" spans="1:24">
      <c r="A229" s="368"/>
      <c r="B229" s="361"/>
      <c r="C229" s="362"/>
      <c r="D229" s="361"/>
      <c r="E229" s="361"/>
      <c r="F229" s="372" t="str">
        <f>IF(G229,"この従業員番号は、すでに他のセルで入力されています。",IF(入力シート!$C$5=入力リスト!$N$5,"",IF(AND(A229="",B229="",C229="",D229="",E229=""),"",IF(OR(A229="",B229="",C229="",D229=""),IF(A229="","従業員番号","")&amp;IF(AND(A229="",OR(B229="",C229="",D229="")),",","")&amp;IF(B229="","雇用形態","")&amp;IF(AND(B229="",OR(C229="",D229="")),",","")&amp;IF(OR(入力シート!$J$18=入力リスト!$K$4,入力シート!$J$22=入力リスト!$K$4),IF(C229="","入社年月日",""),"")&amp;IF(AND(C229="",D229=""),",","")&amp;IF(D229="","性別","")&amp;IF(IF(A229="","従業員番号","")&amp;IF(B229="","雇用形態","")&amp;IF(OR(入力シート!$J$18=入力リスト!$K$4,入力シート!$J$22=入力リスト!$K$4),IF(C229="","入社年月日",""),"")&amp;IF(D229="","性別","")="","","が空白です。"),IF(J229,"入社年月日に「基準日」の翌日以降の日付が入力されています。","")&amp;IF(I229,"入社年月日に数値以外（又は1900/1/1以前の日付）が入力されています。","")&amp;IF(H229,"雇用形態"&amp;IF(OR(K229,L229),",",""),"")&amp;IF(K229,"性別"&amp;IF(L229,",",""),"")&amp;IF(L229,"役職","")&amp;IF(OR(H229,K229,L229),"に、［入力シート］(4)「貴社」欄と異なる文言が入力されています。","")))))</f>
        <v/>
      </c>
      <c r="G229" s="236" t="b">
        <f>COUNTIF($A$4:A228,$A229)&gt;0</f>
        <v>0</v>
      </c>
      <c r="H229" s="237" t="b">
        <f>IF(COUNTIF(入力シート!$J$16:$S$23,入力リスト!$K$4)=0,FALSE,IF(入力シート!$J$16=入力リスト!$K$5,FALSE,ISERROR(VLOOKUP(B229,入力シート!$S$37:$V$62,1,0))))</f>
        <v>0</v>
      </c>
      <c r="I229" s="237" t="b">
        <f>IF(AND(OR(入力シート!$J$18=入力リスト!$K$4,入力シート!$J$22=入力リスト!$K$4),入力シート!$J$24&lt;&gt;""),IF(ISERROR(C229+1),TRUE,IF(ISNUMBER(C229),FALSE,TRUE)),FALSE)</f>
        <v>0</v>
      </c>
      <c r="J229" s="237" t="b">
        <f>IF(AND(入力シート!$J$18=入力リスト!$K$4,入力シート!$J$22=入力リスト!$K$4),FALSE,IF(I229=TRUE,FALSE,IF(ISERROR(C229+1),FALSE,C229&gt;入力シート!$J$24)))</f>
        <v>0</v>
      </c>
      <c r="K229" s="237" t="b">
        <f>IF(COUNTIF(入力シート!$J$16:$S$23,入力リスト!$K$4)=0,FALSE,IF(AND(入力シート!$J$16&lt;&gt;入力リスト!$K$5,入力シート!$J$18&lt;&gt;入力リスト!$K$5,入力シート!$J$20&lt;&gt;入力リスト!$K$5,入力シート!$J$22&lt;&gt;入力リスト!$K$5),FALSE,ISERROR(VLOOKUP(D229,入力シート!$AW$37:$AY$38,1,0))))</f>
        <v>0</v>
      </c>
      <c r="L229" s="237" t="b">
        <f>IF(COUNTIF(入力シート!$J$16:$S$23,入力リスト!$K$4)=0,FALSE,IF(入力シート!$J$20=入力リスト!$K$5,FALSE,IF(E229="",FALSE,ISERROR(VLOOKUP(E229,入力シート!$AH$37:$AK$62,1,0)))))</f>
        <v>0</v>
      </c>
      <c r="M229" s="238" t="str">
        <f t="shared" si="3"/>
        <v/>
      </c>
      <c r="N229" s="236" t="str">
        <f>IF(B229="","",VLOOKUP('従業員情報(給与以外)'!$B229,入力シート!$S$37:$Z$62,5,0))</f>
        <v/>
      </c>
      <c r="O229" s="182" t="str">
        <f>IF(ISNUMBER(C229)=FALSE,"",IF(C229&gt;入力シート!$J$24,"",_xlfn.DAYS(入力シート!$J$24,'従業員情報(給与以外)'!$C229)/365))</f>
        <v/>
      </c>
      <c r="P229" s="237" t="str">
        <f>IF(O229="","",VLOOKUP(_xlfn.DAYS(入力シート!$J$24,'従業員情報(給与以外)'!$C229)/365,入力リスト!$H$4:$I$12,2,2))</f>
        <v/>
      </c>
      <c r="Q229" s="236" t="str">
        <f>IF(D229="","",VLOOKUP('従業員情報(給与以外)'!$D229,入力シート!$AW$37:$BB$38,4,0))</f>
        <v/>
      </c>
      <c r="R229" s="236" t="str">
        <f>IF(A229="","",IF(E229="","非役職",VLOOKUP('従業員情報(給与以外)'!$E229,入力シート!$AH$37:$AO$62,5,0)))</f>
        <v/>
      </c>
      <c r="S229" s="116" t="str">
        <f>IF(OR(入力シート!$C$5&lt;&gt;入力リスト!$N$4,COUNTIF(入力シート!$J$16:$S$23,入力リスト!$K$4)=0),"",IF($A229="","",IF(ISERROR(AVERAGEIF(従業員の給与情報!$B:$B,$A229,従業員の給与情報!$C:$C)),0,IF(ISERROR(AVERAGEIF(従業員の給与情報!$B:$B,$A229,従業員の給与情報!$C:$C)),0,AVERAGEIF(従業員の給与情報!$B:$B,$A229,従業員の給与情報!$C:$C)))))</f>
        <v/>
      </c>
      <c r="T229" s="116" t="str">
        <f>IF(OR(入力シート!$C$5&lt;&gt;入力リスト!$N$4,COUNTIF(入力シート!$J$16:$S$23,入力リスト!$K$4)=0),"",IF(A229="","",IF(ISERROR(AVERAGEIF(従業員の給与情報!$B:$B,$A229,従業員の給与情報!$D:$D)),0,IF(ISERROR(AVERAGEIF(従業員の給与情報!$B:$B,$A229,従業員の給与情報!$D:$D)),0,AVERAGEIF(従業員の給与情報!$B:$B,$A229,従業員の給与情報!$D:$D)))))</f>
        <v/>
      </c>
      <c r="U229" s="116" t="str">
        <f>IF(OR(入力シート!$C$5&lt;&gt;入力リスト!$N$4,COUNTIF(入力シート!$J$16:$S$23,入力リスト!$K$4)=0),"",IF(A229="","",IF(ISERROR(AVERAGEIF(従業員の給与情報!$B:$B,$A229,従業員の給与情報!$E:$E)),0,IF(ISERROR(AVERAGEIF(従業員の給与情報!$B:$B,$A229,従業員の給与情報!$E:$E)),0,AVERAGEIF(従業員の給与情報!$B:$B,$A229,従業員の給与情報!$E:$E)))))</f>
        <v/>
      </c>
      <c r="V229" s="117" t="str">
        <f>IF(OR(入力シート!$C$5&lt;&gt;入力リスト!$N$4,COUNTIF(入力シート!$J$16:$S$23,入力リスト!$K$4)=0),"",IF(A229="","",IF(ISERROR(AVERAGEIF(従業員の給与情報!$B:$B,$A229,従業員の給与情報!$F:$F)),0,IF(ISERROR(AVERAGEIF(従業員の給与情報!$B:$B,$A229,従業員の給与情報!$F:$F)),0,AVERAGEIF(従業員の給与情報!$B:$B,$A229,従業員の給与情報!$F:$F)))))</f>
        <v/>
      </c>
      <c r="W229" s="182"/>
      <c r="X229" s="260"/>
    </row>
    <row r="230" spans="1:24">
      <c r="A230" s="368"/>
      <c r="B230" s="361"/>
      <c r="C230" s="362"/>
      <c r="D230" s="361"/>
      <c r="E230" s="361"/>
      <c r="F230" s="372" t="str">
        <f>IF(G230,"この従業員番号は、すでに他のセルで入力されています。",IF(入力シート!$C$5=入力リスト!$N$5,"",IF(AND(A230="",B230="",C230="",D230="",E230=""),"",IF(OR(A230="",B230="",C230="",D230=""),IF(A230="","従業員番号","")&amp;IF(AND(A230="",OR(B230="",C230="",D230="")),",","")&amp;IF(B230="","雇用形態","")&amp;IF(AND(B230="",OR(C230="",D230="")),",","")&amp;IF(OR(入力シート!$J$18=入力リスト!$K$4,入力シート!$J$22=入力リスト!$K$4),IF(C230="","入社年月日",""),"")&amp;IF(AND(C230="",D230=""),",","")&amp;IF(D230="","性別","")&amp;IF(IF(A230="","従業員番号","")&amp;IF(B230="","雇用形態","")&amp;IF(OR(入力シート!$J$18=入力リスト!$K$4,入力シート!$J$22=入力リスト!$K$4),IF(C230="","入社年月日",""),"")&amp;IF(D230="","性別","")="","","が空白です。"),IF(J230,"入社年月日に「基準日」の翌日以降の日付が入力されています。","")&amp;IF(I230,"入社年月日に数値以外（又は1900/1/1以前の日付）が入力されています。","")&amp;IF(H230,"雇用形態"&amp;IF(OR(K230,L230),",",""),"")&amp;IF(K230,"性別"&amp;IF(L230,",",""),"")&amp;IF(L230,"役職","")&amp;IF(OR(H230,K230,L230),"に、［入力シート］(4)「貴社」欄と異なる文言が入力されています。","")))))</f>
        <v/>
      </c>
      <c r="G230" s="236" t="b">
        <f>COUNTIF($A$4:A229,$A230)&gt;0</f>
        <v>0</v>
      </c>
      <c r="H230" s="237" t="b">
        <f>IF(COUNTIF(入力シート!$J$16:$S$23,入力リスト!$K$4)=0,FALSE,IF(入力シート!$J$16=入力リスト!$K$5,FALSE,ISERROR(VLOOKUP(B230,入力シート!$S$37:$V$62,1,0))))</f>
        <v>0</v>
      </c>
      <c r="I230" s="237" t="b">
        <f>IF(AND(OR(入力シート!$J$18=入力リスト!$K$4,入力シート!$J$22=入力リスト!$K$4),入力シート!$J$24&lt;&gt;""),IF(ISERROR(C230+1),TRUE,IF(ISNUMBER(C230),FALSE,TRUE)),FALSE)</f>
        <v>0</v>
      </c>
      <c r="J230" s="237" t="b">
        <f>IF(AND(入力シート!$J$18=入力リスト!$K$4,入力シート!$J$22=入力リスト!$K$4),FALSE,IF(I230=TRUE,FALSE,IF(ISERROR(C230+1),FALSE,C230&gt;入力シート!$J$24)))</f>
        <v>0</v>
      </c>
      <c r="K230" s="237" t="b">
        <f>IF(COUNTIF(入力シート!$J$16:$S$23,入力リスト!$K$4)=0,FALSE,IF(AND(入力シート!$J$16&lt;&gt;入力リスト!$K$5,入力シート!$J$18&lt;&gt;入力リスト!$K$5,入力シート!$J$20&lt;&gt;入力リスト!$K$5,入力シート!$J$22&lt;&gt;入力リスト!$K$5),FALSE,ISERROR(VLOOKUP(D230,入力シート!$AW$37:$AY$38,1,0))))</f>
        <v>0</v>
      </c>
      <c r="L230" s="237" t="b">
        <f>IF(COUNTIF(入力シート!$J$16:$S$23,入力リスト!$K$4)=0,FALSE,IF(入力シート!$J$20=入力リスト!$K$5,FALSE,IF(E230="",FALSE,ISERROR(VLOOKUP(E230,入力シート!$AH$37:$AK$62,1,0)))))</f>
        <v>0</v>
      </c>
      <c r="M230" s="238" t="str">
        <f t="shared" si="3"/>
        <v/>
      </c>
      <c r="N230" s="236" t="str">
        <f>IF(B230="","",VLOOKUP('従業員情報(給与以外)'!$B230,入力シート!$S$37:$Z$62,5,0))</f>
        <v/>
      </c>
      <c r="O230" s="182" t="str">
        <f>IF(ISNUMBER(C230)=FALSE,"",IF(C230&gt;入力シート!$J$24,"",_xlfn.DAYS(入力シート!$J$24,'従業員情報(給与以外)'!$C230)/365))</f>
        <v/>
      </c>
      <c r="P230" s="237" t="str">
        <f>IF(O230="","",VLOOKUP(_xlfn.DAYS(入力シート!$J$24,'従業員情報(給与以外)'!$C230)/365,入力リスト!$H$4:$I$12,2,2))</f>
        <v/>
      </c>
      <c r="Q230" s="236" t="str">
        <f>IF(D230="","",VLOOKUP('従業員情報(給与以外)'!$D230,入力シート!$AW$37:$BB$38,4,0))</f>
        <v/>
      </c>
      <c r="R230" s="236" t="str">
        <f>IF(A230="","",IF(E230="","非役職",VLOOKUP('従業員情報(給与以外)'!$E230,入力シート!$AH$37:$AO$62,5,0)))</f>
        <v/>
      </c>
      <c r="S230" s="116" t="str">
        <f>IF(OR(入力シート!$C$5&lt;&gt;入力リスト!$N$4,COUNTIF(入力シート!$J$16:$S$23,入力リスト!$K$4)=0),"",IF($A230="","",IF(ISERROR(AVERAGEIF(従業員の給与情報!$B:$B,$A230,従業員の給与情報!$C:$C)),0,IF(ISERROR(AVERAGEIF(従業員の給与情報!$B:$B,$A230,従業員の給与情報!$C:$C)),0,AVERAGEIF(従業員の給与情報!$B:$B,$A230,従業員の給与情報!$C:$C)))))</f>
        <v/>
      </c>
      <c r="T230" s="116" t="str">
        <f>IF(OR(入力シート!$C$5&lt;&gt;入力リスト!$N$4,COUNTIF(入力シート!$J$16:$S$23,入力リスト!$K$4)=0),"",IF(A230="","",IF(ISERROR(AVERAGEIF(従業員の給与情報!$B:$B,$A230,従業員の給与情報!$D:$D)),0,IF(ISERROR(AVERAGEIF(従業員の給与情報!$B:$B,$A230,従業員の給与情報!$D:$D)),0,AVERAGEIF(従業員の給与情報!$B:$B,$A230,従業員の給与情報!$D:$D)))))</f>
        <v/>
      </c>
      <c r="U230" s="116" t="str">
        <f>IF(OR(入力シート!$C$5&lt;&gt;入力リスト!$N$4,COUNTIF(入力シート!$J$16:$S$23,入力リスト!$K$4)=0),"",IF(A230="","",IF(ISERROR(AVERAGEIF(従業員の給与情報!$B:$B,$A230,従業員の給与情報!$E:$E)),0,IF(ISERROR(AVERAGEIF(従業員の給与情報!$B:$B,$A230,従業員の給与情報!$E:$E)),0,AVERAGEIF(従業員の給与情報!$B:$B,$A230,従業員の給与情報!$E:$E)))))</f>
        <v/>
      </c>
      <c r="V230" s="117" t="str">
        <f>IF(OR(入力シート!$C$5&lt;&gt;入力リスト!$N$4,COUNTIF(入力シート!$J$16:$S$23,入力リスト!$K$4)=0),"",IF(A230="","",IF(ISERROR(AVERAGEIF(従業員の給与情報!$B:$B,$A230,従業員の給与情報!$F:$F)),0,IF(ISERROR(AVERAGEIF(従業員の給与情報!$B:$B,$A230,従業員の給与情報!$F:$F)),0,AVERAGEIF(従業員の給与情報!$B:$B,$A230,従業員の給与情報!$F:$F)))))</f>
        <v/>
      </c>
      <c r="W230" s="182"/>
      <c r="X230" s="260"/>
    </row>
    <row r="231" spans="1:24">
      <c r="A231" s="368"/>
      <c r="B231" s="361"/>
      <c r="C231" s="362"/>
      <c r="D231" s="361"/>
      <c r="E231" s="361"/>
      <c r="F231" s="372" t="str">
        <f>IF(G231,"この従業員番号は、すでに他のセルで入力されています。",IF(入力シート!$C$5=入力リスト!$N$5,"",IF(AND(A231="",B231="",C231="",D231="",E231=""),"",IF(OR(A231="",B231="",C231="",D231=""),IF(A231="","従業員番号","")&amp;IF(AND(A231="",OR(B231="",C231="",D231="")),",","")&amp;IF(B231="","雇用形態","")&amp;IF(AND(B231="",OR(C231="",D231="")),",","")&amp;IF(OR(入力シート!$J$18=入力リスト!$K$4,入力シート!$J$22=入力リスト!$K$4),IF(C231="","入社年月日",""),"")&amp;IF(AND(C231="",D231=""),",","")&amp;IF(D231="","性別","")&amp;IF(IF(A231="","従業員番号","")&amp;IF(B231="","雇用形態","")&amp;IF(OR(入力シート!$J$18=入力リスト!$K$4,入力シート!$J$22=入力リスト!$K$4),IF(C231="","入社年月日",""),"")&amp;IF(D231="","性別","")="","","が空白です。"),IF(J231,"入社年月日に「基準日」の翌日以降の日付が入力されています。","")&amp;IF(I231,"入社年月日に数値以外（又は1900/1/1以前の日付）が入力されています。","")&amp;IF(H231,"雇用形態"&amp;IF(OR(K231,L231),",",""),"")&amp;IF(K231,"性別"&amp;IF(L231,",",""),"")&amp;IF(L231,"役職","")&amp;IF(OR(H231,K231,L231),"に、［入力シート］(4)「貴社」欄と異なる文言が入力されています。","")))))</f>
        <v/>
      </c>
      <c r="G231" s="236" t="b">
        <f>COUNTIF($A$4:A230,$A231)&gt;0</f>
        <v>0</v>
      </c>
      <c r="H231" s="237" t="b">
        <f>IF(COUNTIF(入力シート!$J$16:$S$23,入力リスト!$K$4)=0,FALSE,IF(入力シート!$J$16=入力リスト!$K$5,FALSE,ISERROR(VLOOKUP(B231,入力シート!$S$37:$V$62,1,0))))</f>
        <v>0</v>
      </c>
      <c r="I231" s="237" t="b">
        <f>IF(AND(OR(入力シート!$J$18=入力リスト!$K$4,入力シート!$J$22=入力リスト!$K$4),入力シート!$J$24&lt;&gt;""),IF(ISERROR(C231+1),TRUE,IF(ISNUMBER(C231),FALSE,TRUE)),FALSE)</f>
        <v>0</v>
      </c>
      <c r="J231" s="237" t="b">
        <f>IF(AND(入力シート!$J$18=入力リスト!$K$4,入力シート!$J$22=入力リスト!$K$4),FALSE,IF(I231=TRUE,FALSE,IF(ISERROR(C231+1),FALSE,C231&gt;入力シート!$J$24)))</f>
        <v>0</v>
      </c>
      <c r="K231" s="237" t="b">
        <f>IF(COUNTIF(入力シート!$J$16:$S$23,入力リスト!$K$4)=0,FALSE,IF(AND(入力シート!$J$16&lt;&gt;入力リスト!$K$5,入力シート!$J$18&lt;&gt;入力リスト!$K$5,入力シート!$J$20&lt;&gt;入力リスト!$K$5,入力シート!$J$22&lt;&gt;入力リスト!$K$5),FALSE,ISERROR(VLOOKUP(D231,入力シート!$AW$37:$AY$38,1,0))))</f>
        <v>0</v>
      </c>
      <c r="L231" s="237" t="b">
        <f>IF(COUNTIF(入力シート!$J$16:$S$23,入力リスト!$K$4)=0,FALSE,IF(入力シート!$J$20=入力リスト!$K$5,FALSE,IF(E231="",FALSE,ISERROR(VLOOKUP(E231,入力シート!$AH$37:$AK$62,1,0)))))</f>
        <v>0</v>
      </c>
      <c r="M231" s="238" t="str">
        <f t="shared" si="3"/>
        <v/>
      </c>
      <c r="N231" s="236" t="str">
        <f>IF(B231="","",VLOOKUP('従業員情報(給与以外)'!$B231,入力シート!$S$37:$Z$62,5,0))</f>
        <v/>
      </c>
      <c r="O231" s="182" t="str">
        <f>IF(ISNUMBER(C231)=FALSE,"",IF(C231&gt;入力シート!$J$24,"",_xlfn.DAYS(入力シート!$J$24,'従業員情報(給与以外)'!$C231)/365))</f>
        <v/>
      </c>
      <c r="P231" s="237" t="str">
        <f>IF(O231="","",VLOOKUP(_xlfn.DAYS(入力シート!$J$24,'従業員情報(給与以外)'!$C231)/365,入力リスト!$H$4:$I$12,2,2))</f>
        <v/>
      </c>
      <c r="Q231" s="236" t="str">
        <f>IF(D231="","",VLOOKUP('従業員情報(給与以外)'!$D231,入力シート!$AW$37:$BB$38,4,0))</f>
        <v/>
      </c>
      <c r="R231" s="236" t="str">
        <f>IF(A231="","",IF(E231="","非役職",VLOOKUP('従業員情報(給与以外)'!$E231,入力シート!$AH$37:$AO$62,5,0)))</f>
        <v/>
      </c>
      <c r="S231" s="116" t="str">
        <f>IF(OR(入力シート!$C$5&lt;&gt;入力リスト!$N$4,COUNTIF(入力シート!$J$16:$S$23,入力リスト!$K$4)=0),"",IF($A231="","",IF(ISERROR(AVERAGEIF(従業員の給与情報!$B:$B,$A231,従業員の給与情報!$C:$C)),0,IF(ISERROR(AVERAGEIF(従業員の給与情報!$B:$B,$A231,従業員の給与情報!$C:$C)),0,AVERAGEIF(従業員の給与情報!$B:$B,$A231,従業員の給与情報!$C:$C)))))</f>
        <v/>
      </c>
      <c r="T231" s="116" t="str">
        <f>IF(OR(入力シート!$C$5&lt;&gt;入力リスト!$N$4,COUNTIF(入力シート!$J$16:$S$23,入力リスト!$K$4)=0),"",IF(A231="","",IF(ISERROR(AVERAGEIF(従業員の給与情報!$B:$B,$A231,従業員の給与情報!$D:$D)),0,IF(ISERROR(AVERAGEIF(従業員の給与情報!$B:$B,$A231,従業員の給与情報!$D:$D)),0,AVERAGEIF(従業員の給与情報!$B:$B,$A231,従業員の給与情報!$D:$D)))))</f>
        <v/>
      </c>
      <c r="U231" s="116" t="str">
        <f>IF(OR(入力シート!$C$5&lt;&gt;入力リスト!$N$4,COUNTIF(入力シート!$J$16:$S$23,入力リスト!$K$4)=0),"",IF(A231="","",IF(ISERROR(AVERAGEIF(従業員の給与情報!$B:$B,$A231,従業員の給与情報!$E:$E)),0,IF(ISERROR(AVERAGEIF(従業員の給与情報!$B:$B,$A231,従業員の給与情報!$E:$E)),0,AVERAGEIF(従業員の給与情報!$B:$B,$A231,従業員の給与情報!$E:$E)))))</f>
        <v/>
      </c>
      <c r="V231" s="117" t="str">
        <f>IF(OR(入力シート!$C$5&lt;&gt;入力リスト!$N$4,COUNTIF(入力シート!$J$16:$S$23,入力リスト!$K$4)=0),"",IF(A231="","",IF(ISERROR(AVERAGEIF(従業員の給与情報!$B:$B,$A231,従業員の給与情報!$F:$F)),0,IF(ISERROR(AVERAGEIF(従業員の給与情報!$B:$B,$A231,従業員の給与情報!$F:$F)),0,AVERAGEIF(従業員の給与情報!$B:$B,$A231,従業員の給与情報!$F:$F)))))</f>
        <v/>
      </c>
      <c r="W231" s="182"/>
      <c r="X231" s="260"/>
    </row>
    <row r="232" spans="1:24">
      <c r="A232" s="368"/>
      <c r="B232" s="361"/>
      <c r="C232" s="362"/>
      <c r="D232" s="361"/>
      <c r="E232" s="361"/>
      <c r="F232" s="372" t="str">
        <f>IF(G232,"この従業員番号は、すでに他のセルで入力されています。",IF(入力シート!$C$5=入力リスト!$N$5,"",IF(AND(A232="",B232="",C232="",D232="",E232=""),"",IF(OR(A232="",B232="",C232="",D232=""),IF(A232="","従業員番号","")&amp;IF(AND(A232="",OR(B232="",C232="",D232="")),",","")&amp;IF(B232="","雇用形態","")&amp;IF(AND(B232="",OR(C232="",D232="")),",","")&amp;IF(OR(入力シート!$J$18=入力リスト!$K$4,入力シート!$J$22=入力リスト!$K$4),IF(C232="","入社年月日",""),"")&amp;IF(AND(C232="",D232=""),",","")&amp;IF(D232="","性別","")&amp;IF(IF(A232="","従業員番号","")&amp;IF(B232="","雇用形態","")&amp;IF(OR(入力シート!$J$18=入力リスト!$K$4,入力シート!$J$22=入力リスト!$K$4),IF(C232="","入社年月日",""),"")&amp;IF(D232="","性別","")="","","が空白です。"),IF(J232,"入社年月日に「基準日」の翌日以降の日付が入力されています。","")&amp;IF(I232,"入社年月日に数値以外（又は1900/1/1以前の日付）が入力されています。","")&amp;IF(H232,"雇用形態"&amp;IF(OR(K232,L232),",",""),"")&amp;IF(K232,"性別"&amp;IF(L232,",",""),"")&amp;IF(L232,"役職","")&amp;IF(OR(H232,K232,L232),"に、［入力シート］(4)「貴社」欄と異なる文言が入力されています。","")))))</f>
        <v/>
      </c>
      <c r="G232" s="236" t="b">
        <f>COUNTIF($A$4:A231,$A232)&gt;0</f>
        <v>0</v>
      </c>
      <c r="H232" s="237" t="b">
        <f>IF(COUNTIF(入力シート!$J$16:$S$23,入力リスト!$K$4)=0,FALSE,IF(入力シート!$J$16=入力リスト!$K$5,FALSE,ISERROR(VLOOKUP(B232,入力シート!$S$37:$V$62,1,0))))</f>
        <v>0</v>
      </c>
      <c r="I232" s="237" t="b">
        <f>IF(AND(OR(入力シート!$J$18=入力リスト!$K$4,入力シート!$J$22=入力リスト!$K$4),入力シート!$J$24&lt;&gt;""),IF(ISERROR(C232+1),TRUE,IF(ISNUMBER(C232),FALSE,TRUE)),FALSE)</f>
        <v>0</v>
      </c>
      <c r="J232" s="237" t="b">
        <f>IF(AND(入力シート!$J$18=入力リスト!$K$4,入力シート!$J$22=入力リスト!$K$4),FALSE,IF(I232=TRUE,FALSE,IF(ISERROR(C232+1),FALSE,C232&gt;入力シート!$J$24)))</f>
        <v>0</v>
      </c>
      <c r="K232" s="237" t="b">
        <f>IF(COUNTIF(入力シート!$J$16:$S$23,入力リスト!$K$4)=0,FALSE,IF(AND(入力シート!$J$16&lt;&gt;入力リスト!$K$5,入力シート!$J$18&lt;&gt;入力リスト!$K$5,入力シート!$J$20&lt;&gt;入力リスト!$K$5,入力シート!$J$22&lt;&gt;入力リスト!$K$5),FALSE,ISERROR(VLOOKUP(D232,入力シート!$AW$37:$AY$38,1,0))))</f>
        <v>0</v>
      </c>
      <c r="L232" s="237" t="b">
        <f>IF(COUNTIF(入力シート!$J$16:$S$23,入力リスト!$K$4)=0,FALSE,IF(入力シート!$J$20=入力リスト!$K$5,FALSE,IF(E232="",FALSE,ISERROR(VLOOKUP(E232,入力シート!$AH$37:$AK$62,1,0)))))</f>
        <v>0</v>
      </c>
      <c r="M232" s="238" t="str">
        <f t="shared" si="3"/>
        <v/>
      </c>
      <c r="N232" s="236" t="str">
        <f>IF(B232="","",VLOOKUP('従業員情報(給与以外)'!$B232,入力シート!$S$37:$Z$62,5,0))</f>
        <v/>
      </c>
      <c r="O232" s="182" t="str">
        <f>IF(ISNUMBER(C232)=FALSE,"",IF(C232&gt;入力シート!$J$24,"",_xlfn.DAYS(入力シート!$J$24,'従業員情報(給与以外)'!$C232)/365))</f>
        <v/>
      </c>
      <c r="P232" s="237" t="str">
        <f>IF(O232="","",VLOOKUP(_xlfn.DAYS(入力シート!$J$24,'従業員情報(給与以外)'!$C232)/365,入力リスト!$H$4:$I$12,2,2))</f>
        <v/>
      </c>
      <c r="Q232" s="236" t="str">
        <f>IF(D232="","",VLOOKUP('従業員情報(給与以外)'!$D232,入力シート!$AW$37:$BB$38,4,0))</f>
        <v/>
      </c>
      <c r="R232" s="236" t="str">
        <f>IF(A232="","",IF(E232="","非役職",VLOOKUP('従業員情報(給与以外)'!$E232,入力シート!$AH$37:$AO$62,5,0)))</f>
        <v/>
      </c>
      <c r="S232" s="116" t="str">
        <f>IF(OR(入力シート!$C$5&lt;&gt;入力リスト!$N$4,COUNTIF(入力シート!$J$16:$S$23,入力リスト!$K$4)=0),"",IF($A232="","",IF(ISERROR(AVERAGEIF(従業員の給与情報!$B:$B,$A232,従業員の給与情報!$C:$C)),0,IF(ISERROR(AVERAGEIF(従業員の給与情報!$B:$B,$A232,従業員の給与情報!$C:$C)),0,AVERAGEIF(従業員の給与情報!$B:$B,$A232,従業員の給与情報!$C:$C)))))</f>
        <v/>
      </c>
      <c r="T232" s="116" t="str">
        <f>IF(OR(入力シート!$C$5&lt;&gt;入力リスト!$N$4,COUNTIF(入力シート!$J$16:$S$23,入力リスト!$K$4)=0),"",IF(A232="","",IF(ISERROR(AVERAGEIF(従業員の給与情報!$B:$B,$A232,従業員の給与情報!$D:$D)),0,IF(ISERROR(AVERAGEIF(従業員の給与情報!$B:$B,$A232,従業員の給与情報!$D:$D)),0,AVERAGEIF(従業員の給与情報!$B:$B,$A232,従業員の給与情報!$D:$D)))))</f>
        <v/>
      </c>
      <c r="U232" s="116" t="str">
        <f>IF(OR(入力シート!$C$5&lt;&gt;入力リスト!$N$4,COUNTIF(入力シート!$J$16:$S$23,入力リスト!$K$4)=0),"",IF(A232="","",IF(ISERROR(AVERAGEIF(従業員の給与情報!$B:$B,$A232,従業員の給与情報!$E:$E)),0,IF(ISERROR(AVERAGEIF(従業員の給与情報!$B:$B,$A232,従業員の給与情報!$E:$E)),0,AVERAGEIF(従業員の給与情報!$B:$B,$A232,従業員の給与情報!$E:$E)))))</f>
        <v/>
      </c>
      <c r="V232" s="117" t="str">
        <f>IF(OR(入力シート!$C$5&lt;&gt;入力リスト!$N$4,COUNTIF(入力シート!$J$16:$S$23,入力リスト!$K$4)=0),"",IF(A232="","",IF(ISERROR(AVERAGEIF(従業員の給与情報!$B:$B,$A232,従業員の給与情報!$F:$F)),0,IF(ISERROR(AVERAGEIF(従業員の給与情報!$B:$B,$A232,従業員の給与情報!$F:$F)),0,AVERAGEIF(従業員の給与情報!$B:$B,$A232,従業員の給与情報!$F:$F)))))</f>
        <v/>
      </c>
      <c r="W232" s="182"/>
      <c r="X232" s="260"/>
    </row>
    <row r="233" spans="1:24">
      <c r="A233" s="368"/>
      <c r="B233" s="361"/>
      <c r="C233" s="362"/>
      <c r="D233" s="361"/>
      <c r="E233" s="361"/>
      <c r="F233" s="372" t="str">
        <f>IF(G233,"この従業員番号は、すでに他のセルで入力されています。",IF(入力シート!$C$5=入力リスト!$N$5,"",IF(AND(A233="",B233="",C233="",D233="",E233=""),"",IF(OR(A233="",B233="",C233="",D233=""),IF(A233="","従業員番号","")&amp;IF(AND(A233="",OR(B233="",C233="",D233="")),",","")&amp;IF(B233="","雇用形態","")&amp;IF(AND(B233="",OR(C233="",D233="")),",","")&amp;IF(OR(入力シート!$J$18=入力リスト!$K$4,入力シート!$J$22=入力リスト!$K$4),IF(C233="","入社年月日",""),"")&amp;IF(AND(C233="",D233=""),",","")&amp;IF(D233="","性別","")&amp;IF(IF(A233="","従業員番号","")&amp;IF(B233="","雇用形態","")&amp;IF(OR(入力シート!$J$18=入力リスト!$K$4,入力シート!$J$22=入力リスト!$K$4),IF(C233="","入社年月日",""),"")&amp;IF(D233="","性別","")="","","が空白です。"),IF(J233,"入社年月日に「基準日」の翌日以降の日付が入力されています。","")&amp;IF(I233,"入社年月日に数値以外（又は1900/1/1以前の日付）が入力されています。","")&amp;IF(H233,"雇用形態"&amp;IF(OR(K233,L233),",",""),"")&amp;IF(K233,"性別"&amp;IF(L233,",",""),"")&amp;IF(L233,"役職","")&amp;IF(OR(H233,K233,L233),"に、［入力シート］(4)「貴社」欄と異なる文言が入力されています。","")))))</f>
        <v/>
      </c>
      <c r="G233" s="236" t="b">
        <f>COUNTIF($A$4:A232,$A233)&gt;0</f>
        <v>0</v>
      </c>
      <c r="H233" s="237" t="b">
        <f>IF(COUNTIF(入力シート!$J$16:$S$23,入力リスト!$K$4)=0,FALSE,IF(入力シート!$J$16=入力リスト!$K$5,FALSE,ISERROR(VLOOKUP(B233,入力シート!$S$37:$V$62,1,0))))</f>
        <v>0</v>
      </c>
      <c r="I233" s="237" t="b">
        <f>IF(AND(OR(入力シート!$J$18=入力リスト!$K$4,入力シート!$J$22=入力リスト!$K$4),入力シート!$J$24&lt;&gt;""),IF(ISERROR(C233+1),TRUE,IF(ISNUMBER(C233),FALSE,TRUE)),FALSE)</f>
        <v>0</v>
      </c>
      <c r="J233" s="237" t="b">
        <f>IF(AND(入力シート!$J$18=入力リスト!$K$4,入力シート!$J$22=入力リスト!$K$4),FALSE,IF(I233=TRUE,FALSE,IF(ISERROR(C233+1),FALSE,C233&gt;入力シート!$J$24)))</f>
        <v>0</v>
      </c>
      <c r="K233" s="237" t="b">
        <f>IF(COUNTIF(入力シート!$J$16:$S$23,入力リスト!$K$4)=0,FALSE,IF(AND(入力シート!$J$16&lt;&gt;入力リスト!$K$5,入力シート!$J$18&lt;&gt;入力リスト!$K$5,入力シート!$J$20&lt;&gt;入力リスト!$K$5,入力シート!$J$22&lt;&gt;入力リスト!$K$5),FALSE,ISERROR(VLOOKUP(D233,入力シート!$AW$37:$AY$38,1,0))))</f>
        <v>0</v>
      </c>
      <c r="L233" s="237" t="b">
        <f>IF(COUNTIF(入力シート!$J$16:$S$23,入力リスト!$K$4)=0,FALSE,IF(入力シート!$J$20=入力リスト!$K$5,FALSE,IF(E233="",FALSE,ISERROR(VLOOKUP(E233,入力シート!$AH$37:$AK$62,1,0)))))</f>
        <v>0</v>
      </c>
      <c r="M233" s="238" t="str">
        <f t="shared" si="3"/>
        <v/>
      </c>
      <c r="N233" s="236" t="str">
        <f>IF(B233="","",VLOOKUP('従業員情報(給与以外)'!$B233,入力シート!$S$37:$Z$62,5,0))</f>
        <v/>
      </c>
      <c r="O233" s="182" t="str">
        <f>IF(ISNUMBER(C233)=FALSE,"",IF(C233&gt;入力シート!$J$24,"",_xlfn.DAYS(入力シート!$J$24,'従業員情報(給与以外)'!$C233)/365))</f>
        <v/>
      </c>
      <c r="P233" s="237" t="str">
        <f>IF(O233="","",VLOOKUP(_xlfn.DAYS(入力シート!$J$24,'従業員情報(給与以外)'!$C233)/365,入力リスト!$H$4:$I$12,2,2))</f>
        <v/>
      </c>
      <c r="Q233" s="236" t="str">
        <f>IF(D233="","",VLOOKUP('従業員情報(給与以外)'!$D233,入力シート!$AW$37:$BB$38,4,0))</f>
        <v/>
      </c>
      <c r="R233" s="236" t="str">
        <f>IF(A233="","",IF(E233="","非役職",VLOOKUP('従業員情報(給与以外)'!$E233,入力シート!$AH$37:$AO$62,5,0)))</f>
        <v/>
      </c>
      <c r="S233" s="116" t="str">
        <f>IF(OR(入力シート!$C$5&lt;&gt;入力リスト!$N$4,COUNTIF(入力シート!$J$16:$S$23,入力リスト!$K$4)=0),"",IF($A233="","",IF(ISERROR(AVERAGEIF(従業員の給与情報!$B:$B,$A233,従業員の給与情報!$C:$C)),0,IF(ISERROR(AVERAGEIF(従業員の給与情報!$B:$B,$A233,従業員の給与情報!$C:$C)),0,AVERAGEIF(従業員の給与情報!$B:$B,$A233,従業員の給与情報!$C:$C)))))</f>
        <v/>
      </c>
      <c r="T233" s="116" t="str">
        <f>IF(OR(入力シート!$C$5&lt;&gt;入力リスト!$N$4,COUNTIF(入力シート!$J$16:$S$23,入力リスト!$K$4)=0),"",IF(A233="","",IF(ISERROR(AVERAGEIF(従業員の給与情報!$B:$B,$A233,従業員の給与情報!$D:$D)),0,IF(ISERROR(AVERAGEIF(従業員の給与情報!$B:$B,$A233,従業員の給与情報!$D:$D)),0,AVERAGEIF(従業員の給与情報!$B:$B,$A233,従業員の給与情報!$D:$D)))))</f>
        <v/>
      </c>
      <c r="U233" s="116" t="str">
        <f>IF(OR(入力シート!$C$5&lt;&gt;入力リスト!$N$4,COUNTIF(入力シート!$J$16:$S$23,入力リスト!$K$4)=0),"",IF(A233="","",IF(ISERROR(AVERAGEIF(従業員の給与情報!$B:$B,$A233,従業員の給与情報!$E:$E)),0,IF(ISERROR(AVERAGEIF(従業員の給与情報!$B:$B,$A233,従業員の給与情報!$E:$E)),0,AVERAGEIF(従業員の給与情報!$B:$B,$A233,従業員の給与情報!$E:$E)))))</f>
        <v/>
      </c>
      <c r="V233" s="117" t="str">
        <f>IF(OR(入力シート!$C$5&lt;&gt;入力リスト!$N$4,COUNTIF(入力シート!$J$16:$S$23,入力リスト!$K$4)=0),"",IF(A233="","",IF(ISERROR(AVERAGEIF(従業員の給与情報!$B:$B,$A233,従業員の給与情報!$F:$F)),0,IF(ISERROR(AVERAGEIF(従業員の給与情報!$B:$B,$A233,従業員の給与情報!$F:$F)),0,AVERAGEIF(従業員の給与情報!$B:$B,$A233,従業員の給与情報!$F:$F)))))</f>
        <v/>
      </c>
      <c r="W233" s="182"/>
      <c r="X233" s="260"/>
    </row>
    <row r="234" spans="1:24">
      <c r="A234" s="368"/>
      <c r="B234" s="361"/>
      <c r="C234" s="362"/>
      <c r="D234" s="361"/>
      <c r="E234" s="361"/>
      <c r="F234" s="372" t="str">
        <f>IF(G234,"この従業員番号は、すでに他のセルで入力されています。",IF(入力シート!$C$5=入力リスト!$N$5,"",IF(AND(A234="",B234="",C234="",D234="",E234=""),"",IF(OR(A234="",B234="",C234="",D234=""),IF(A234="","従業員番号","")&amp;IF(AND(A234="",OR(B234="",C234="",D234="")),",","")&amp;IF(B234="","雇用形態","")&amp;IF(AND(B234="",OR(C234="",D234="")),",","")&amp;IF(OR(入力シート!$J$18=入力リスト!$K$4,入力シート!$J$22=入力リスト!$K$4),IF(C234="","入社年月日",""),"")&amp;IF(AND(C234="",D234=""),",","")&amp;IF(D234="","性別","")&amp;IF(IF(A234="","従業員番号","")&amp;IF(B234="","雇用形態","")&amp;IF(OR(入力シート!$J$18=入力リスト!$K$4,入力シート!$J$22=入力リスト!$K$4),IF(C234="","入社年月日",""),"")&amp;IF(D234="","性別","")="","","が空白です。"),IF(J234,"入社年月日に「基準日」の翌日以降の日付が入力されています。","")&amp;IF(I234,"入社年月日に数値以外（又は1900/1/1以前の日付）が入力されています。","")&amp;IF(H234,"雇用形態"&amp;IF(OR(K234,L234),",",""),"")&amp;IF(K234,"性別"&amp;IF(L234,",",""),"")&amp;IF(L234,"役職","")&amp;IF(OR(H234,K234,L234),"に、［入力シート］(4)「貴社」欄と異なる文言が入力されています。","")))))</f>
        <v/>
      </c>
      <c r="G234" s="236" t="b">
        <f>COUNTIF($A$4:A233,$A234)&gt;0</f>
        <v>0</v>
      </c>
      <c r="H234" s="237" t="b">
        <f>IF(COUNTIF(入力シート!$J$16:$S$23,入力リスト!$K$4)=0,FALSE,IF(入力シート!$J$16=入力リスト!$K$5,FALSE,ISERROR(VLOOKUP(B234,入力シート!$S$37:$V$62,1,0))))</f>
        <v>0</v>
      </c>
      <c r="I234" s="237" t="b">
        <f>IF(AND(OR(入力シート!$J$18=入力リスト!$K$4,入力シート!$J$22=入力リスト!$K$4),入力シート!$J$24&lt;&gt;""),IF(ISERROR(C234+1),TRUE,IF(ISNUMBER(C234),FALSE,TRUE)),FALSE)</f>
        <v>0</v>
      </c>
      <c r="J234" s="237" t="b">
        <f>IF(AND(入力シート!$J$18=入力リスト!$K$4,入力シート!$J$22=入力リスト!$K$4),FALSE,IF(I234=TRUE,FALSE,IF(ISERROR(C234+1),FALSE,C234&gt;入力シート!$J$24)))</f>
        <v>0</v>
      </c>
      <c r="K234" s="237" t="b">
        <f>IF(COUNTIF(入力シート!$J$16:$S$23,入力リスト!$K$4)=0,FALSE,IF(AND(入力シート!$J$16&lt;&gt;入力リスト!$K$5,入力シート!$J$18&lt;&gt;入力リスト!$K$5,入力シート!$J$20&lt;&gt;入力リスト!$K$5,入力シート!$J$22&lt;&gt;入力リスト!$K$5),FALSE,ISERROR(VLOOKUP(D234,入力シート!$AW$37:$AY$38,1,0))))</f>
        <v>0</v>
      </c>
      <c r="L234" s="237" t="b">
        <f>IF(COUNTIF(入力シート!$J$16:$S$23,入力リスト!$K$4)=0,FALSE,IF(入力シート!$J$20=入力リスト!$K$5,FALSE,IF(E234="",FALSE,ISERROR(VLOOKUP(E234,入力シート!$AH$37:$AK$62,1,0)))))</f>
        <v>0</v>
      </c>
      <c r="M234" s="238" t="str">
        <f t="shared" si="3"/>
        <v/>
      </c>
      <c r="N234" s="236" t="str">
        <f>IF(B234="","",VLOOKUP('従業員情報(給与以外)'!$B234,入力シート!$S$37:$Z$62,5,0))</f>
        <v/>
      </c>
      <c r="O234" s="182" t="str">
        <f>IF(ISNUMBER(C234)=FALSE,"",IF(C234&gt;入力シート!$J$24,"",_xlfn.DAYS(入力シート!$J$24,'従業員情報(給与以外)'!$C234)/365))</f>
        <v/>
      </c>
      <c r="P234" s="237" t="str">
        <f>IF(O234="","",VLOOKUP(_xlfn.DAYS(入力シート!$J$24,'従業員情報(給与以外)'!$C234)/365,入力リスト!$H$4:$I$12,2,2))</f>
        <v/>
      </c>
      <c r="Q234" s="236" t="str">
        <f>IF(D234="","",VLOOKUP('従業員情報(給与以外)'!$D234,入力シート!$AW$37:$BB$38,4,0))</f>
        <v/>
      </c>
      <c r="R234" s="236" t="str">
        <f>IF(A234="","",IF(E234="","非役職",VLOOKUP('従業員情報(給与以外)'!$E234,入力シート!$AH$37:$AO$62,5,0)))</f>
        <v/>
      </c>
      <c r="S234" s="116" t="str">
        <f>IF(OR(入力シート!$C$5&lt;&gt;入力リスト!$N$4,COUNTIF(入力シート!$J$16:$S$23,入力リスト!$K$4)=0),"",IF($A234="","",IF(ISERROR(AVERAGEIF(従業員の給与情報!$B:$B,$A234,従業員の給与情報!$C:$C)),0,IF(ISERROR(AVERAGEIF(従業員の給与情報!$B:$B,$A234,従業員の給与情報!$C:$C)),0,AVERAGEIF(従業員の給与情報!$B:$B,$A234,従業員の給与情報!$C:$C)))))</f>
        <v/>
      </c>
      <c r="T234" s="116" t="str">
        <f>IF(OR(入力シート!$C$5&lt;&gt;入力リスト!$N$4,COUNTIF(入力シート!$J$16:$S$23,入力リスト!$K$4)=0),"",IF(A234="","",IF(ISERROR(AVERAGEIF(従業員の給与情報!$B:$B,$A234,従業員の給与情報!$D:$D)),0,IF(ISERROR(AVERAGEIF(従業員の給与情報!$B:$B,$A234,従業員の給与情報!$D:$D)),0,AVERAGEIF(従業員の給与情報!$B:$B,$A234,従業員の給与情報!$D:$D)))))</f>
        <v/>
      </c>
      <c r="U234" s="116" t="str">
        <f>IF(OR(入力シート!$C$5&lt;&gt;入力リスト!$N$4,COUNTIF(入力シート!$J$16:$S$23,入力リスト!$K$4)=0),"",IF(A234="","",IF(ISERROR(AVERAGEIF(従業員の給与情報!$B:$B,$A234,従業員の給与情報!$E:$E)),0,IF(ISERROR(AVERAGEIF(従業員の給与情報!$B:$B,$A234,従業員の給与情報!$E:$E)),0,AVERAGEIF(従業員の給与情報!$B:$B,$A234,従業員の給与情報!$E:$E)))))</f>
        <v/>
      </c>
      <c r="V234" s="117" t="str">
        <f>IF(OR(入力シート!$C$5&lt;&gt;入力リスト!$N$4,COUNTIF(入力シート!$J$16:$S$23,入力リスト!$K$4)=0),"",IF(A234="","",IF(ISERROR(AVERAGEIF(従業員の給与情報!$B:$B,$A234,従業員の給与情報!$F:$F)),0,IF(ISERROR(AVERAGEIF(従業員の給与情報!$B:$B,$A234,従業員の給与情報!$F:$F)),0,AVERAGEIF(従業員の給与情報!$B:$B,$A234,従業員の給与情報!$F:$F)))))</f>
        <v/>
      </c>
      <c r="W234" s="182"/>
      <c r="X234" s="260"/>
    </row>
    <row r="235" spans="1:24">
      <c r="A235" s="368"/>
      <c r="B235" s="361"/>
      <c r="C235" s="362"/>
      <c r="D235" s="361"/>
      <c r="E235" s="361"/>
      <c r="F235" s="372" t="str">
        <f>IF(G235,"この従業員番号は、すでに他のセルで入力されています。",IF(入力シート!$C$5=入力リスト!$N$5,"",IF(AND(A235="",B235="",C235="",D235="",E235=""),"",IF(OR(A235="",B235="",C235="",D235=""),IF(A235="","従業員番号","")&amp;IF(AND(A235="",OR(B235="",C235="",D235="")),",","")&amp;IF(B235="","雇用形態","")&amp;IF(AND(B235="",OR(C235="",D235="")),",","")&amp;IF(OR(入力シート!$J$18=入力リスト!$K$4,入力シート!$J$22=入力リスト!$K$4),IF(C235="","入社年月日",""),"")&amp;IF(AND(C235="",D235=""),",","")&amp;IF(D235="","性別","")&amp;IF(IF(A235="","従業員番号","")&amp;IF(B235="","雇用形態","")&amp;IF(OR(入力シート!$J$18=入力リスト!$K$4,入力シート!$J$22=入力リスト!$K$4),IF(C235="","入社年月日",""),"")&amp;IF(D235="","性別","")="","","が空白です。"),IF(J235,"入社年月日に「基準日」の翌日以降の日付が入力されています。","")&amp;IF(I235,"入社年月日に数値以外（又は1900/1/1以前の日付）が入力されています。","")&amp;IF(H235,"雇用形態"&amp;IF(OR(K235,L235),",",""),"")&amp;IF(K235,"性別"&amp;IF(L235,",",""),"")&amp;IF(L235,"役職","")&amp;IF(OR(H235,K235,L235),"に、［入力シート］(4)「貴社」欄と異なる文言が入力されています。","")))))</f>
        <v/>
      </c>
      <c r="G235" s="236" t="b">
        <f>COUNTIF($A$4:A234,$A235)&gt;0</f>
        <v>0</v>
      </c>
      <c r="H235" s="237" t="b">
        <f>IF(COUNTIF(入力シート!$J$16:$S$23,入力リスト!$K$4)=0,FALSE,IF(入力シート!$J$16=入力リスト!$K$5,FALSE,ISERROR(VLOOKUP(B235,入力シート!$S$37:$V$62,1,0))))</f>
        <v>0</v>
      </c>
      <c r="I235" s="237" t="b">
        <f>IF(AND(OR(入力シート!$J$18=入力リスト!$K$4,入力シート!$J$22=入力リスト!$K$4),入力シート!$J$24&lt;&gt;""),IF(ISERROR(C235+1),TRUE,IF(ISNUMBER(C235),FALSE,TRUE)),FALSE)</f>
        <v>0</v>
      </c>
      <c r="J235" s="237" t="b">
        <f>IF(AND(入力シート!$J$18=入力リスト!$K$4,入力シート!$J$22=入力リスト!$K$4),FALSE,IF(I235=TRUE,FALSE,IF(ISERROR(C235+1),FALSE,C235&gt;入力シート!$J$24)))</f>
        <v>0</v>
      </c>
      <c r="K235" s="237" t="b">
        <f>IF(COUNTIF(入力シート!$J$16:$S$23,入力リスト!$K$4)=0,FALSE,IF(AND(入力シート!$J$16&lt;&gt;入力リスト!$K$5,入力シート!$J$18&lt;&gt;入力リスト!$K$5,入力シート!$J$20&lt;&gt;入力リスト!$K$5,入力シート!$J$22&lt;&gt;入力リスト!$K$5),FALSE,ISERROR(VLOOKUP(D235,入力シート!$AW$37:$AY$38,1,0))))</f>
        <v>0</v>
      </c>
      <c r="L235" s="237" t="b">
        <f>IF(COUNTIF(入力シート!$J$16:$S$23,入力リスト!$K$4)=0,FALSE,IF(入力シート!$J$20=入力リスト!$K$5,FALSE,IF(E235="",FALSE,ISERROR(VLOOKUP(E235,入力シート!$AH$37:$AK$62,1,0)))))</f>
        <v>0</v>
      </c>
      <c r="M235" s="238" t="str">
        <f t="shared" si="3"/>
        <v/>
      </c>
      <c r="N235" s="236" t="str">
        <f>IF(B235="","",VLOOKUP('従業員情報(給与以外)'!$B235,入力シート!$S$37:$Z$62,5,0))</f>
        <v/>
      </c>
      <c r="O235" s="182" t="str">
        <f>IF(ISNUMBER(C235)=FALSE,"",IF(C235&gt;入力シート!$J$24,"",_xlfn.DAYS(入力シート!$J$24,'従業員情報(給与以外)'!$C235)/365))</f>
        <v/>
      </c>
      <c r="P235" s="237" t="str">
        <f>IF(O235="","",VLOOKUP(_xlfn.DAYS(入力シート!$J$24,'従業員情報(給与以外)'!$C235)/365,入力リスト!$H$4:$I$12,2,2))</f>
        <v/>
      </c>
      <c r="Q235" s="236" t="str">
        <f>IF(D235="","",VLOOKUP('従業員情報(給与以外)'!$D235,入力シート!$AW$37:$BB$38,4,0))</f>
        <v/>
      </c>
      <c r="R235" s="236" t="str">
        <f>IF(A235="","",IF(E235="","非役職",VLOOKUP('従業員情報(給与以外)'!$E235,入力シート!$AH$37:$AO$62,5,0)))</f>
        <v/>
      </c>
      <c r="S235" s="116" t="str">
        <f>IF(OR(入力シート!$C$5&lt;&gt;入力リスト!$N$4,COUNTIF(入力シート!$J$16:$S$23,入力リスト!$K$4)=0),"",IF($A235="","",IF(ISERROR(AVERAGEIF(従業員の給与情報!$B:$B,$A235,従業員の給与情報!$C:$C)),0,IF(ISERROR(AVERAGEIF(従業員の給与情報!$B:$B,$A235,従業員の給与情報!$C:$C)),0,AVERAGEIF(従業員の給与情報!$B:$B,$A235,従業員の給与情報!$C:$C)))))</f>
        <v/>
      </c>
      <c r="T235" s="116" t="str">
        <f>IF(OR(入力シート!$C$5&lt;&gt;入力リスト!$N$4,COUNTIF(入力シート!$J$16:$S$23,入力リスト!$K$4)=0),"",IF(A235="","",IF(ISERROR(AVERAGEIF(従業員の給与情報!$B:$B,$A235,従業員の給与情報!$D:$D)),0,IF(ISERROR(AVERAGEIF(従業員の給与情報!$B:$B,$A235,従業員の給与情報!$D:$D)),0,AVERAGEIF(従業員の給与情報!$B:$B,$A235,従業員の給与情報!$D:$D)))))</f>
        <v/>
      </c>
      <c r="U235" s="116" t="str">
        <f>IF(OR(入力シート!$C$5&lt;&gt;入力リスト!$N$4,COUNTIF(入力シート!$J$16:$S$23,入力リスト!$K$4)=0),"",IF(A235="","",IF(ISERROR(AVERAGEIF(従業員の給与情報!$B:$B,$A235,従業員の給与情報!$E:$E)),0,IF(ISERROR(AVERAGEIF(従業員の給与情報!$B:$B,$A235,従業員の給与情報!$E:$E)),0,AVERAGEIF(従業員の給与情報!$B:$B,$A235,従業員の給与情報!$E:$E)))))</f>
        <v/>
      </c>
      <c r="V235" s="117" t="str">
        <f>IF(OR(入力シート!$C$5&lt;&gt;入力リスト!$N$4,COUNTIF(入力シート!$J$16:$S$23,入力リスト!$K$4)=0),"",IF(A235="","",IF(ISERROR(AVERAGEIF(従業員の給与情報!$B:$B,$A235,従業員の給与情報!$F:$F)),0,IF(ISERROR(AVERAGEIF(従業員の給与情報!$B:$B,$A235,従業員の給与情報!$F:$F)),0,AVERAGEIF(従業員の給与情報!$B:$B,$A235,従業員の給与情報!$F:$F)))))</f>
        <v/>
      </c>
      <c r="W235" s="182"/>
      <c r="X235" s="260"/>
    </row>
    <row r="236" spans="1:24">
      <c r="A236" s="368"/>
      <c r="B236" s="361"/>
      <c r="C236" s="362"/>
      <c r="D236" s="361"/>
      <c r="E236" s="361"/>
      <c r="F236" s="372" t="str">
        <f>IF(G236,"この従業員番号は、すでに他のセルで入力されています。",IF(入力シート!$C$5=入力リスト!$N$5,"",IF(AND(A236="",B236="",C236="",D236="",E236=""),"",IF(OR(A236="",B236="",C236="",D236=""),IF(A236="","従業員番号","")&amp;IF(AND(A236="",OR(B236="",C236="",D236="")),",","")&amp;IF(B236="","雇用形態","")&amp;IF(AND(B236="",OR(C236="",D236="")),",","")&amp;IF(OR(入力シート!$J$18=入力リスト!$K$4,入力シート!$J$22=入力リスト!$K$4),IF(C236="","入社年月日",""),"")&amp;IF(AND(C236="",D236=""),",","")&amp;IF(D236="","性別","")&amp;IF(IF(A236="","従業員番号","")&amp;IF(B236="","雇用形態","")&amp;IF(OR(入力シート!$J$18=入力リスト!$K$4,入力シート!$J$22=入力リスト!$K$4),IF(C236="","入社年月日",""),"")&amp;IF(D236="","性別","")="","","が空白です。"),IF(J236,"入社年月日に「基準日」の翌日以降の日付が入力されています。","")&amp;IF(I236,"入社年月日に数値以外（又は1900/1/1以前の日付）が入力されています。","")&amp;IF(H236,"雇用形態"&amp;IF(OR(K236,L236),",",""),"")&amp;IF(K236,"性別"&amp;IF(L236,",",""),"")&amp;IF(L236,"役職","")&amp;IF(OR(H236,K236,L236),"に、［入力シート］(4)「貴社」欄と異なる文言が入力されています。","")))))</f>
        <v/>
      </c>
      <c r="G236" s="236" t="b">
        <f>COUNTIF($A$4:A235,$A236)&gt;0</f>
        <v>0</v>
      </c>
      <c r="H236" s="237" t="b">
        <f>IF(COUNTIF(入力シート!$J$16:$S$23,入力リスト!$K$4)=0,FALSE,IF(入力シート!$J$16=入力リスト!$K$5,FALSE,ISERROR(VLOOKUP(B236,入力シート!$S$37:$V$62,1,0))))</f>
        <v>0</v>
      </c>
      <c r="I236" s="237" t="b">
        <f>IF(AND(OR(入力シート!$J$18=入力リスト!$K$4,入力シート!$J$22=入力リスト!$K$4),入力シート!$J$24&lt;&gt;""),IF(ISERROR(C236+1),TRUE,IF(ISNUMBER(C236),FALSE,TRUE)),FALSE)</f>
        <v>0</v>
      </c>
      <c r="J236" s="237" t="b">
        <f>IF(AND(入力シート!$J$18=入力リスト!$K$4,入力シート!$J$22=入力リスト!$K$4),FALSE,IF(I236=TRUE,FALSE,IF(ISERROR(C236+1),FALSE,C236&gt;入力シート!$J$24)))</f>
        <v>0</v>
      </c>
      <c r="K236" s="237" t="b">
        <f>IF(COUNTIF(入力シート!$J$16:$S$23,入力リスト!$K$4)=0,FALSE,IF(AND(入力シート!$J$16&lt;&gt;入力リスト!$K$5,入力シート!$J$18&lt;&gt;入力リスト!$K$5,入力シート!$J$20&lt;&gt;入力リスト!$K$5,入力シート!$J$22&lt;&gt;入力リスト!$K$5),FALSE,ISERROR(VLOOKUP(D236,入力シート!$AW$37:$AY$38,1,0))))</f>
        <v>0</v>
      </c>
      <c r="L236" s="237" t="b">
        <f>IF(COUNTIF(入力シート!$J$16:$S$23,入力リスト!$K$4)=0,FALSE,IF(入力シート!$J$20=入力リスト!$K$5,FALSE,IF(E236="",FALSE,ISERROR(VLOOKUP(E236,入力シート!$AH$37:$AK$62,1,0)))))</f>
        <v>0</v>
      </c>
      <c r="M236" s="238" t="str">
        <f t="shared" si="3"/>
        <v/>
      </c>
      <c r="N236" s="236" t="str">
        <f>IF(B236="","",VLOOKUP('従業員情報(給与以外)'!$B236,入力シート!$S$37:$Z$62,5,0))</f>
        <v/>
      </c>
      <c r="O236" s="182" t="str">
        <f>IF(ISNUMBER(C236)=FALSE,"",IF(C236&gt;入力シート!$J$24,"",_xlfn.DAYS(入力シート!$J$24,'従業員情報(給与以外)'!$C236)/365))</f>
        <v/>
      </c>
      <c r="P236" s="237" t="str">
        <f>IF(O236="","",VLOOKUP(_xlfn.DAYS(入力シート!$J$24,'従業員情報(給与以外)'!$C236)/365,入力リスト!$H$4:$I$12,2,2))</f>
        <v/>
      </c>
      <c r="Q236" s="236" t="str">
        <f>IF(D236="","",VLOOKUP('従業員情報(給与以外)'!$D236,入力シート!$AW$37:$BB$38,4,0))</f>
        <v/>
      </c>
      <c r="R236" s="236" t="str">
        <f>IF(A236="","",IF(E236="","非役職",VLOOKUP('従業員情報(給与以外)'!$E236,入力シート!$AH$37:$AO$62,5,0)))</f>
        <v/>
      </c>
      <c r="S236" s="116" t="str">
        <f>IF(OR(入力シート!$C$5&lt;&gt;入力リスト!$N$4,COUNTIF(入力シート!$J$16:$S$23,入力リスト!$K$4)=0),"",IF($A236="","",IF(ISERROR(AVERAGEIF(従業員の給与情報!$B:$B,$A236,従業員の給与情報!$C:$C)),0,IF(ISERROR(AVERAGEIF(従業員の給与情報!$B:$B,$A236,従業員の給与情報!$C:$C)),0,AVERAGEIF(従業員の給与情報!$B:$B,$A236,従業員の給与情報!$C:$C)))))</f>
        <v/>
      </c>
      <c r="T236" s="116" t="str">
        <f>IF(OR(入力シート!$C$5&lt;&gt;入力リスト!$N$4,COUNTIF(入力シート!$J$16:$S$23,入力リスト!$K$4)=0),"",IF(A236="","",IF(ISERROR(AVERAGEIF(従業員の給与情報!$B:$B,$A236,従業員の給与情報!$D:$D)),0,IF(ISERROR(AVERAGEIF(従業員の給与情報!$B:$B,$A236,従業員の給与情報!$D:$D)),0,AVERAGEIF(従業員の給与情報!$B:$B,$A236,従業員の給与情報!$D:$D)))))</f>
        <v/>
      </c>
      <c r="U236" s="116" t="str">
        <f>IF(OR(入力シート!$C$5&lt;&gt;入力リスト!$N$4,COUNTIF(入力シート!$J$16:$S$23,入力リスト!$K$4)=0),"",IF(A236="","",IF(ISERROR(AVERAGEIF(従業員の給与情報!$B:$B,$A236,従業員の給与情報!$E:$E)),0,IF(ISERROR(AVERAGEIF(従業員の給与情報!$B:$B,$A236,従業員の給与情報!$E:$E)),0,AVERAGEIF(従業員の給与情報!$B:$B,$A236,従業員の給与情報!$E:$E)))))</f>
        <v/>
      </c>
      <c r="V236" s="117" t="str">
        <f>IF(OR(入力シート!$C$5&lt;&gt;入力リスト!$N$4,COUNTIF(入力シート!$J$16:$S$23,入力リスト!$K$4)=0),"",IF(A236="","",IF(ISERROR(AVERAGEIF(従業員の給与情報!$B:$B,$A236,従業員の給与情報!$F:$F)),0,IF(ISERROR(AVERAGEIF(従業員の給与情報!$B:$B,$A236,従業員の給与情報!$F:$F)),0,AVERAGEIF(従業員の給与情報!$B:$B,$A236,従業員の給与情報!$F:$F)))))</f>
        <v/>
      </c>
      <c r="W236" s="182"/>
      <c r="X236" s="260"/>
    </row>
    <row r="237" spans="1:24">
      <c r="A237" s="368"/>
      <c r="B237" s="361"/>
      <c r="C237" s="362"/>
      <c r="D237" s="361"/>
      <c r="E237" s="361"/>
      <c r="F237" s="372" t="str">
        <f>IF(G237,"この従業員番号は、すでに他のセルで入力されています。",IF(入力シート!$C$5=入力リスト!$N$5,"",IF(AND(A237="",B237="",C237="",D237="",E237=""),"",IF(OR(A237="",B237="",C237="",D237=""),IF(A237="","従業員番号","")&amp;IF(AND(A237="",OR(B237="",C237="",D237="")),",","")&amp;IF(B237="","雇用形態","")&amp;IF(AND(B237="",OR(C237="",D237="")),",","")&amp;IF(OR(入力シート!$J$18=入力リスト!$K$4,入力シート!$J$22=入力リスト!$K$4),IF(C237="","入社年月日",""),"")&amp;IF(AND(C237="",D237=""),",","")&amp;IF(D237="","性別","")&amp;IF(IF(A237="","従業員番号","")&amp;IF(B237="","雇用形態","")&amp;IF(OR(入力シート!$J$18=入力リスト!$K$4,入力シート!$J$22=入力リスト!$K$4),IF(C237="","入社年月日",""),"")&amp;IF(D237="","性別","")="","","が空白です。"),IF(J237,"入社年月日に「基準日」の翌日以降の日付が入力されています。","")&amp;IF(I237,"入社年月日に数値以外（又は1900/1/1以前の日付）が入力されています。","")&amp;IF(H237,"雇用形態"&amp;IF(OR(K237,L237),",",""),"")&amp;IF(K237,"性別"&amp;IF(L237,",",""),"")&amp;IF(L237,"役職","")&amp;IF(OR(H237,K237,L237),"に、［入力シート］(4)「貴社」欄と異なる文言が入力されています。","")))))</f>
        <v/>
      </c>
      <c r="G237" s="236" t="b">
        <f>COUNTIF($A$4:A236,$A237)&gt;0</f>
        <v>0</v>
      </c>
      <c r="H237" s="237" t="b">
        <f>IF(COUNTIF(入力シート!$J$16:$S$23,入力リスト!$K$4)=0,FALSE,IF(入力シート!$J$16=入力リスト!$K$5,FALSE,ISERROR(VLOOKUP(B237,入力シート!$S$37:$V$62,1,0))))</f>
        <v>0</v>
      </c>
      <c r="I237" s="237" t="b">
        <f>IF(AND(OR(入力シート!$J$18=入力リスト!$K$4,入力シート!$J$22=入力リスト!$K$4),入力シート!$J$24&lt;&gt;""),IF(ISERROR(C237+1),TRUE,IF(ISNUMBER(C237),FALSE,TRUE)),FALSE)</f>
        <v>0</v>
      </c>
      <c r="J237" s="237" t="b">
        <f>IF(AND(入力シート!$J$18=入力リスト!$K$4,入力シート!$J$22=入力リスト!$K$4),FALSE,IF(I237=TRUE,FALSE,IF(ISERROR(C237+1),FALSE,C237&gt;入力シート!$J$24)))</f>
        <v>0</v>
      </c>
      <c r="K237" s="237" t="b">
        <f>IF(COUNTIF(入力シート!$J$16:$S$23,入力リスト!$K$4)=0,FALSE,IF(AND(入力シート!$J$16&lt;&gt;入力リスト!$K$5,入力シート!$J$18&lt;&gt;入力リスト!$K$5,入力シート!$J$20&lt;&gt;入力リスト!$K$5,入力シート!$J$22&lt;&gt;入力リスト!$K$5),FALSE,ISERROR(VLOOKUP(D237,入力シート!$AW$37:$AY$38,1,0))))</f>
        <v>0</v>
      </c>
      <c r="L237" s="237" t="b">
        <f>IF(COUNTIF(入力シート!$J$16:$S$23,入力リスト!$K$4)=0,FALSE,IF(入力シート!$J$20=入力リスト!$K$5,FALSE,IF(E237="",FALSE,ISERROR(VLOOKUP(E237,入力シート!$AH$37:$AK$62,1,0)))))</f>
        <v>0</v>
      </c>
      <c r="M237" s="238" t="str">
        <f t="shared" si="3"/>
        <v/>
      </c>
      <c r="N237" s="236" t="str">
        <f>IF(B237="","",VLOOKUP('従業員情報(給与以外)'!$B237,入力シート!$S$37:$Z$62,5,0))</f>
        <v/>
      </c>
      <c r="O237" s="182" t="str">
        <f>IF(ISNUMBER(C237)=FALSE,"",IF(C237&gt;入力シート!$J$24,"",_xlfn.DAYS(入力シート!$J$24,'従業員情報(給与以外)'!$C237)/365))</f>
        <v/>
      </c>
      <c r="P237" s="237" t="str">
        <f>IF(O237="","",VLOOKUP(_xlfn.DAYS(入力シート!$J$24,'従業員情報(給与以外)'!$C237)/365,入力リスト!$H$4:$I$12,2,2))</f>
        <v/>
      </c>
      <c r="Q237" s="236" t="str">
        <f>IF(D237="","",VLOOKUP('従業員情報(給与以外)'!$D237,入力シート!$AW$37:$BB$38,4,0))</f>
        <v/>
      </c>
      <c r="R237" s="236" t="str">
        <f>IF(A237="","",IF(E237="","非役職",VLOOKUP('従業員情報(給与以外)'!$E237,入力シート!$AH$37:$AO$62,5,0)))</f>
        <v/>
      </c>
      <c r="S237" s="116" t="str">
        <f>IF(OR(入力シート!$C$5&lt;&gt;入力リスト!$N$4,COUNTIF(入力シート!$J$16:$S$23,入力リスト!$K$4)=0),"",IF($A237="","",IF(ISERROR(AVERAGEIF(従業員の給与情報!$B:$B,$A237,従業員の給与情報!$C:$C)),0,IF(ISERROR(AVERAGEIF(従業員の給与情報!$B:$B,$A237,従業員の給与情報!$C:$C)),0,AVERAGEIF(従業員の給与情報!$B:$B,$A237,従業員の給与情報!$C:$C)))))</f>
        <v/>
      </c>
      <c r="T237" s="116" t="str">
        <f>IF(OR(入力シート!$C$5&lt;&gt;入力リスト!$N$4,COUNTIF(入力シート!$J$16:$S$23,入力リスト!$K$4)=0),"",IF(A237="","",IF(ISERROR(AVERAGEIF(従業員の給与情報!$B:$B,$A237,従業員の給与情報!$D:$D)),0,IF(ISERROR(AVERAGEIF(従業員の給与情報!$B:$B,$A237,従業員の給与情報!$D:$D)),0,AVERAGEIF(従業員の給与情報!$B:$B,$A237,従業員の給与情報!$D:$D)))))</f>
        <v/>
      </c>
      <c r="U237" s="116" t="str">
        <f>IF(OR(入力シート!$C$5&lt;&gt;入力リスト!$N$4,COUNTIF(入力シート!$J$16:$S$23,入力リスト!$K$4)=0),"",IF(A237="","",IF(ISERROR(AVERAGEIF(従業員の給与情報!$B:$B,$A237,従業員の給与情報!$E:$E)),0,IF(ISERROR(AVERAGEIF(従業員の給与情報!$B:$B,$A237,従業員の給与情報!$E:$E)),0,AVERAGEIF(従業員の給与情報!$B:$B,$A237,従業員の給与情報!$E:$E)))))</f>
        <v/>
      </c>
      <c r="V237" s="117" t="str">
        <f>IF(OR(入力シート!$C$5&lt;&gt;入力リスト!$N$4,COUNTIF(入力シート!$J$16:$S$23,入力リスト!$K$4)=0),"",IF(A237="","",IF(ISERROR(AVERAGEIF(従業員の給与情報!$B:$B,$A237,従業員の給与情報!$F:$F)),0,IF(ISERROR(AVERAGEIF(従業員の給与情報!$B:$B,$A237,従業員の給与情報!$F:$F)),0,AVERAGEIF(従業員の給与情報!$B:$B,$A237,従業員の給与情報!$F:$F)))))</f>
        <v/>
      </c>
      <c r="W237" s="182"/>
      <c r="X237" s="260"/>
    </row>
    <row r="238" spans="1:24">
      <c r="A238" s="368"/>
      <c r="B238" s="361"/>
      <c r="C238" s="362"/>
      <c r="D238" s="361"/>
      <c r="E238" s="361"/>
      <c r="F238" s="372" t="str">
        <f>IF(G238,"この従業員番号は、すでに他のセルで入力されています。",IF(入力シート!$C$5=入力リスト!$N$5,"",IF(AND(A238="",B238="",C238="",D238="",E238=""),"",IF(OR(A238="",B238="",C238="",D238=""),IF(A238="","従業員番号","")&amp;IF(AND(A238="",OR(B238="",C238="",D238="")),",","")&amp;IF(B238="","雇用形態","")&amp;IF(AND(B238="",OR(C238="",D238="")),",","")&amp;IF(OR(入力シート!$J$18=入力リスト!$K$4,入力シート!$J$22=入力リスト!$K$4),IF(C238="","入社年月日",""),"")&amp;IF(AND(C238="",D238=""),",","")&amp;IF(D238="","性別","")&amp;IF(IF(A238="","従業員番号","")&amp;IF(B238="","雇用形態","")&amp;IF(OR(入力シート!$J$18=入力リスト!$K$4,入力シート!$J$22=入力リスト!$K$4),IF(C238="","入社年月日",""),"")&amp;IF(D238="","性別","")="","","が空白です。"),IF(J238,"入社年月日に「基準日」の翌日以降の日付が入力されています。","")&amp;IF(I238,"入社年月日に数値以外（又は1900/1/1以前の日付）が入力されています。","")&amp;IF(H238,"雇用形態"&amp;IF(OR(K238,L238),",",""),"")&amp;IF(K238,"性別"&amp;IF(L238,",",""),"")&amp;IF(L238,"役職","")&amp;IF(OR(H238,K238,L238),"に、［入力シート］(4)「貴社」欄と異なる文言が入力されています。","")))))</f>
        <v/>
      </c>
      <c r="G238" s="236" t="b">
        <f>COUNTIF($A$4:A237,$A238)&gt;0</f>
        <v>0</v>
      </c>
      <c r="H238" s="237" t="b">
        <f>IF(COUNTIF(入力シート!$J$16:$S$23,入力リスト!$K$4)=0,FALSE,IF(入力シート!$J$16=入力リスト!$K$5,FALSE,ISERROR(VLOOKUP(B238,入力シート!$S$37:$V$62,1,0))))</f>
        <v>0</v>
      </c>
      <c r="I238" s="237" t="b">
        <f>IF(AND(OR(入力シート!$J$18=入力リスト!$K$4,入力シート!$J$22=入力リスト!$K$4),入力シート!$J$24&lt;&gt;""),IF(ISERROR(C238+1),TRUE,IF(ISNUMBER(C238),FALSE,TRUE)),FALSE)</f>
        <v>0</v>
      </c>
      <c r="J238" s="237" t="b">
        <f>IF(AND(入力シート!$J$18=入力リスト!$K$4,入力シート!$J$22=入力リスト!$K$4),FALSE,IF(I238=TRUE,FALSE,IF(ISERROR(C238+1),FALSE,C238&gt;入力シート!$J$24)))</f>
        <v>0</v>
      </c>
      <c r="K238" s="237" t="b">
        <f>IF(COUNTIF(入力シート!$J$16:$S$23,入力リスト!$K$4)=0,FALSE,IF(AND(入力シート!$J$16&lt;&gt;入力リスト!$K$5,入力シート!$J$18&lt;&gt;入力リスト!$K$5,入力シート!$J$20&lt;&gt;入力リスト!$K$5,入力シート!$J$22&lt;&gt;入力リスト!$K$5),FALSE,ISERROR(VLOOKUP(D238,入力シート!$AW$37:$AY$38,1,0))))</f>
        <v>0</v>
      </c>
      <c r="L238" s="237" t="b">
        <f>IF(COUNTIF(入力シート!$J$16:$S$23,入力リスト!$K$4)=0,FALSE,IF(入力シート!$J$20=入力リスト!$K$5,FALSE,IF(E238="",FALSE,ISERROR(VLOOKUP(E238,入力シート!$AH$37:$AK$62,1,0)))))</f>
        <v>0</v>
      </c>
      <c r="M238" s="238" t="str">
        <f t="shared" si="3"/>
        <v/>
      </c>
      <c r="N238" s="236" t="str">
        <f>IF(B238="","",VLOOKUP('従業員情報(給与以外)'!$B238,入力シート!$S$37:$Z$62,5,0))</f>
        <v/>
      </c>
      <c r="O238" s="182" t="str">
        <f>IF(ISNUMBER(C238)=FALSE,"",IF(C238&gt;入力シート!$J$24,"",_xlfn.DAYS(入力シート!$J$24,'従業員情報(給与以外)'!$C238)/365))</f>
        <v/>
      </c>
      <c r="P238" s="237" t="str">
        <f>IF(O238="","",VLOOKUP(_xlfn.DAYS(入力シート!$J$24,'従業員情報(給与以外)'!$C238)/365,入力リスト!$H$4:$I$12,2,2))</f>
        <v/>
      </c>
      <c r="Q238" s="236" t="str">
        <f>IF(D238="","",VLOOKUP('従業員情報(給与以外)'!$D238,入力シート!$AW$37:$BB$38,4,0))</f>
        <v/>
      </c>
      <c r="R238" s="236" t="str">
        <f>IF(A238="","",IF(E238="","非役職",VLOOKUP('従業員情報(給与以外)'!$E238,入力シート!$AH$37:$AO$62,5,0)))</f>
        <v/>
      </c>
      <c r="S238" s="116" t="str">
        <f>IF(OR(入力シート!$C$5&lt;&gt;入力リスト!$N$4,COUNTIF(入力シート!$J$16:$S$23,入力リスト!$K$4)=0),"",IF($A238="","",IF(ISERROR(AVERAGEIF(従業員の給与情報!$B:$B,$A238,従業員の給与情報!$C:$C)),0,IF(ISERROR(AVERAGEIF(従業員の給与情報!$B:$B,$A238,従業員の給与情報!$C:$C)),0,AVERAGEIF(従業員の給与情報!$B:$B,$A238,従業員の給与情報!$C:$C)))))</f>
        <v/>
      </c>
      <c r="T238" s="116" t="str">
        <f>IF(OR(入力シート!$C$5&lt;&gt;入力リスト!$N$4,COUNTIF(入力シート!$J$16:$S$23,入力リスト!$K$4)=0),"",IF(A238="","",IF(ISERROR(AVERAGEIF(従業員の給与情報!$B:$B,$A238,従業員の給与情報!$D:$D)),0,IF(ISERROR(AVERAGEIF(従業員の給与情報!$B:$B,$A238,従業員の給与情報!$D:$D)),0,AVERAGEIF(従業員の給与情報!$B:$B,$A238,従業員の給与情報!$D:$D)))))</f>
        <v/>
      </c>
      <c r="U238" s="116" t="str">
        <f>IF(OR(入力シート!$C$5&lt;&gt;入力リスト!$N$4,COUNTIF(入力シート!$J$16:$S$23,入力リスト!$K$4)=0),"",IF(A238="","",IF(ISERROR(AVERAGEIF(従業員の給与情報!$B:$B,$A238,従業員の給与情報!$E:$E)),0,IF(ISERROR(AVERAGEIF(従業員の給与情報!$B:$B,$A238,従業員の給与情報!$E:$E)),0,AVERAGEIF(従業員の給与情報!$B:$B,$A238,従業員の給与情報!$E:$E)))))</f>
        <v/>
      </c>
      <c r="V238" s="117" t="str">
        <f>IF(OR(入力シート!$C$5&lt;&gt;入力リスト!$N$4,COUNTIF(入力シート!$J$16:$S$23,入力リスト!$K$4)=0),"",IF(A238="","",IF(ISERROR(AVERAGEIF(従業員の給与情報!$B:$B,$A238,従業員の給与情報!$F:$F)),0,IF(ISERROR(AVERAGEIF(従業員の給与情報!$B:$B,$A238,従業員の給与情報!$F:$F)),0,AVERAGEIF(従業員の給与情報!$B:$B,$A238,従業員の給与情報!$F:$F)))))</f>
        <v/>
      </c>
      <c r="W238" s="182"/>
      <c r="X238" s="260"/>
    </row>
    <row r="239" spans="1:24">
      <c r="A239" s="368"/>
      <c r="B239" s="361"/>
      <c r="C239" s="362"/>
      <c r="D239" s="361"/>
      <c r="E239" s="361"/>
      <c r="F239" s="372" t="str">
        <f>IF(G239,"この従業員番号は、すでに他のセルで入力されています。",IF(入力シート!$C$5=入力リスト!$N$5,"",IF(AND(A239="",B239="",C239="",D239="",E239=""),"",IF(OR(A239="",B239="",C239="",D239=""),IF(A239="","従業員番号","")&amp;IF(AND(A239="",OR(B239="",C239="",D239="")),",","")&amp;IF(B239="","雇用形態","")&amp;IF(AND(B239="",OR(C239="",D239="")),",","")&amp;IF(OR(入力シート!$J$18=入力リスト!$K$4,入力シート!$J$22=入力リスト!$K$4),IF(C239="","入社年月日",""),"")&amp;IF(AND(C239="",D239=""),",","")&amp;IF(D239="","性別","")&amp;IF(IF(A239="","従業員番号","")&amp;IF(B239="","雇用形態","")&amp;IF(OR(入力シート!$J$18=入力リスト!$K$4,入力シート!$J$22=入力リスト!$K$4),IF(C239="","入社年月日",""),"")&amp;IF(D239="","性別","")="","","が空白です。"),IF(J239,"入社年月日に「基準日」の翌日以降の日付が入力されています。","")&amp;IF(I239,"入社年月日に数値以外（又は1900/1/1以前の日付）が入力されています。","")&amp;IF(H239,"雇用形態"&amp;IF(OR(K239,L239),",",""),"")&amp;IF(K239,"性別"&amp;IF(L239,",",""),"")&amp;IF(L239,"役職","")&amp;IF(OR(H239,K239,L239),"に、［入力シート］(4)「貴社」欄と異なる文言が入力されています。","")))))</f>
        <v/>
      </c>
      <c r="G239" s="236" t="b">
        <f>COUNTIF($A$4:A238,$A239)&gt;0</f>
        <v>0</v>
      </c>
      <c r="H239" s="237" t="b">
        <f>IF(COUNTIF(入力シート!$J$16:$S$23,入力リスト!$K$4)=0,FALSE,IF(入力シート!$J$16=入力リスト!$K$5,FALSE,ISERROR(VLOOKUP(B239,入力シート!$S$37:$V$62,1,0))))</f>
        <v>0</v>
      </c>
      <c r="I239" s="237" t="b">
        <f>IF(AND(OR(入力シート!$J$18=入力リスト!$K$4,入力シート!$J$22=入力リスト!$K$4),入力シート!$J$24&lt;&gt;""),IF(ISERROR(C239+1),TRUE,IF(ISNUMBER(C239),FALSE,TRUE)),FALSE)</f>
        <v>0</v>
      </c>
      <c r="J239" s="237" t="b">
        <f>IF(AND(入力シート!$J$18=入力リスト!$K$4,入力シート!$J$22=入力リスト!$K$4),FALSE,IF(I239=TRUE,FALSE,IF(ISERROR(C239+1),FALSE,C239&gt;入力シート!$J$24)))</f>
        <v>0</v>
      </c>
      <c r="K239" s="237" t="b">
        <f>IF(COUNTIF(入力シート!$J$16:$S$23,入力リスト!$K$4)=0,FALSE,IF(AND(入力シート!$J$16&lt;&gt;入力リスト!$K$5,入力シート!$J$18&lt;&gt;入力リスト!$K$5,入力シート!$J$20&lt;&gt;入力リスト!$K$5,入力シート!$J$22&lt;&gt;入力リスト!$K$5),FALSE,ISERROR(VLOOKUP(D239,入力シート!$AW$37:$AY$38,1,0))))</f>
        <v>0</v>
      </c>
      <c r="L239" s="237" t="b">
        <f>IF(COUNTIF(入力シート!$J$16:$S$23,入力リスト!$K$4)=0,FALSE,IF(入力シート!$J$20=入力リスト!$K$5,FALSE,IF(E239="",FALSE,ISERROR(VLOOKUP(E239,入力シート!$AH$37:$AK$62,1,0)))))</f>
        <v>0</v>
      </c>
      <c r="M239" s="238" t="str">
        <f t="shared" si="3"/>
        <v/>
      </c>
      <c r="N239" s="236" t="str">
        <f>IF(B239="","",VLOOKUP('従業員情報(給与以外)'!$B239,入力シート!$S$37:$Z$62,5,0))</f>
        <v/>
      </c>
      <c r="O239" s="182" t="str">
        <f>IF(ISNUMBER(C239)=FALSE,"",IF(C239&gt;入力シート!$J$24,"",_xlfn.DAYS(入力シート!$J$24,'従業員情報(給与以外)'!$C239)/365))</f>
        <v/>
      </c>
      <c r="P239" s="237" t="str">
        <f>IF(O239="","",VLOOKUP(_xlfn.DAYS(入力シート!$J$24,'従業員情報(給与以外)'!$C239)/365,入力リスト!$H$4:$I$12,2,2))</f>
        <v/>
      </c>
      <c r="Q239" s="236" t="str">
        <f>IF(D239="","",VLOOKUP('従業員情報(給与以外)'!$D239,入力シート!$AW$37:$BB$38,4,0))</f>
        <v/>
      </c>
      <c r="R239" s="236" t="str">
        <f>IF(A239="","",IF(E239="","非役職",VLOOKUP('従業員情報(給与以外)'!$E239,入力シート!$AH$37:$AO$62,5,0)))</f>
        <v/>
      </c>
      <c r="S239" s="116" t="str">
        <f>IF(OR(入力シート!$C$5&lt;&gt;入力リスト!$N$4,COUNTIF(入力シート!$J$16:$S$23,入力リスト!$K$4)=0),"",IF($A239="","",IF(ISERROR(AVERAGEIF(従業員の給与情報!$B:$B,$A239,従業員の給与情報!$C:$C)),0,IF(ISERROR(AVERAGEIF(従業員の給与情報!$B:$B,$A239,従業員の給与情報!$C:$C)),0,AVERAGEIF(従業員の給与情報!$B:$B,$A239,従業員の給与情報!$C:$C)))))</f>
        <v/>
      </c>
      <c r="T239" s="116" t="str">
        <f>IF(OR(入力シート!$C$5&lt;&gt;入力リスト!$N$4,COUNTIF(入力シート!$J$16:$S$23,入力リスト!$K$4)=0),"",IF(A239="","",IF(ISERROR(AVERAGEIF(従業員の給与情報!$B:$B,$A239,従業員の給与情報!$D:$D)),0,IF(ISERROR(AVERAGEIF(従業員の給与情報!$B:$B,$A239,従業員の給与情報!$D:$D)),0,AVERAGEIF(従業員の給与情報!$B:$B,$A239,従業員の給与情報!$D:$D)))))</f>
        <v/>
      </c>
      <c r="U239" s="116" t="str">
        <f>IF(OR(入力シート!$C$5&lt;&gt;入力リスト!$N$4,COUNTIF(入力シート!$J$16:$S$23,入力リスト!$K$4)=0),"",IF(A239="","",IF(ISERROR(AVERAGEIF(従業員の給与情報!$B:$B,$A239,従業員の給与情報!$E:$E)),0,IF(ISERROR(AVERAGEIF(従業員の給与情報!$B:$B,$A239,従業員の給与情報!$E:$E)),0,AVERAGEIF(従業員の給与情報!$B:$B,$A239,従業員の給与情報!$E:$E)))))</f>
        <v/>
      </c>
      <c r="V239" s="117" t="str">
        <f>IF(OR(入力シート!$C$5&lt;&gt;入力リスト!$N$4,COUNTIF(入力シート!$J$16:$S$23,入力リスト!$K$4)=0),"",IF(A239="","",IF(ISERROR(AVERAGEIF(従業員の給与情報!$B:$B,$A239,従業員の給与情報!$F:$F)),0,IF(ISERROR(AVERAGEIF(従業員の給与情報!$B:$B,$A239,従業員の給与情報!$F:$F)),0,AVERAGEIF(従業員の給与情報!$B:$B,$A239,従業員の給与情報!$F:$F)))))</f>
        <v/>
      </c>
      <c r="W239" s="182"/>
      <c r="X239" s="260"/>
    </row>
    <row r="240" spans="1:24">
      <c r="A240" s="368"/>
      <c r="B240" s="361"/>
      <c r="C240" s="362"/>
      <c r="D240" s="361"/>
      <c r="E240" s="361"/>
      <c r="F240" s="372" t="str">
        <f>IF(G240,"この従業員番号は、すでに他のセルで入力されています。",IF(入力シート!$C$5=入力リスト!$N$5,"",IF(AND(A240="",B240="",C240="",D240="",E240=""),"",IF(OR(A240="",B240="",C240="",D240=""),IF(A240="","従業員番号","")&amp;IF(AND(A240="",OR(B240="",C240="",D240="")),",","")&amp;IF(B240="","雇用形態","")&amp;IF(AND(B240="",OR(C240="",D240="")),",","")&amp;IF(OR(入力シート!$J$18=入力リスト!$K$4,入力シート!$J$22=入力リスト!$K$4),IF(C240="","入社年月日",""),"")&amp;IF(AND(C240="",D240=""),",","")&amp;IF(D240="","性別","")&amp;IF(IF(A240="","従業員番号","")&amp;IF(B240="","雇用形態","")&amp;IF(OR(入力シート!$J$18=入力リスト!$K$4,入力シート!$J$22=入力リスト!$K$4),IF(C240="","入社年月日",""),"")&amp;IF(D240="","性別","")="","","が空白です。"),IF(J240,"入社年月日に「基準日」の翌日以降の日付が入力されています。","")&amp;IF(I240,"入社年月日に数値以外（又は1900/1/1以前の日付）が入力されています。","")&amp;IF(H240,"雇用形態"&amp;IF(OR(K240,L240),",",""),"")&amp;IF(K240,"性別"&amp;IF(L240,",",""),"")&amp;IF(L240,"役職","")&amp;IF(OR(H240,K240,L240),"に、［入力シート］(4)「貴社」欄と異なる文言が入力されています。","")))))</f>
        <v/>
      </c>
      <c r="G240" s="236" t="b">
        <f>COUNTIF($A$4:A239,$A240)&gt;0</f>
        <v>0</v>
      </c>
      <c r="H240" s="237" t="b">
        <f>IF(COUNTIF(入力シート!$J$16:$S$23,入力リスト!$K$4)=0,FALSE,IF(入力シート!$J$16=入力リスト!$K$5,FALSE,ISERROR(VLOOKUP(B240,入力シート!$S$37:$V$62,1,0))))</f>
        <v>0</v>
      </c>
      <c r="I240" s="237" t="b">
        <f>IF(AND(OR(入力シート!$J$18=入力リスト!$K$4,入力シート!$J$22=入力リスト!$K$4),入力シート!$J$24&lt;&gt;""),IF(ISERROR(C240+1),TRUE,IF(ISNUMBER(C240),FALSE,TRUE)),FALSE)</f>
        <v>0</v>
      </c>
      <c r="J240" s="237" t="b">
        <f>IF(AND(入力シート!$J$18=入力リスト!$K$4,入力シート!$J$22=入力リスト!$K$4),FALSE,IF(I240=TRUE,FALSE,IF(ISERROR(C240+1),FALSE,C240&gt;入力シート!$J$24)))</f>
        <v>0</v>
      </c>
      <c r="K240" s="237" t="b">
        <f>IF(COUNTIF(入力シート!$J$16:$S$23,入力リスト!$K$4)=0,FALSE,IF(AND(入力シート!$J$16&lt;&gt;入力リスト!$K$5,入力シート!$J$18&lt;&gt;入力リスト!$K$5,入力シート!$J$20&lt;&gt;入力リスト!$K$5,入力シート!$J$22&lt;&gt;入力リスト!$K$5),FALSE,ISERROR(VLOOKUP(D240,入力シート!$AW$37:$AY$38,1,0))))</f>
        <v>0</v>
      </c>
      <c r="L240" s="237" t="b">
        <f>IF(COUNTIF(入力シート!$J$16:$S$23,入力リスト!$K$4)=0,FALSE,IF(入力シート!$J$20=入力リスト!$K$5,FALSE,IF(E240="",FALSE,ISERROR(VLOOKUP(E240,入力シート!$AH$37:$AK$62,1,0)))))</f>
        <v>0</v>
      </c>
      <c r="M240" s="238" t="str">
        <f t="shared" si="3"/>
        <v/>
      </c>
      <c r="N240" s="236" t="str">
        <f>IF(B240="","",VLOOKUP('従業員情報(給与以外)'!$B240,入力シート!$S$37:$Z$62,5,0))</f>
        <v/>
      </c>
      <c r="O240" s="182" t="str">
        <f>IF(ISNUMBER(C240)=FALSE,"",IF(C240&gt;入力シート!$J$24,"",_xlfn.DAYS(入力シート!$J$24,'従業員情報(給与以外)'!$C240)/365))</f>
        <v/>
      </c>
      <c r="P240" s="237" t="str">
        <f>IF(O240="","",VLOOKUP(_xlfn.DAYS(入力シート!$J$24,'従業員情報(給与以外)'!$C240)/365,入力リスト!$H$4:$I$12,2,2))</f>
        <v/>
      </c>
      <c r="Q240" s="236" t="str">
        <f>IF(D240="","",VLOOKUP('従業員情報(給与以外)'!$D240,入力シート!$AW$37:$BB$38,4,0))</f>
        <v/>
      </c>
      <c r="R240" s="236" t="str">
        <f>IF(A240="","",IF(E240="","非役職",VLOOKUP('従業員情報(給与以外)'!$E240,入力シート!$AH$37:$AO$62,5,0)))</f>
        <v/>
      </c>
      <c r="S240" s="116" t="str">
        <f>IF(OR(入力シート!$C$5&lt;&gt;入力リスト!$N$4,COUNTIF(入力シート!$J$16:$S$23,入力リスト!$K$4)=0),"",IF($A240="","",IF(ISERROR(AVERAGEIF(従業員の給与情報!$B:$B,$A240,従業員の給与情報!$C:$C)),0,IF(ISERROR(AVERAGEIF(従業員の給与情報!$B:$B,$A240,従業員の給与情報!$C:$C)),0,AVERAGEIF(従業員の給与情報!$B:$B,$A240,従業員の給与情報!$C:$C)))))</f>
        <v/>
      </c>
      <c r="T240" s="116" t="str">
        <f>IF(OR(入力シート!$C$5&lt;&gt;入力リスト!$N$4,COUNTIF(入力シート!$J$16:$S$23,入力リスト!$K$4)=0),"",IF(A240="","",IF(ISERROR(AVERAGEIF(従業員の給与情報!$B:$B,$A240,従業員の給与情報!$D:$D)),0,IF(ISERROR(AVERAGEIF(従業員の給与情報!$B:$B,$A240,従業員の給与情報!$D:$D)),0,AVERAGEIF(従業員の給与情報!$B:$B,$A240,従業員の給与情報!$D:$D)))))</f>
        <v/>
      </c>
      <c r="U240" s="116" t="str">
        <f>IF(OR(入力シート!$C$5&lt;&gt;入力リスト!$N$4,COUNTIF(入力シート!$J$16:$S$23,入力リスト!$K$4)=0),"",IF(A240="","",IF(ISERROR(AVERAGEIF(従業員の給与情報!$B:$B,$A240,従業員の給与情報!$E:$E)),0,IF(ISERROR(AVERAGEIF(従業員の給与情報!$B:$B,$A240,従業員の給与情報!$E:$E)),0,AVERAGEIF(従業員の給与情報!$B:$B,$A240,従業員の給与情報!$E:$E)))))</f>
        <v/>
      </c>
      <c r="V240" s="117" t="str">
        <f>IF(OR(入力シート!$C$5&lt;&gt;入力リスト!$N$4,COUNTIF(入力シート!$J$16:$S$23,入力リスト!$K$4)=0),"",IF(A240="","",IF(ISERROR(AVERAGEIF(従業員の給与情報!$B:$B,$A240,従業員の給与情報!$F:$F)),0,IF(ISERROR(AVERAGEIF(従業員の給与情報!$B:$B,$A240,従業員の給与情報!$F:$F)),0,AVERAGEIF(従業員の給与情報!$B:$B,$A240,従業員の給与情報!$F:$F)))))</f>
        <v/>
      </c>
      <c r="W240" s="182"/>
      <c r="X240" s="260"/>
    </row>
    <row r="241" spans="1:24">
      <c r="A241" s="368"/>
      <c r="B241" s="361"/>
      <c r="C241" s="362"/>
      <c r="D241" s="361"/>
      <c r="E241" s="361"/>
      <c r="F241" s="372" t="str">
        <f>IF(G241,"この従業員番号は、すでに他のセルで入力されています。",IF(入力シート!$C$5=入力リスト!$N$5,"",IF(AND(A241="",B241="",C241="",D241="",E241=""),"",IF(OR(A241="",B241="",C241="",D241=""),IF(A241="","従業員番号","")&amp;IF(AND(A241="",OR(B241="",C241="",D241="")),",","")&amp;IF(B241="","雇用形態","")&amp;IF(AND(B241="",OR(C241="",D241="")),",","")&amp;IF(OR(入力シート!$J$18=入力リスト!$K$4,入力シート!$J$22=入力リスト!$K$4),IF(C241="","入社年月日",""),"")&amp;IF(AND(C241="",D241=""),",","")&amp;IF(D241="","性別","")&amp;IF(IF(A241="","従業員番号","")&amp;IF(B241="","雇用形態","")&amp;IF(OR(入力シート!$J$18=入力リスト!$K$4,入力シート!$J$22=入力リスト!$K$4),IF(C241="","入社年月日",""),"")&amp;IF(D241="","性別","")="","","が空白です。"),IF(J241,"入社年月日に「基準日」の翌日以降の日付が入力されています。","")&amp;IF(I241,"入社年月日に数値以外（又は1900/1/1以前の日付）が入力されています。","")&amp;IF(H241,"雇用形態"&amp;IF(OR(K241,L241),",",""),"")&amp;IF(K241,"性別"&amp;IF(L241,",",""),"")&amp;IF(L241,"役職","")&amp;IF(OR(H241,K241,L241),"に、［入力シート］(4)「貴社」欄と異なる文言が入力されています。","")))))</f>
        <v/>
      </c>
      <c r="G241" s="236" t="b">
        <f>COUNTIF($A$4:A240,$A241)&gt;0</f>
        <v>0</v>
      </c>
      <c r="H241" s="237" t="b">
        <f>IF(COUNTIF(入力シート!$J$16:$S$23,入力リスト!$K$4)=0,FALSE,IF(入力シート!$J$16=入力リスト!$K$5,FALSE,ISERROR(VLOOKUP(B241,入力シート!$S$37:$V$62,1,0))))</f>
        <v>0</v>
      </c>
      <c r="I241" s="237" t="b">
        <f>IF(AND(OR(入力シート!$J$18=入力リスト!$K$4,入力シート!$J$22=入力リスト!$K$4),入力シート!$J$24&lt;&gt;""),IF(ISERROR(C241+1),TRUE,IF(ISNUMBER(C241),FALSE,TRUE)),FALSE)</f>
        <v>0</v>
      </c>
      <c r="J241" s="237" t="b">
        <f>IF(AND(入力シート!$J$18=入力リスト!$K$4,入力シート!$J$22=入力リスト!$K$4),FALSE,IF(I241=TRUE,FALSE,IF(ISERROR(C241+1),FALSE,C241&gt;入力シート!$J$24)))</f>
        <v>0</v>
      </c>
      <c r="K241" s="237" t="b">
        <f>IF(COUNTIF(入力シート!$J$16:$S$23,入力リスト!$K$4)=0,FALSE,IF(AND(入力シート!$J$16&lt;&gt;入力リスト!$K$5,入力シート!$J$18&lt;&gt;入力リスト!$K$5,入力シート!$J$20&lt;&gt;入力リスト!$K$5,入力シート!$J$22&lt;&gt;入力リスト!$K$5),FALSE,ISERROR(VLOOKUP(D241,入力シート!$AW$37:$AY$38,1,0))))</f>
        <v>0</v>
      </c>
      <c r="L241" s="237" t="b">
        <f>IF(COUNTIF(入力シート!$J$16:$S$23,入力リスト!$K$4)=0,FALSE,IF(入力シート!$J$20=入力リスト!$K$5,FALSE,IF(E241="",FALSE,ISERROR(VLOOKUP(E241,入力シート!$AH$37:$AK$62,1,0)))))</f>
        <v>0</v>
      </c>
      <c r="M241" s="238" t="str">
        <f t="shared" si="3"/>
        <v/>
      </c>
      <c r="N241" s="236" t="str">
        <f>IF(B241="","",VLOOKUP('従業員情報(給与以外)'!$B241,入力シート!$S$37:$Z$62,5,0))</f>
        <v/>
      </c>
      <c r="O241" s="182" t="str">
        <f>IF(ISNUMBER(C241)=FALSE,"",IF(C241&gt;入力シート!$J$24,"",_xlfn.DAYS(入力シート!$J$24,'従業員情報(給与以外)'!$C241)/365))</f>
        <v/>
      </c>
      <c r="P241" s="237" t="str">
        <f>IF(O241="","",VLOOKUP(_xlfn.DAYS(入力シート!$J$24,'従業員情報(給与以外)'!$C241)/365,入力リスト!$H$4:$I$12,2,2))</f>
        <v/>
      </c>
      <c r="Q241" s="236" t="str">
        <f>IF(D241="","",VLOOKUP('従業員情報(給与以外)'!$D241,入力シート!$AW$37:$BB$38,4,0))</f>
        <v/>
      </c>
      <c r="R241" s="236" t="str">
        <f>IF(A241="","",IF(E241="","非役職",VLOOKUP('従業員情報(給与以外)'!$E241,入力シート!$AH$37:$AO$62,5,0)))</f>
        <v/>
      </c>
      <c r="S241" s="116" t="str">
        <f>IF(OR(入力シート!$C$5&lt;&gt;入力リスト!$N$4,COUNTIF(入力シート!$J$16:$S$23,入力リスト!$K$4)=0),"",IF($A241="","",IF(ISERROR(AVERAGEIF(従業員の給与情報!$B:$B,$A241,従業員の給与情報!$C:$C)),0,IF(ISERROR(AVERAGEIF(従業員の給与情報!$B:$B,$A241,従業員の給与情報!$C:$C)),0,AVERAGEIF(従業員の給与情報!$B:$B,$A241,従業員の給与情報!$C:$C)))))</f>
        <v/>
      </c>
      <c r="T241" s="116" t="str">
        <f>IF(OR(入力シート!$C$5&lt;&gt;入力リスト!$N$4,COUNTIF(入力シート!$J$16:$S$23,入力リスト!$K$4)=0),"",IF(A241="","",IF(ISERROR(AVERAGEIF(従業員の給与情報!$B:$B,$A241,従業員の給与情報!$D:$D)),0,IF(ISERROR(AVERAGEIF(従業員の給与情報!$B:$B,$A241,従業員の給与情報!$D:$D)),0,AVERAGEIF(従業員の給与情報!$B:$B,$A241,従業員の給与情報!$D:$D)))))</f>
        <v/>
      </c>
      <c r="U241" s="116" t="str">
        <f>IF(OR(入力シート!$C$5&lt;&gt;入力リスト!$N$4,COUNTIF(入力シート!$J$16:$S$23,入力リスト!$K$4)=0),"",IF(A241="","",IF(ISERROR(AVERAGEIF(従業員の給与情報!$B:$B,$A241,従業員の給与情報!$E:$E)),0,IF(ISERROR(AVERAGEIF(従業員の給与情報!$B:$B,$A241,従業員の給与情報!$E:$E)),0,AVERAGEIF(従業員の給与情報!$B:$B,$A241,従業員の給与情報!$E:$E)))))</f>
        <v/>
      </c>
      <c r="V241" s="117" t="str">
        <f>IF(OR(入力シート!$C$5&lt;&gt;入力リスト!$N$4,COUNTIF(入力シート!$J$16:$S$23,入力リスト!$K$4)=0),"",IF(A241="","",IF(ISERROR(AVERAGEIF(従業員の給与情報!$B:$B,$A241,従業員の給与情報!$F:$F)),0,IF(ISERROR(AVERAGEIF(従業員の給与情報!$B:$B,$A241,従業員の給与情報!$F:$F)),0,AVERAGEIF(従業員の給与情報!$B:$B,$A241,従業員の給与情報!$F:$F)))))</f>
        <v/>
      </c>
      <c r="W241" s="182"/>
      <c r="X241" s="260"/>
    </row>
    <row r="242" spans="1:24">
      <c r="A242" s="368"/>
      <c r="B242" s="361"/>
      <c r="C242" s="362"/>
      <c r="D242" s="361"/>
      <c r="E242" s="361"/>
      <c r="F242" s="372" t="str">
        <f>IF(G242,"この従業員番号は、すでに他のセルで入力されています。",IF(入力シート!$C$5=入力リスト!$N$5,"",IF(AND(A242="",B242="",C242="",D242="",E242=""),"",IF(OR(A242="",B242="",C242="",D242=""),IF(A242="","従業員番号","")&amp;IF(AND(A242="",OR(B242="",C242="",D242="")),",","")&amp;IF(B242="","雇用形態","")&amp;IF(AND(B242="",OR(C242="",D242="")),",","")&amp;IF(OR(入力シート!$J$18=入力リスト!$K$4,入力シート!$J$22=入力リスト!$K$4),IF(C242="","入社年月日",""),"")&amp;IF(AND(C242="",D242=""),",","")&amp;IF(D242="","性別","")&amp;IF(IF(A242="","従業員番号","")&amp;IF(B242="","雇用形態","")&amp;IF(OR(入力シート!$J$18=入力リスト!$K$4,入力シート!$J$22=入力リスト!$K$4),IF(C242="","入社年月日",""),"")&amp;IF(D242="","性別","")="","","が空白です。"),IF(J242,"入社年月日に「基準日」の翌日以降の日付が入力されています。","")&amp;IF(I242,"入社年月日に数値以外（又は1900/1/1以前の日付）が入力されています。","")&amp;IF(H242,"雇用形態"&amp;IF(OR(K242,L242),",",""),"")&amp;IF(K242,"性別"&amp;IF(L242,",",""),"")&amp;IF(L242,"役職","")&amp;IF(OR(H242,K242,L242),"に、［入力シート］(4)「貴社」欄と異なる文言が入力されています。","")))))</f>
        <v/>
      </c>
      <c r="G242" s="236" t="b">
        <f>COUNTIF($A$4:A241,$A242)&gt;0</f>
        <v>0</v>
      </c>
      <c r="H242" s="237" t="b">
        <f>IF(COUNTIF(入力シート!$J$16:$S$23,入力リスト!$K$4)=0,FALSE,IF(入力シート!$J$16=入力リスト!$K$5,FALSE,ISERROR(VLOOKUP(B242,入力シート!$S$37:$V$62,1,0))))</f>
        <v>0</v>
      </c>
      <c r="I242" s="237" t="b">
        <f>IF(AND(OR(入力シート!$J$18=入力リスト!$K$4,入力シート!$J$22=入力リスト!$K$4),入力シート!$J$24&lt;&gt;""),IF(ISERROR(C242+1),TRUE,IF(ISNUMBER(C242),FALSE,TRUE)),FALSE)</f>
        <v>0</v>
      </c>
      <c r="J242" s="237" t="b">
        <f>IF(AND(入力シート!$J$18=入力リスト!$K$4,入力シート!$J$22=入力リスト!$K$4),FALSE,IF(I242=TRUE,FALSE,IF(ISERROR(C242+1),FALSE,C242&gt;入力シート!$J$24)))</f>
        <v>0</v>
      </c>
      <c r="K242" s="237" t="b">
        <f>IF(COUNTIF(入力シート!$J$16:$S$23,入力リスト!$K$4)=0,FALSE,IF(AND(入力シート!$J$16&lt;&gt;入力リスト!$K$5,入力シート!$J$18&lt;&gt;入力リスト!$K$5,入力シート!$J$20&lt;&gt;入力リスト!$K$5,入力シート!$J$22&lt;&gt;入力リスト!$K$5),FALSE,ISERROR(VLOOKUP(D242,入力シート!$AW$37:$AY$38,1,0))))</f>
        <v>0</v>
      </c>
      <c r="L242" s="237" t="b">
        <f>IF(COUNTIF(入力シート!$J$16:$S$23,入力リスト!$K$4)=0,FALSE,IF(入力シート!$J$20=入力リスト!$K$5,FALSE,IF(E242="",FALSE,ISERROR(VLOOKUP(E242,入力シート!$AH$37:$AK$62,1,0)))))</f>
        <v>0</v>
      </c>
      <c r="M242" s="238" t="str">
        <f t="shared" si="3"/>
        <v/>
      </c>
      <c r="N242" s="236" t="str">
        <f>IF(B242="","",VLOOKUP('従業員情報(給与以外)'!$B242,入力シート!$S$37:$Z$62,5,0))</f>
        <v/>
      </c>
      <c r="O242" s="182" t="str">
        <f>IF(ISNUMBER(C242)=FALSE,"",IF(C242&gt;入力シート!$J$24,"",_xlfn.DAYS(入力シート!$J$24,'従業員情報(給与以外)'!$C242)/365))</f>
        <v/>
      </c>
      <c r="P242" s="237" t="str">
        <f>IF(O242="","",VLOOKUP(_xlfn.DAYS(入力シート!$J$24,'従業員情報(給与以外)'!$C242)/365,入力リスト!$H$4:$I$12,2,2))</f>
        <v/>
      </c>
      <c r="Q242" s="236" t="str">
        <f>IF(D242="","",VLOOKUP('従業員情報(給与以外)'!$D242,入力シート!$AW$37:$BB$38,4,0))</f>
        <v/>
      </c>
      <c r="R242" s="236" t="str">
        <f>IF(A242="","",IF(E242="","非役職",VLOOKUP('従業員情報(給与以外)'!$E242,入力シート!$AH$37:$AO$62,5,0)))</f>
        <v/>
      </c>
      <c r="S242" s="116" t="str">
        <f>IF(OR(入力シート!$C$5&lt;&gt;入力リスト!$N$4,COUNTIF(入力シート!$J$16:$S$23,入力リスト!$K$4)=0),"",IF($A242="","",IF(ISERROR(AVERAGEIF(従業員の給与情報!$B:$B,$A242,従業員の給与情報!$C:$C)),0,IF(ISERROR(AVERAGEIF(従業員の給与情報!$B:$B,$A242,従業員の給与情報!$C:$C)),0,AVERAGEIF(従業員の給与情報!$B:$B,$A242,従業員の給与情報!$C:$C)))))</f>
        <v/>
      </c>
      <c r="T242" s="116" t="str">
        <f>IF(OR(入力シート!$C$5&lt;&gt;入力リスト!$N$4,COUNTIF(入力シート!$J$16:$S$23,入力リスト!$K$4)=0),"",IF(A242="","",IF(ISERROR(AVERAGEIF(従業員の給与情報!$B:$B,$A242,従業員の給与情報!$D:$D)),0,IF(ISERROR(AVERAGEIF(従業員の給与情報!$B:$B,$A242,従業員の給与情報!$D:$D)),0,AVERAGEIF(従業員の給与情報!$B:$B,$A242,従業員の給与情報!$D:$D)))))</f>
        <v/>
      </c>
      <c r="U242" s="116" t="str">
        <f>IF(OR(入力シート!$C$5&lt;&gt;入力リスト!$N$4,COUNTIF(入力シート!$J$16:$S$23,入力リスト!$K$4)=0),"",IF(A242="","",IF(ISERROR(AVERAGEIF(従業員の給与情報!$B:$B,$A242,従業員の給与情報!$E:$E)),0,IF(ISERROR(AVERAGEIF(従業員の給与情報!$B:$B,$A242,従業員の給与情報!$E:$E)),0,AVERAGEIF(従業員の給与情報!$B:$B,$A242,従業員の給与情報!$E:$E)))))</f>
        <v/>
      </c>
      <c r="V242" s="117" t="str">
        <f>IF(OR(入力シート!$C$5&lt;&gt;入力リスト!$N$4,COUNTIF(入力シート!$J$16:$S$23,入力リスト!$K$4)=0),"",IF(A242="","",IF(ISERROR(AVERAGEIF(従業員の給与情報!$B:$B,$A242,従業員の給与情報!$F:$F)),0,IF(ISERROR(AVERAGEIF(従業員の給与情報!$B:$B,$A242,従業員の給与情報!$F:$F)),0,AVERAGEIF(従業員の給与情報!$B:$B,$A242,従業員の給与情報!$F:$F)))))</f>
        <v/>
      </c>
      <c r="W242" s="182"/>
      <c r="X242" s="260"/>
    </row>
    <row r="243" spans="1:24">
      <c r="A243" s="368"/>
      <c r="B243" s="361"/>
      <c r="C243" s="362"/>
      <c r="D243" s="361"/>
      <c r="E243" s="361"/>
      <c r="F243" s="372" t="str">
        <f>IF(G243,"この従業員番号は、すでに他のセルで入力されています。",IF(入力シート!$C$5=入力リスト!$N$5,"",IF(AND(A243="",B243="",C243="",D243="",E243=""),"",IF(OR(A243="",B243="",C243="",D243=""),IF(A243="","従業員番号","")&amp;IF(AND(A243="",OR(B243="",C243="",D243="")),",","")&amp;IF(B243="","雇用形態","")&amp;IF(AND(B243="",OR(C243="",D243="")),",","")&amp;IF(OR(入力シート!$J$18=入力リスト!$K$4,入力シート!$J$22=入力リスト!$K$4),IF(C243="","入社年月日",""),"")&amp;IF(AND(C243="",D243=""),",","")&amp;IF(D243="","性別","")&amp;IF(IF(A243="","従業員番号","")&amp;IF(B243="","雇用形態","")&amp;IF(OR(入力シート!$J$18=入力リスト!$K$4,入力シート!$J$22=入力リスト!$K$4),IF(C243="","入社年月日",""),"")&amp;IF(D243="","性別","")="","","が空白です。"),IF(J243,"入社年月日に「基準日」の翌日以降の日付が入力されています。","")&amp;IF(I243,"入社年月日に数値以外（又は1900/1/1以前の日付）が入力されています。","")&amp;IF(H243,"雇用形態"&amp;IF(OR(K243,L243),",",""),"")&amp;IF(K243,"性別"&amp;IF(L243,",",""),"")&amp;IF(L243,"役職","")&amp;IF(OR(H243,K243,L243),"に、［入力シート］(4)「貴社」欄と異なる文言が入力されています。","")))))</f>
        <v/>
      </c>
      <c r="G243" s="236" t="b">
        <f>COUNTIF($A$4:A242,$A243)&gt;0</f>
        <v>0</v>
      </c>
      <c r="H243" s="237" t="b">
        <f>IF(COUNTIF(入力シート!$J$16:$S$23,入力リスト!$K$4)=0,FALSE,IF(入力シート!$J$16=入力リスト!$K$5,FALSE,ISERROR(VLOOKUP(B243,入力シート!$S$37:$V$62,1,0))))</f>
        <v>0</v>
      </c>
      <c r="I243" s="237" t="b">
        <f>IF(AND(OR(入力シート!$J$18=入力リスト!$K$4,入力シート!$J$22=入力リスト!$K$4),入力シート!$J$24&lt;&gt;""),IF(ISERROR(C243+1),TRUE,IF(ISNUMBER(C243),FALSE,TRUE)),FALSE)</f>
        <v>0</v>
      </c>
      <c r="J243" s="237" t="b">
        <f>IF(AND(入力シート!$J$18=入力リスト!$K$4,入力シート!$J$22=入力リスト!$K$4),FALSE,IF(I243=TRUE,FALSE,IF(ISERROR(C243+1),FALSE,C243&gt;入力シート!$J$24)))</f>
        <v>0</v>
      </c>
      <c r="K243" s="237" t="b">
        <f>IF(COUNTIF(入力シート!$J$16:$S$23,入力リスト!$K$4)=0,FALSE,IF(AND(入力シート!$J$16&lt;&gt;入力リスト!$K$5,入力シート!$J$18&lt;&gt;入力リスト!$K$5,入力シート!$J$20&lt;&gt;入力リスト!$K$5,入力シート!$J$22&lt;&gt;入力リスト!$K$5),FALSE,ISERROR(VLOOKUP(D243,入力シート!$AW$37:$AY$38,1,0))))</f>
        <v>0</v>
      </c>
      <c r="L243" s="237" t="b">
        <f>IF(COUNTIF(入力シート!$J$16:$S$23,入力リスト!$K$4)=0,FALSE,IF(入力シート!$J$20=入力リスト!$K$5,FALSE,IF(E243="",FALSE,ISERROR(VLOOKUP(E243,入力シート!$AH$37:$AK$62,1,0)))))</f>
        <v>0</v>
      </c>
      <c r="M243" s="238" t="str">
        <f t="shared" si="3"/>
        <v/>
      </c>
      <c r="N243" s="236" t="str">
        <f>IF(B243="","",VLOOKUP('従業員情報(給与以外)'!$B243,入力シート!$S$37:$Z$62,5,0))</f>
        <v/>
      </c>
      <c r="O243" s="182" t="str">
        <f>IF(ISNUMBER(C243)=FALSE,"",IF(C243&gt;入力シート!$J$24,"",_xlfn.DAYS(入力シート!$J$24,'従業員情報(給与以外)'!$C243)/365))</f>
        <v/>
      </c>
      <c r="P243" s="237" t="str">
        <f>IF(O243="","",VLOOKUP(_xlfn.DAYS(入力シート!$J$24,'従業員情報(給与以外)'!$C243)/365,入力リスト!$H$4:$I$12,2,2))</f>
        <v/>
      </c>
      <c r="Q243" s="236" t="str">
        <f>IF(D243="","",VLOOKUP('従業員情報(給与以外)'!$D243,入力シート!$AW$37:$BB$38,4,0))</f>
        <v/>
      </c>
      <c r="R243" s="236" t="str">
        <f>IF(A243="","",IF(E243="","非役職",VLOOKUP('従業員情報(給与以外)'!$E243,入力シート!$AH$37:$AO$62,5,0)))</f>
        <v/>
      </c>
      <c r="S243" s="116" t="str">
        <f>IF(OR(入力シート!$C$5&lt;&gt;入力リスト!$N$4,COUNTIF(入力シート!$J$16:$S$23,入力リスト!$K$4)=0),"",IF($A243="","",IF(ISERROR(AVERAGEIF(従業員の給与情報!$B:$B,$A243,従業員の給与情報!$C:$C)),0,IF(ISERROR(AVERAGEIF(従業員の給与情報!$B:$B,$A243,従業員の給与情報!$C:$C)),0,AVERAGEIF(従業員の給与情報!$B:$B,$A243,従業員の給与情報!$C:$C)))))</f>
        <v/>
      </c>
      <c r="T243" s="116" t="str">
        <f>IF(OR(入力シート!$C$5&lt;&gt;入力リスト!$N$4,COUNTIF(入力シート!$J$16:$S$23,入力リスト!$K$4)=0),"",IF(A243="","",IF(ISERROR(AVERAGEIF(従業員の給与情報!$B:$B,$A243,従業員の給与情報!$D:$D)),0,IF(ISERROR(AVERAGEIF(従業員の給与情報!$B:$B,$A243,従業員の給与情報!$D:$D)),0,AVERAGEIF(従業員の給与情報!$B:$B,$A243,従業員の給与情報!$D:$D)))))</f>
        <v/>
      </c>
      <c r="U243" s="116" t="str">
        <f>IF(OR(入力シート!$C$5&lt;&gt;入力リスト!$N$4,COUNTIF(入力シート!$J$16:$S$23,入力リスト!$K$4)=0),"",IF(A243="","",IF(ISERROR(AVERAGEIF(従業員の給与情報!$B:$B,$A243,従業員の給与情報!$E:$E)),0,IF(ISERROR(AVERAGEIF(従業員の給与情報!$B:$B,$A243,従業員の給与情報!$E:$E)),0,AVERAGEIF(従業員の給与情報!$B:$B,$A243,従業員の給与情報!$E:$E)))))</f>
        <v/>
      </c>
      <c r="V243" s="117" t="str">
        <f>IF(OR(入力シート!$C$5&lt;&gt;入力リスト!$N$4,COUNTIF(入力シート!$J$16:$S$23,入力リスト!$K$4)=0),"",IF(A243="","",IF(ISERROR(AVERAGEIF(従業員の給与情報!$B:$B,$A243,従業員の給与情報!$F:$F)),0,IF(ISERROR(AVERAGEIF(従業員の給与情報!$B:$B,$A243,従業員の給与情報!$F:$F)),0,AVERAGEIF(従業員の給与情報!$B:$B,$A243,従業員の給与情報!$F:$F)))))</f>
        <v/>
      </c>
      <c r="W243" s="182"/>
      <c r="X243" s="260"/>
    </row>
    <row r="244" spans="1:24">
      <c r="A244" s="368"/>
      <c r="B244" s="361"/>
      <c r="C244" s="362"/>
      <c r="D244" s="361"/>
      <c r="E244" s="361"/>
      <c r="F244" s="372" t="str">
        <f>IF(G244,"この従業員番号は、すでに他のセルで入力されています。",IF(入力シート!$C$5=入力リスト!$N$5,"",IF(AND(A244="",B244="",C244="",D244="",E244=""),"",IF(OR(A244="",B244="",C244="",D244=""),IF(A244="","従業員番号","")&amp;IF(AND(A244="",OR(B244="",C244="",D244="")),",","")&amp;IF(B244="","雇用形態","")&amp;IF(AND(B244="",OR(C244="",D244="")),",","")&amp;IF(OR(入力シート!$J$18=入力リスト!$K$4,入力シート!$J$22=入力リスト!$K$4),IF(C244="","入社年月日",""),"")&amp;IF(AND(C244="",D244=""),",","")&amp;IF(D244="","性別","")&amp;IF(IF(A244="","従業員番号","")&amp;IF(B244="","雇用形態","")&amp;IF(OR(入力シート!$J$18=入力リスト!$K$4,入力シート!$J$22=入力リスト!$K$4),IF(C244="","入社年月日",""),"")&amp;IF(D244="","性別","")="","","が空白です。"),IF(J244,"入社年月日に「基準日」の翌日以降の日付が入力されています。","")&amp;IF(I244,"入社年月日に数値以外（又は1900/1/1以前の日付）が入力されています。","")&amp;IF(H244,"雇用形態"&amp;IF(OR(K244,L244),",",""),"")&amp;IF(K244,"性別"&amp;IF(L244,",",""),"")&amp;IF(L244,"役職","")&amp;IF(OR(H244,K244,L244),"に、［入力シート］(4)「貴社」欄と異なる文言が入力されています。","")))))</f>
        <v/>
      </c>
      <c r="G244" s="236" t="b">
        <f>COUNTIF($A$4:A243,$A244)&gt;0</f>
        <v>0</v>
      </c>
      <c r="H244" s="237" t="b">
        <f>IF(COUNTIF(入力シート!$J$16:$S$23,入力リスト!$K$4)=0,FALSE,IF(入力シート!$J$16=入力リスト!$K$5,FALSE,ISERROR(VLOOKUP(B244,入力シート!$S$37:$V$62,1,0))))</f>
        <v>0</v>
      </c>
      <c r="I244" s="237" t="b">
        <f>IF(AND(OR(入力シート!$J$18=入力リスト!$K$4,入力シート!$J$22=入力リスト!$K$4),入力シート!$J$24&lt;&gt;""),IF(ISERROR(C244+1),TRUE,IF(ISNUMBER(C244),FALSE,TRUE)),FALSE)</f>
        <v>0</v>
      </c>
      <c r="J244" s="237" t="b">
        <f>IF(AND(入力シート!$J$18=入力リスト!$K$4,入力シート!$J$22=入力リスト!$K$4),FALSE,IF(I244=TRUE,FALSE,IF(ISERROR(C244+1),FALSE,C244&gt;入力シート!$J$24)))</f>
        <v>0</v>
      </c>
      <c r="K244" s="237" t="b">
        <f>IF(COUNTIF(入力シート!$J$16:$S$23,入力リスト!$K$4)=0,FALSE,IF(AND(入力シート!$J$16&lt;&gt;入力リスト!$K$5,入力シート!$J$18&lt;&gt;入力リスト!$K$5,入力シート!$J$20&lt;&gt;入力リスト!$K$5,入力シート!$J$22&lt;&gt;入力リスト!$K$5),FALSE,ISERROR(VLOOKUP(D244,入力シート!$AW$37:$AY$38,1,0))))</f>
        <v>0</v>
      </c>
      <c r="L244" s="237" t="b">
        <f>IF(COUNTIF(入力シート!$J$16:$S$23,入力リスト!$K$4)=0,FALSE,IF(入力シート!$J$20=入力リスト!$K$5,FALSE,IF(E244="",FALSE,ISERROR(VLOOKUP(E244,入力シート!$AH$37:$AK$62,1,0)))))</f>
        <v>0</v>
      </c>
      <c r="M244" s="238" t="str">
        <f t="shared" si="3"/>
        <v/>
      </c>
      <c r="N244" s="236" t="str">
        <f>IF(B244="","",VLOOKUP('従業員情報(給与以外)'!$B244,入力シート!$S$37:$Z$62,5,0))</f>
        <v/>
      </c>
      <c r="O244" s="182" t="str">
        <f>IF(ISNUMBER(C244)=FALSE,"",IF(C244&gt;入力シート!$J$24,"",_xlfn.DAYS(入力シート!$J$24,'従業員情報(給与以外)'!$C244)/365))</f>
        <v/>
      </c>
      <c r="P244" s="237" t="str">
        <f>IF(O244="","",VLOOKUP(_xlfn.DAYS(入力シート!$J$24,'従業員情報(給与以外)'!$C244)/365,入力リスト!$H$4:$I$12,2,2))</f>
        <v/>
      </c>
      <c r="Q244" s="236" t="str">
        <f>IF(D244="","",VLOOKUP('従業員情報(給与以外)'!$D244,入力シート!$AW$37:$BB$38,4,0))</f>
        <v/>
      </c>
      <c r="R244" s="236" t="str">
        <f>IF(A244="","",IF(E244="","非役職",VLOOKUP('従業員情報(給与以外)'!$E244,入力シート!$AH$37:$AO$62,5,0)))</f>
        <v/>
      </c>
      <c r="S244" s="116" t="str">
        <f>IF(OR(入力シート!$C$5&lt;&gt;入力リスト!$N$4,COUNTIF(入力シート!$J$16:$S$23,入力リスト!$K$4)=0),"",IF($A244="","",IF(ISERROR(AVERAGEIF(従業員の給与情報!$B:$B,$A244,従業員の給与情報!$C:$C)),0,IF(ISERROR(AVERAGEIF(従業員の給与情報!$B:$B,$A244,従業員の給与情報!$C:$C)),0,AVERAGEIF(従業員の給与情報!$B:$B,$A244,従業員の給与情報!$C:$C)))))</f>
        <v/>
      </c>
      <c r="T244" s="116" t="str">
        <f>IF(OR(入力シート!$C$5&lt;&gt;入力リスト!$N$4,COUNTIF(入力シート!$J$16:$S$23,入力リスト!$K$4)=0),"",IF(A244="","",IF(ISERROR(AVERAGEIF(従業員の給与情報!$B:$B,$A244,従業員の給与情報!$D:$D)),0,IF(ISERROR(AVERAGEIF(従業員の給与情報!$B:$B,$A244,従業員の給与情報!$D:$D)),0,AVERAGEIF(従業員の給与情報!$B:$B,$A244,従業員の給与情報!$D:$D)))))</f>
        <v/>
      </c>
      <c r="U244" s="116" t="str">
        <f>IF(OR(入力シート!$C$5&lt;&gt;入力リスト!$N$4,COUNTIF(入力シート!$J$16:$S$23,入力リスト!$K$4)=0),"",IF(A244="","",IF(ISERROR(AVERAGEIF(従業員の給与情報!$B:$B,$A244,従業員の給与情報!$E:$E)),0,IF(ISERROR(AVERAGEIF(従業員の給与情報!$B:$B,$A244,従業員の給与情報!$E:$E)),0,AVERAGEIF(従業員の給与情報!$B:$B,$A244,従業員の給与情報!$E:$E)))))</f>
        <v/>
      </c>
      <c r="V244" s="117" t="str">
        <f>IF(OR(入力シート!$C$5&lt;&gt;入力リスト!$N$4,COUNTIF(入力シート!$J$16:$S$23,入力リスト!$K$4)=0),"",IF(A244="","",IF(ISERROR(AVERAGEIF(従業員の給与情報!$B:$B,$A244,従業員の給与情報!$F:$F)),0,IF(ISERROR(AVERAGEIF(従業員の給与情報!$B:$B,$A244,従業員の給与情報!$F:$F)),0,AVERAGEIF(従業員の給与情報!$B:$B,$A244,従業員の給与情報!$F:$F)))))</f>
        <v/>
      </c>
      <c r="W244" s="182"/>
      <c r="X244" s="260"/>
    </row>
    <row r="245" spans="1:24">
      <c r="A245" s="368"/>
      <c r="B245" s="361"/>
      <c r="C245" s="362"/>
      <c r="D245" s="361"/>
      <c r="E245" s="361"/>
      <c r="F245" s="372" t="str">
        <f>IF(G245,"この従業員番号は、すでに他のセルで入力されています。",IF(入力シート!$C$5=入力リスト!$N$5,"",IF(AND(A245="",B245="",C245="",D245="",E245=""),"",IF(OR(A245="",B245="",C245="",D245=""),IF(A245="","従業員番号","")&amp;IF(AND(A245="",OR(B245="",C245="",D245="")),",","")&amp;IF(B245="","雇用形態","")&amp;IF(AND(B245="",OR(C245="",D245="")),",","")&amp;IF(OR(入力シート!$J$18=入力リスト!$K$4,入力シート!$J$22=入力リスト!$K$4),IF(C245="","入社年月日",""),"")&amp;IF(AND(C245="",D245=""),",","")&amp;IF(D245="","性別","")&amp;IF(IF(A245="","従業員番号","")&amp;IF(B245="","雇用形態","")&amp;IF(OR(入力シート!$J$18=入力リスト!$K$4,入力シート!$J$22=入力リスト!$K$4),IF(C245="","入社年月日",""),"")&amp;IF(D245="","性別","")="","","が空白です。"),IF(J245,"入社年月日に「基準日」の翌日以降の日付が入力されています。","")&amp;IF(I245,"入社年月日に数値以外（又は1900/1/1以前の日付）が入力されています。","")&amp;IF(H245,"雇用形態"&amp;IF(OR(K245,L245),",",""),"")&amp;IF(K245,"性別"&amp;IF(L245,",",""),"")&amp;IF(L245,"役職","")&amp;IF(OR(H245,K245,L245),"に、［入力シート］(4)「貴社」欄と異なる文言が入力されています。","")))))</f>
        <v/>
      </c>
      <c r="G245" s="236" t="b">
        <f>COUNTIF($A$4:A244,$A245)&gt;0</f>
        <v>0</v>
      </c>
      <c r="H245" s="237" t="b">
        <f>IF(COUNTIF(入力シート!$J$16:$S$23,入力リスト!$K$4)=0,FALSE,IF(入力シート!$J$16=入力リスト!$K$5,FALSE,ISERROR(VLOOKUP(B245,入力シート!$S$37:$V$62,1,0))))</f>
        <v>0</v>
      </c>
      <c r="I245" s="237" t="b">
        <f>IF(AND(OR(入力シート!$J$18=入力リスト!$K$4,入力シート!$J$22=入力リスト!$K$4),入力シート!$J$24&lt;&gt;""),IF(ISERROR(C245+1),TRUE,IF(ISNUMBER(C245),FALSE,TRUE)),FALSE)</f>
        <v>0</v>
      </c>
      <c r="J245" s="237" t="b">
        <f>IF(AND(入力シート!$J$18=入力リスト!$K$4,入力シート!$J$22=入力リスト!$K$4),FALSE,IF(I245=TRUE,FALSE,IF(ISERROR(C245+1),FALSE,C245&gt;入力シート!$J$24)))</f>
        <v>0</v>
      </c>
      <c r="K245" s="237" t="b">
        <f>IF(COUNTIF(入力シート!$J$16:$S$23,入力リスト!$K$4)=0,FALSE,IF(AND(入力シート!$J$16&lt;&gt;入力リスト!$K$5,入力シート!$J$18&lt;&gt;入力リスト!$K$5,入力シート!$J$20&lt;&gt;入力リスト!$K$5,入力シート!$J$22&lt;&gt;入力リスト!$K$5),FALSE,ISERROR(VLOOKUP(D245,入力シート!$AW$37:$AY$38,1,0))))</f>
        <v>0</v>
      </c>
      <c r="L245" s="237" t="b">
        <f>IF(COUNTIF(入力シート!$J$16:$S$23,入力リスト!$K$4)=0,FALSE,IF(入力シート!$J$20=入力リスト!$K$5,FALSE,IF(E245="",FALSE,ISERROR(VLOOKUP(E245,入力シート!$AH$37:$AK$62,1,0)))))</f>
        <v>0</v>
      </c>
      <c r="M245" s="238" t="str">
        <f t="shared" si="3"/>
        <v/>
      </c>
      <c r="N245" s="236" t="str">
        <f>IF(B245="","",VLOOKUP('従業員情報(給与以外)'!$B245,入力シート!$S$37:$Z$62,5,0))</f>
        <v/>
      </c>
      <c r="O245" s="182" t="str">
        <f>IF(ISNUMBER(C245)=FALSE,"",IF(C245&gt;入力シート!$J$24,"",_xlfn.DAYS(入力シート!$J$24,'従業員情報(給与以外)'!$C245)/365))</f>
        <v/>
      </c>
      <c r="P245" s="237" t="str">
        <f>IF(O245="","",VLOOKUP(_xlfn.DAYS(入力シート!$J$24,'従業員情報(給与以外)'!$C245)/365,入力リスト!$H$4:$I$12,2,2))</f>
        <v/>
      </c>
      <c r="Q245" s="236" t="str">
        <f>IF(D245="","",VLOOKUP('従業員情報(給与以外)'!$D245,入力シート!$AW$37:$BB$38,4,0))</f>
        <v/>
      </c>
      <c r="R245" s="236" t="str">
        <f>IF(A245="","",IF(E245="","非役職",VLOOKUP('従業員情報(給与以外)'!$E245,入力シート!$AH$37:$AO$62,5,0)))</f>
        <v/>
      </c>
      <c r="S245" s="116" t="str">
        <f>IF(OR(入力シート!$C$5&lt;&gt;入力リスト!$N$4,COUNTIF(入力シート!$J$16:$S$23,入力リスト!$K$4)=0),"",IF($A245="","",IF(ISERROR(AVERAGEIF(従業員の給与情報!$B:$B,$A245,従業員の給与情報!$C:$C)),0,IF(ISERROR(AVERAGEIF(従業員の給与情報!$B:$B,$A245,従業員の給与情報!$C:$C)),0,AVERAGEIF(従業員の給与情報!$B:$B,$A245,従業員の給与情報!$C:$C)))))</f>
        <v/>
      </c>
      <c r="T245" s="116" t="str">
        <f>IF(OR(入力シート!$C$5&lt;&gt;入力リスト!$N$4,COUNTIF(入力シート!$J$16:$S$23,入力リスト!$K$4)=0),"",IF(A245="","",IF(ISERROR(AVERAGEIF(従業員の給与情報!$B:$B,$A245,従業員の給与情報!$D:$D)),0,IF(ISERROR(AVERAGEIF(従業員の給与情報!$B:$B,$A245,従業員の給与情報!$D:$D)),0,AVERAGEIF(従業員の給与情報!$B:$B,$A245,従業員の給与情報!$D:$D)))))</f>
        <v/>
      </c>
      <c r="U245" s="116" t="str">
        <f>IF(OR(入力シート!$C$5&lt;&gt;入力リスト!$N$4,COUNTIF(入力シート!$J$16:$S$23,入力リスト!$K$4)=0),"",IF(A245="","",IF(ISERROR(AVERAGEIF(従業員の給与情報!$B:$B,$A245,従業員の給与情報!$E:$E)),0,IF(ISERROR(AVERAGEIF(従業員の給与情報!$B:$B,$A245,従業員の給与情報!$E:$E)),0,AVERAGEIF(従業員の給与情報!$B:$B,$A245,従業員の給与情報!$E:$E)))))</f>
        <v/>
      </c>
      <c r="V245" s="117" t="str">
        <f>IF(OR(入力シート!$C$5&lt;&gt;入力リスト!$N$4,COUNTIF(入力シート!$J$16:$S$23,入力リスト!$K$4)=0),"",IF(A245="","",IF(ISERROR(AVERAGEIF(従業員の給与情報!$B:$B,$A245,従業員の給与情報!$F:$F)),0,IF(ISERROR(AVERAGEIF(従業員の給与情報!$B:$B,$A245,従業員の給与情報!$F:$F)),0,AVERAGEIF(従業員の給与情報!$B:$B,$A245,従業員の給与情報!$F:$F)))))</f>
        <v/>
      </c>
      <c r="W245" s="182"/>
      <c r="X245" s="260"/>
    </row>
    <row r="246" spans="1:24">
      <c r="A246" s="368"/>
      <c r="B246" s="361"/>
      <c r="C246" s="362"/>
      <c r="D246" s="361"/>
      <c r="E246" s="361"/>
      <c r="F246" s="372" t="str">
        <f>IF(G246,"この従業員番号は、すでに他のセルで入力されています。",IF(入力シート!$C$5=入力リスト!$N$5,"",IF(AND(A246="",B246="",C246="",D246="",E246=""),"",IF(OR(A246="",B246="",C246="",D246=""),IF(A246="","従業員番号","")&amp;IF(AND(A246="",OR(B246="",C246="",D246="")),",","")&amp;IF(B246="","雇用形態","")&amp;IF(AND(B246="",OR(C246="",D246="")),",","")&amp;IF(OR(入力シート!$J$18=入力リスト!$K$4,入力シート!$J$22=入力リスト!$K$4),IF(C246="","入社年月日",""),"")&amp;IF(AND(C246="",D246=""),",","")&amp;IF(D246="","性別","")&amp;IF(IF(A246="","従業員番号","")&amp;IF(B246="","雇用形態","")&amp;IF(OR(入力シート!$J$18=入力リスト!$K$4,入力シート!$J$22=入力リスト!$K$4),IF(C246="","入社年月日",""),"")&amp;IF(D246="","性別","")="","","が空白です。"),IF(J246,"入社年月日に「基準日」の翌日以降の日付が入力されています。","")&amp;IF(I246,"入社年月日に数値以外（又は1900/1/1以前の日付）が入力されています。","")&amp;IF(H246,"雇用形態"&amp;IF(OR(K246,L246),",",""),"")&amp;IF(K246,"性別"&amp;IF(L246,",",""),"")&amp;IF(L246,"役職","")&amp;IF(OR(H246,K246,L246),"に、［入力シート］(4)「貴社」欄と異なる文言が入力されています。","")))))</f>
        <v/>
      </c>
      <c r="G246" s="236" t="b">
        <f>COUNTIF($A$4:A245,$A246)&gt;0</f>
        <v>0</v>
      </c>
      <c r="H246" s="237" t="b">
        <f>IF(COUNTIF(入力シート!$J$16:$S$23,入力リスト!$K$4)=0,FALSE,IF(入力シート!$J$16=入力リスト!$K$5,FALSE,ISERROR(VLOOKUP(B246,入力シート!$S$37:$V$62,1,0))))</f>
        <v>0</v>
      </c>
      <c r="I246" s="237" t="b">
        <f>IF(AND(OR(入力シート!$J$18=入力リスト!$K$4,入力シート!$J$22=入力リスト!$K$4),入力シート!$J$24&lt;&gt;""),IF(ISERROR(C246+1),TRUE,IF(ISNUMBER(C246),FALSE,TRUE)),FALSE)</f>
        <v>0</v>
      </c>
      <c r="J246" s="237" t="b">
        <f>IF(AND(入力シート!$J$18=入力リスト!$K$4,入力シート!$J$22=入力リスト!$K$4),FALSE,IF(I246=TRUE,FALSE,IF(ISERROR(C246+1),FALSE,C246&gt;入力シート!$J$24)))</f>
        <v>0</v>
      </c>
      <c r="K246" s="237" t="b">
        <f>IF(COUNTIF(入力シート!$J$16:$S$23,入力リスト!$K$4)=0,FALSE,IF(AND(入力シート!$J$16&lt;&gt;入力リスト!$K$5,入力シート!$J$18&lt;&gt;入力リスト!$K$5,入力シート!$J$20&lt;&gt;入力リスト!$K$5,入力シート!$J$22&lt;&gt;入力リスト!$K$5),FALSE,ISERROR(VLOOKUP(D246,入力シート!$AW$37:$AY$38,1,0))))</f>
        <v>0</v>
      </c>
      <c r="L246" s="237" t="b">
        <f>IF(COUNTIF(入力シート!$J$16:$S$23,入力リスト!$K$4)=0,FALSE,IF(入力シート!$J$20=入力リスト!$K$5,FALSE,IF(E246="",FALSE,ISERROR(VLOOKUP(E246,入力シート!$AH$37:$AK$62,1,0)))))</f>
        <v>0</v>
      </c>
      <c r="M246" s="238" t="str">
        <f t="shared" si="3"/>
        <v/>
      </c>
      <c r="N246" s="236" t="str">
        <f>IF(B246="","",VLOOKUP('従業員情報(給与以外)'!$B246,入力シート!$S$37:$Z$62,5,0))</f>
        <v/>
      </c>
      <c r="O246" s="182" t="str">
        <f>IF(ISNUMBER(C246)=FALSE,"",IF(C246&gt;入力シート!$J$24,"",_xlfn.DAYS(入力シート!$J$24,'従業員情報(給与以外)'!$C246)/365))</f>
        <v/>
      </c>
      <c r="P246" s="237" t="str">
        <f>IF(O246="","",VLOOKUP(_xlfn.DAYS(入力シート!$J$24,'従業員情報(給与以外)'!$C246)/365,入力リスト!$H$4:$I$12,2,2))</f>
        <v/>
      </c>
      <c r="Q246" s="236" t="str">
        <f>IF(D246="","",VLOOKUP('従業員情報(給与以外)'!$D246,入力シート!$AW$37:$BB$38,4,0))</f>
        <v/>
      </c>
      <c r="R246" s="236" t="str">
        <f>IF(A246="","",IF(E246="","非役職",VLOOKUP('従業員情報(給与以外)'!$E246,入力シート!$AH$37:$AO$62,5,0)))</f>
        <v/>
      </c>
      <c r="S246" s="116" t="str">
        <f>IF(OR(入力シート!$C$5&lt;&gt;入力リスト!$N$4,COUNTIF(入力シート!$J$16:$S$23,入力リスト!$K$4)=0),"",IF($A246="","",IF(ISERROR(AVERAGEIF(従業員の給与情報!$B:$B,$A246,従業員の給与情報!$C:$C)),0,IF(ISERROR(AVERAGEIF(従業員の給与情報!$B:$B,$A246,従業員の給与情報!$C:$C)),0,AVERAGEIF(従業員の給与情報!$B:$B,$A246,従業員の給与情報!$C:$C)))))</f>
        <v/>
      </c>
      <c r="T246" s="116" t="str">
        <f>IF(OR(入力シート!$C$5&lt;&gt;入力リスト!$N$4,COUNTIF(入力シート!$J$16:$S$23,入力リスト!$K$4)=0),"",IF(A246="","",IF(ISERROR(AVERAGEIF(従業員の給与情報!$B:$B,$A246,従業員の給与情報!$D:$D)),0,IF(ISERROR(AVERAGEIF(従業員の給与情報!$B:$B,$A246,従業員の給与情報!$D:$D)),0,AVERAGEIF(従業員の給与情報!$B:$B,$A246,従業員の給与情報!$D:$D)))))</f>
        <v/>
      </c>
      <c r="U246" s="116" t="str">
        <f>IF(OR(入力シート!$C$5&lt;&gt;入力リスト!$N$4,COUNTIF(入力シート!$J$16:$S$23,入力リスト!$K$4)=0),"",IF(A246="","",IF(ISERROR(AVERAGEIF(従業員の給与情報!$B:$B,$A246,従業員の給与情報!$E:$E)),0,IF(ISERROR(AVERAGEIF(従業員の給与情報!$B:$B,$A246,従業員の給与情報!$E:$E)),0,AVERAGEIF(従業員の給与情報!$B:$B,$A246,従業員の給与情報!$E:$E)))))</f>
        <v/>
      </c>
      <c r="V246" s="117" t="str">
        <f>IF(OR(入力シート!$C$5&lt;&gt;入力リスト!$N$4,COUNTIF(入力シート!$J$16:$S$23,入力リスト!$K$4)=0),"",IF(A246="","",IF(ISERROR(AVERAGEIF(従業員の給与情報!$B:$B,$A246,従業員の給与情報!$F:$F)),0,IF(ISERROR(AVERAGEIF(従業員の給与情報!$B:$B,$A246,従業員の給与情報!$F:$F)),0,AVERAGEIF(従業員の給与情報!$B:$B,$A246,従業員の給与情報!$F:$F)))))</f>
        <v/>
      </c>
      <c r="W246" s="182"/>
      <c r="X246" s="260"/>
    </row>
    <row r="247" spans="1:24">
      <c r="A247" s="368"/>
      <c r="B247" s="361"/>
      <c r="C247" s="362"/>
      <c r="D247" s="361"/>
      <c r="E247" s="361"/>
      <c r="F247" s="372" t="str">
        <f>IF(G247,"この従業員番号は、すでに他のセルで入力されています。",IF(入力シート!$C$5=入力リスト!$N$5,"",IF(AND(A247="",B247="",C247="",D247="",E247=""),"",IF(OR(A247="",B247="",C247="",D247=""),IF(A247="","従業員番号","")&amp;IF(AND(A247="",OR(B247="",C247="",D247="")),",","")&amp;IF(B247="","雇用形態","")&amp;IF(AND(B247="",OR(C247="",D247="")),",","")&amp;IF(OR(入力シート!$J$18=入力リスト!$K$4,入力シート!$J$22=入力リスト!$K$4),IF(C247="","入社年月日",""),"")&amp;IF(AND(C247="",D247=""),",","")&amp;IF(D247="","性別","")&amp;IF(IF(A247="","従業員番号","")&amp;IF(B247="","雇用形態","")&amp;IF(OR(入力シート!$J$18=入力リスト!$K$4,入力シート!$J$22=入力リスト!$K$4),IF(C247="","入社年月日",""),"")&amp;IF(D247="","性別","")="","","が空白です。"),IF(J247,"入社年月日に「基準日」の翌日以降の日付が入力されています。","")&amp;IF(I247,"入社年月日に数値以外（又は1900/1/1以前の日付）が入力されています。","")&amp;IF(H247,"雇用形態"&amp;IF(OR(K247,L247),",",""),"")&amp;IF(K247,"性別"&amp;IF(L247,",",""),"")&amp;IF(L247,"役職","")&amp;IF(OR(H247,K247,L247),"に、［入力シート］(4)「貴社」欄と異なる文言が入力されています。","")))))</f>
        <v/>
      </c>
      <c r="G247" s="236" t="b">
        <f>COUNTIF($A$4:A246,$A247)&gt;0</f>
        <v>0</v>
      </c>
      <c r="H247" s="237" t="b">
        <f>IF(COUNTIF(入力シート!$J$16:$S$23,入力リスト!$K$4)=0,FALSE,IF(入力シート!$J$16=入力リスト!$K$5,FALSE,ISERROR(VLOOKUP(B247,入力シート!$S$37:$V$62,1,0))))</f>
        <v>0</v>
      </c>
      <c r="I247" s="237" t="b">
        <f>IF(AND(OR(入力シート!$J$18=入力リスト!$K$4,入力シート!$J$22=入力リスト!$K$4),入力シート!$J$24&lt;&gt;""),IF(ISERROR(C247+1),TRUE,IF(ISNUMBER(C247),FALSE,TRUE)),FALSE)</f>
        <v>0</v>
      </c>
      <c r="J247" s="237" t="b">
        <f>IF(AND(入力シート!$J$18=入力リスト!$K$4,入力シート!$J$22=入力リスト!$K$4),FALSE,IF(I247=TRUE,FALSE,IF(ISERROR(C247+1),FALSE,C247&gt;入力シート!$J$24)))</f>
        <v>0</v>
      </c>
      <c r="K247" s="237" t="b">
        <f>IF(COUNTIF(入力シート!$J$16:$S$23,入力リスト!$K$4)=0,FALSE,IF(AND(入力シート!$J$16&lt;&gt;入力リスト!$K$5,入力シート!$J$18&lt;&gt;入力リスト!$K$5,入力シート!$J$20&lt;&gt;入力リスト!$K$5,入力シート!$J$22&lt;&gt;入力リスト!$K$5),FALSE,ISERROR(VLOOKUP(D247,入力シート!$AW$37:$AY$38,1,0))))</f>
        <v>0</v>
      </c>
      <c r="L247" s="237" t="b">
        <f>IF(COUNTIF(入力シート!$J$16:$S$23,入力リスト!$K$4)=0,FALSE,IF(入力シート!$J$20=入力リスト!$K$5,FALSE,IF(E247="",FALSE,ISERROR(VLOOKUP(E247,入力シート!$AH$37:$AK$62,1,0)))))</f>
        <v>0</v>
      </c>
      <c r="M247" s="238" t="str">
        <f t="shared" si="3"/>
        <v/>
      </c>
      <c r="N247" s="236" t="str">
        <f>IF(B247="","",VLOOKUP('従業員情報(給与以外)'!$B247,入力シート!$S$37:$Z$62,5,0))</f>
        <v/>
      </c>
      <c r="O247" s="182" t="str">
        <f>IF(ISNUMBER(C247)=FALSE,"",IF(C247&gt;入力シート!$J$24,"",_xlfn.DAYS(入力シート!$J$24,'従業員情報(給与以外)'!$C247)/365))</f>
        <v/>
      </c>
      <c r="P247" s="237" t="str">
        <f>IF(O247="","",VLOOKUP(_xlfn.DAYS(入力シート!$J$24,'従業員情報(給与以外)'!$C247)/365,入力リスト!$H$4:$I$12,2,2))</f>
        <v/>
      </c>
      <c r="Q247" s="236" t="str">
        <f>IF(D247="","",VLOOKUP('従業員情報(給与以外)'!$D247,入力シート!$AW$37:$BB$38,4,0))</f>
        <v/>
      </c>
      <c r="R247" s="236" t="str">
        <f>IF(A247="","",IF(E247="","非役職",VLOOKUP('従業員情報(給与以外)'!$E247,入力シート!$AH$37:$AO$62,5,0)))</f>
        <v/>
      </c>
      <c r="S247" s="116" t="str">
        <f>IF(OR(入力シート!$C$5&lt;&gt;入力リスト!$N$4,COUNTIF(入力シート!$J$16:$S$23,入力リスト!$K$4)=0),"",IF($A247="","",IF(ISERROR(AVERAGEIF(従業員の給与情報!$B:$B,$A247,従業員の給与情報!$C:$C)),0,IF(ISERROR(AVERAGEIF(従業員の給与情報!$B:$B,$A247,従業員の給与情報!$C:$C)),0,AVERAGEIF(従業員の給与情報!$B:$B,$A247,従業員の給与情報!$C:$C)))))</f>
        <v/>
      </c>
      <c r="T247" s="116" t="str">
        <f>IF(OR(入力シート!$C$5&lt;&gt;入力リスト!$N$4,COUNTIF(入力シート!$J$16:$S$23,入力リスト!$K$4)=0),"",IF(A247="","",IF(ISERROR(AVERAGEIF(従業員の給与情報!$B:$B,$A247,従業員の給与情報!$D:$D)),0,IF(ISERROR(AVERAGEIF(従業員の給与情報!$B:$B,$A247,従業員の給与情報!$D:$D)),0,AVERAGEIF(従業員の給与情報!$B:$B,$A247,従業員の給与情報!$D:$D)))))</f>
        <v/>
      </c>
      <c r="U247" s="116" t="str">
        <f>IF(OR(入力シート!$C$5&lt;&gt;入力リスト!$N$4,COUNTIF(入力シート!$J$16:$S$23,入力リスト!$K$4)=0),"",IF(A247="","",IF(ISERROR(AVERAGEIF(従業員の給与情報!$B:$B,$A247,従業員の給与情報!$E:$E)),0,IF(ISERROR(AVERAGEIF(従業員の給与情報!$B:$B,$A247,従業員の給与情報!$E:$E)),0,AVERAGEIF(従業員の給与情報!$B:$B,$A247,従業員の給与情報!$E:$E)))))</f>
        <v/>
      </c>
      <c r="V247" s="117" t="str">
        <f>IF(OR(入力シート!$C$5&lt;&gt;入力リスト!$N$4,COUNTIF(入力シート!$J$16:$S$23,入力リスト!$K$4)=0),"",IF(A247="","",IF(ISERROR(AVERAGEIF(従業員の給与情報!$B:$B,$A247,従業員の給与情報!$F:$F)),0,IF(ISERROR(AVERAGEIF(従業員の給与情報!$B:$B,$A247,従業員の給与情報!$F:$F)),0,AVERAGEIF(従業員の給与情報!$B:$B,$A247,従業員の給与情報!$F:$F)))))</f>
        <v/>
      </c>
      <c r="W247" s="182"/>
      <c r="X247" s="260"/>
    </row>
    <row r="248" spans="1:24">
      <c r="A248" s="368"/>
      <c r="B248" s="361"/>
      <c r="C248" s="362"/>
      <c r="D248" s="361"/>
      <c r="E248" s="361"/>
      <c r="F248" s="372" t="str">
        <f>IF(G248,"この従業員番号は、すでに他のセルで入力されています。",IF(入力シート!$C$5=入力リスト!$N$5,"",IF(AND(A248="",B248="",C248="",D248="",E248=""),"",IF(OR(A248="",B248="",C248="",D248=""),IF(A248="","従業員番号","")&amp;IF(AND(A248="",OR(B248="",C248="",D248="")),",","")&amp;IF(B248="","雇用形態","")&amp;IF(AND(B248="",OR(C248="",D248="")),",","")&amp;IF(OR(入力シート!$J$18=入力リスト!$K$4,入力シート!$J$22=入力リスト!$K$4),IF(C248="","入社年月日",""),"")&amp;IF(AND(C248="",D248=""),",","")&amp;IF(D248="","性別","")&amp;IF(IF(A248="","従業員番号","")&amp;IF(B248="","雇用形態","")&amp;IF(OR(入力シート!$J$18=入力リスト!$K$4,入力シート!$J$22=入力リスト!$K$4),IF(C248="","入社年月日",""),"")&amp;IF(D248="","性別","")="","","が空白です。"),IF(J248,"入社年月日に「基準日」の翌日以降の日付が入力されています。","")&amp;IF(I248,"入社年月日に数値以外（又は1900/1/1以前の日付）が入力されています。","")&amp;IF(H248,"雇用形態"&amp;IF(OR(K248,L248),",",""),"")&amp;IF(K248,"性別"&amp;IF(L248,",",""),"")&amp;IF(L248,"役職","")&amp;IF(OR(H248,K248,L248),"に、［入力シート］(4)「貴社」欄と異なる文言が入力されています。","")))))</f>
        <v/>
      </c>
      <c r="G248" s="236" t="b">
        <f>COUNTIF($A$4:A247,$A248)&gt;0</f>
        <v>0</v>
      </c>
      <c r="H248" s="237" t="b">
        <f>IF(COUNTIF(入力シート!$J$16:$S$23,入力リスト!$K$4)=0,FALSE,IF(入力シート!$J$16=入力リスト!$K$5,FALSE,ISERROR(VLOOKUP(B248,入力シート!$S$37:$V$62,1,0))))</f>
        <v>0</v>
      </c>
      <c r="I248" s="237" t="b">
        <f>IF(AND(OR(入力シート!$J$18=入力リスト!$K$4,入力シート!$J$22=入力リスト!$K$4),入力シート!$J$24&lt;&gt;""),IF(ISERROR(C248+1),TRUE,IF(ISNUMBER(C248),FALSE,TRUE)),FALSE)</f>
        <v>0</v>
      </c>
      <c r="J248" s="237" t="b">
        <f>IF(AND(入力シート!$J$18=入力リスト!$K$4,入力シート!$J$22=入力リスト!$K$4),FALSE,IF(I248=TRUE,FALSE,IF(ISERROR(C248+1),FALSE,C248&gt;入力シート!$J$24)))</f>
        <v>0</v>
      </c>
      <c r="K248" s="237" t="b">
        <f>IF(COUNTIF(入力シート!$J$16:$S$23,入力リスト!$K$4)=0,FALSE,IF(AND(入力シート!$J$16&lt;&gt;入力リスト!$K$5,入力シート!$J$18&lt;&gt;入力リスト!$K$5,入力シート!$J$20&lt;&gt;入力リスト!$K$5,入力シート!$J$22&lt;&gt;入力リスト!$K$5),FALSE,ISERROR(VLOOKUP(D248,入力シート!$AW$37:$AY$38,1,0))))</f>
        <v>0</v>
      </c>
      <c r="L248" s="237" t="b">
        <f>IF(COUNTIF(入力シート!$J$16:$S$23,入力リスト!$K$4)=0,FALSE,IF(入力シート!$J$20=入力リスト!$K$5,FALSE,IF(E248="",FALSE,ISERROR(VLOOKUP(E248,入力シート!$AH$37:$AK$62,1,0)))))</f>
        <v>0</v>
      </c>
      <c r="M248" s="238" t="str">
        <f t="shared" si="3"/>
        <v/>
      </c>
      <c r="N248" s="236" t="str">
        <f>IF(B248="","",VLOOKUP('従業員情報(給与以外)'!$B248,入力シート!$S$37:$Z$62,5,0))</f>
        <v/>
      </c>
      <c r="O248" s="182" t="str">
        <f>IF(ISNUMBER(C248)=FALSE,"",IF(C248&gt;入力シート!$J$24,"",_xlfn.DAYS(入力シート!$J$24,'従業員情報(給与以外)'!$C248)/365))</f>
        <v/>
      </c>
      <c r="P248" s="237" t="str">
        <f>IF(O248="","",VLOOKUP(_xlfn.DAYS(入力シート!$J$24,'従業員情報(給与以外)'!$C248)/365,入力リスト!$H$4:$I$12,2,2))</f>
        <v/>
      </c>
      <c r="Q248" s="236" t="str">
        <f>IF(D248="","",VLOOKUP('従業員情報(給与以外)'!$D248,入力シート!$AW$37:$BB$38,4,0))</f>
        <v/>
      </c>
      <c r="R248" s="236" t="str">
        <f>IF(A248="","",IF(E248="","非役職",VLOOKUP('従業員情報(給与以外)'!$E248,入力シート!$AH$37:$AO$62,5,0)))</f>
        <v/>
      </c>
      <c r="S248" s="116" t="str">
        <f>IF(OR(入力シート!$C$5&lt;&gt;入力リスト!$N$4,COUNTIF(入力シート!$J$16:$S$23,入力リスト!$K$4)=0),"",IF($A248="","",IF(ISERROR(AVERAGEIF(従業員の給与情報!$B:$B,$A248,従業員の給与情報!$C:$C)),0,IF(ISERROR(AVERAGEIF(従業員の給与情報!$B:$B,$A248,従業員の給与情報!$C:$C)),0,AVERAGEIF(従業員の給与情報!$B:$B,$A248,従業員の給与情報!$C:$C)))))</f>
        <v/>
      </c>
      <c r="T248" s="116" t="str">
        <f>IF(OR(入力シート!$C$5&lt;&gt;入力リスト!$N$4,COUNTIF(入力シート!$J$16:$S$23,入力リスト!$K$4)=0),"",IF(A248="","",IF(ISERROR(AVERAGEIF(従業員の給与情報!$B:$B,$A248,従業員の給与情報!$D:$D)),0,IF(ISERROR(AVERAGEIF(従業員の給与情報!$B:$B,$A248,従業員の給与情報!$D:$D)),0,AVERAGEIF(従業員の給与情報!$B:$B,$A248,従業員の給与情報!$D:$D)))))</f>
        <v/>
      </c>
      <c r="U248" s="116" t="str">
        <f>IF(OR(入力シート!$C$5&lt;&gt;入力リスト!$N$4,COUNTIF(入力シート!$J$16:$S$23,入力リスト!$K$4)=0),"",IF(A248="","",IF(ISERROR(AVERAGEIF(従業員の給与情報!$B:$B,$A248,従業員の給与情報!$E:$E)),0,IF(ISERROR(AVERAGEIF(従業員の給与情報!$B:$B,$A248,従業員の給与情報!$E:$E)),0,AVERAGEIF(従業員の給与情報!$B:$B,$A248,従業員の給与情報!$E:$E)))))</f>
        <v/>
      </c>
      <c r="V248" s="117" t="str">
        <f>IF(OR(入力シート!$C$5&lt;&gt;入力リスト!$N$4,COUNTIF(入力シート!$J$16:$S$23,入力リスト!$K$4)=0),"",IF(A248="","",IF(ISERROR(AVERAGEIF(従業員の給与情報!$B:$B,$A248,従業員の給与情報!$F:$F)),0,IF(ISERROR(AVERAGEIF(従業員の給与情報!$B:$B,$A248,従業員の給与情報!$F:$F)),0,AVERAGEIF(従業員の給与情報!$B:$B,$A248,従業員の給与情報!$F:$F)))))</f>
        <v/>
      </c>
      <c r="W248" s="182"/>
      <c r="X248" s="260"/>
    </row>
    <row r="249" spans="1:24">
      <c r="A249" s="368"/>
      <c r="B249" s="361"/>
      <c r="C249" s="362"/>
      <c r="D249" s="361"/>
      <c r="E249" s="361"/>
      <c r="F249" s="372" t="str">
        <f>IF(G249,"この従業員番号は、すでに他のセルで入力されています。",IF(入力シート!$C$5=入力リスト!$N$5,"",IF(AND(A249="",B249="",C249="",D249="",E249=""),"",IF(OR(A249="",B249="",C249="",D249=""),IF(A249="","従業員番号","")&amp;IF(AND(A249="",OR(B249="",C249="",D249="")),",","")&amp;IF(B249="","雇用形態","")&amp;IF(AND(B249="",OR(C249="",D249="")),",","")&amp;IF(OR(入力シート!$J$18=入力リスト!$K$4,入力シート!$J$22=入力リスト!$K$4),IF(C249="","入社年月日",""),"")&amp;IF(AND(C249="",D249=""),",","")&amp;IF(D249="","性別","")&amp;IF(IF(A249="","従業員番号","")&amp;IF(B249="","雇用形態","")&amp;IF(OR(入力シート!$J$18=入力リスト!$K$4,入力シート!$J$22=入力リスト!$K$4),IF(C249="","入社年月日",""),"")&amp;IF(D249="","性別","")="","","が空白です。"),IF(J249,"入社年月日に「基準日」の翌日以降の日付が入力されています。","")&amp;IF(I249,"入社年月日に数値以外（又は1900/1/1以前の日付）が入力されています。","")&amp;IF(H249,"雇用形態"&amp;IF(OR(K249,L249),",",""),"")&amp;IF(K249,"性別"&amp;IF(L249,",",""),"")&amp;IF(L249,"役職","")&amp;IF(OR(H249,K249,L249),"に、［入力シート］(4)「貴社」欄と異なる文言が入力されています。","")))))</f>
        <v/>
      </c>
      <c r="G249" s="236" t="b">
        <f>COUNTIF($A$4:A248,$A249)&gt;0</f>
        <v>0</v>
      </c>
      <c r="H249" s="237" t="b">
        <f>IF(COUNTIF(入力シート!$J$16:$S$23,入力リスト!$K$4)=0,FALSE,IF(入力シート!$J$16=入力リスト!$K$5,FALSE,ISERROR(VLOOKUP(B249,入力シート!$S$37:$V$62,1,0))))</f>
        <v>0</v>
      </c>
      <c r="I249" s="237" t="b">
        <f>IF(AND(OR(入力シート!$J$18=入力リスト!$K$4,入力シート!$J$22=入力リスト!$K$4),入力シート!$J$24&lt;&gt;""),IF(ISERROR(C249+1),TRUE,IF(ISNUMBER(C249),FALSE,TRUE)),FALSE)</f>
        <v>0</v>
      </c>
      <c r="J249" s="237" t="b">
        <f>IF(AND(入力シート!$J$18=入力リスト!$K$4,入力シート!$J$22=入力リスト!$K$4),FALSE,IF(I249=TRUE,FALSE,IF(ISERROR(C249+1),FALSE,C249&gt;入力シート!$J$24)))</f>
        <v>0</v>
      </c>
      <c r="K249" s="237" t="b">
        <f>IF(COUNTIF(入力シート!$J$16:$S$23,入力リスト!$K$4)=0,FALSE,IF(AND(入力シート!$J$16&lt;&gt;入力リスト!$K$5,入力シート!$J$18&lt;&gt;入力リスト!$K$5,入力シート!$J$20&lt;&gt;入力リスト!$K$5,入力シート!$J$22&lt;&gt;入力リスト!$K$5),FALSE,ISERROR(VLOOKUP(D249,入力シート!$AW$37:$AY$38,1,0))))</f>
        <v>0</v>
      </c>
      <c r="L249" s="237" t="b">
        <f>IF(COUNTIF(入力シート!$J$16:$S$23,入力リスト!$K$4)=0,FALSE,IF(入力シート!$J$20=入力リスト!$K$5,FALSE,IF(E249="",FALSE,ISERROR(VLOOKUP(E249,入力シート!$AH$37:$AK$62,1,0)))))</f>
        <v>0</v>
      </c>
      <c r="M249" s="238" t="str">
        <f t="shared" si="3"/>
        <v/>
      </c>
      <c r="N249" s="236" t="str">
        <f>IF(B249="","",VLOOKUP('従業員情報(給与以外)'!$B249,入力シート!$S$37:$Z$62,5,0))</f>
        <v/>
      </c>
      <c r="O249" s="182" t="str">
        <f>IF(ISNUMBER(C249)=FALSE,"",IF(C249&gt;入力シート!$J$24,"",_xlfn.DAYS(入力シート!$J$24,'従業員情報(給与以外)'!$C249)/365))</f>
        <v/>
      </c>
      <c r="P249" s="237" t="str">
        <f>IF(O249="","",VLOOKUP(_xlfn.DAYS(入力シート!$J$24,'従業員情報(給与以外)'!$C249)/365,入力リスト!$H$4:$I$12,2,2))</f>
        <v/>
      </c>
      <c r="Q249" s="236" t="str">
        <f>IF(D249="","",VLOOKUP('従業員情報(給与以外)'!$D249,入力シート!$AW$37:$BB$38,4,0))</f>
        <v/>
      </c>
      <c r="R249" s="236" t="str">
        <f>IF(A249="","",IF(E249="","非役職",VLOOKUP('従業員情報(給与以外)'!$E249,入力シート!$AH$37:$AO$62,5,0)))</f>
        <v/>
      </c>
      <c r="S249" s="116" t="str">
        <f>IF(OR(入力シート!$C$5&lt;&gt;入力リスト!$N$4,COUNTIF(入力シート!$J$16:$S$23,入力リスト!$K$4)=0),"",IF($A249="","",IF(ISERROR(AVERAGEIF(従業員の給与情報!$B:$B,$A249,従業員の給与情報!$C:$C)),0,IF(ISERROR(AVERAGEIF(従業員の給与情報!$B:$B,$A249,従業員の給与情報!$C:$C)),0,AVERAGEIF(従業員の給与情報!$B:$B,$A249,従業員の給与情報!$C:$C)))))</f>
        <v/>
      </c>
      <c r="T249" s="116" t="str">
        <f>IF(OR(入力シート!$C$5&lt;&gt;入力リスト!$N$4,COUNTIF(入力シート!$J$16:$S$23,入力リスト!$K$4)=0),"",IF(A249="","",IF(ISERROR(AVERAGEIF(従業員の給与情報!$B:$B,$A249,従業員の給与情報!$D:$D)),0,IF(ISERROR(AVERAGEIF(従業員の給与情報!$B:$B,$A249,従業員の給与情報!$D:$D)),0,AVERAGEIF(従業員の給与情報!$B:$B,$A249,従業員の給与情報!$D:$D)))))</f>
        <v/>
      </c>
      <c r="U249" s="116" t="str">
        <f>IF(OR(入力シート!$C$5&lt;&gt;入力リスト!$N$4,COUNTIF(入力シート!$J$16:$S$23,入力リスト!$K$4)=0),"",IF(A249="","",IF(ISERROR(AVERAGEIF(従業員の給与情報!$B:$B,$A249,従業員の給与情報!$E:$E)),0,IF(ISERROR(AVERAGEIF(従業員の給与情報!$B:$B,$A249,従業員の給与情報!$E:$E)),0,AVERAGEIF(従業員の給与情報!$B:$B,$A249,従業員の給与情報!$E:$E)))))</f>
        <v/>
      </c>
      <c r="V249" s="117" t="str">
        <f>IF(OR(入力シート!$C$5&lt;&gt;入力リスト!$N$4,COUNTIF(入力シート!$J$16:$S$23,入力リスト!$K$4)=0),"",IF(A249="","",IF(ISERROR(AVERAGEIF(従業員の給与情報!$B:$B,$A249,従業員の給与情報!$F:$F)),0,IF(ISERROR(AVERAGEIF(従業員の給与情報!$B:$B,$A249,従業員の給与情報!$F:$F)),0,AVERAGEIF(従業員の給与情報!$B:$B,$A249,従業員の給与情報!$F:$F)))))</f>
        <v/>
      </c>
      <c r="W249" s="182"/>
      <c r="X249" s="260"/>
    </row>
    <row r="250" spans="1:24">
      <c r="A250" s="368"/>
      <c r="B250" s="361"/>
      <c r="C250" s="362"/>
      <c r="D250" s="361"/>
      <c r="E250" s="361"/>
      <c r="F250" s="372" t="str">
        <f>IF(G250,"この従業員番号は、すでに他のセルで入力されています。",IF(入力シート!$C$5=入力リスト!$N$5,"",IF(AND(A250="",B250="",C250="",D250="",E250=""),"",IF(OR(A250="",B250="",C250="",D250=""),IF(A250="","従業員番号","")&amp;IF(AND(A250="",OR(B250="",C250="",D250="")),",","")&amp;IF(B250="","雇用形態","")&amp;IF(AND(B250="",OR(C250="",D250="")),",","")&amp;IF(OR(入力シート!$J$18=入力リスト!$K$4,入力シート!$J$22=入力リスト!$K$4),IF(C250="","入社年月日",""),"")&amp;IF(AND(C250="",D250=""),",","")&amp;IF(D250="","性別","")&amp;IF(IF(A250="","従業員番号","")&amp;IF(B250="","雇用形態","")&amp;IF(OR(入力シート!$J$18=入力リスト!$K$4,入力シート!$J$22=入力リスト!$K$4),IF(C250="","入社年月日",""),"")&amp;IF(D250="","性別","")="","","が空白です。"),IF(J250,"入社年月日に「基準日」の翌日以降の日付が入力されています。","")&amp;IF(I250,"入社年月日に数値以外（又は1900/1/1以前の日付）が入力されています。","")&amp;IF(H250,"雇用形態"&amp;IF(OR(K250,L250),",",""),"")&amp;IF(K250,"性別"&amp;IF(L250,",",""),"")&amp;IF(L250,"役職","")&amp;IF(OR(H250,K250,L250),"に、［入力シート］(4)「貴社」欄と異なる文言が入力されています。","")))))</f>
        <v/>
      </c>
      <c r="G250" s="236" t="b">
        <f>COUNTIF($A$4:A249,$A250)&gt;0</f>
        <v>0</v>
      </c>
      <c r="H250" s="237" t="b">
        <f>IF(COUNTIF(入力シート!$J$16:$S$23,入力リスト!$K$4)=0,FALSE,IF(入力シート!$J$16=入力リスト!$K$5,FALSE,ISERROR(VLOOKUP(B250,入力シート!$S$37:$V$62,1,0))))</f>
        <v>0</v>
      </c>
      <c r="I250" s="237" t="b">
        <f>IF(AND(OR(入力シート!$J$18=入力リスト!$K$4,入力シート!$J$22=入力リスト!$K$4),入力シート!$J$24&lt;&gt;""),IF(ISERROR(C250+1),TRUE,IF(ISNUMBER(C250),FALSE,TRUE)),FALSE)</f>
        <v>0</v>
      </c>
      <c r="J250" s="237" t="b">
        <f>IF(AND(入力シート!$J$18=入力リスト!$K$4,入力シート!$J$22=入力リスト!$K$4),FALSE,IF(I250=TRUE,FALSE,IF(ISERROR(C250+1),FALSE,C250&gt;入力シート!$J$24)))</f>
        <v>0</v>
      </c>
      <c r="K250" s="237" t="b">
        <f>IF(COUNTIF(入力シート!$J$16:$S$23,入力リスト!$K$4)=0,FALSE,IF(AND(入力シート!$J$16&lt;&gt;入力リスト!$K$5,入力シート!$J$18&lt;&gt;入力リスト!$K$5,入力シート!$J$20&lt;&gt;入力リスト!$K$5,入力シート!$J$22&lt;&gt;入力リスト!$K$5),FALSE,ISERROR(VLOOKUP(D250,入力シート!$AW$37:$AY$38,1,0))))</f>
        <v>0</v>
      </c>
      <c r="L250" s="237" t="b">
        <f>IF(COUNTIF(入力シート!$J$16:$S$23,入力リスト!$K$4)=0,FALSE,IF(入力シート!$J$20=入力リスト!$K$5,FALSE,IF(E250="",FALSE,ISERROR(VLOOKUP(E250,入力シート!$AH$37:$AK$62,1,0)))))</f>
        <v>0</v>
      </c>
      <c r="M250" s="238" t="str">
        <f t="shared" si="3"/>
        <v/>
      </c>
      <c r="N250" s="236" t="str">
        <f>IF(B250="","",VLOOKUP('従業員情報(給与以外)'!$B250,入力シート!$S$37:$Z$62,5,0))</f>
        <v/>
      </c>
      <c r="O250" s="182" t="str">
        <f>IF(ISNUMBER(C250)=FALSE,"",IF(C250&gt;入力シート!$J$24,"",_xlfn.DAYS(入力シート!$J$24,'従業員情報(給与以外)'!$C250)/365))</f>
        <v/>
      </c>
      <c r="P250" s="237" t="str">
        <f>IF(O250="","",VLOOKUP(_xlfn.DAYS(入力シート!$J$24,'従業員情報(給与以外)'!$C250)/365,入力リスト!$H$4:$I$12,2,2))</f>
        <v/>
      </c>
      <c r="Q250" s="236" t="str">
        <f>IF(D250="","",VLOOKUP('従業員情報(給与以外)'!$D250,入力シート!$AW$37:$BB$38,4,0))</f>
        <v/>
      </c>
      <c r="R250" s="236" t="str">
        <f>IF(A250="","",IF(E250="","非役職",VLOOKUP('従業員情報(給与以外)'!$E250,入力シート!$AH$37:$AO$62,5,0)))</f>
        <v/>
      </c>
      <c r="S250" s="116" t="str">
        <f>IF(OR(入力シート!$C$5&lt;&gt;入力リスト!$N$4,COUNTIF(入力シート!$J$16:$S$23,入力リスト!$K$4)=0),"",IF($A250="","",IF(ISERROR(AVERAGEIF(従業員の給与情報!$B:$B,$A250,従業員の給与情報!$C:$C)),0,IF(ISERROR(AVERAGEIF(従業員の給与情報!$B:$B,$A250,従業員の給与情報!$C:$C)),0,AVERAGEIF(従業員の給与情報!$B:$B,$A250,従業員の給与情報!$C:$C)))))</f>
        <v/>
      </c>
      <c r="T250" s="116" t="str">
        <f>IF(OR(入力シート!$C$5&lt;&gt;入力リスト!$N$4,COUNTIF(入力シート!$J$16:$S$23,入力リスト!$K$4)=0),"",IF(A250="","",IF(ISERROR(AVERAGEIF(従業員の給与情報!$B:$B,$A250,従業員の給与情報!$D:$D)),0,IF(ISERROR(AVERAGEIF(従業員の給与情報!$B:$B,$A250,従業員の給与情報!$D:$D)),0,AVERAGEIF(従業員の給与情報!$B:$B,$A250,従業員の給与情報!$D:$D)))))</f>
        <v/>
      </c>
      <c r="U250" s="116" t="str">
        <f>IF(OR(入力シート!$C$5&lt;&gt;入力リスト!$N$4,COUNTIF(入力シート!$J$16:$S$23,入力リスト!$K$4)=0),"",IF(A250="","",IF(ISERROR(AVERAGEIF(従業員の給与情報!$B:$B,$A250,従業員の給与情報!$E:$E)),0,IF(ISERROR(AVERAGEIF(従業員の給与情報!$B:$B,$A250,従業員の給与情報!$E:$E)),0,AVERAGEIF(従業員の給与情報!$B:$B,$A250,従業員の給与情報!$E:$E)))))</f>
        <v/>
      </c>
      <c r="V250" s="117" t="str">
        <f>IF(OR(入力シート!$C$5&lt;&gt;入力リスト!$N$4,COUNTIF(入力シート!$J$16:$S$23,入力リスト!$K$4)=0),"",IF(A250="","",IF(ISERROR(AVERAGEIF(従業員の給与情報!$B:$B,$A250,従業員の給与情報!$F:$F)),0,IF(ISERROR(AVERAGEIF(従業員の給与情報!$B:$B,$A250,従業員の給与情報!$F:$F)),0,AVERAGEIF(従業員の給与情報!$B:$B,$A250,従業員の給与情報!$F:$F)))))</f>
        <v/>
      </c>
      <c r="W250" s="182"/>
      <c r="X250" s="260"/>
    </row>
    <row r="251" spans="1:24">
      <c r="A251" s="368"/>
      <c r="B251" s="361"/>
      <c r="C251" s="362"/>
      <c r="D251" s="361"/>
      <c r="E251" s="361"/>
      <c r="F251" s="372" t="str">
        <f>IF(G251,"この従業員番号は、すでに他のセルで入力されています。",IF(入力シート!$C$5=入力リスト!$N$5,"",IF(AND(A251="",B251="",C251="",D251="",E251=""),"",IF(OR(A251="",B251="",C251="",D251=""),IF(A251="","従業員番号","")&amp;IF(AND(A251="",OR(B251="",C251="",D251="")),",","")&amp;IF(B251="","雇用形態","")&amp;IF(AND(B251="",OR(C251="",D251="")),",","")&amp;IF(OR(入力シート!$J$18=入力リスト!$K$4,入力シート!$J$22=入力リスト!$K$4),IF(C251="","入社年月日",""),"")&amp;IF(AND(C251="",D251=""),",","")&amp;IF(D251="","性別","")&amp;IF(IF(A251="","従業員番号","")&amp;IF(B251="","雇用形態","")&amp;IF(OR(入力シート!$J$18=入力リスト!$K$4,入力シート!$J$22=入力リスト!$K$4),IF(C251="","入社年月日",""),"")&amp;IF(D251="","性別","")="","","が空白です。"),IF(J251,"入社年月日に「基準日」の翌日以降の日付が入力されています。","")&amp;IF(I251,"入社年月日に数値以外（又は1900/1/1以前の日付）が入力されています。","")&amp;IF(H251,"雇用形態"&amp;IF(OR(K251,L251),",",""),"")&amp;IF(K251,"性別"&amp;IF(L251,",",""),"")&amp;IF(L251,"役職","")&amp;IF(OR(H251,K251,L251),"に、［入力シート］(4)「貴社」欄と異なる文言が入力されています。","")))))</f>
        <v/>
      </c>
      <c r="G251" s="236" t="b">
        <f>COUNTIF($A$4:A250,$A251)&gt;0</f>
        <v>0</v>
      </c>
      <c r="H251" s="237" t="b">
        <f>IF(COUNTIF(入力シート!$J$16:$S$23,入力リスト!$K$4)=0,FALSE,IF(入力シート!$J$16=入力リスト!$K$5,FALSE,ISERROR(VLOOKUP(B251,入力シート!$S$37:$V$62,1,0))))</f>
        <v>0</v>
      </c>
      <c r="I251" s="237" t="b">
        <f>IF(AND(OR(入力シート!$J$18=入力リスト!$K$4,入力シート!$J$22=入力リスト!$K$4),入力シート!$J$24&lt;&gt;""),IF(ISERROR(C251+1),TRUE,IF(ISNUMBER(C251),FALSE,TRUE)),FALSE)</f>
        <v>0</v>
      </c>
      <c r="J251" s="237" t="b">
        <f>IF(AND(入力シート!$J$18=入力リスト!$K$4,入力シート!$J$22=入力リスト!$K$4),FALSE,IF(I251=TRUE,FALSE,IF(ISERROR(C251+1),FALSE,C251&gt;入力シート!$J$24)))</f>
        <v>0</v>
      </c>
      <c r="K251" s="237" t="b">
        <f>IF(COUNTIF(入力シート!$J$16:$S$23,入力リスト!$K$4)=0,FALSE,IF(AND(入力シート!$J$16&lt;&gt;入力リスト!$K$5,入力シート!$J$18&lt;&gt;入力リスト!$K$5,入力シート!$J$20&lt;&gt;入力リスト!$K$5,入力シート!$J$22&lt;&gt;入力リスト!$K$5),FALSE,ISERROR(VLOOKUP(D251,入力シート!$AW$37:$AY$38,1,0))))</f>
        <v>0</v>
      </c>
      <c r="L251" s="237" t="b">
        <f>IF(COUNTIF(入力シート!$J$16:$S$23,入力リスト!$K$4)=0,FALSE,IF(入力シート!$J$20=入力リスト!$K$5,FALSE,IF(E251="",FALSE,ISERROR(VLOOKUP(E251,入力シート!$AH$37:$AK$62,1,0)))))</f>
        <v>0</v>
      </c>
      <c r="M251" s="238" t="str">
        <f t="shared" si="3"/>
        <v/>
      </c>
      <c r="N251" s="236" t="str">
        <f>IF(B251="","",VLOOKUP('従業員情報(給与以外)'!$B251,入力シート!$S$37:$Z$62,5,0))</f>
        <v/>
      </c>
      <c r="O251" s="182" t="str">
        <f>IF(ISNUMBER(C251)=FALSE,"",IF(C251&gt;入力シート!$J$24,"",_xlfn.DAYS(入力シート!$J$24,'従業員情報(給与以外)'!$C251)/365))</f>
        <v/>
      </c>
      <c r="P251" s="237" t="str">
        <f>IF(O251="","",VLOOKUP(_xlfn.DAYS(入力シート!$J$24,'従業員情報(給与以外)'!$C251)/365,入力リスト!$H$4:$I$12,2,2))</f>
        <v/>
      </c>
      <c r="Q251" s="236" t="str">
        <f>IF(D251="","",VLOOKUP('従業員情報(給与以外)'!$D251,入力シート!$AW$37:$BB$38,4,0))</f>
        <v/>
      </c>
      <c r="R251" s="236" t="str">
        <f>IF(A251="","",IF(E251="","非役職",VLOOKUP('従業員情報(給与以外)'!$E251,入力シート!$AH$37:$AO$62,5,0)))</f>
        <v/>
      </c>
      <c r="S251" s="116" t="str">
        <f>IF(OR(入力シート!$C$5&lt;&gt;入力リスト!$N$4,COUNTIF(入力シート!$J$16:$S$23,入力リスト!$K$4)=0),"",IF($A251="","",IF(ISERROR(AVERAGEIF(従業員の給与情報!$B:$B,$A251,従業員の給与情報!$C:$C)),0,IF(ISERROR(AVERAGEIF(従業員の給与情報!$B:$B,$A251,従業員の給与情報!$C:$C)),0,AVERAGEIF(従業員の給与情報!$B:$B,$A251,従業員の給与情報!$C:$C)))))</f>
        <v/>
      </c>
      <c r="T251" s="116" t="str">
        <f>IF(OR(入力シート!$C$5&lt;&gt;入力リスト!$N$4,COUNTIF(入力シート!$J$16:$S$23,入力リスト!$K$4)=0),"",IF(A251="","",IF(ISERROR(AVERAGEIF(従業員の給与情報!$B:$B,$A251,従業員の給与情報!$D:$D)),0,IF(ISERROR(AVERAGEIF(従業員の給与情報!$B:$B,$A251,従業員の給与情報!$D:$D)),0,AVERAGEIF(従業員の給与情報!$B:$B,$A251,従業員の給与情報!$D:$D)))))</f>
        <v/>
      </c>
      <c r="U251" s="116" t="str">
        <f>IF(OR(入力シート!$C$5&lt;&gt;入力リスト!$N$4,COUNTIF(入力シート!$J$16:$S$23,入力リスト!$K$4)=0),"",IF(A251="","",IF(ISERROR(AVERAGEIF(従業員の給与情報!$B:$B,$A251,従業員の給与情報!$E:$E)),0,IF(ISERROR(AVERAGEIF(従業員の給与情報!$B:$B,$A251,従業員の給与情報!$E:$E)),0,AVERAGEIF(従業員の給与情報!$B:$B,$A251,従業員の給与情報!$E:$E)))))</f>
        <v/>
      </c>
      <c r="V251" s="117" t="str">
        <f>IF(OR(入力シート!$C$5&lt;&gt;入力リスト!$N$4,COUNTIF(入力シート!$J$16:$S$23,入力リスト!$K$4)=0),"",IF(A251="","",IF(ISERROR(AVERAGEIF(従業員の給与情報!$B:$B,$A251,従業員の給与情報!$F:$F)),0,IF(ISERROR(AVERAGEIF(従業員の給与情報!$B:$B,$A251,従業員の給与情報!$F:$F)),0,AVERAGEIF(従業員の給与情報!$B:$B,$A251,従業員の給与情報!$F:$F)))))</f>
        <v/>
      </c>
      <c r="W251" s="182"/>
      <c r="X251" s="260"/>
    </row>
    <row r="252" spans="1:24">
      <c r="A252" s="368"/>
      <c r="B252" s="361"/>
      <c r="C252" s="362"/>
      <c r="D252" s="361"/>
      <c r="E252" s="361"/>
      <c r="F252" s="372" t="str">
        <f>IF(G252,"この従業員番号は、すでに他のセルで入力されています。",IF(入力シート!$C$5=入力リスト!$N$5,"",IF(AND(A252="",B252="",C252="",D252="",E252=""),"",IF(OR(A252="",B252="",C252="",D252=""),IF(A252="","従業員番号","")&amp;IF(AND(A252="",OR(B252="",C252="",D252="")),",","")&amp;IF(B252="","雇用形態","")&amp;IF(AND(B252="",OR(C252="",D252="")),",","")&amp;IF(OR(入力シート!$J$18=入力リスト!$K$4,入力シート!$J$22=入力リスト!$K$4),IF(C252="","入社年月日",""),"")&amp;IF(AND(C252="",D252=""),",","")&amp;IF(D252="","性別","")&amp;IF(IF(A252="","従業員番号","")&amp;IF(B252="","雇用形態","")&amp;IF(OR(入力シート!$J$18=入力リスト!$K$4,入力シート!$J$22=入力リスト!$K$4),IF(C252="","入社年月日",""),"")&amp;IF(D252="","性別","")="","","が空白です。"),IF(J252,"入社年月日に「基準日」の翌日以降の日付が入力されています。","")&amp;IF(I252,"入社年月日に数値以外（又は1900/1/1以前の日付）が入力されています。","")&amp;IF(H252,"雇用形態"&amp;IF(OR(K252,L252),",",""),"")&amp;IF(K252,"性別"&amp;IF(L252,",",""),"")&amp;IF(L252,"役職","")&amp;IF(OR(H252,K252,L252),"に、［入力シート］(4)「貴社」欄と異なる文言が入力されています。","")))))</f>
        <v/>
      </c>
      <c r="G252" s="236" t="b">
        <f>COUNTIF($A$4:A251,$A252)&gt;0</f>
        <v>0</v>
      </c>
      <c r="H252" s="237" t="b">
        <f>IF(COUNTIF(入力シート!$J$16:$S$23,入力リスト!$K$4)=0,FALSE,IF(入力シート!$J$16=入力リスト!$K$5,FALSE,ISERROR(VLOOKUP(B252,入力シート!$S$37:$V$62,1,0))))</f>
        <v>0</v>
      </c>
      <c r="I252" s="237" t="b">
        <f>IF(AND(OR(入力シート!$J$18=入力リスト!$K$4,入力シート!$J$22=入力リスト!$K$4),入力シート!$J$24&lt;&gt;""),IF(ISERROR(C252+1),TRUE,IF(ISNUMBER(C252),FALSE,TRUE)),FALSE)</f>
        <v>0</v>
      </c>
      <c r="J252" s="237" t="b">
        <f>IF(AND(入力シート!$J$18=入力リスト!$K$4,入力シート!$J$22=入力リスト!$K$4),FALSE,IF(I252=TRUE,FALSE,IF(ISERROR(C252+1),FALSE,C252&gt;入力シート!$J$24)))</f>
        <v>0</v>
      </c>
      <c r="K252" s="237" t="b">
        <f>IF(COUNTIF(入力シート!$J$16:$S$23,入力リスト!$K$4)=0,FALSE,IF(AND(入力シート!$J$16&lt;&gt;入力リスト!$K$5,入力シート!$J$18&lt;&gt;入力リスト!$K$5,入力シート!$J$20&lt;&gt;入力リスト!$K$5,入力シート!$J$22&lt;&gt;入力リスト!$K$5),FALSE,ISERROR(VLOOKUP(D252,入力シート!$AW$37:$AY$38,1,0))))</f>
        <v>0</v>
      </c>
      <c r="L252" s="237" t="b">
        <f>IF(COUNTIF(入力シート!$J$16:$S$23,入力リスト!$K$4)=0,FALSE,IF(入力シート!$J$20=入力リスト!$K$5,FALSE,IF(E252="",FALSE,ISERROR(VLOOKUP(E252,入力シート!$AH$37:$AK$62,1,0)))))</f>
        <v>0</v>
      </c>
      <c r="M252" s="238" t="str">
        <f t="shared" si="3"/>
        <v/>
      </c>
      <c r="N252" s="236" t="str">
        <f>IF(B252="","",VLOOKUP('従業員情報(給与以外)'!$B252,入力シート!$S$37:$Z$62,5,0))</f>
        <v/>
      </c>
      <c r="O252" s="182" t="str">
        <f>IF(ISNUMBER(C252)=FALSE,"",IF(C252&gt;入力シート!$J$24,"",_xlfn.DAYS(入力シート!$J$24,'従業員情報(給与以外)'!$C252)/365))</f>
        <v/>
      </c>
      <c r="P252" s="237" t="str">
        <f>IF(O252="","",VLOOKUP(_xlfn.DAYS(入力シート!$J$24,'従業員情報(給与以外)'!$C252)/365,入力リスト!$H$4:$I$12,2,2))</f>
        <v/>
      </c>
      <c r="Q252" s="236" t="str">
        <f>IF(D252="","",VLOOKUP('従業員情報(給与以外)'!$D252,入力シート!$AW$37:$BB$38,4,0))</f>
        <v/>
      </c>
      <c r="R252" s="236" t="str">
        <f>IF(A252="","",IF(E252="","非役職",VLOOKUP('従業員情報(給与以外)'!$E252,入力シート!$AH$37:$AO$62,5,0)))</f>
        <v/>
      </c>
      <c r="S252" s="116" t="str">
        <f>IF(OR(入力シート!$C$5&lt;&gt;入力リスト!$N$4,COUNTIF(入力シート!$J$16:$S$23,入力リスト!$K$4)=0),"",IF($A252="","",IF(ISERROR(AVERAGEIF(従業員の給与情報!$B:$B,$A252,従業員の給与情報!$C:$C)),0,IF(ISERROR(AVERAGEIF(従業員の給与情報!$B:$B,$A252,従業員の給与情報!$C:$C)),0,AVERAGEIF(従業員の給与情報!$B:$B,$A252,従業員の給与情報!$C:$C)))))</f>
        <v/>
      </c>
      <c r="T252" s="116" t="str">
        <f>IF(OR(入力シート!$C$5&lt;&gt;入力リスト!$N$4,COUNTIF(入力シート!$J$16:$S$23,入力リスト!$K$4)=0),"",IF(A252="","",IF(ISERROR(AVERAGEIF(従業員の給与情報!$B:$B,$A252,従業員の給与情報!$D:$D)),0,IF(ISERROR(AVERAGEIF(従業員の給与情報!$B:$B,$A252,従業員の給与情報!$D:$D)),0,AVERAGEIF(従業員の給与情報!$B:$B,$A252,従業員の給与情報!$D:$D)))))</f>
        <v/>
      </c>
      <c r="U252" s="116" t="str">
        <f>IF(OR(入力シート!$C$5&lt;&gt;入力リスト!$N$4,COUNTIF(入力シート!$J$16:$S$23,入力リスト!$K$4)=0),"",IF(A252="","",IF(ISERROR(AVERAGEIF(従業員の給与情報!$B:$B,$A252,従業員の給与情報!$E:$E)),0,IF(ISERROR(AVERAGEIF(従業員の給与情報!$B:$B,$A252,従業員の給与情報!$E:$E)),0,AVERAGEIF(従業員の給与情報!$B:$B,$A252,従業員の給与情報!$E:$E)))))</f>
        <v/>
      </c>
      <c r="V252" s="117" t="str">
        <f>IF(OR(入力シート!$C$5&lt;&gt;入力リスト!$N$4,COUNTIF(入力シート!$J$16:$S$23,入力リスト!$K$4)=0),"",IF(A252="","",IF(ISERROR(AVERAGEIF(従業員の給与情報!$B:$B,$A252,従業員の給与情報!$F:$F)),0,IF(ISERROR(AVERAGEIF(従業員の給与情報!$B:$B,$A252,従業員の給与情報!$F:$F)),0,AVERAGEIF(従業員の給与情報!$B:$B,$A252,従業員の給与情報!$F:$F)))))</f>
        <v/>
      </c>
      <c r="W252" s="182"/>
      <c r="X252" s="260"/>
    </row>
    <row r="253" spans="1:24">
      <c r="A253" s="368"/>
      <c r="B253" s="361"/>
      <c r="C253" s="362"/>
      <c r="D253" s="361"/>
      <c r="E253" s="361"/>
      <c r="F253" s="372" t="str">
        <f>IF(G253,"この従業員番号は、すでに他のセルで入力されています。",IF(入力シート!$C$5=入力リスト!$N$5,"",IF(AND(A253="",B253="",C253="",D253="",E253=""),"",IF(OR(A253="",B253="",C253="",D253=""),IF(A253="","従業員番号","")&amp;IF(AND(A253="",OR(B253="",C253="",D253="")),",","")&amp;IF(B253="","雇用形態","")&amp;IF(AND(B253="",OR(C253="",D253="")),",","")&amp;IF(OR(入力シート!$J$18=入力リスト!$K$4,入力シート!$J$22=入力リスト!$K$4),IF(C253="","入社年月日",""),"")&amp;IF(AND(C253="",D253=""),",","")&amp;IF(D253="","性別","")&amp;IF(IF(A253="","従業員番号","")&amp;IF(B253="","雇用形態","")&amp;IF(OR(入力シート!$J$18=入力リスト!$K$4,入力シート!$J$22=入力リスト!$K$4),IF(C253="","入社年月日",""),"")&amp;IF(D253="","性別","")="","","が空白です。"),IF(J253,"入社年月日に「基準日」の翌日以降の日付が入力されています。","")&amp;IF(I253,"入社年月日に数値以外（又は1900/1/1以前の日付）が入力されています。","")&amp;IF(H253,"雇用形態"&amp;IF(OR(K253,L253),",",""),"")&amp;IF(K253,"性別"&amp;IF(L253,",",""),"")&amp;IF(L253,"役職","")&amp;IF(OR(H253,K253,L253),"に、［入力シート］(4)「貴社」欄と異なる文言が入力されています。","")))))</f>
        <v/>
      </c>
      <c r="G253" s="236" t="b">
        <f>COUNTIF($A$4:A252,$A253)&gt;0</f>
        <v>0</v>
      </c>
      <c r="H253" s="237" t="b">
        <f>IF(COUNTIF(入力シート!$J$16:$S$23,入力リスト!$K$4)=0,FALSE,IF(入力シート!$J$16=入力リスト!$K$5,FALSE,ISERROR(VLOOKUP(B253,入力シート!$S$37:$V$62,1,0))))</f>
        <v>0</v>
      </c>
      <c r="I253" s="237" t="b">
        <f>IF(AND(OR(入力シート!$J$18=入力リスト!$K$4,入力シート!$J$22=入力リスト!$K$4),入力シート!$J$24&lt;&gt;""),IF(ISERROR(C253+1),TRUE,IF(ISNUMBER(C253),FALSE,TRUE)),FALSE)</f>
        <v>0</v>
      </c>
      <c r="J253" s="237" t="b">
        <f>IF(AND(入力シート!$J$18=入力リスト!$K$4,入力シート!$J$22=入力リスト!$K$4),FALSE,IF(I253=TRUE,FALSE,IF(ISERROR(C253+1),FALSE,C253&gt;入力シート!$J$24)))</f>
        <v>0</v>
      </c>
      <c r="K253" s="237" t="b">
        <f>IF(COUNTIF(入力シート!$J$16:$S$23,入力リスト!$K$4)=0,FALSE,IF(AND(入力シート!$J$16&lt;&gt;入力リスト!$K$5,入力シート!$J$18&lt;&gt;入力リスト!$K$5,入力シート!$J$20&lt;&gt;入力リスト!$K$5,入力シート!$J$22&lt;&gt;入力リスト!$K$5),FALSE,ISERROR(VLOOKUP(D253,入力シート!$AW$37:$AY$38,1,0))))</f>
        <v>0</v>
      </c>
      <c r="L253" s="237" t="b">
        <f>IF(COUNTIF(入力シート!$J$16:$S$23,入力リスト!$K$4)=0,FALSE,IF(入力シート!$J$20=入力リスト!$K$5,FALSE,IF(E253="",FALSE,ISERROR(VLOOKUP(E253,入力シート!$AH$37:$AK$62,1,0)))))</f>
        <v>0</v>
      </c>
      <c r="M253" s="238" t="str">
        <f t="shared" si="3"/>
        <v/>
      </c>
      <c r="N253" s="236" t="str">
        <f>IF(B253="","",VLOOKUP('従業員情報(給与以外)'!$B253,入力シート!$S$37:$Z$62,5,0))</f>
        <v/>
      </c>
      <c r="O253" s="182" t="str">
        <f>IF(ISNUMBER(C253)=FALSE,"",IF(C253&gt;入力シート!$J$24,"",_xlfn.DAYS(入力シート!$J$24,'従業員情報(給与以外)'!$C253)/365))</f>
        <v/>
      </c>
      <c r="P253" s="237" t="str">
        <f>IF(O253="","",VLOOKUP(_xlfn.DAYS(入力シート!$J$24,'従業員情報(給与以外)'!$C253)/365,入力リスト!$H$4:$I$12,2,2))</f>
        <v/>
      </c>
      <c r="Q253" s="236" t="str">
        <f>IF(D253="","",VLOOKUP('従業員情報(給与以外)'!$D253,入力シート!$AW$37:$BB$38,4,0))</f>
        <v/>
      </c>
      <c r="R253" s="236" t="str">
        <f>IF(A253="","",IF(E253="","非役職",VLOOKUP('従業員情報(給与以外)'!$E253,入力シート!$AH$37:$AO$62,5,0)))</f>
        <v/>
      </c>
      <c r="S253" s="116" t="str">
        <f>IF(OR(入力シート!$C$5&lt;&gt;入力リスト!$N$4,COUNTIF(入力シート!$J$16:$S$23,入力リスト!$K$4)=0),"",IF($A253="","",IF(ISERROR(AVERAGEIF(従業員の給与情報!$B:$B,$A253,従業員の給与情報!$C:$C)),0,IF(ISERROR(AVERAGEIF(従業員の給与情報!$B:$B,$A253,従業員の給与情報!$C:$C)),0,AVERAGEIF(従業員の給与情報!$B:$B,$A253,従業員の給与情報!$C:$C)))))</f>
        <v/>
      </c>
      <c r="T253" s="116" t="str">
        <f>IF(OR(入力シート!$C$5&lt;&gt;入力リスト!$N$4,COUNTIF(入力シート!$J$16:$S$23,入力リスト!$K$4)=0),"",IF(A253="","",IF(ISERROR(AVERAGEIF(従業員の給与情報!$B:$B,$A253,従業員の給与情報!$D:$D)),0,IF(ISERROR(AVERAGEIF(従業員の給与情報!$B:$B,$A253,従業員の給与情報!$D:$D)),0,AVERAGEIF(従業員の給与情報!$B:$B,$A253,従業員の給与情報!$D:$D)))))</f>
        <v/>
      </c>
      <c r="U253" s="116" t="str">
        <f>IF(OR(入力シート!$C$5&lt;&gt;入力リスト!$N$4,COUNTIF(入力シート!$J$16:$S$23,入力リスト!$K$4)=0),"",IF(A253="","",IF(ISERROR(AVERAGEIF(従業員の給与情報!$B:$B,$A253,従業員の給与情報!$E:$E)),0,IF(ISERROR(AVERAGEIF(従業員の給与情報!$B:$B,$A253,従業員の給与情報!$E:$E)),0,AVERAGEIF(従業員の給与情報!$B:$B,$A253,従業員の給与情報!$E:$E)))))</f>
        <v/>
      </c>
      <c r="V253" s="117" t="str">
        <f>IF(OR(入力シート!$C$5&lt;&gt;入力リスト!$N$4,COUNTIF(入力シート!$J$16:$S$23,入力リスト!$K$4)=0),"",IF(A253="","",IF(ISERROR(AVERAGEIF(従業員の給与情報!$B:$B,$A253,従業員の給与情報!$F:$F)),0,IF(ISERROR(AVERAGEIF(従業員の給与情報!$B:$B,$A253,従業員の給与情報!$F:$F)),0,AVERAGEIF(従業員の給与情報!$B:$B,$A253,従業員の給与情報!$F:$F)))))</f>
        <v/>
      </c>
      <c r="W253" s="182"/>
      <c r="X253" s="260"/>
    </row>
    <row r="254" spans="1:24">
      <c r="A254" s="368"/>
      <c r="B254" s="361"/>
      <c r="C254" s="362"/>
      <c r="D254" s="361"/>
      <c r="E254" s="361"/>
      <c r="F254" s="372" t="str">
        <f>IF(G254,"この従業員番号は、すでに他のセルで入力されています。",IF(入力シート!$C$5=入力リスト!$N$5,"",IF(AND(A254="",B254="",C254="",D254="",E254=""),"",IF(OR(A254="",B254="",C254="",D254=""),IF(A254="","従業員番号","")&amp;IF(AND(A254="",OR(B254="",C254="",D254="")),",","")&amp;IF(B254="","雇用形態","")&amp;IF(AND(B254="",OR(C254="",D254="")),",","")&amp;IF(OR(入力シート!$J$18=入力リスト!$K$4,入力シート!$J$22=入力リスト!$K$4),IF(C254="","入社年月日",""),"")&amp;IF(AND(C254="",D254=""),",","")&amp;IF(D254="","性別","")&amp;IF(IF(A254="","従業員番号","")&amp;IF(B254="","雇用形態","")&amp;IF(OR(入力シート!$J$18=入力リスト!$K$4,入力シート!$J$22=入力リスト!$K$4),IF(C254="","入社年月日",""),"")&amp;IF(D254="","性別","")="","","が空白です。"),IF(J254,"入社年月日に「基準日」の翌日以降の日付が入力されています。","")&amp;IF(I254,"入社年月日に数値以外（又は1900/1/1以前の日付）が入力されています。","")&amp;IF(H254,"雇用形態"&amp;IF(OR(K254,L254),",",""),"")&amp;IF(K254,"性別"&amp;IF(L254,",",""),"")&amp;IF(L254,"役職","")&amp;IF(OR(H254,K254,L254),"に、［入力シート］(4)「貴社」欄と異なる文言が入力されています。","")))))</f>
        <v/>
      </c>
      <c r="G254" s="236" t="b">
        <f>COUNTIF($A$4:A253,$A254)&gt;0</f>
        <v>0</v>
      </c>
      <c r="H254" s="237" t="b">
        <f>IF(COUNTIF(入力シート!$J$16:$S$23,入力リスト!$K$4)=0,FALSE,IF(入力シート!$J$16=入力リスト!$K$5,FALSE,ISERROR(VLOOKUP(B254,入力シート!$S$37:$V$62,1,0))))</f>
        <v>0</v>
      </c>
      <c r="I254" s="237" t="b">
        <f>IF(AND(OR(入力シート!$J$18=入力リスト!$K$4,入力シート!$J$22=入力リスト!$K$4),入力シート!$J$24&lt;&gt;""),IF(ISERROR(C254+1),TRUE,IF(ISNUMBER(C254),FALSE,TRUE)),FALSE)</f>
        <v>0</v>
      </c>
      <c r="J254" s="237" t="b">
        <f>IF(AND(入力シート!$J$18=入力リスト!$K$4,入力シート!$J$22=入力リスト!$K$4),FALSE,IF(I254=TRUE,FALSE,IF(ISERROR(C254+1),FALSE,C254&gt;入力シート!$J$24)))</f>
        <v>0</v>
      </c>
      <c r="K254" s="237" t="b">
        <f>IF(COUNTIF(入力シート!$J$16:$S$23,入力リスト!$K$4)=0,FALSE,IF(AND(入力シート!$J$16&lt;&gt;入力リスト!$K$5,入力シート!$J$18&lt;&gt;入力リスト!$K$5,入力シート!$J$20&lt;&gt;入力リスト!$K$5,入力シート!$J$22&lt;&gt;入力リスト!$K$5),FALSE,ISERROR(VLOOKUP(D254,入力シート!$AW$37:$AY$38,1,0))))</f>
        <v>0</v>
      </c>
      <c r="L254" s="237" t="b">
        <f>IF(COUNTIF(入力シート!$J$16:$S$23,入力リスト!$K$4)=0,FALSE,IF(入力シート!$J$20=入力リスト!$K$5,FALSE,IF(E254="",FALSE,ISERROR(VLOOKUP(E254,入力シート!$AH$37:$AK$62,1,0)))))</f>
        <v>0</v>
      </c>
      <c r="M254" s="238" t="str">
        <f t="shared" si="3"/>
        <v/>
      </c>
      <c r="N254" s="236" t="str">
        <f>IF(B254="","",VLOOKUP('従業員情報(給与以外)'!$B254,入力シート!$S$37:$Z$62,5,0))</f>
        <v/>
      </c>
      <c r="O254" s="182" t="str">
        <f>IF(ISNUMBER(C254)=FALSE,"",IF(C254&gt;入力シート!$J$24,"",_xlfn.DAYS(入力シート!$J$24,'従業員情報(給与以外)'!$C254)/365))</f>
        <v/>
      </c>
      <c r="P254" s="237" t="str">
        <f>IF(O254="","",VLOOKUP(_xlfn.DAYS(入力シート!$J$24,'従業員情報(給与以外)'!$C254)/365,入力リスト!$H$4:$I$12,2,2))</f>
        <v/>
      </c>
      <c r="Q254" s="236" t="str">
        <f>IF(D254="","",VLOOKUP('従業員情報(給与以外)'!$D254,入力シート!$AW$37:$BB$38,4,0))</f>
        <v/>
      </c>
      <c r="R254" s="236" t="str">
        <f>IF(A254="","",IF(E254="","非役職",VLOOKUP('従業員情報(給与以外)'!$E254,入力シート!$AH$37:$AO$62,5,0)))</f>
        <v/>
      </c>
      <c r="S254" s="116" t="str">
        <f>IF(OR(入力シート!$C$5&lt;&gt;入力リスト!$N$4,COUNTIF(入力シート!$J$16:$S$23,入力リスト!$K$4)=0),"",IF($A254="","",IF(ISERROR(AVERAGEIF(従業員の給与情報!$B:$B,$A254,従業員の給与情報!$C:$C)),0,IF(ISERROR(AVERAGEIF(従業員の給与情報!$B:$B,$A254,従業員の給与情報!$C:$C)),0,AVERAGEIF(従業員の給与情報!$B:$B,$A254,従業員の給与情報!$C:$C)))))</f>
        <v/>
      </c>
      <c r="T254" s="116" t="str">
        <f>IF(OR(入力シート!$C$5&lt;&gt;入力リスト!$N$4,COUNTIF(入力シート!$J$16:$S$23,入力リスト!$K$4)=0),"",IF(A254="","",IF(ISERROR(AVERAGEIF(従業員の給与情報!$B:$B,$A254,従業員の給与情報!$D:$D)),0,IF(ISERROR(AVERAGEIF(従業員の給与情報!$B:$B,$A254,従業員の給与情報!$D:$D)),0,AVERAGEIF(従業員の給与情報!$B:$B,$A254,従業員の給与情報!$D:$D)))))</f>
        <v/>
      </c>
      <c r="U254" s="116" t="str">
        <f>IF(OR(入力シート!$C$5&lt;&gt;入力リスト!$N$4,COUNTIF(入力シート!$J$16:$S$23,入力リスト!$K$4)=0),"",IF(A254="","",IF(ISERROR(AVERAGEIF(従業員の給与情報!$B:$B,$A254,従業員の給与情報!$E:$E)),0,IF(ISERROR(AVERAGEIF(従業員の給与情報!$B:$B,$A254,従業員の給与情報!$E:$E)),0,AVERAGEIF(従業員の給与情報!$B:$B,$A254,従業員の給与情報!$E:$E)))))</f>
        <v/>
      </c>
      <c r="V254" s="117" t="str">
        <f>IF(OR(入力シート!$C$5&lt;&gt;入力リスト!$N$4,COUNTIF(入力シート!$J$16:$S$23,入力リスト!$K$4)=0),"",IF(A254="","",IF(ISERROR(AVERAGEIF(従業員の給与情報!$B:$B,$A254,従業員の給与情報!$F:$F)),0,IF(ISERROR(AVERAGEIF(従業員の給与情報!$B:$B,$A254,従業員の給与情報!$F:$F)),0,AVERAGEIF(従業員の給与情報!$B:$B,$A254,従業員の給与情報!$F:$F)))))</f>
        <v/>
      </c>
      <c r="W254" s="182"/>
      <c r="X254" s="260"/>
    </row>
    <row r="255" spans="1:24">
      <c r="A255" s="368"/>
      <c r="B255" s="361"/>
      <c r="C255" s="362"/>
      <c r="D255" s="361"/>
      <c r="E255" s="361"/>
      <c r="F255" s="372" t="str">
        <f>IF(G255,"この従業員番号は、すでに他のセルで入力されています。",IF(入力シート!$C$5=入力リスト!$N$5,"",IF(AND(A255="",B255="",C255="",D255="",E255=""),"",IF(OR(A255="",B255="",C255="",D255=""),IF(A255="","従業員番号","")&amp;IF(AND(A255="",OR(B255="",C255="",D255="")),",","")&amp;IF(B255="","雇用形態","")&amp;IF(AND(B255="",OR(C255="",D255="")),",","")&amp;IF(OR(入力シート!$J$18=入力リスト!$K$4,入力シート!$J$22=入力リスト!$K$4),IF(C255="","入社年月日",""),"")&amp;IF(AND(C255="",D255=""),",","")&amp;IF(D255="","性別","")&amp;IF(IF(A255="","従業員番号","")&amp;IF(B255="","雇用形態","")&amp;IF(OR(入力シート!$J$18=入力リスト!$K$4,入力シート!$J$22=入力リスト!$K$4),IF(C255="","入社年月日",""),"")&amp;IF(D255="","性別","")="","","が空白です。"),IF(J255,"入社年月日に「基準日」の翌日以降の日付が入力されています。","")&amp;IF(I255,"入社年月日に数値以外（又は1900/1/1以前の日付）が入力されています。","")&amp;IF(H255,"雇用形態"&amp;IF(OR(K255,L255),",",""),"")&amp;IF(K255,"性別"&amp;IF(L255,",",""),"")&amp;IF(L255,"役職","")&amp;IF(OR(H255,K255,L255),"に、［入力シート］(4)「貴社」欄と異なる文言が入力されています。","")))))</f>
        <v/>
      </c>
      <c r="G255" s="236" t="b">
        <f>COUNTIF($A$4:A254,$A255)&gt;0</f>
        <v>0</v>
      </c>
      <c r="H255" s="237" t="b">
        <f>IF(COUNTIF(入力シート!$J$16:$S$23,入力リスト!$K$4)=0,FALSE,IF(入力シート!$J$16=入力リスト!$K$5,FALSE,ISERROR(VLOOKUP(B255,入力シート!$S$37:$V$62,1,0))))</f>
        <v>0</v>
      </c>
      <c r="I255" s="237" t="b">
        <f>IF(AND(OR(入力シート!$J$18=入力リスト!$K$4,入力シート!$J$22=入力リスト!$K$4),入力シート!$J$24&lt;&gt;""),IF(ISERROR(C255+1),TRUE,IF(ISNUMBER(C255),FALSE,TRUE)),FALSE)</f>
        <v>0</v>
      </c>
      <c r="J255" s="237" t="b">
        <f>IF(AND(入力シート!$J$18=入力リスト!$K$4,入力シート!$J$22=入力リスト!$K$4),FALSE,IF(I255=TRUE,FALSE,IF(ISERROR(C255+1),FALSE,C255&gt;入力シート!$J$24)))</f>
        <v>0</v>
      </c>
      <c r="K255" s="237" t="b">
        <f>IF(COUNTIF(入力シート!$J$16:$S$23,入力リスト!$K$4)=0,FALSE,IF(AND(入力シート!$J$16&lt;&gt;入力リスト!$K$5,入力シート!$J$18&lt;&gt;入力リスト!$K$5,入力シート!$J$20&lt;&gt;入力リスト!$K$5,入力シート!$J$22&lt;&gt;入力リスト!$K$5),FALSE,ISERROR(VLOOKUP(D255,入力シート!$AW$37:$AY$38,1,0))))</f>
        <v>0</v>
      </c>
      <c r="L255" s="237" t="b">
        <f>IF(COUNTIF(入力シート!$J$16:$S$23,入力リスト!$K$4)=0,FALSE,IF(入力シート!$J$20=入力リスト!$K$5,FALSE,IF(E255="",FALSE,ISERROR(VLOOKUP(E255,入力シート!$AH$37:$AK$62,1,0)))))</f>
        <v>0</v>
      </c>
      <c r="M255" s="238" t="str">
        <f t="shared" si="3"/>
        <v/>
      </c>
      <c r="N255" s="236" t="str">
        <f>IF(B255="","",VLOOKUP('従業員情報(給与以外)'!$B255,入力シート!$S$37:$Z$62,5,0))</f>
        <v/>
      </c>
      <c r="O255" s="182" t="str">
        <f>IF(ISNUMBER(C255)=FALSE,"",IF(C255&gt;入力シート!$J$24,"",_xlfn.DAYS(入力シート!$J$24,'従業員情報(給与以外)'!$C255)/365))</f>
        <v/>
      </c>
      <c r="P255" s="237" t="str">
        <f>IF(O255="","",VLOOKUP(_xlfn.DAYS(入力シート!$J$24,'従業員情報(給与以外)'!$C255)/365,入力リスト!$H$4:$I$12,2,2))</f>
        <v/>
      </c>
      <c r="Q255" s="236" t="str">
        <f>IF(D255="","",VLOOKUP('従業員情報(給与以外)'!$D255,入力シート!$AW$37:$BB$38,4,0))</f>
        <v/>
      </c>
      <c r="R255" s="236" t="str">
        <f>IF(A255="","",IF(E255="","非役職",VLOOKUP('従業員情報(給与以外)'!$E255,入力シート!$AH$37:$AO$62,5,0)))</f>
        <v/>
      </c>
      <c r="S255" s="116" t="str">
        <f>IF(OR(入力シート!$C$5&lt;&gt;入力リスト!$N$4,COUNTIF(入力シート!$J$16:$S$23,入力リスト!$K$4)=0),"",IF($A255="","",IF(ISERROR(AVERAGEIF(従業員の給与情報!$B:$B,$A255,従業員の給与情報!$C:$C)),0,IF(ISERROR(AVERAGEIF(従業員の給与情報!$B:$B,$A255,従業員の給与情報!$C:$C)),0,AVERAGEIF(従業員の給与情報!$B:$B,$A255,従業員の給与情報!$C:$C)))))</f>
        <v/>
      </c>
      <c r="T255" s="116" t="str">
        <f>IF(OR(入力シート!$C$5&lt;&gt;入力リスト!$N$4,COUNTIF(入力シート!$J$16:$S$23,入力リスト!$K$4)=0),"",IF(A255="","",IF(ISERROR(AVERAGEIF(従業員の給与情報!$B:$B,$A255,従業員の給与情報!$D:$D)),0,IF(ISERROR(AVERAGEIF(従業員の給与情報!$B:$B,$A255,従業員の給与情報!$D:$D)),0,AVERAGEIF(従業員の給与情報!$B:$B,$A255,従業員の給与情報!$D:$D)))))</f>
        <v/>
      </c>
      <c r="U255" s="116" t="str">
        <f>IF(OR(入力シート!$C$5&lt;&gt;入力リスト!$N$4,COUNTIF(入力シート!$J$16:$S$23,入力リスト!$K$4)=0),"",IF(A255="","",IF(ISERROR(AVERAGEIF(従業員の給与情報!$B:$B,$A255,従業員の給与情報!$E:$E)),0,IF(ISERROR(AVERAGEIF(従業員の給与情報!$B:$B,$A255,従業員の給与情報!$E:$E)),0,AVERAGEIF(従業員の給与情報!$B:$B,$A255,従業員の給与情報!$E:$E)))))</f>
        <v/>
      </c>
      <c r="V255" s="117" t="str">
        <f>IF(OR(入力シート!$C$5&lt;&gt;入力リスト!$N$4,COUNTIF(入力シート!$J$16:$S$23,入力リスト!$K$4)=0),"",IF(A255="","",IF(ISERROR(AVERAGEIF(従業員の給与情報!$B:$B,$A255,従業員の給与情報!$F:$F)),0,IF(ISERROR(AVERAGEIF(従業員の給与情報!$B:$B,$A255,従業員の給与情報!$F:$F)),0,AVERAGEIF(従業員の給与情報!$B:$B,$A255,従業員の給与情報!$F:$F)))))</f>
        <v/>
      </c>
      <c r="W255" s="182"/>
      <c r="X255" s="260"/>
    </row>
    <row r="256" spans="1:24">
      <c r="A256" s="368"/>
      <c r="B256" s="361"/>
      <c r="C256" s="362"/>
      <c r="D256" s="361"/>
      <c r="E256" s="361"/>
      <c r="F256" s="372" t="str">
        <f>IF(G256,"この従業員番号は、すでに他のセルで入力されています。",IF(入力シート!$C$5=入力リスト!$N$5,"",IF(AND(A256="",B256="",C256="",D256="",E256=""),"",IF(OR(A256="",B256="",C256="",D256=""),IF(A256="","従業員番号","")&amp;IF(AND(A256="",OR(B256="",C256="",D256="")),",","")&amp;IF(B256="","雇用形態","")&amp;IF(AND(B256="",OR(C256="",D256="")),",","")&amp;IF(OR(入力シート!$J$18=入力リスト!$K$4,入力シート!$J$22=入力リスト!$K$4),IF(C256="","入社年月日",""),"")&amp;IF(AND(C256="",D256=""),",","")&amp;IF(D256="","性別","")&amp;IF(IF(A256="","従業員番号","")&amp;IF(B256="","雇用形態","")&amp;IF(OR(入力シート!$J$18=入力リスト!$K$4,入力シート!$J$22=入力リスト!$K$4),IF(C256="","入社年月日",""),"")&amp;IF(D256="","性別","")="","","が空白です。"),IF(J256,"入社年月日に「基準日」の翌日以降の日付が入力されています。","")&amp;IF(I256,"入社年月日に数値以外（又は1900/1/1以前の日付）が入力されています。","")&amp;IF(H256,"雇用形態"&amp;IF(OR(K256,L256),",",""),"")&amp;IF(K256,"性別"&amp;IF(L256,",",""),"")&amp;IF(L256,"役職","")&amp;IF(OR(H256,K256,L256),"に、［入力シート］(4)「貴社」欄と異なる文言が入力されています。","")))))</f>
        <v/>
      </c>
      <c r="G256" s="236" t="b">
        <f>COUNTIF($A$4:A255,$A256)&gt;0</f>
        <v>0</v>
      </c>
      <c r="H256" s="237" t="b">
        <f>IF(COUNTIF(入力シート!$J$16:$S$23,入力リスト!$K$4)=0,FALSE,IF(入力シート!$J$16=入力リスト!$K$5,FALSE,ISERROR(VLOOKUP(B256,入力シート!$S$37:$V$62,1,0))))</f>
        <v>0</v>
      </c>
      <c r="I256" s="237" t="b">
        <f>IF(AND(OR(入力シート!$J$18=入力リスト!$K$4,入力シート!$J$22=入力リスト!$K$4),入力シート!$J$24&lt;&gt;""),IF(ISERROR(C256+1),TRUE,IF(ISNUMBER(C256),FALSE,TRUE)),FALSE)</f>
        <v>0</v>
      </c>
      <c r="J256" s="237" t="b">
        <f>IF(AND(入力シート!$J$18=入力リスト!$K$4,入力シート!$J$22=入力リスト!$K$4),FALSE,IF(I256=TRUE,FALSE,IF(ISERROR(C256+1),FALSE,C256&gt;入力シート!$J$24)))</f>
        <v>0</v>
      </c>
      <c r="K256" s="237" t="b">
        <f>IF(COUNTIF(入力シート!$J$16:$S$23,入力リスト!$K$4)=0,FALSE,IF(AND(入力シート!$J$16&lt;&gt;入力リスト!$K$5,入力シート!$J$18&lt;&gt;入力リスト!$K$5,入力シート!$J$20&lt;&gt;入力リスト!$K$5,入力シート!$J$22&lt;&gt;入力リスト!$K$5),FALSE,ISERROR(VLOOKUP(D256,入力シート!$AW$37:$AY$38,1,0))))</f>
        <v>0</v>
      </c>
      <c r="L256" s="237" t="b">
        <f>IF(COUNTIF(入力シート!$J$16:$S$23,入力リスト!$K$4)=0,FALSE,IF(入力シート!$J$20=入力リスト!$K$5,FALSE,IF(E256="",FALSE,ISERROR(VLOOKUP(E256,入力シート!$AH$37:$AK$62,1,0)))))</f>
        <v>0</v>
      </c>
      <c r="M256" s="238" t="str">
        <f t="shared" si="3"/>
        <v/>
      </c>
      <c r="N256" s="236" t="str">
        <f>IF(B256="","",VLOOKUP('従業員情報(給与以外)'!$B256,入力シート!$S$37:$Z$62,5,0))</f>
        <v/>
      </c>
      <c r="O256" s="182" t="str">
        <f>IF(ISNUMBER(C256)=FALSE,"",IF(C256&gt;入力シート!$J$24,"",_xlfn.DAYS(入力シート!$J$24,'従業員情報(給与以外)'!$C256)/365))</f>
        <v/>
      </c>
      <c r="P256" s="237" t="str">
        <f>IF(O256="","",VLOOKUP(_xlfn.DAYS(入力シート!$J$24,'従業員情報(給与以外)'!$C256)/365,入力リスト!$H$4:$I$12,2,2))</f>
        <v/>
      </c>
      <c r="Q256" s="236" t="str">
        <f>IF(D256="","",VLOOKUP('従業員情報(給与以外)'!$D256,入力シート!$AW$37:$BB$38,4,0))</f>
        <v/>
      </c>
      <c r="R256" s="236" t="str">
        <f>IF(A256="","",IF(E256="","非役職",VLOOKUP('従業員情報(給与以外)'!$E256,入力シート!$AH$37:$AO$62,5,0)))</f>
        <v/>
      </c>
      <c r="S256" s="116" t="str">
        <f>IF(OR(入力シート!$C$5&lt;&gt;入力リスト!$N$4,COUNTIF(入力シート!$J$16:$S$23,入力リスト!$K$4)=0),"",IF($A256="","",IF(ISERROR(AVERAGEIF(従業員の給与情報!$B:$B,$A256,従業員の給与情報!$C:$C)),0,IF(ISERROR(AVERAGEIF(従業員の給与情報!$B:$B,$A256,従業員の給与情報!$C:$C)),0,AVERAGEIF(従業員の給与情報!$B:$B,$A256,従業員の給与情報!$C:$C)))))</f>
        <v/>
      </c>
      <c r="T256" s="116" t="str">
        <f>IF(OR(入力シート!$C$5&lt;&gt;入力リスト!$N$4,COUNTIF(入力シート!$J$16:$S$23,入力リスト!$K$4)=0),"",IF(A256="","",IF(ISERROR(AVERAGEIF(従業員の給与情報!$B:$B,$A256,従業員の給与情報!$D:$D)),0,IF(ISERROR(AVERAGEIF(従業員の給与情報!$B:$B,$A256,従業員の給与情報!$D:$D)),0,AVERAGEIF(従業員の給与情報!$B:$B,$A256,従業員の給与情報!$D:$D)))))</f>
        <v/>
      </c>
      <c r="U256" s="116" t="str">
        <f>IF(OR(入力シート!$C$5&lt;&gt;入力リスト!$N$4,COUNTIF(入力シート!$J$16:$S$23,入力リスト!$K$4)=0),"",IF(A256="","",IF(ISERROR(AVERAGEIF(従業員の給与情報!$B:$B,$A256,従業員の給与情報!$E:$E)),0,IF(ISERROR(AVERAGEIF(従業員の給与情報!$B:$B,$A256,従業員の給与情報!$E:$E)),0,AVERAGEIF(従業員の給与情報!$B:$B,$A256,従業員の給与情報!$E:$E)))))</f>
        <v/>
      </c>
      <c r="V256" s="117" t="str">
        <f>IF(OR(入力シート!$C$5&lt;&gt;入力リスト!$N$4,COUNTIF(入力シート!$J$16:$S$23,入力リスト!$K$4)=0),"",IF(A256="","",IF(ISERROR(AVERAGEIF(従業員の給与情報!$B:$B,$A256,従業員の給与情報!$F:$F)),0,IF(ISERROR(AVERAGEIF(従業員の給与情報!$B:$B,$A256,従業員の給与情報!$F:$F)),0,AVERAGEIF(従業員の給与情報!$B:$B,$A256,従業員の給与情報!$F:$F)))))</f>
        <v/>
      </c>
      <c r="W256" s="182"/>
      <c r="X256" s="260"/>
    </row>
    <row r="257" spans="1:24">
      <c r="A257" s="368"/>
      <c r="B257" s="361"/>
      <c r="C257" s="362"/>
      <c r="D257" s="361"/>
      <c r="E257" s="361"/>
      <c r="F257" s="372" t="str">
        <f>IF(G257,"この従業員番号は、すでに他のセルで入力されています。",IF(入力シート!$C$5=入力リスト!$N$5,"",IF(AND(A257="",B257="",C257="",D257="",E257=""),"",IF(OR(A257="",B257="",C257="",D257=""),IF(A257="","従業員番号","")&amp;IF(AND(A257="",OR(B257="",C257="",D257="")),",","")&amp;IF(B257="","雇用形態","")&amp;IF(AND(B257="",OR(C257="",D257="")),",","")&amp;IF(OR(入力シート!$J$18=入力リスト!$K$4,入力シート!$J$22=入力リスト!$K$4),IF(C257="","入社年月日",""),"")&amp;IF(AND(C257="",D257=""),",","")&amp;IF(D257="","性別","")&amp;IF(IF(A257="","従業員番号","")&amp;IF(B257="","雇用形態","")&amp;IF(OR(入力シート!$J$18=入力リスト!$K$4,入力シート!$J$22=入力リスト!$K$4),IF(C257="","入社年月日",""),"")&amp;IF(D257="","性別","")="","","が空白です。"),IF(J257,"入社年月日に「基準日」の翌日以降の日付が入力されています。","")&amp;IF(I257,"入社年月日に数値以外（又は1900/1/1以前の日付）が入力されています。","")&amp;IF(H257,"雇用形態"&amp;IF(OR(K257,L257),",",""),"")&amp;IF(K257,"性別"&amp;IF(L257,",",""),"")&amp;IF(L257,"役職","")&amp;IF(OR(H257,K257,L257),"に、［入力シート］(4)「貴社」欄と異なる文言が入力されています。","")))))</f>
        <v/>
      </c>
      <c r="G257" s="236" t="b">
        <f>COUNTIF($A$4:A256,$A257)&gt;0</f>
        <v>0</v>
      </c>
      <c r="H257" s="237" t="b">
        <f>IF(COUNTIF(入力シート!$J$16:$S$23,入力リスト!$K$4)=0,FALSE,IF(入力シート!$J$16=入力リスト!$K$5,FALSE,ISERROR(VLOOKUP(B257,入力シート!$S$37:$V$62,1,0))))</f>
        <v>0</v>
      </c>
      <c r="I257" s="237" t="b">
        <f>IF(AND(OR(入力シート!$J$18=入力リスト!$K$4,入力シート!$J$22=入力リスト!$K$4),入力シート!$J$24&lt;&gt;""),IF(ISERROR(C257+1),TRUE,IF(ISNUMBER(C257),FALSE,TRUE)),FALSE)</f>
        <v>0</v>
      </c>
      <c r="J257" s="237" t="b">
        <f>IF(AND(入力シート!$J$18=入力リスト!$K$4,入力シート!$J$22=入力リスト!$K$4),FALSE,IF(I257=TRUE,FALSE,IF(ISERROR(C257+1),FALSE,C257&gt;入力シート!$J$24)))</f>
        <v>0</v>
      </c>
      <c r="K257" s="237" t="b">
        <f>IF(COUNTIF(入力シート!$J$16:$S$23,入力リスト!$K$4)=0,FALSE,IF(AND(入力シート!$J$16&lt;&gt;入力リスト!$K$5,入力シート!$J$18&lt;&gt;入力リスト!$K$5,入力シート!$J$20&lt;&gt;入力リスト!$K$5,入力シート!$J$22&lt;&gt;入力リスト!$K$5),FALSE,ISERROR(VLOOKUP(D257,入力シート!$AW$37:$AY$38,1,0))))</f>
        <v>0</v>
      </c>
      <c r="L257" s="237" t="b">
        <f>IF(COUNTIF(入力シート!$J$16:$S$23,入力リスト!$K$4)=0,FALSE,IF(入力シート!$J$20=入力リスト!$K$5,FALSE,IF(E257="",FALSE,ISERROR(VLOOKUP(E257,入力シート!$AH$37:$AK$62,1,0)))))</f>
        <v>0</v>
      </c>
      <c r="M257" s="238" t="str">
        <f t="shared" si="3"/>
        <v/>
      </c>
      <c r="N257" s="236" t="str">
        <f>IF(B257="","",VLOOKUP('従業員情報(給与以外)'!$B257,入力シート!$S$37:$Z$62,5,0))</f>
        <v/>
      </c>
      <c r="O257" s="182" t="str">
        <f>IF(ISNUMBER(C257)=FALSE,"",IF(C257&gt;入力シート!$J$24,"",_xlfn.DAYS(入力シート!$J$24,'従業員情報(給与以外)'!$C257)/365))</f>
        <v/>
      </c>
      <c r="P257" s="237" t="str">
        <f>IF(O257="","",VLOOKUP(_xlfn.DAYS(入力シート!$J$24,'従業員情報(給与以外)'!$C257)/365,入力リスト!$H$4:$I$12,2,2))</f>
        <v/>
      </c>
      <c r="Q257" s="236" t="str">
        <f>IF(D257="","",VLOOKUP('従業員情報(給与以外)'!$D257,入力シート!$AW$37:$BB$38,4,0))</f>
        <v/>
      </c>
      <c r="R257" s="236" t="str">
        <f>IF(A257="","",IF(E257="","非役職",VLOOKUP('従業員情報(給与以外)'!$E257,入力シート!$AH$37:$AO$62,5,0)))</f>
        <v/>
      </c>
      <c r="S257" s="116" t="str">
        <f>IF(OR(入力シート!$C$5&lt;&gt;入力リスト!$N$4,COUNTIF(入力シート!$J$16:$S$23,入力リスト!$K$4)=0),"",IF($A257="","",IF(ISERROR(AVERAGEIF(従業員の給与情報!$B:$B,$A257,従業員の給与情報!$C:$C)),0,IF(ISERROR(AVERAGEIF(従業員の給与情報!$B:$B,$A257,従業員の給与情報!$C:$C)),0,AVERAGEIF(従業員の給与情報!$B:$B,$A257,従業員の給与情報!$C:$C)))))</f>
        <v/>
      </c>
      <c r="T257" s="116" t="str">
        <f>IF(OR(入力シート!$C$5&lt;&gt;入力リスト!$N$4,COUNTIF(入力シート!$J$16:$S$23,入力リスト!$K$4)=0),"",IF(A257="","",IF(ISERROR(AVERAGEIF(従業員の給与情報!$B:$B,$A257,従業員の給与情報!$D:$D)),0,IF(ISERROR(AVERAGEIF(従業員の給与情報!$B:$B,$A257,従業員の給与情報!$D:$D)),0,AVERAGEIF(従業員の給与情報!$B:$B,$A257,従業員の給与情報!$D:$D)))))</f>
        <v/>
      </c>
      <c r="U257" s="116" t="str">
        <f>IF(OR(入力シート!$C$5&lt;&gt;入力リスト!$N$4,COUNTIF(入力シート!$J$16:$S$23,入力リスト!$K$4)=0),"",IF(A257="","",IF(ISERROR(AVERAGEIF(従業員の給与情報!$B:$B,$A257,従業員の給与情報!$E:$E)),0,IF(ISERROR(AVERAGEIF(従業員の給与情報!$B:$B,$A257,従業員の給与情報!$E:$E)),0,AVERAGEIF(従業員の給与情報!$B:$B,$A257,従業員の給与情報!$E:$E)))))</f>
        <v/>
      </c>
      <c r="V257" s="117" t="str">
        <f>IF(OR(入力シート!$C$5&lt;&gt;入力リスト!$N$4,COUNTIF(入力シート!$J$16:$S$23,入力リスト!$K$4)=0),"",IF(A257="","",IF(ISERROR(AVERAGEIF(従業員の給与情報!$B:$B,$A257,従業員の給与情報!$F:$F)),0,IF(ISERROR(AVERAGEIF(従業員の給与情報!$B:$B,$A257,従業員の給与情報!$F:$F)),0,AVERAGEIF(従業員の給与情報!$B:$B,$A257,従業員の給与情報!$F:$F)))))</f>
        <v/>
      </c>
      <c r="W257" s="182"/>
      <c r="X257" s="260"/>
    </row>
    <row r="258" spans="1:24">
      <c r="A258" s="368"/>
      <c r="B258" s="361"/>
      <c r="C258" s="362"/>
      <c r="D258" s="361"/>
      <c r="E258" s="361"/>
      <c r="F258" s="372" t="str">
        <f>IF(G258,"この従業員番号は、すでに他のセルで入力されています。",IF(入力シート!$C$5=入力リスト!$N$5,"",IF(AND(A258="",B258="",C258="",D258="",E258=""),"",IF(OR(A258="",B258="",C258="",D258=""),IF(A258="","従業員番号","")&amp;IF(AND(A258="",OR(B258="",C258="",D258="")),",","")&amp;IF(B258="","雇用形態","")&amp;IF(AND(B258="",OR(C258="",D258="")),",","")&amp;IF(OR(入力シート!$J$18=入力リスト!$K$4,入力シート!$J$22=入力リスト!$K$4),IF(C258="","入社年月日",""),"")&amp;IF(AND(C258="",D258=""),",","")&amp;IF(D258="","性別","")&amp;IF(IF(A258="","従業員番号","")&amp;IF(B258="","雇用形態","")&amp;IF(OR(入力シート!$J$18=入力リスト!$K$4,入力シート!$J$22=入力リスト!$K$4),IF(C258="","入社年月日",""),"")&amp;IF(D258="","性別","")="","","が空白です。"),IF(J258,"入社年月日に「基準日」の翌日以降の日付が入力されています。","")&amp;IF(I258,"入社年月日に数値以外（又は1900/1/1以前の日付）が入力されています。","")&amp;IF(H258,"雇用形態"&amp;IF(OR(K258,L258),",",""),"")&amp;IF(K258,"性別"&amp;IF(L258,",",""),"")&amp;IF(L258,"役職","")&amp;IF(OR(H258,K258,L258),"に、［入力シート］(4)「貴社」欄と異なる文言が入力されています。","")))))</f>
        <v/>
      </c>
      <c r="G258" s="236" t="b">
        <f>COUNTIF($A$4:A257,$A258)&gt;0</f>
        <v>0</v>
      </c>
      <c r="H258" s="237" t="b">
        <f>IF(COUNTIF(入力シート!$J$16:$S$23,入力リスト!$K$4)=0,FALSE,IF(入力シート!$J$16=入力リスト!$K$5,FALSE,ISERROR(VLOOKUP(B258,入力シート!$S$37:$V$62,1,0))))</f>
        <v>0</v>
      </c>
      <c r="I258" s="237" t="b">
        <f>IF(AND(OR(入力シート!$J$18=入力リスト!$K$4,入力シート!$J$22=入力リスト!$K$4),入力シート!$J$24&lt;&gt;""),IF(ISERROR(C258+1),TRUE,IF(ISNUMBER(C258),FALSE,TRUE)),FALSE)</f>
        <v>0</v>
      </c>
      <c r="J258" s="237" t="b">
        <f>IF(AND(入力シート!$J$18=入力リスト!$K$4,入力シート!$J$22=入力リスト!$K$4),FALSE,IF(I258=TRUE,FALSE,IF(ISERROR(C258+1),FALSE,C258&gt;入力シート!$J$24)))</f>
        <v>0</v>
      </c>
      <c r="K258" s="237" t="b">
        <f>IF(COUNTIF(入力シート!$J$16:$S$23,入力リスト!$K$4)=0,FALSE,IF(AND(入力シート!$J$16&lt;&gt;入力リスト!$K$5,入力シート!$J$18&lt;&gt;入力リスト!$K$5,入力シート!$J$20&lt;&gt;入力リスト!$K$5,入力シート!$J$22&lt;&gt;入力リスト!$K$5),FALSE,ISERROR(VLOOKUP(D258,入力シート!$AW$37:$AY$38,1,0))))</f>
        <v>0</v>
      </c>
      <c r="L258" s="237" t="b">
        <f>IF(COUNTIF(入力シート!$J$16:$S$23,入力リスト!$K$4)=0,FALSE,IF(入力シート!$J$20=入力リスト!$K$5,FALSE,IF(E258="",FALSE,ISERROR(VLOOKUP(E258,入力シート!$AH$37:$AK$62,1,0)))))</f>
        <v>0</v>
      </c>
      <c r="M258" s="238" t="str">
        <f t="shared" si="3"/>
        <v/>
      </c>
      <c r="N258" s="236" t="str">
        <f>IF(B258="","",VLOOKUP('従業員情報(給与以外)'!$B258,入力シート!$S$37:$Z$62,5,0))</f>
        <v/>
      </c>
      <c r="O258" s="182" t="str">
        <f>IF(ISNUMBER(C258)=FALSE,"",IF(C258&gt;入力シート!$J$24,"",_xlfn.DAYS(入力シート!$J$24,'従業員情報(給与以外)'!$C258)/365))</f>
        <v/>
      </c>
      <c r="P258" s="237" t="str">
        <f>IF(O258="","",VLOOKUP(_xlfn.DAYS(入力シート!$J$24,'従業員情報(給与以外)'!$C258)/365,入力リスト!$H$4:$I$12,2,2))</f>
        <v/>
      </c>
      <c r="Q258" s="236" t="str">
        <f>IF(D258="","",VLOOKUP('従業員情報(給与以外)'!$D258,入力シート!$AW$37:$BB$38,4,0))</f>
        <v/>
      </c>
      <c r="R258" s="236" t="str">
        <f>IF(A258="","",IF(E258="","非役職",VLOOKUP('従業員情報(給与以外)'!$E258,入力シート!$AH$37:$AO$62,5,0)))</f>
        <v/>
      </c>
      <c r="S258" s="116" t="str">
        <f>IF(OR(入力シート!$C$5&lt;&gt;入力リスト!$N$4,COUNTIF(入力シート!$J$16:$S$23,入力リスト!$K$4)=0),"",IF($A258="","",IF(ISERROR(AVERAGEIF(従業員の給与情報!$B:$B,$A258,従業員の給与情報!$C:$C)),0,IF(ISERROR(AVERAGEIF(従業員の給与情報!$B:$B,$A258,従業員の給与情報!$C:$C)),0,AVERAGEIF(従業員の給与情報!$B:$B,$A258,従業員の給与情報!$C:$C)))))</f>
        <v/>
      </c>
      <c r="T258" s="116" t="str">
        <f>IF(OR(入力シート!$C$5&lt;&gt;入力リスト!$N$4,COUNTIF(入力シート!$J$16:$S$23,入力リスト!$K$4)=0),"",IF(A258="","",IF(ISERROR(AVERAGEIF(従業員の給与情報!$B:$B,$A258,従業員の給与情報!$D:$D)),0,IF(ISERROR(AVERAGEIF(従業員の給与情報!$B:$B,$A258,従業員の給与情報!$D:$D)),0,AVERAGEIF(従業員の給与情報!$B:$B,$A258,従業員の給与情報!$D:$D)))))</f>
        <v/>
      </c>
      <c r="U258" s="116" t="str">
        <f>IF(OR(入力シート!$C$5&lt;&gt;入力リスト!$N$4,COUNTIF(入力シート!$J$16:$S$23,入力リスト!$K$4)=0),"",IF(A258="","",IF(ISERROR(AVERAGEIF(従業員の給与情報!$B:$B,$A258,従業員の給与情報!$E:$E)),0,IF(ISERROR(AVERAGEIF(従業員の給与情報!$B:$B,$A258,従業員の給与情報!$E:$E)),0,AVERAGEIF(従業員の給与情報!$B:$B,$A258,従業員の給与情報!$E:$E)))))</f>
        <v/>
      </c>
      <c r="V258" s="117" t="str">
        <f>IF(OR(入力シート!$C$5&lt;&gt;入力リスト!$N$4,COUNTIF(入力シート!$J$16:$S$23,入力リスト!$K$4)=0),"",IF(A258="","",IF(ISERROR(AVERAGEIF(従業員の給与情報!$B:$B,$A258,従業員の給与情報!$F:$F)),0,IF(ISERROR(AVERAGEIF(従業員の給与情報!$B:$B,$A258,従業員の給与情報!$F:$F)),0,AVERAGEIF(従業員の給与情報!$B:$B,$A258,従業員の給与情報!$F:$F)))))</f>
        <v/>
      </c>
      <c r="W258" s="182"/>
      <c r="X258" s="260"/>
    </row>
    <row r="259" spans="1:24">
      <c r="A259" s="368"/>
      <c r="B259" s="361"/>
      <c r="C259" s="362"/>
      <c r="D259" s="361"/>
      <c r="E259" s="361"/>
      <c r="F259" s="372" t="str">
        <f>IF(G259,"この従業員番号は、すでに他のセルで入力されています。",IF(入力シート!$C$5=入力リスト!$N$5,"",IF(AND(A259="",B259="",C259="",D259="",E259=""),"",IF(OR(A259="",B259="",C259="",D259=""),IF(A259="","従業員番号","")&amp;IF(AND(A259="",OR(B259="",C259="",D259="")),",","")&amp;IF(B259="","雇用形態","")&amp;IF(AND(B259="",OR(C259="",D259="")),",","")&amp;IF(OR(入力シート!$J$18=入力リスト!$K$4,入力シート!$J$22=入力リスト!$K$4),IF(C259="","入社年月日",""),"")&amp;IF(AND(C259="",D259=""),",","")&amp;IF(D259="","性別","")&amp;IF(IF(A259="","従業員番号","")&amp;IF(B259="","雇用形態","")&amp;IF(OR(入力シート!$J$18=入力リスト!$K$4,入力シート!$J$22=入力リスト!$K$4),IF(C259="","入社年月日",""),"")&amp;IF(D259="","性別","")="","","が空白です。"),IF(J259,"入社年月日に「基準日」の翌日以降の日付が入力されています。","")&amp;IF(I259,"入社年月日に数値以外（又は1900/1/1以前の日付）が入力されています。","")&amp;IF(H259,"雇用形態"&amp;IF(OR(K259,L259),",",""),"")&amp;IF(K259,"性別"&amp;IF(L259,",",""),"")&amp;IF(L259,"役職","")&amp;IF(OR(H259,K259,L259),"に、［入力シート］(4)「貴社」欄と異なる文言が入力されています。","")))))</f>
        <v/>
      </c>
      <c r="G259" s="236" t="b">
        <f>COUNTIF($A$4:A258,$A259)&gt;0</f>
        <v>0</v>
      </c>
      <c r="H259" s="237" t="b">
        <f>IF(COUNTIF(入力シート!$J$16:$S$23,入力リスト!$K$4)=0,FALSE,IF(入力シート!$J$16=入力リスト!$K$5,FALSE,ISERROR(VLOOKUP(B259,入力シート!$S$37:$V$62,1,0))))</f>
        <v>0</v>
      </c>
      <c r="I259" s="237" t="b">
        <f>IF(AND(OR(入力シート!$J$18=入力リスト!$K$4,入力シート!$J$22=入力リスト!$K$4),入力シート!$J$24&lt;&gt;""),IF(ISERROR(C259+1),TRUE,IF(ISNUMBER(C259),FALSE,TRUE)),FALSE)</f>
        <v>0</v>
      </c>
      <c r="J259" s="237" t="b">
        <f>IF(AND(入力シート!$J$18=入力リスト!$K$4,入力シート!$J$22=入力リスト!$K$4),FALSE,IF(I259=TRUE,FALSE,IF(ISERROR(C259+1),FALSE,C259&gt;入力シート!$J$24)))</f>
        <v>0</v>
      </c>
      <c r="K259" s="237" t="b">
        <f>IF(COUNTIF(入力シート!$J$16:$S$23,入力リスト!$K$4)=0,FALSE,IF(AND(入力シート!$J$16&lt;&gt;入力リスト!$K$5,入力シート!$J$18&lt;&gt;入力リスト!$K$5,入力シート!$J$20&lt;&gt;入力リスト!$K$5,入力シート!$J$22&lt;&gt;入力リスト!$K$5),FALSE,ISERROR(VLOOKUP(D259,入力シート!$AW$37:$AY$38,1,0))))</f>
        <v>0</v>
      </c>
      <c r="L259" s="237" t="b">
        <f>IF(COUNTIF(入力シート!$J$16:$S$23,入力リスト!$K$4)=0,FALSE,IF(入力シート!$J$20=入力リスト!$K$5,FALSE,IF(E259="",FALSE,ISERROR(VLOOKUP(E259,入力シート!$AH$37:$AK$62,1,0)))))</f>
        <v>0</v>
      </c>
      <c r="M259" s="238" t="str">
        <f t="shared" si="3"/>
        <v/>
      </c>
      <c r="N259" s="236" t="str">
        <f>IF(B259="","",VLOOKUP('従業員情報(給与以外)'!$B259,入力シート!$S$37:$Z$62,5,0))</f>
        <v/>
      </c>
      <c r="O259" s="182" t="str">
        <f>IF(ISNUMBER(C259)=FALSE,"",IF(C259&gt;入力シート!$J$24,"",_xlfn.DAYS(入力シート!$J$24,'従業員情報(給与以外)'!$C259)/365))</f>
        <v/>
      </c>
      <c r="P259" s="237" t="str">
        <f>IF(O259="","",VLOOKUP(_xlfn.DAYS(入力シート!$J$24,'従業員情報(給与以外)'!$C259)/365,入力リスト!$H$4:$I$12,2,2))</f>
        <v/>
      </c>
      <c r="Q259" s="236" t="str">
        <f>IF(D259="","",VLOOKUP('従業員情報(給与以外)'!$D259,入力シート!$AW$37:$BB$38,4,0))</f>
        <v/>
      </c>
      <c r="R259" s="236" t="str">
        <f>IF(A259="","",IF(E259="","非役職",VLOOKUP('従業員情報(給与以外)'!$E259,入力シート!$AH$37:$AO$62,5,0)))</f>
        <v/>
      </c>
      <c r="S259" s="116" t="str">
        <f>IF(OR(入力シート!$C$5&lt;&gt;入力リスト!$N$4,COUNTIF(入力シート!$J$16:$S$23,入力リスト!$K$4)=0),"",IF($A259="","",IF(ISERROR(AVERAGEIF(従業員の給与情報!$B:$B,$A259,従業員の給与情報!$C:$C)),0,IF(ISERROR(AVERAGEIF(従業員の給与情報!$B:$B,$A259,従業員の給与情報!$C:$C)),0,AVERAGEIF(従業員の給与情報!$B:$B,$A259,従業員の給与情報!$C:$C)))))</f>
        <v/>
      </c>
      <c r="T259" s="116" t="str">
        <f>IF(OR(入力シート!$C$5&lt;&gt;入力リスト!$N$4,COUNTIF(入力シート!$J$16:$S$23,入力リスト!$K$4)=0),"",IF(A259="","",IF(ISERROR(AVERAGEIF(従業員の給与情報!$B:$B,$A259,従業員の給与情報!$D:$D)),0,IF(ISERROR(AVERAGEIF(従業員の給与情報!$B:$B,$A259,従業員の給与情報!$D:$D)),0,AVERAGEIF(従業員の給与情報!$B:$B,$A259,従業員の給与情報!$D:$D)))))</f>
        <v/>
      </c>
      <c r="U259" s="116" t="str">
        <f>IF(OR(入力シート!$C$5&lt;&gt;入力リスト!$N$4,COUNTIF(入力シート!$J$16:$S$23,入力リスト!$K$4)=0),"",IF(A259="","",IF(ISERROR(AVERAGEIF(従業員の給与情報!$B:$B,$A259,従業員の給与情報!$E:$E)),0,IF(ISERROR(AVERAGEIF(従業員の給与情報!$B:$B,$A259,従業員の給与情報!$E:$E)),0,AVERAGEIF(従業員の給与情報!$B:$B,$A259,従業員の給与情報!$E:$E)))))</f>
        <v/>
      </c>
      <c r="V259" s="117" t="str">
        <f>IF(OR(入力シート!$C$5&lt;&gt;入力リスト!$N$4,COUNTIF(入力シート!$J$16:$S$23,入力リスト!$K$4)=0),"",IF(A259="","",IF(ISERROR(AVERAGEIF(従業員の給与情報!$B:$B,$A259,従業員の給与情報!$F:$F)),0,IF(ISERROR(AVERAGEIF(従業員の給与情報!$B:$B,$A259,従業員の給与情報!$F:$F)),0,AVERAGEIF(従業員の給与情報!$B:$B,$A259,従業員の給与情報!$F:$F)))))</f>
        <v/>
      </c>
      <c r="W259" s="182"/>
      <c r="X259" s="260"/>
    </row>
    <row r="260" spans="1:24">
      <c r="A260" s="368"/>
      <c r="B260" s="361"/>
      <c r="C260" s="362"/>
      <c r="D260" s="361"/>
      <c r="E260" s="361"/>
      <c r="F260" s="372" t="str">
        <f>IF(G260,"この従業員番号は、すでに他のセルで入力されています。",IF(入力シート!$C$5=入力リスト!$N$5,"",IF(AND(A260="",B260="",C260="",D260="",E260=""),"",IF(OR(A260="",B260="",C260="",D260=""),IF(A260="","従業員番号","")&amp;IF(AND(A260="",OR(B260="",C260="",D260="")),",","")&amp;IF(B260="","雇用形態","")&amp;IF(AND(B260="",OR(C260="",D260="")),",","")&amp;IF(OR(入力シート!$J$18=入力リスト!$K$4,入力シート!$J$22=入力リスト!$K$4),IF(C260="","入社年月日",""),"")&amp;IF(AND(C260="",D260=""),",","")&amp;IF(D260="","性別","")&amp;IF(IF(A260="","従業員番号","")&amp;IF(B260="","雇用形態","")&amp;IF(OR(入力シート!$J$18=入力リスト!$K$4,入力シート!$J$22=入力リスト!$K$4),IF(C260="","入社年月日",""),"")&amp;IF(D260="","性別","")="","","が空白です。"),IF(J260,"入社年月日に「基準日」の翌日以降の日付が入力されています。","")&amp;IF(I260,"入社年月日に数値以外（又は1900/1/1以前の日付）が入力されています。","")&amp;IF(H260,"雇用形態"&amp;IF(OR(K260,L260),",",""),"")&amp;IF(K260,"性別"&amp;IF(L260,",",""),"")&amp;IF(L260,"役職","")&amp;IF(OR(H260,K260,L260),"に、［入力シート］(4)「貴社」欄と異なる文言が入力されています。","")))))</f>
        <v/>
      </c>
      <c r="G260" s="236" t="b">
        <f>COUNTIF($A$4:A259,$A260)&gt;0</f>
        <v>0</v>
      </c>
      <c r="H260" s="237" t="b">
        <f>IF(COUNTIF(入力シート!$J$16:$S$23,入力リスト!$K$4)=0,FALSE,IF(入力シート!$J$16=入力リスト!$K$5,FALSE,ISERROR(VLOOKUP(B260,入力シート!$S$37:$V$62,1,0))))</f>
        <v>0</v>
      </c>
      <c r="I260" s="237" t="b">
        <f>IF(AND(OR(入力シート!$J$18=入力リスト!$K$4,入力シート!$J$22=入力リスト!$K$4),入力シート!$J$24&lt;&gt;""),IF(ISERROR(C260+1),TRUE,IF(ISNUMBER(C260),FALSE,TRUE)),FALSE)</f>
        <v>0</v>
      </c>
      <c r="J260" s="237" t="b">
        <f>IF(AND(入力シート!$J$18=入力リスト!$K$4,入力シート!$J$22=入力リスト!$K$4),FALSE,IF(I260=TRUE,FALSE,IF(ISERROR(C260+1),FALSE,C260&gt;入力シート!$J$24)))</f>
        <v>0</v>
      </c>
      <c r="K260" s="237" t="b">
        <f>IF(COUNTIF(入力シート!$J$16:$S$23,入力リスト!$K$4)=0,FALSE,IF(AND(入力シート!$J$16&lt;&gt;入力リスト!$K$5,入力シート!$J$18&lt;&gt;入力リスト!$K$5,入力シート!$J$20&lt;&gt;入力リスト!$K$5,入力シート!$J$22&lt;&gt;入力リスト!$K$5),FALSE,ISERROR(VLOOKUP(D260,入力シート!$AW$37:$AY$38,1,0))))</f>
        <v>0</v>
      </c>
      <c r="L260" s="237" t="b">
        <f>IF(COUNTIF(入力シート!$J$16:$S$23,入力リスト!$K$4)=0,FALSE,IF(入力シート!$J$20=入力リスト!$K$5,FALSE,IF(E260="",FALSE,ISERROR(VLOOKUP(E260,入力シート!$AH$37:$AK$62,1,0)))))</f>
        <v>0</v>
      </c>
      <c r="M260" s="238" t="str">
        <f t="shared" si="3"/>
        <v/>
      </c>
      <c r="N260" s="236" t="str">
        <f>IF(B260="","",VLOOKUP('従業員情報(給与以外)'!$B260,入力シート!$S$37:$Z$62,5,0))</f>
        <v/>
      </c>
      <c r="O260" s="182" t="str">
        <f>IF(ISNUMBER(C260)=FALSE,"",IF(C260&gt;入力シート!$J$24,"",_xlfn.DAYS(入力シート!$J$24,'従業員情報(給与以外)'!$C260)/365))</f>
        <v/>
      </c>
      <c r="P260" s="237" t="str">
        <f>IF(O260="","",VLOOKUP(_xlfn.DAYS(入力シート!$J$24,'従業員情報(給与以外)'!$C260)/365,入力リスト!$H$4:$I$12,2,2))</f>
        <v/>
      </c>
      <c r="Q260" s="236" t="str">
        <f>IF(D260="","",VLOOKUP('従業員情報(給与以外)'!$D260,入力シート!$AW$37:$BB$38,4,0))</f>
        <v/>
      </c>
      <c r="R260" s="236" t="str">
        <f>IF(A260="","",IF(E260="","非役職",VLOOKUP('従業員情報(給与以外)'!$E260,入力シート!$AH$37:$AO$62,5,0)))</f>
        <v/>
      </c>
      <c r="S260" s="116" t="str">
        <f>IF(OR(入力シート!$C$5&lt;&gt;入力リスト!$N$4,COUNTIF(入力シート!$J$16:$S$23,入力リスト!$K$4)=0),"",IF($A260="","",IF(ISERROR(AVERAGEIF(従業員の給与情報!$B:$B,$A260,従業員の給与情報!$C:$C)),0,IF(ISERROR(AVERAGEIF(従業員の給与情報!$B:$B,$A260,従業員の給与情報!$C:$C)),0,AVERAGEIF(従業員の給与情報!$B:$B,$A260,従業員の給与情報!$C:$C)))))</f>
        <v/>
      </c>
      <c r="T260" s="116" t="str">
        <f>IF(OR(入力シート!$C$5&lt;&gt;入力リスト!$N$4,COUNTIF(入力シート!$J$16:$S$23,入力リスト!$K$4)=0),"",IF(A260="","",IF(ISERROR(AVERAGEIF(従業員の給与情報!$B:$B,$A260,従業員の給与情報!$D:$D)),0,IF(ISERROR(AVERAGEIF(従業員の給与情報!$B:$B,$A260,従業員の給与情報!$D:$D)),0,AVERAGEIF(従業員の給与情報!$B:$B,$A260,従業員の給与情報!$D:$D)))))</f>
        <v/>
      </c>
      <c r="U260" s="116" t="str">
        <f>IF(OR(入力シート!$C$5&lt;&gt;入力リスト!$N$4,COUNTIF(入力シート!$J$16:$S$23,入力リスト!$K$4)=0),"",IF(A260="","",IF(ISERROR(AVERAGEIF(従業員の給与情報!$B:$B,$A260,従業員の給与情報!$E:$E)),0,IF(ISERROR(AVERAGEIF(従業員の給与情報!$B:$B,$A260,従業員の給与情報!$E:$E)),0,AVERAGEIF(従業員の給与情報!$B:$B,$A260,従業員の給与情報!$E:$E)))))</f>
        <v/>
      </c>
      <c r="V260" s="117" t="str">
        <f>IF(OR(入力シート!$C$5&lt;&gt;入力リスト!$N$4,COUNTIF(入力シート!$J$16:$S$23,入力リスト!$K$4)=0),"",IF(A260="","",IF(ISERROR(AVERAGEIF(従業員の給与情報!$B:$B,$A260,従業員の給与情報!$F:$F)),0,IF(ISERROR(AVERAGEIF(従業員の給与情報!$B:$B,$A260,従業員の給与情報!$F:$F)),0,AVERAGEIF(従業員の給与情報!$B:$B,$A260,従業員の給与情報!$F:$F)))))</f>
        <v/>
      </c>
      <c r="W260" s="182"/>
      <c r="X260" s="260"/>
    </row>
    <row r="261" spans="1:24">
      <c r="A261" s="368"/>
      <c r="B261" s="361"/>
      <c r="C261" s="362"/>
      <c r="D261" s="361"/>
      <c r="E261" s="361"/>
      <c r="F261" s="372" t="str">
        <f>IF(G261,"この従業員番号は、すでに他のセルで入力されています。",IF(入力シート!$C$5=入力リスト!$N$5,"",IF(AND(A261="",B261="",C261="",D261="",E261=""),"",IF(OR(A261="",B261="",C261="",D261=""),IF(A261="","従業員番号","")&amp;IF(AND(A261="",OR(B261="",C261="",D261="")),",","")&amp;IF(B261="","雇用形態","")&amp;IF(AND(B261="",OR(C261="",D261="")),",","")&amp;IF(OR(入力シート!$J$18=入力リスト!$K$4,入力シート!$J$22=入力リスト!$K$4),IF(C261="","入社年月日",""),"")&amp;IF(AND(C261="",D261=""),",","")&amp;IF(D261="","性別","")&amp;IF(IF(A261="","従業員番号","")&amp;IF(B261="","雇用形態","")&amp;IF(OR(入力シート!$J$18=入力リスト!$K$4,入力シート!$J$22=入力リスト!$K$4),IF(C261="","入社年月日",""),"")&amp;IF(D261="","性別","")="","","が空白です。"),IF(J261,"入社年月日に「基準日」の翌日以降の日付が入力されています。","")&amp;IF(I261,"入社年月日に数値以外（又は1900/1/1以前の日付）が入力されています。","")&amp;IF(H261,"雇用形態"&amp;IF(OR(K261,L261),",",""),"")&amp;IF(K261,"性別"&amp;IF(L261,",",""),"")&amp;IF(L261,"役職","")&amp;IF(OR(H261,K261,L261),"に、［入力シート］(4)「貴社」欄と異なる文言が入力されています。","")))))</f>
        <v/>
      </c>
      <c r="G261" s="236" t="b">
        <f>COUNTIF($A$4:A260,$A261)&gt;0</f>
        <v>0</v>
      </c>
      <c r="H261" s="237" t="b">
        <f>IF(COUNTIF(入力シート!$J$16:$S$23,入力リスト!$K$4)=0,FALSE,IF(入力シート!$J$16=入力リスト!$K$5,FALSE,ISERROR(VLOOKUP(B261,入力シート!$S$37:$V$62,1,0))))</f>
        <v>0</v>
      </c>
      <c r="I261" s="237" t="b">
        <f>IF(AND(OR(入力シート!$J$18=入力リスト!$K$4,入力シート!$J$22=入力リスト!$K$4),入力シート!$J$24&lt;&gt;""),IF(ISERROR(C261+1),TRUE,IF(ISNUMBER(C261),FALSE,TRUE)),FALSE)</f>
        <v>0</v>
      </c>
      <c r="J261" s="237" t="b">
        <f>IF(AND(入力シート!$J$18=入力リスト!$K$4,入力シート!$J$22=入力リスト!$K$4),FALSE,IF(I261=TRUE,FALSE,IF(ISERROR(C261+1),FALSE,C261&gt;入力シート!$J$24)))</f>
        <v>0</v>
      </c>
      <c r="K261" s="237" t="b">
        <f>IF(COUNTIF(入力シート!$J$16:$S$23,入力リスト!$K$4)=0,FALSE,IF(AND(入力シート!$J$16&lt;&gt;入力リスト!$K$5,入力シート!$J$18&lt;&gt;入力リスト!$K$5,入力シート!$J$20&lt;&gt;入力リスト!$K$5,入力シート!$J$22&lt;&gt;入力リスト!$K$5),FALSE,ISERROR(VLOOKUP(D261,入力シート!$AW$37:$AY$38,1,0))))</f>
        <v>0</v>
      </c>
      <c r="L261" s="237" t="b">
        <f>IF(COUNTIF(入力シート!$J$16:$S$23,入力リスト!$K$4)=0,FALSE,IF(入力シート!$J$20=入力リスト!$K$5,FALSE,IF(E261="",FALSE,ISERROR(VLOOKUP(E261,入力シート!$AH$37:$AK$62,1,0)))))</f>
        <v>0</v>
      </c>
      <c r="M261" s="238" t="str">
        <f t="shared" ref="M261:M323" si="4">IF(COUNTIF(F261,"*入社年月日に数値以外*"),"※1900/0/0以前は数値として認識されません。","")</f>
        <v/>
      </c>
      <c r="N261" s="236" t="str">
        <f>IF(B261="","",VLOOKUP('従業員情報(給与以外)'!$B261,入力シート!$S$37:$Z$62,5,0))</f>
        <v/>
      </c>
      <c r="O261" s="182" t="str">
        <f>IF(ISNUMBER(C261)=FALSE,"",IF(C261&gt;入力シート!$J$24,"",_xlfn.DAYS(入力シート!$J$24,'従業員情報(給与以外)'!$C261)/365))</f>
        <v/>
      </c>
      <c r="P261" s="237" t="str">
        <f>IF(O261="","",VLOOKUP(_xlfn.DAYS(入力シート!$J$24,'従業員情報(給与以外)'!$C261)/365,入力リスト!$H$4:$I$12,2,2))</f>
        <v/>
      </c>
      <c r="Q261" s="236" t="str">
        <f>IF(D261="","",VLOOKUP('従業員情報(給与以外)'!$D261,入力シート!$AW$37:$BB$38,4,0))</f>
        <v/>
      </c>
      <c r="R261" s="236" t="str">
        <f>IF(A261="","",IF(E261="","非役職",VLOOKUP('従業員情報(給与以外)'!$E261,入力シート!$AH$37:$AO$62,5,0)))</f>
        <v/>
      </c>
      <c r="S261" s="116" t="str">
        <f>IF(OR(入力シート!$C$5&lt;&gt;入力リスト!$N$4,COUNTIF(入力シート!$J$16:$S$23,入力リスト!$K$4)=0),"",IF($A261="","",IF(ISERROR(AVERAGEIF(従業員の給与情報!$B:$B,$A261,従業員の給与情報!$C:$C)),0,IF(ISERROR(AVERAGEIF(従業員の給与情報!$B:$B,$A261,従業員の給与情報!$C:$C)),0,AVERAGEIF(従業員の給与情報!$B:$B,$A261,従業員の給与情報!$C:$C)))))</f>
        <v/>
      </c>
      <c r="T261" s="116" t="str">
        <f>IF(OR(入力シート!$C$5&lt;&gt;入力リスト!$N$4,COUNTIF(入力シート!$J$16:$S$23,入力リスト!$K$4)=0),"",IF(A261="","",IF(ISERROR(AVERAGEIF(従業員の給与情報!$B:$B,$A261,従業員の給与情報!$D:$D)),0,IF(ISERROR(AVERAGEIF(従業員の給与情報!$B:$B,$A261,従業員の給与情報!$D:$D)),0,AVERAGEIF(従業員の給与情報!$B:$B,$A261,従業員の給与情報!$D:$D)))))</f>
        <v/>
      </c>
      <c r="U261" s="116" t="str">
        <f>IF(OR(入力シート!$C$5&lt;&gt;入力リスト!$N$4,COUNTIF(入力シート!$J$16:$S$23,入力リスト!$K$4)=0),"",IF(A261="","",IF(ISERROR(AVERAGEIF(従業員の給与情報!$B:$B,$A261,従業員の給与情報!$E:$E)),0,IF(ISERROR(AVERAGEIF(従業員の給与情報!$B:$B,$A261,従業員の給与情報!$E:$E)),0,AVERAGEIF(従業員の給与情報!$B:$B,$A261,従業員の給与情報!$E:$E)))))</f>
        <v/>
      </c>
      <c r="V261" s="117" t="str">
        <f>IF(OR(入力シート!$C$5&lt;&gt;入力リスト!$N$4,COUNTIF(入力シート!$J$16:$S$23,入力リスト!$K$4)=0),"",IF(A261="","",IF(ISERROR(AVERAGEIF(従業員の給与情報!$B:$B,$A261,従業員の給与情報!$F:$F)),0,IF(ISERROR(AVERAGEIF(従業員の給与情報!$B:$B,$A261,従業員の給与情報!$F:$F)),0,AVERAGEIF(従業員の給与情報!$B:$B,$A261,従業員の給与情報!$F:$F)))))</f>
        <v/>
      </c>
      <c r="W261" s="182"/>
      <c r="X261" s="260"/>
    </row>
    <row r="262" spans="1:24">
      <c r="A262" s="368"/>
      <c r="B262" s="361"/>
      <c r="C262" s="362"/>
      <c r="D262" s="361"/>
      <c r="E262" s="361"/>
      <c r="F262" s="372" t="str">
        <f>IF(G262,"この従業員番号は、すでに他のセルで入力されています。",IF(入力シート!$C$5=入力リスト!$N$5,"",IF(AND(A262="",B262="",C262="",D262="",E262=""),"",IF(OR(A262="",B262="",C262="",D262=""),IF(A262="","従業員番号","")&amp;IF(AND(A262="",OR(B262="",C262="",D262="")),",","")&amp;IF(B262="","雇用形態","")&amp;IF(AND(B262="",OR(C262="",D262="")),",","")&amp;IF(OR(入力シート!$J$18=入力リスト!$K$4,入力シート!$J$22=入力リスト!$K$4),IF(C262="","入社年月日",""),"")&amp;IF(AND(C262="",D262=""),",","")&amp;IF(D262="","性別","")&amp;IF(IF(A262="","従業員番号","")&amp;IF(B262="","雇用形態","")&amp;IF(OR(入力シート!$J$18=入力リスト!$K$4,入力シート!$J$22=入力リスト!$K$4),IF(C262="","入社年月日",""),"")&amp;IF(D262="","性別","")="","","が空白です。"),IF(J262,"入社年月日に「基準日」の翌日以降の日付が入力されています。","")&amp;IF(I262,"入社年月日に数値以外（又は1900/1/1以前の日付）が入力されています。","")&amp;IF(H262,"雇用形態"&amp;IF(OR(K262,L262),",",""),"")&amp;IF(K262,"性別"&amp;IF(L262,",",""),"")&amp;IF(L262,"役職","")&amp;IF(OR(H262,K262,L262),"に、［入力シート］(4)「貴社」欄と異なる文言が入力されています。","")))))</f>
        <v/>
      </c>
      <c r="G262" s="236" t="b">
        <f>COUNTIF($A$4:A261,$A262)&gt;0</f>
        <v>0</v>
      </c>
      <c r="H262" s="237" t="b">
        <f>IF(COUNTIF(入力シート!$J$16:$S$23,入力リスト!$K$4)=0,FALSE,IF(入力シート!$J$16=入力リスト!$K$5,FALSE,ISERROR(VLOOKUP(B262,入力シート!$S$37:$V$62,1,0))))</f>
        <v>0</v>
      </c>
      <c r="I262" s="237" t="b">
        <f>IF(AND(OR(入力シート!$J$18=入力リスト!$K$4,入力シート!$J$22=入力リスト!$K$4),入力シート!$J$24&lt;&gt;""),IF(ISERROR(C262+1),TRUE,IF(ISNUMBER(C262),FALSE,TRUE)),FALSE)</f>
        <v>0</v>
      </c>
      <c r="J262" s="237" t="b">
        <f>IF(AND(入力シート!$J$18=入力リスト!$K$4,入力シート!$J$22=入力リスト!$K$4),FALSE,IF(I262=TRUE,FALSE,IF(ISERROR(C262+1),FALSE,C262&gt;入力シート!$J$24)))</f>
        <v>0</v>
      </c>
      <c r="K262" s="237" t="b">
        <f>IF(COUNTIF(入力シート!$J$16:$S$23,入力リスト!$K$4)=0,FALSE,IF(AND(入力シート!$J$16&lt;&gt;入力リスト!$K$5,入力シート!$J$18&lt;&gt;入力リスト!$K$5,入力シート!$J$20&lt;&gt;入力リスト!$K$5,入力シート!$J$22&lt;&gt;入力リスト!$K$5),FALSE,ISERROR(VLOOKUP(D262,入力シート!$AW$37:$AY$38,1,0))))</f>
        <v>0</v>
      </c>
      <c r="L262" s="237" t="b">
        <f>IF(COUNTIF(入力シート!$J$16:$S$23,入力リスト!$K$4)=0,FALSE,IF(入力シート!$J$20=入力リスト!$K$5,FALSE,IF(E262="",FALSE,ISERROR(VLOOKUP(E262,入力シート!$AH$37:$AK$62,1,0)))))</f>
        <v>0</v>
      </c>
      <c r="M262" s="238" t="str">
        <f t="shared" si="4"/>
        <v/>
      </c>
      <c r="N262" s="236" t="str">
        <f>IF(B262="","",VLOOKUP('従業員情報(給与以外)'!$B262,入力シート!$S$37:$Z$62,5,0))</f>
        <v/>
      </c>
      <c r="O262" s="182" t="str">
        <f>IF(ISNUMBER(C262)=FALSE,"",IF(C262&gt;入力シート!$J$24,"",_xlfn.DAYS(入力シート!$J$24,'従業員情報(給与以外)'!$C262)/365))</f>
        <v/>
      </c>
      <c r="P262" s="237" t="str">
        <f>IF(O262="","",VLOOKUP(_xlfn.DAYS(入力シート!$J$24,'従業員情報(給与以外)'!$C262)/365,入力リスト!$H$4:$I$12,2,2))</f>
        <v/>
      </c>
      <c r="Q262" s="236" t="str">
        <f>IF(D262="","",VLOOKUP('従業員情報(給与以外)'!$D262,入力シート!$AW$37:$BB$38,4,0))</f>
        <v/>
      </c>
      <c r="R262" s="236" t="str">
        <f>IF(A262="","",IF(E262="","非役職",VLOOKUP('従業員情報(給与以外)'!$E262,入力シート!$AH$37:$AO$62,5,0)))</f>
        <v/>
      </c>
      <c r="S262" s="116" t="str">
        <f>IF(OR(入力シート!$C$5&lt;&gt;入力リスト!$N$4,COUNTIF(入力シート!$J$16:$S$23,入力リスト!$K$4)=0),"",IF($A262="","",IF(ISERROR(AVERAGEIF(従業員の給与情報!$B:$B,$A262,従業員の給与情報!$C:$C)),0,IF(ISERROR(AVERAGEIF(従業員の給与情報!$B:$B,$A262,従業員の給与情報!$C:$C)),0,AVERAGEIF(従業員の給与情報!$B:$B,$A262,従業員の給与情報!$C:$C)))))</f>
        <v/>
      </c>
      <c r="T262" s="116" t="str">
        <f>IF(OR(入力シート!$C$5&lt;&gt;入力リスト!$N$4,COUNTIF(入力シート!$J$16:$S$23,入力リスト!$K$4)=0),"",IF(A262="","",IF(ISERROR(AVERAGEIF(従業員の給与情報!$B:$B,$A262,従業員の給与情報!$D:$D)),0,IF(ISERROR(AVERAGEIF(従業員の給与情報!$B:$B,$A262,従業員の給与情報!$D:$D)),0,AVERAGEIF(従業員の給与情報!$B:$B,$A262,従業員の給与情報!$D:$D)))))</f>
        <v/>
      </c>
      <c r="U262" s="116" t="str">
        <f>IF(OR(入力シート!$C$5&lt;&gt;入力リスト!$N$4,COUNTIF(入力シート!$J$16:$S$23,入力リスト!$K$4)=0),"",IF(A262="","",IF(ISERROR(AVERAGEIF(従業員の給与情報!$B:$B,$A262,従業員の給与情報!$E:$E)),0,IF(ISERROR(AVERAGEIF(従業員の給与情報!$B:$B,$A262,従業員の給与情報!$E:$E)),0,AVERAGEIF(従業員の給与情報!$B:$B,$A262,従業員の給与情報!$E:$E)))))</f>
        <v/>
      </c>
      <c r="V262" s="117" t="str">
        <f>IF(OR(入力シート!$C$5&lt;&gt;入力リスト!$N$4,COUNTIF(入力シート!$J$16:$S$23,入力リスト!$K$4)=0),"",IF(A262="","",IF(ISERROR(AVERAGEIF(従業員の給与情報!$B:$B,$A262,従業員の給与情報!$F:$F)),0,IF(ISERROR(AVERAGEIF(従業員の給与情報!$B:$B,$A262,従業員の給与情報!$F:$F)),0,AVERAGEIF(従業員の給与情報!$B:$B,$A262,従業員の給与情報!$F:$F)))))</f>
        <v/>
      </c>
      <c r="W262" s="182"/>
      <c r="X262" s="260"/>
    </row>
    <row r="263" spans="1:24">
      <c r="A263" s="368"/>
      <c r="B263" s="361"/>
      <c r="C263" s="362"/>
      <c r="D263" s="361"/>
      <c r="E263" s="361"/>
      <c r="F263" s="372" t="str">
        <f>IF(G263,"この従業員番号は、すでに他のセルで入力されています。",IF(入力シート!$C$5=入力リスト!$N$5,"",IF(AND(A263="",B263="",C263="",D263="",E263=""),"",IF(OR(A263="",B263="",C263="",D263=""),IF(A263="","従業員番号","")&amp;IF(AND(A263="",OR(B263="",C263="",D263="")),",","")&amp;IF(B263="","雇用形態","")&amp;IF(AND(B263="",OR(C263="",D263="")),",","")&amp;IF(OR(入力シート!$J$18=入力リスト!$K$4,入力シート!$J$22=入力リスト!$K$4),IF(C263="","入社年月日",""),"")&amp;IF(AND(C263="",D263=""),",","")&amp;IF(D263="","性別","")&amp;IF(IF(A263="","従業員番号","")&amp;IF(B263="","雇用形態","")&amp;IF(OR(入力シート!$J$18=入力リスト!$K$4,入力シート!$J$22=入力リスト!$K$4),IF(C263="","入社年月日",""),"")&amp;IF(D263="","性別","")="","","が空白です。"),IF(J263,"入社年月日に「基準日」の翌日以降の日付が入力されています。","")&amp;IF(I263,"入社年月日に数値以外（又は1900/1/1以前の日付）が入力されています。","")&amp;IF(H263,"雇用形態"&amp;IF(OR(K263,L263),",",""),"")&amp;IF(K263,"性別"&amp;IF(L263,",",""),"")&amp;IF(L263,"役職","")&amp;IF(OR(H263,K263,L263),"に、［入力シート］(4)「貴社」欄と異なる文言が入力されています。","")))))</f>
        <v/>
      </c>
      <c r="G263" s="236" t="b">
        <f>COUNTIF($A$4:A262,$A263)&gt;0</f>
        <v>0</v>
      </c>
      <c r="H263" s="237" t="b">
        <f>IF(COUNTIF(入力シート!$J$16:$S$23,入力リスト!$K$4)=0,FALSE,IF(入力シート!$J$16=入力リスト!$K$5,FALSE,ISERROR(VLOOKUP(B263,入力シート!$S$37:$V$62,1,0))))</f>
        <v>0</v>
      </c>
      <c r="I263" s="237" t="b">
        <f>IF(AND(OR(入力シート!$J$18=入力リスト!$K$4,入力シート!$J$22=入力リスト!$K$4),入力シート!$J$24&lt;&gt;""),IF(ISERROR(C263+1),TRUE,IF(ISNUMBER(C263),FALSE,TRUE)),FALSE)</f>
        <v>0</v>
      </c>
      <c r="J263" s="237" t="b">
        <f>IF(AND(入力シート!$J$18=入力リスト!$K$4,入力シート!$J$22=入力リスト!$K$4),FALSE,IF(I263=TRUE,FALSE,IF(ISERROR(C263+1),FALSE,C263&gt;入力シート!$J$24)))</f>
        <v>0</v>
      </c>
      <c r="K263" s="237" t="b">
        <f>IF(COUNTIF(入力シート!$J$16:$S$23,入力リスト!$K$4)=0,FALSE,IF(AND(入力シート!$J$16&lt;&gt;入力リスト!$K$5,入力シート!$J$18&lt;&gt;入力リスト!$K$5,入力シート!$J$20&lt;&gt;入力リスト!$K$5,入力シート!$J$22&lt;&gt;入力リスト!$K$5),FALSE,ISERROR(VLOOKUP(D263,入力シート!$AW$37:$AY$38,1,0))))</f>
        <v>0</v>
      </c>
      <c r="L263" s="237" t="b">
        <f>IF(COUNTIF(入力シート!$J$16:$S$23,入力リスト!$K$4)=0,FALSE,IF(入力シート!$J$20=入力リスト!$K$5,FALSE,IF(E263="",FALSE,ISERROR(VLOOKUP(E263,入力シート!$AH$37:$AK$62,1,0)))))</f>
        <v>0</v>
      </c>
      <c r="M263" s="238" t="str">
        <f t="shared" si="4"/>
        <v/>
      </c>
      <c r="N263" s="236" t="str">
        <f>IF(B263="","",VLOOKUP('従業員情報(給与以外)'!$B263,入力シート!$S$37:$Z$62,5,0))</f>
        <v/>
      </c>
      <c r="O263" s="182" t="str">
        <f>IF(ISNUMBER(C263)=FALSE,"",IF(C263&gt;入力シート!$J$24,"",_xlfn.DAYS(入力シート!$J$24,'従業員情報(給与以外)'!$C263)/365))</f>
        <v/>
      </c>
      <c r="P263" s="237" t="str">
        <f>IF(O263="","",VLOOKUP(_xlfn.DAYS(入力シート!$J$24,'従業員情報(給与以外)'!$C263)/365,入力リスト!$H$4:$I$12,2,2))</f>
        <v/>
      </c>
      <c r="Q263" s="236" t="str">
        <f>IF(D263="","",VLOOKUP('従業員情報(給与以外)'!$D263,入力シート!$AW$37:$BB$38,4,0))</f>
        <v/>
      </c>
      <c r="R263" s="236" t="str">
        <f>IF(A263="","",IF(E263="","非役職",VLOOKUP('従業員情報(給与以外)'!$E263,入力シート!$AH$37:$AO$62,5,0)))</f>
        <v/>
      </c>
      <c r="S263" s="116" t="str">
        <f>IF(OR(入力シート!$C$5&lt;&gt;入力リスト!$N$4,COUNTIF(入力シート!$J$16:$S$23,入力リスト!$K$4)=0),"",IF($A263="","",IF(ISERROR(AVERAGEIF(従業員の給与情報!$B:$B,$A263,従業員の給与情報!$C:$C)),0,IF(ISERROR(AVERAGEIF(従業員の給与情報!$B:$B,$A263,従業員の給与情報!$C:$C)),0,AVERAGEIF(従業員の給与情報!$B:$B,$A263,従業員の給与情報!$C:$C)))))</f>
        <v/>
      </c>
      <c r="T263" s="116" t="str">
        <f>IF(OR(入力シート!$C$5&lt;&gt;入力リスト!$N$4,COUNTIF(入力シート!$J$16:$S$23,入力リスト!$K$4)=0),"",IF(A263="","",IF(ISERROR(AVERAGEIF(従業員の給与情報!$B:$B,$A263,従業員の給与情報!$D:$D)),0,IF(ISERROR(AVERAGEIF(従業員の給与情報!$B:$B,$A263,従業員の給与情報!$D:$D)),0,AVERAGEIF(従業員の給与情報!$B:$B,$A263,従業員の給与情報!$D:$D)))))</f>
        <v/>
      </c>
      <c r="U263" s="116" t="str">
        <f>IF(OR(入力シート!$C$5&lt;&gt;入力リスト!$N$4,COUNTIF(入力シート!$J$16:$S$23,入力リスト!$K$4)=0),"",IF(A263="","",IF(ISERROR(AVERAGEIF(従業員の給与情報!$B:$B,$A263,従業員の給与情報!$E:$E)),0,IF(ISERROR(AVERAGEIF(従業員の給与情報!$B:$B,$A263,従業員の給与情報!$E:$E)),0,AVERAGEIF(従業員の給与情報!$B:$B,$A263,従業員の給与情報!$E:$E)))))</f>
        <v/>
      </c>
      <c r="V263" s="117" t="str">
        <f>IF(OR(入力シート!$C$5&lt;&gt;入力リスト!$N$4,COUNTIF(入力シート!$J$16:$S$23,入力リスト!$K$4)=0),"",IF(A263="","",IF(ISERROR(AVERAGEIF(従業員の給与情報!$B:$B,$A263,従業員の給与情報!$F:$F)),0,IF(ISERROR(AVERAGEIF(従業員の給与情報!$B:$B,$A263,従業員の給与情報!$F:$F)),0,AVERAGEIF(従業員の給与情報!$B:$B,$A263,従業員の給与情報!$F:$F)))))</f>
        <v/>
      </c>
      <c r="W263" s="182"/>
      <c r="X263" s="260"/>
    </row>
    <row r="264" spans="1:24">
      <c r="A264" s="368"/>
      <c r="B264" s="361"/>
      <c r="C264" s="362"/>
      <c r="D264" s="361"/>
      <c r="E264" s="361"/>
      <c r="F264" s="372" t="str">
        <f>IF(G264,"この従業員番号は、すでに他のセルで入力されています。",IF(入力シート!$C$5=入力リスト!$N$5,"",IF(AND(A264="",B264="",C264="",D264="",E264=""),"",IF(OR(A264="",B264="",C264="",D264=""),IF(A264="","従業員番号","")&amp;IF(AND(A264="",OR(B264="",C264="",D264="")),",","")&amp;IF(B264="","雇用形態","")&amp;IF(AND(B264="",OR(C264="",D264="")),",","")&amp;IF(OR(入力シート!$J$18=入力リスト!$K$4,入力シート!$J$22=入力リスト!$K$4),IF(C264="","入社年月日",""),"")&amp;IF(AND(C264="",D264=""),",","")&amp;IF(D264="","性別","")&amp;IF(IF(A264="","従業員番号","")&amp;IF(B264="","雇用形態","")&amp;IF(OR(入力シート!$J$18=入力リスト!$K$4,入力シート!$J$22=入力リスト!$K$4),IF(C264="","入社年月日",""),"")&amp;IF(D264="","性別","")="","","が空白です。"),IF(J264,"入社年月日に「基準日」の翌日以降の日付が入力されています。","")&amp;IF(I264,"入社年月日に数値以外（又は1900/1/1以前の日付）が入力されています。","")&amp;IF(H264,"雇用形態"&amp;IF(OR(K264,L264),",",""),"")&amp;IF(K264,"性別"&amp;IF(L264,",",""),"")&amp;IF(L264,"役職","")&amp;IF(OR(H264,K264,L264),"に、［入力シート］(4)「貴社」欄と異なる文言が入力されています。","")))))</f>
        <v/>
      </c>
      <c r="G264" s="236" t="b">
        <f>COUNTIF($A$4:A263,$A264)&gt;0</f>
        <v>0</v>
      </c>
      <c r="H264" s="237" t="b">
        <f>IF(COUNTIF(入力シート!$J$16:$S$23,入力リスト!$K$4)=0,FALSE,IF(入力シート!$J$16=入力リスト!$K$5,FALSE,ISERROR(VLOOKUP(B264,入力シート!$S$37:$V$62,1,0))))</f>
        <v>0</v>
      </c>
      <c r="I264" s="237" t="b">
        <f>IF(AND(OR(入力シート!$J$18=入力リスト!$K$4,入力シート!$J$22=入力リスト!$K$4),入力シート!$J$24&lt;&gt;""),IF(ISERROR(C264+1),TRUE,IF(ISNUMBER(C264),FALSE,TRUE)),FALSE)</f>
        <v>0</v>
      </c>
      <c r="J264" s="237" t="b">
        <f>IF(AND(入力シート!$J$18=入力リスト!$K$4,入力シート!$J$22=入力リスト!$K$4),FALSE,IF(I264=TRUE,FALSE,IF(ISERROR(C264+1),FALSE,C264&gt;入力シート!$J$24)))</f>
        <v>0</v>
      </c>
      <c r="K264" s="237" t="b">
        <f>IF(COUNTIF(入力シート!$J$16:$S$23,入力リスト!$K$4)=0,FALSE,IF(AND(入力シート!$J$16&lt;&gt;入力リスト!$K$5,入力シート!$J$18&lt;&gt;入力リスト!$K$5,入力シート!$J$20&lt;&gt;入力リスト!$K$5,入力シート!$J$22&lt;&gt;入力リスト!$K$5),FALSE,ISERROR(VLOOKUP(D264,入力シート!$AW$37:$AY$38,1,0))))</f>
        <v>0</v>
      </c>
      <c r="L264" s="237" t="b">
        <f>IF(COUNTIF(入力シート!$J$16:$S$23,入力リスト!$K$4)=0,FALSE,IF(入力シート!$J$20=入力リスト!$K$5,FALSE,IF(E264="",FALSE,ISERROR(VLOOKUP(E264,入力シート!$AH$37:$AK$62,1,0)))))</f>
        <v>0</v>
      </c>
      <c r="M264" s="238" t="str">
        <f t="shared" si="4"/>
        <v/>
      </c>
      <c r="N264" s="236" t="str">
        <f>IF(B264="","",VLOOKUP('従業員情報(給与以外)'!$B264,入力シート!$S$37:$Z$62,5,0))</f>
        <v/>
      </c>
      <c r="O264" s="182" t="str">
        <f>IF(ISNUMBER(C264)=FALSE,"",IF(C264&gt;入力シート!$J$24,"",_xlfn.DAYS(入力シート!$J$24,'従業員情報(給与以外)'!$C264)/365))</f>
        <v/>
      </c>
      <c r="P264" s="237" t="str">
        <f>IF(O264="","",VLOOKUP(_xlfn.DAYS(入力シート!$J$24,'従業員情報(給与以外)'!$C264)/365,入力リスト!$H$4:$I$12,2,2))</f>
        <v/>
      </c>
      <c r="Q264" s="236" t="str">
        <f>IF(D264="","",VLOOKUP('従業員情報(給与以外)'!$D264,入力シート!$AW$37:$BB$38,4,0))</f>
        <v/>
      </c>
      <c r="R264" s="236" t="str">
        <f>IF(A264="","",IF(E264="","非役職",VLOOKUP('従業員情報(給与以外)'!$E264,入力シート!$AH$37:$AO$62,5,0)))</f>
        <v/>
      </c>
      <c r="S264" s="116" t="str">
        <f>IF(OR(入力シート!$C$5&lt;&gt;入力リスト!$N$4,COUNTIF(入力シート!$J$16:$S$23,入力リスト!$K$4)=0),"",IF($A264="","",IF(ISERROR(AVERAGEIF(従業員の給与情報!$B:$B,$A264,従業員の給与情報!$C:$C)),0,IF(ISERROR(AVERAGEIF(従業員の給与情報!$B:$B,$A264,従業員の給与情報!$C:$C)),0,AVERAGEIF(従業員の給与情報!$B:$B,$A264,従業員の給与情報!$C:$C)))))</f>
        <v/>
      </c>
      <c r="T264" s="116" t="str">
        <f>IF(OR(入力シート!$C$5&lt;&gt;入力リスト!$N$4,COUNTIF(入力シート!$J$16:$S$23,入力リスト!$K$4)=0),"",IF(A264="","",IF(ISERROR(AVERAGEIF(従業員の給与情報!$B:$B,$A264,従業員の給与情報!$D:$D)),0,IF(ISERROR(AVERAGEIF(従業員の給与情報!$B:$B,$A264,従業員の給与情報!$D:$D)),0,AVERAGEIF(従業員の給与情報!$B:$B,$A264,従業員の給与情報!$D:$D)))))</f>
        <v/>
      </c>
      <c r="U264" s="116" t="str">
        <f>IF(OR(入力シート!$C$5&lt;&gt;入力リスト!$N$4,COUNTIF(入力シート!$J$16:$S$23,入力リスト!$K$4)=0),"",IF(A264="","",IF(ISERROR(AVERAGEIF(従業員の給与情報!$B:$B,$A264,従業員の給与情報!$E:$E)),0,IF(ISERROR(AVERAGEIF(従業員の給与情報!$B:$B,$A264,従業員の給与情報!$E:$E)),0,AVERAGEIF(従業員の給与情報!$B:$B,$A264,従業員の給与情報!$E:$E)))))</f>
        <v/>
      </c>
      <c r="V264" s="117" t="str">
        <f>IF(OR(入力シート!$C$5&lt;&gt;入力リスト!$N$4,COUNTIF(入力シート!$J$16:$S$23,入力リスト!$K$4)=0),"",IF(A264="","",IF(ISERROR(AVERAGEIF(従業員の給与情報!$B:$B,$A264,従業員の給与情報!$F:$F)),0,IF(ISERROR(AVERAGEIF(従業員の給与情報!$B:$B,$A264,従業員の給与情報!$F:$F)),0,AVERAGEIF(従業員の給与情報!$B:$B,$A264,従業員の給与情報!$F:$F)))))</f>
        <v/>
      </c>
      <c r="W264" s="182"/>
      <c r="X264" s="260"/>
    </row>
    <row r="265" spans="1:24">
      <c r="A265" s="368"/>
      <c r="B265" s="361"/>
      <c r="C265" s="362"/>
      <c r="D265" s="361"/>
      <c r="E265" s="361"/>
      <c r="F265" s="372" t="str">
        <f>IF(G265,"この従業員番号は、すでに他のセルで入力されています。",IF(入力シート!$C$5=入力リスト!$N$5,"",IF(AND(A265="",B265="",C265="",D265="",E265=""),"",IF(OR(A265="",B265="",C265="",D265=""),IF(A265="","従業員番号","")&amp;IF(AND(A265="",OR(B265="",C265="",D265="")),",","")&amp;IF(B265="","雇用形態","")&amp;IF(AND(B265="",OR(C265="",D265="")),",","")&amp;IF(OR(入力シート!$J$18=入力リスト!$K$4,入力シート!$J$22=入力リスト!$K$4),IF(C265="","入社年月日",""),"")&amp;IF(AND(C265="",D265=""),",","")&amp;IF(D265="","性別","")&amp;IF(IF(A265="","従業員番号","")&amp;IF(B265="","雇用形態","")&amp;IF(OR(入力シート!$J$18=入力リスト!$K$4,入力シート!$J$22=入力リスト!$K$4),IF(C265="","入社年月日",""),"")&amp;IF(D265="","性別","")="","","が空白です。"),IF(J265,"入社年月日に「基準日」の翌日以降の日付が入力されています。","")&amp;IF(I265,"入社年月日に数値以外（又は1900/1/1以前の日付）が入力されています。","")&amp;IF(H265,"雇用形態"&amp;IF(OR(K265,L265),",",""),"")&amp;IF(K265,"性別"&amp;IF(L265,",",""),"")&amp;IF(L265,"役職","")&amp;IF(OR(H265,K265,L265),"に、［入力シート］(4)「貴社」欄と異なる文言が入力されています。","")))))</f>
        <v/>
      </c>
      <c r="G265" s="236" t="b">
        <f>COUNTIF($A$4:A264,$A265)&gt;0</f>
        <v>0</v>
      </c>
      <c r="H265" s="237" t="b">
        <f>IF(COUNTIF(入力シート!$J$16:$S$23,入力リスト!$K$4)=0,FALSE,IF(入力シート!$J$16=入力リスト!$K$5,FALSE,ISERROR(VLOOKUP(B265,入力シート!$S$37:$V$62,1,0))))</f>
        <v>0</v>
      </c>
      <c r="I265" s="237" t="b">
        <f>IF(AND(OR(入力シート!$J$18=入力リスト!$K$4,入力シート!$J$22=入力リスト!$K$4),入力シート!$J$24&lt;&gt;""),IF(ISERROR(C265+1),TRUE,IF(ISNUMBER(C265),FALSE,TRUE)),FALSE)</f>
        <v>0</v>
      </c>
      <c r="J265" s="237" t="b">
        <f>IF(AND(入力シート!$J$18=入力リスト!$K$4,入力シート!$J$22=入力リスト!$K$4),FALSE,IF(I265=TRUE,FALSE,IF(ISERROR(C265+1),FALSE,C265&gt;入力シート!$J$24)))</f>
        <v>0</v>
      </c>
      <c r="K265" s="237" t="b">
        <f>IF(COUNTIF(入力シート!$J$16:$S$23,入力リスト!$K$4)=0,FALSE,IF(AND(入力シート!$J$16&lt;&gt;入力リスト!$K$5,入力シート!$J$18&lt;&gt;入力リスト!$K$5,入力シート!$J$20&lt;&gt;入力リスト!$K$5,入力シート!$J$22&lt;&gt;入力リスト!$K$5),FALSE,ISERROR(VLOOKUP(D265,入力シート!$AW$37:$AY$38,1,0))))</f>
        <v>0</v>
      </c>
      <c r="L265" s="237" t="b">
        <f>IF(COUNTIF(入力シート!$J$16:$S$23,入力リスト!$K$4)=0,FALSE,IF(入力シート!$J$20=入力リスト!$K$5,FALSE,IF(E265="",FALSE,ISERROR(VLOOKUP(E265,入力シート!$AH$37:$AK$62,1,0)))))</f>
        <v>0</v>
      </c>
      <c r="M265" s="238" t="str">
        <f t="shared" si="4"/>
        <v/>
      </c>
      <c r="N265" s="236" t="str">
        <f>IF(B265="","",VLOOKUP('従業員情報(給与以外)'!$B265,入力シート!$S$37:$Z$62,5,0))</f>
        <v/>
      </c>
      <c r="O265" s="182" t="str">
        <f>IF(ISNUMBER(C265)=FALSE,"",IF(C265&gt;入力シート!$J$24,"",_xlfn.DAYS(入力シート!$J$24,'従業員情報(給与以外)'!$C265)/365))</f>
        <v/>
      </c>
      <c r="P265" s="237" t="str">
        <f>IF(O265="","",VLOOKUP(_xlfn.DAYS(入力シート!$J$24,'従業員情報(給与以外)'!$C265)/365,入力リスト!$H$4:$I$12,2,2))</f>
        <v/>
      </c>
      <c r="Q265" s="236" t="str">
        <f>IF(D265="","",VLOOKUP('従業員情報(給与以外)'!$D265,入力シート!$AW$37:$BB$38,4,0))</f>
        <v/>
      </c>
      <c r="R265" s="236" t="str">
        <f>IF(A265="","",IF(E265="","非役職",VLOOKUP('従業員情報(給与以外)'!$E265,入力シート!$AH$37:$AO$62,5,0)))</f>
        <v/>
      </c>
      <c r="S265" s="116" t="str">
        <f>IF(OR(入力シート!$C$5&lt;&gt;入力リスト!$N$4,COUNTIF(入力シート!$J$16:$S$23,入力リスト!$K$4)=0),"",IF($A265="","",IF(ISERROR(AVERAGEIF(従業員の給与情報!$B:$B,$A265,従業員の給与情報!$C:$C)),0,IF(ISERROR(AVERAGEIF(従業員の給与情報!$B:$B,$A265,従業員の給与情報!$C:$C)),0,AVERAGEIF(従業員の給与情報!$B:$B,$A265,従業員の給与情報!$C:$C)))))</f>
        <v/>
      </c>
      <c r="T265" s="116" t="str">
        <f>IF(OR(入力シート!$C$5&lt;&gt;入力リスト!$N$4,COUNTIF(入力シート!$J$16:$S$23,入力リスト!$K$4)=0),"",IF(A265="","",IF(ISERROR(AVERAGEIF(従業員の給与情報!$B:$B,$A265,従業員の給与情報!$D:$D)),0,IF(ISERROR(AVERAGEIF(従業員の給与情報!$B:$B,$A265,従業員の給与情報!$D:$D)),0,AVERAGEIF(従業員の給与情報!$B:$B,$A265,従業員の給与情報!$D:$D)))))</f>
        <v/>
      </c>
      <c r="U265" s="116" t="str">
        <f>IF(OR(入力シート!$C$5&lt;&gt;入力リスト!$N$4,COUNTIF(入力シート!$J$16:$S$23,入力リスト!$K$4)=0),"",IF(A265="","",IF(ISERROR(AVERAGEIF(従業員の給与情報!$B:$B,$A265,従業員の給与情報!$E:$E)),0,IF(ISERROR(AVERAGEIF(従業員の給与情報!$B:$B,$A265,従業員の給与情報!$E:$E)),0,AVERAGEIF(従業員の給与情報!$B:$B,$A265,従業員の給与情報!$E:$E)))))</f>
        <v/>
      </c>
      <c r="V265" s="117" t="str">
        <f>IF(OR(入力シート!$C$5&lt;&gt;入力リスト!$N$4,COUNTIF(入力シート!$J$16:$S$23,入力リスト!$K$4)=0),"",IF(A265="","",IF(ISERROR(AVERAGEIF(従業員の給与情報!$B:$B,$A265,従業員の給与情報!$F:$F)),0,IF(ISERROR(AVERAGEIF(従業員の給与情報!$B:$B,$A265,従業員の給与情報!$F:$F)),0,AVERAGEIF(従業員の給与情報!$B:$B,$A265,従業員の給与情報!$F:$F)))))</f>
        <v/>
      </c>
      <c r="W265" s="182"/>
      <c r="X265" s="260"/>
    </row>
    <row r="266" spans="1:24">
      <c r="A266" s="368"/>
      <c r="B266" s="361"/>
      <c r="C266" s="362"/>
      <c r="D266" s="361"/>
      <c r="E266" s="361"/>
      <c r="F266" s="372" t="str">
        <f>IF(G266,"この従業員番号は、すでに他のセルで入力されています。",IF(入力シート!$C$5=入力リスト!$N$5,"",IF(AND(A266="",B266="",C266="",D266="",E266=""),"",IF(OR(A266="",B266="",C266="",D266=""),IF(A266="","従業員番号","")&amp;IF(AND(A266="",OR(B266="",C266="",D266="")),",","")&amp;IF(B266="","雇用形態","")&amp;IF(AND(B266="",OR(C266="",D266="")),",","")&amp;IF(OR(入力シート!$J$18=入力リスト!$K$4,入力シート!$J$22=入力リスト!$K$4),IF(C266="","入社年月日",""),"")&amp;IF(AND(C266="",D266=""),",","")&amp;IF(D266="","性別","")&amp;IF(IF(A266="","従業員番号","")&amp;IF(B266="","雇用形態","")&amp;IF(OR(入力シート!$J$18=入力リスト!$K$4,入力シート!$J$22=入力リスト!$K$4),IF(C266="","入社年月日",""),"")&amp;IF(D266="","性別","")="","","が空白です。"),IF(J266,"入社年月日に「基準日」の翌日以降の日付が入力されています。","")&amp;IF(I266,"入社年月日に数値以外（又は1900/1/1以前の日付）が入力されています。","")&amp;IF(H266,"雇用形態"&amp;IF(OR(K266,L266),",",""),"")&amp;IF(K266,"性別"&amp;IF(L266,",",""),"")&amp;IF(L266,"役職","")&amp;IF(OR(H266,K266,L266),"に、［入力シート］(4)「貴社」欄と異なる文言が入力されています。","")))))</f>
        <v/>
      </c>
      <c r="G266" s="236" t="b">
        <f>COUNTIF($A$4:A265,$A266)&gt;0</f>
        <v>0</v>
      </c>
      <c r="H266" s="237" t="b">
        <f>IF(COUNTIF(入力シート!$J$16:$S$23,入力リスト!$K$4)=0,FALSE,IF(入力シート!$J$16=入力リスト!$K$5,FALSE,ISERROR(VLOOKUP(B266,入力シート!$S$37:$V$62,1,0))))</f>
        <v>0</v>
      </c>
      <c r="I266" s="237" t="b">
        <f>IF(AND(OR(入力シート!$J$18=入力リスト!$K$4,入力シート!$J$22=入力リスト!$K$4),入力シート!$J$24&lt;&gt;""),IF(ISERROR(C266+1),TRUE,IF(ISNUMBER(C266),FALSE,TRUE)),FALSE)</f>
        <v>0</v>
      </c>
      <c r="J266" s="237" t="b">
        <f>IF(AND(入力シート!$J$18=入力リスト!$K$4,入力シート!$J$22=入力リスト!$K$4),FALSE,IF(I266=TRUE,FALSE,IF(ISERROR(C266+1),FALSE,C266&gt;入力シート!$J$24)))</f>
        <v>0</v>
      </c>
      <c r="K266" s="237" t="b">
        <f>IF(COUNTIF(入力シート!$J$16:$S$23,入力リスト!$K$4)=0,FALSE,IF(AND(入力シート!$J$16&lt;&gt;入力リスト!$K$5,入力シート!$J$18&lt;&gt;入力リスト!$K$5,入力シート!$J$20&lt;&gt;入力リスト!$K$5,入力シート!$J$22&lt;&gt;入力リスト!$K$5),FALSE,ISERROR(VLOOKUP(D266,入力シート!$AW$37:$AY$38,1,0))))</f>
        <v>0</v>
      </c>
      <c r="L266" s="237" t="b">
        <f>IF(COUNTIF(入力シート!$J$16:$S$23,入力リスト!$K$4)=0,FALSE,IF(入力シート!$J$20=入力リスト!$K$5,FALSE,IF(E266="",FALSE,ISERROR(VLOOKUP(E266,入力シート!$AH$37:$AK$62,1,0)))))</f>
        <v>0</v>
      </c>
      <c r="M266" s="238" t="str">
        <f t="shared" si="4"/>
        <v/>
      </c>
      <c r="N266" s="236" t="str">
        <f>IF(B266="","",VLOOKUP('従業員情報(給与以外)'!$B266,入力シート!$S$37:$Z$62,5,0))</f>
        <v/>
      </c>
      <c r="O266" s="182" t="str">
        <f>IF(ISNUMBER(C266)=FALSE,"",IF(C266&gt;入力シート!$J$24,"",_xlfn.DAYS(入力シート!$J$24,'従業員情報(給与以外)'!$C266)/365))</f>
        <v/>
      </c>
      <c r="P266" s="237" t="str">
        <f>IF(O266="","",VLOOKUP(_xlfn.DAYS(入力シート!$J$24,'従業員情報(給与以外)'!$C266)/365,入力リスト!$H$4:$I$12,2,2))</f>
        <v/>
      </c>
      <c r="Q266" s="236" t="str">
        <f>IF(D266="","",VLOOKUP('従業員情報(給与以外)'!$D266,入力シート!$AW$37:$BB$38,4,0))</f>
        <v/>
      </c>
      <c r="R266" s="236" t="str">
        <f>IF(A266="","",IF(E266="","非役職",VLOOKUP('従業員情報(給与以外)'!$E266,入力シート!$AH$37:$AO$62,5,0)))</f>
        <v/>
      </c>
      <c r="S266" s="116" t="str">
        <f>IF(OR(入力シート!$C$5&lt;&gt;入力リスト!$N$4,COUNTIF(入力シート!$J$16:$S$23,入力リスト!$K$4)=0),"",IF($A266="","",IF(ISERROR(AVERAGEIF(従業員の給与情報!$B:$B,$A266,従業員の給与情報!$C:$C)),0,IF(ISERROR(AVERAGEIF(従業員の給与情報!$B:$B,$A266,従業員の給与情報!$C:$C)),0,AVERAGEIF(従業員の給与情報!$B:$B,$A266,従業員の給与情報!$C:$C)))))</f>
        <v/>
      </c>
      <c r="T266" s="116" t="str">
        <f>IF(OR(入力シート!$C$5&lt;&gt;入力リスト!$N$4,COUNTIF(入力シート!$J$16:$S$23,入力リスト!$K$4)=0),"",IF(A266="","",IF(ISERROR(AVERAGEIF(従業員の給与情報!$B:$B,$A266,従業員の給与情報!$D:$D)),0,IF(ISERROR(AVERAGEIF(従業員の給与情報!$B:$B,$A266,従業員の給与情報!$D:$D)),0,AVERAGEIF(従業員の給与情報!$B:$B,$A266,従業員の給与情報!$D:$D)))))</f>
        <v/>
      </c>
      <c r="U266" s="116" t="str">
        <f>IF(OR(入力シート!$C$5&lt;&gt;入力リスト!$N$4,COUNTIF(入力シート!$J$16:$S$23,入力リスト!$K$4)=0),"",IF(A266="","",IF(ISERROR(AVERAGEIF(従業員の給与情報!$B:$B,$A266,従業員の給与情報!$E:$E)),0,IF(ISERROR(AVERAGEIF(従業員の給与情報!$B:$B,$A266,従業員の給与情報!$E:$E)),0,AVERAGEIF(従業員の給与情報!$B:$B,$A266,従業員の給与情報!$E:$E)))))</f>
        <v/>
      </c>
      <c r="V266" s="117" t="str">
        <f>IF(OR(入力シート!$C$5&lt;&gt;入力リスト!$N$4,COUNTIF(入力シート!$J$16:$S$23,入力リスト!$K$4)=0),"",IF(A266="","",IF(ISERROR(AVERAGEIF(従業員の給与情報!$B:$B,$A266,従業員の給与情報!$F:$F)),0,IF(ISERROR(AVERAGEIF(従業員の給与情報!$B:$B,$A266,従業員の給与情報!$F:$F)),0,AVERAGEIF(従業員の給与情報!$B:$B,$A266,従業員の給与情報!$F:$F)))))</f>
        <v/>
      </c>
      <c r="W266" s="182"/>
      <c r="X266" s="260"/>
    </row>
    <row r="267" spans="1:24">
      <c r="A267" s="368"/>
      <c r="B267" s="361"/>
      <c r="C267" s="362"/>
      <c r="D267" s="361"/>
      <c r="E267" s="361"/>
      <c r="F267" s="372" t="str">
        <f>IF(G267,"この従業員番号は、すでに他のセルで入力されています。",IF(入力シート!$C$5=入力リスト!$N$5,"",IF(AND(A267="",B267="",C267="",D267="",E267=""),"",IF(OR(A267="",B267="",C267="",D267=""),IF(A267="","従業員番号","")&amp;IF(AND(A267="",OR(B267="",C267="",D267="")),",","")&amp;IF(B267="","雇用形態","")&amp;IF(AND(B267="",OR(C267="",D267="")),",","")&amp;IF(OR(入力シート!$J$18=入力リスト!$K$4,入力シート!$J$22=入力リスト!$K$4),IF(C267="","入社年月日",""),"")&amp;IF(AND(C267="",D267=""),",","")&amp;IF(D267="","性別","")&amp;IF(IF(A267="","従業員番号","")&amp;IF(B267="","雇用形態","")&amp;IF(OR(入力シート!$J$18=入力リスト!$K$4,入力シート!$J$22=入力リスト!$K$4),IF(C267="","入社年月日",""),"")&amp;IF(D267="","性別","")="","","が空白です。"),IF(J267,"入社年月日に「基準日」の翌日以降の日付が入力されています。","")&amp;IF(I267,"入社年月日に数値以外（又は1900/1/1以前の日付）が入力されています。","")&amp;IF(H267,"雇用形態"&amp;IF(OR(K267,L267),",",""),"")&amp;IF(K267,"性別"&amp;IF(L267,",",""),"")&amp;IF(L267,"役職","")&amp;IF(OR(H267,K267,L267),"に、［入力シート］(4)「貴社」欄と異なる文言が入力されています。","")))))</f>
        <v/>
      </c>
      <c r="G267" s="236" t="b">
        <f>COUNTIF($A$4:A266,$A267)&gt;0</f>
        <v>0</v>
      </c>
      <c r="H267" s="237" t="b">
        <f>IF(COUNTIF(入力シート!$J$16:$S$23,入力リスト!$K$4)=0,FALSE,IF(入力シート!$J$16=入力リスト!$K$5,FALSE,ISERROR(VLOOKUP(B267,入力シート!$S$37:$V$62,1,0))))</f>
        <v>0</v>
      </c>
      <c r="I267" s="237" t="b">
        <f>IF(AND(OR(入力シート!$J$18=入力リスト!$K$4,入力シート!$J$22=入力リスト!$K$4),入力シート!$J$24&lt;&gt;""),IF(ISERROR(C267+1),TRUE,IF(ISNUMBER(C267),FALSE,TRUE)),FALSE)</f>
        <v>0</v>
      </c>
      <c r="J267" s="237" t="b">
        <f>IF(AND(入力シート!$J$18=入力リスト!$K$4,入力シート!$J$22=入力リスト!$K$4),FALSE,IF(I267=TRUE,FALSE,IF(ISERROR(C267+1),FALSE,C267&gt;入力シート!$J$24)))</f>
        <v>0</v>
      </c>
      <c r="K267" s="237" t="b">
        <f>IF(COUNTIF(入力シート!$J$16:$S$23,入力リスト!$K$4)=0,FALSE,IF(AND(入力シート!$J$16&lt;&gt;入力リスト!$K$5,入力シート!$J$18&lt;&gt;入力リスト!$K$5,入力シート!$J$20&lt;&gt;入力リスト!$K$5,入力シート!$J$22&lt;&gt;入力リスト!$K$5),FALSE,ISERROR(VLOOKUP(D267,入力シート!$AW$37:$AY$38,1,0))))</f>
        <v>0</v>
      </c>
      <c r="L267" s="237" t="b">
        <f>IF(COUNTIF(入力シート!$J$16:$S$23,入力リスト!$K$4)=0,FALSE,IF(入力シート!$J$20=入力リスト!$K$5,FALSE,IF(E267="",FALSE,ISERROR(VLOOKUP(E267,入力シート!$AH$37:$AK$62,1,0)))))</f>
        <v>0</v>
      </c>
      <c r="M267" s="238" t="str">
        <f t="shared" si="4"/>
        <v/>
      </c>
      <c r="N267" s="236" t="str">
        <f>IF(B267="","",VLOOKUP('従業員情報(給与以外)'!$B267,入力シート!$S$37:$Z$62,5,0))</f>
        <v/>
      </c>
      <c r="O267" s="182" t="str">
        <f>IF(ISNUMBER(C267)=FALSE,"",IF(C267&gt;入力シート!$J$24,"",_xlfn.DAYS(入力シート!$J$24,'従業員情報(給与以外)'!$C267)/365))</f>
        <v/>
      </c>
      <c r="P267" s="237" t="str">
        <f>IF(O267="","",VLOOKUP(_xlfn.DAYS(入力シート!$J$24,'従業員情報(給与以外)'!$C267)/365,入力リスト!$H$4:$I$12,2,2))</f>
        <v/>
      </c>
      <c r="Q267" s="236" t="str">
        <f>IF(D267="","",VLOOKUP('従業員情報(給与以外)'!$D267,入力シート!$AW$37:$BB$38,4,0))</f>
        <v/>
      </c>
      <c r="R267" s="236" t="str">
        <f>IF(A267="","",IF(E267="","非役職",VLOOKUP('従業員情報(給与以外)'!$E267,入力シート!$AH$37:$AO$62,5,0)))</f>
        <v/>
      </c>
      <c r="S267" s="116" t="str">
        <f>IF(OR(入力シート!$C$5&lt;&gt;入力リスト!$N$4,COUNTIF(入力シート!$J$16:$S$23,入力リスト!$K$4)=0),"",IF($A267="","",IF(ISERROR(AVERAGEIF(従業員の給与情報!$B:$B,$A267,従業員の給与情報!$C:$C)),0,IF(ISERROR(AVERAGEIF(従業員の給与情報!$B:$B,$A267,従業員の給与情報!$C:$C)),0,AVERAGEIF(従業員の給与情報!$B:$B,$A267,従業員の給与情報!$C:$C)))))</f>
        <v/>
      </c>
      <c r="T267" s="116" t="str">
        <f>IF(OR(入力シート!$C$5&lt;&gt;入力リスト!$N$4,COUNTIF(入力シート!$J$16:$S$23,入力リスト!$K$4)=0),"",IF(A267="","",IF(ISERROR(AVERAGEIF(従業員の給与情報!$B:$B,$A267,従業員の給与情報!$D:$D)),0,IF(ISERROR(AVERAGEIF(従業員の給与情報!$B:$B,$A267,従業員の給与情報!$D:$D)),0,AVERAGEIF(従業員の給与情報!$B:$B,$A267,従業員の給与情報!$D:$D)))))</f>
        <v/>
      </c>
      <c r="U267" s="116" t="str">
        <f>IF(OR(入力シート!$C$5&lt;&gt;入力リスト!$N$4,COUNTIF(入力シート!$J$16:$S$23,入力リスト!$K$4)=0),"",IF(A267="","",IF(ISERROR(AVERAGEIF(従業員の給与情報!$B:$B,$A267,従業員の給与情報!$E:$E)),0,IF(ISERROR(AVERAGEIF(従業員の給与情報!$B:$B,$A267,従業員の給与情報!$E:$E)),0,AVERAGEIF(従業員の給与情報!$B:$B,$A267,従業員の給与情報!$E:$E)))))</f>
        <v/>
      </c>
      <c r="V267" s="117" t="str">
        <f>IF(OR(入力シート!$C$5&lt;&gt;入力リスト!$N$4,COUNTIF(入力シート!$J$16:$S$23,入力リスト!$K$4)=0),"",IF(A267="","",IF(ISERROR(AVERAGEIF(従業員の給与情報!$B:$B,$A267,従業員の給与情報!$F:$F)),0,IF(ISERROR(AVERAGEIF(従業員の給与情報!$B:$B,$A267,従業員の給与情報!$F:$F)),0,AVERAGEIF(従業員の給与情報!$B:$B,$A267,従業員の給与情報!$F:$F)))))</f>
        <v/>
      </c>
      <c r="W267" s="182"/>
      <c r="X267" s="260"/>
    </row>
    <row r="268" spans="1:24">
      <c r="A268" s="368"/>
      <c r="B268" s="361"/>
      <c r="C268" s="362"/>
      <c r="D268" s="361"/>
      <c r="E268" s="361"/>
      <c r="F268" s="372" t="str">
        <f>IF(G268,"この従業員番号は、すでに他のセルで入力されています。",IF(入力シート!$C$5=入力リスト!$N$5,"",IF(AND(A268="",B268="",C268="",D268="",E268=""),"",IF(OR(A268="",B268="",C268="",D268=""),IF(A268="","従業員番号","")&amp;IF(AND(A268="",OR(B268="",C268="",D268="")),",","")&amp;IF(B268="","雇用形態","")&amp;IF(AND(B268="",OR(C268="",D268="")),",","")&amp;IF(OR(入力シート!$J$18=入力リスト!$K$4,入力シート!$J$22=入力リスト!$K$4),IF(C268="","入社年月日",""),"")&amp;IF(AND(C268="",D268=""),",","")&amp;IF(D268="","性別","")&amp;IF(IF(A268="","従業員番号","")&amp;IF(B268="","雇用形態","")&amp;IF(OR(入力シート!$J$18=入力リスト!$K$4,入力シート!$J$22=入力リスト!$K$4),IF(C268="","入社年月日",""),"")&amp;IF(D268="","性別","")="","","が空白です。"),IF(J268,"入社年月日に「基準日」の翌日以降の日付が入力されています。","")&amp;IF(I268,"入社年月日に数値以外（又は1900/1/1以前の日付）が入力されています。","")&amp;IF(H268,"雇用形態"&amp;IF(OR(K268,L268),",",""),"")&amp;IF(K268,"性別"&amp;IF(L268,",",""),"")&amp;IF(L268,"役職","")&amp;IF(OR(H268,K268,L268),"に、［入力シート］(4)「貴社」欄と異なる文言が入力されています。","")))))</f>
        <v/>
      </c>
      <c r="G268" s="236" t="b">
        <f>COUNTIF($A$4:A267,$A268)&gt;0</f>
        <v>0</v>
      </c>
      <c r="H268" s="237" t="b">
        <f>IF(COUNTIF(入力シート!$J$16:$S$23,入力リスト!$K$4)=0,FALSE,IF(入力シート!$J$16=入力リスト!$K$5,FALSE,ISERROR(VLOOKUP(B268,入力シート!$S$37:$V$62,1,0))))</f>
        <v>0</v>
      </c>
      <c r="I268" s="237" t="b">
        <f>IF(AND(OR(入力シート!$J$18=入力リスト!$K$4,入力シート!$J$22=入力リスト!$K$4),入力シート!$J$24&lt;&gt;""),IF(ISERROR(C268+1),TRUE,IF(ISNUMBER(C268),FALSE,TRUE)),FALSE)</f>
        <v>0</v>
      </c>
      <c r="J268" s="237" t="b">
        <f>IF(AND(入力シート!$J$18=入力リスト!$K$4,入力シート!$J$22=入力リスト!$K$4),FALSE,IF(I268=TRUE,FALSE,IF(ISERROR(C268+1),FALSE,C268&gt;入力シート!$J$24)))</f>
        <v>0</v>
      </c>
      <c r="K268" s="237" t="b">
        <f>IF(COUNTIF(入力シート!$J$16:$S$23,入力リスト!$K$4)=0,FALSE,IF(AND(入力シート!$J$16&lt;&gt;入力リスト!$K$5,入力シート!$J$18&lt;&gt;入力リスト!$K$5,入力シート!$J$20&lt;&gt;入力リスト!$K$5,入力シート!$J$22&lt;&gt;入力リスト!$K$5),FALSE,ISERROR(VLOOKUP(D268,入力シート!$AW$37:$AY$38,1,0))))</f>
        <v>0</v>
      </c>
      <c r="L268" s="237" t="b">
        <f>IF(COUNTIF(入力シート!$J$16:$S$23,入力リスト!$K$4)=0,FALSE,IF(入力シート!$J$20=入力リスト!$K$5,FALSE,IF(E268="",FALSE,ISERROR(VLOOKUP(E268,入力シート!$AH$37:$AK$62,1,0)))))</f>
        <v>0</v>
      </c>
      <c r="M268" s="238" t="str">
        <f t="shared" si="4"/>
        <v/>
      </c>
      <c r="N268" s="236" t="str">
        <f>IF(B268="","",VLOOKUP('従業員情報(給与以外)'!$B268,入力シート!$S$37:$Z$62,5,0))</f>
        <v/>
      </c>
      <c r="O268" s="182" t="str">
        <f>IF(ISNUMBER(C268)=FALSE,"",IF(C268&gt;入力シート!$J$24,"",_xlfn.DAYS(入力シート!$J$24,'従業員情報(給与以外)'!$C268)/365))</f>
        <v/>
      </c>
      <c r="P268" s="237" t="str">
        <f>IF(O268="","",VLOOKUP(_xlfn.DAYS(入力シート!$J$24,'従業員情報(給与以外)'!$C268)/365,入力リスト!$H$4:$I$12,2,2))</f>
        <v/>
      </c>
      <c r="Q268" s="236" t="str">
        <f>IF(D268="","",VLOOKUP('従業員情報(給与以外)'!$D268,入力シート!$AW$37:$BB$38,4,0))</f>
        <v/>
      </c>
      <c r="R268" s="236" t="str">
        <f>IF(A268="","",IF(E268="","非役職",VLOOKUP('従業員情報(給与以外)'!$E268,入力シート!$AH$37:$AO$62,5,0)))</f>
        <v/>
      </c>
      <c r="S268" s="116" t="str">
        <f>IF(OR(入力シート!$C$5&lt;&gt;入力リスト!$N$4,COUNTIF(入力シート!$J$16:$S$23,入力リスト!$K$4)=0),"",IF($A268="","",IF(ISERROR(AVERAGEIF(従業員の給与情報!$B:$B,$A268,従業員の給与情報!$C:$C)),0,IF(ISERROR(AVERAGEIF(従業員の給与情報!$B:$B,$A268,従業員の給与情報!$C:$C)),0,AVERAGEIF(従業員の給与情報!$B:$B,$A268,従業員の給与情報!$C:$C)))))</f>
        <v/>
      </c>
      <c r="T268" s="116" t="str">
        <f>IF(OR(入力シート!$C$5&lt;&gt;入力リスト!$N$4,COUNTIF(入力シート!$J$16:$S$23,入力リスト!$K$4)=0),"",IF(A268="","",IF(ISERROR(AVERAGEIF(従業員の給与情報!$B:$B,$A268,従業員の給与情報!$D:$D)),0,IF(ISERROR(AVERAGEIF(従業員の給与情報!$B:$B,$A268,従業員の給与情報!$D:$D)),0,AVERAGEIF(従業員の給与情報!$B:$B,$A268,従業員の給与情報!$D:$D)))))</f>
        <v/>
      </c>
      <c r="U268" s="116" t="str">
        <f>IF(OR(入力シート!$C$5&lt;&gt;入力リスト!$N$4,COUNTIF(入力シート!$J$16:$S$23,入力リスト!$K$4)=0),"",IF(A268="","",IF(ISERROR(AVERAGEIF(従業員の給与情報!$B:$B,$A268,従業員の給与情報!$E:$E)),0,IF(ISERROR(AVERAGEIF(従業員の給与情報!$B:$B,$A268,従業員の給与情報!$E:$E)),0,AVERAGEIF(従業員の給与情報!$B:$B,$A268,従業員の給与情報!$E:$E)))))</f>
        <v/>
      </c>
      <c r="V268" s="117" t="str">
        <f>IF(OR(入力シート!$C$5&lt;&gt;入力リスト!$N$4,COUNTIF(入力シート!$J$16:$S$23,入力リスト!$K$4)=0),"",IF(A268="","",IF(ISERROR(AVERAGEIF(従業員の給与情報!$B:$B,$A268,従業員の給与情報!$F:$F)),0,IF(ISERROR(AVERAGEIF(従業員の給与情報!$B:$B,$A268,従業員の給与情報!$F:$F)),0,AVERAGEIF(従業員の給与情報!$B:$B,$A268,従業員の給与情報!$F:$F)))))</f>
        <v/>
      </c>
      <c r="W268" s="182"/>
      <c r="X268" s="260"/>
    </row>
    <row r="269" spans="1:24">
      <c r="A269" s="368"/>
      <c r="B269" s="361"/>
      <c r="C269" s="362"/>
      <c r="D269" s="361"/>
      <c r="E269" s="361"/>
      <c r="F269" s="372" t="str">
        <f>IF(G269,"この従業員番号は、すでに他のセルで入力されています。",IF(入力シート!$C$5=入力リスト!$N$5,"",IF(AND(A269="",B269="",C269="",D269="",E269=""),"",IF(OR(A269="",B269="",C269="",D269=""),IF(A269="","従業員番号","")&amp;IF(AND(A269="",OR(B269="",C269="",D269="")),",","")&amp;IF(B269="","雇用形態","")&amp;IF(AND(B269="",OR(C269="",D269="")),",","")&amp;IF(OR(入力シート!$J$18=入力リスト!$K$4,入力シート!$J$22=入力リスト!$K$4),IF(C269="","入社年月日",""),"")&amp;IF(AND(C269="",D269=""),",","")&amp;IF(D269="","性別","")&amp;IF(IF(A269="","従業員番号","")&amp;IF(B269="","雇用形態","")&amp;IF(OR(入力シート!$J$18=入力リスト!$K$4,入力シート!$J$22=入力リスト!$K$4),IF(C269="","入社年月日",""),"")&amp;IF(D269="","性別","")="","","が空白です。"),IF(J269,"入社年月日に「基準日」の翌日以降の日付が入力されています。","")&amp;IF(I269,"入社年月日に数値以外（又は1900/1/1以前の日付）が入力されています。","")&amp;IF(H269,"雇用形態"&amp;IF(OR(K269,L269),",",""),"")&amp;IF(K269,"性別"&amp;IF(L269,",",""),"")&amp;IF(L269,"役職","")&amp;IF(OR(H269,K269,L269),"に、［入力シート］(4)「貴社」欄と異なる文言が入力されています。","")))))</f>
        <v/>
      </c>
      <c r="G269" s="236" t="b">
        <f>COUNTIF($A$4:A268,$A269)&gt;0</f>
        <v>0</v>
      </c>
      <c r="H269" s="237" t="b">
        <f>IF(COUNTIF(入力シート!$J$16:$S$23,入力リスト!$K$4)=0,FALSE,IF(入力シート!$J$16=入力リスト!$K$5,FALSE,ISERROR(VLOOKUP(B269,入力シート!$S$37:$V$62,1,0))))</f>
        <v>0</v>
      </c>
      <c r="I269" s="237" t="b">
        <f>IF(AND(OR(入力シート!$J$18=入力リスト!$K$4,入力シート!$J$22=入力リスト!$K$4),入力シート!$J$24&lt;&gt;""),IF(ISERROR(C269+1),TRUE,IF(ISNUMBER(C269),FALSE,TRUE)),FALSE)</f>
        <v>0</v>
      </c>
      <c r="J269" s="237" t="b">
        <f>IF(AND(入力シート!$J$18=入力リスト!$K$4,入力シート!$J$22=入力リスト!$K$4),FALSE,IF(I269=TRUE,FALSE,IF(ISERROR(C269+1),FALSE,C269&gt;入力シート!$J$24)))</f>
        <v>0</v>
      </c>
      <c r="K269" s="237" t="b">
        <f>IF(COUNTIF(入力シート!$J$16:$S$23,入力リスト!$K$4)=0,FALSE,IF(AND(入力シート!$J$16&lt;&gt;入力リスト!$K$5,入力シート!$J$18&lt;&gt;入力リスト!$K$5,入力シート!$J$20&lt;&gt;入力リスト!$K$5,入力シート!$J$22&lt;&gt;入力リスト!$K$5),FALSE,ISERROR(VLOOKUP(D269,入力シート!$AW$37:$AY$38,1,0))))</f>
        <v>0</v>
      </c>
      <c r="L269" s="237" t="b">
        <f>IF(COUNTIF(入力シート!$J$16:$S$23,入力リスト!$K$4)=0,FALSE,IF(入力シート!$J$20=入力リスト!$K$5,FALSE,IF(E269="",FALSE,ISERROR(VLOOKUP(E269,入力シート!$AH$37:$AK$62,1,0)))))</f>
        <v>0</v>
      </c>
      <c r="M269" s="238" t="str">
        <f t="shared" si="4"/>
        <v/>
      </c>
      <c r="N269" s="236" t="str">
        <f>IF(B269="","",VLOOKUP('従業員情報(給与以外)'!$B269,入力シート!$S$37:$Z$62,5,0))</f>
        <v/>
      </c>
      <c r="O269" s="182" t="str">
        <f>IF(ISNUMBER(C269)=FALSE,"",IF(C269&gt;入力シート!$J$24,"",_xlfn.DAYS(入力シート!$J$24,'従業員情報(給与以外)'!$C269)/365))</f>
        <v/>
      </c>
      <c r="P269" s="237" t="str">
        <f>IF(O269="","",VLOOKUP(_xlfn.DAYS(入力シート!$J$24,'従業員情報(給与以外)'!$C269)/365,入力リスト!$H$4:$I$12,2,2))</f>
        <v/>
      </c>
      <c r="Q269" s="236" t="str">
        <f>IF(D269="","",VLOOKUP('従業員情報(給与以外)'!$D269,入力シート!$AW$37:$BB$38,4,0))</f>
        <v/>
      </c>
      <c r="R269" s="236" t="str">
        <f>IF(A269="","",IF(E269="","非役職",VLOOKUP('従業員情報(給与以外)'!$E269,入力シート!$AH$37:$AO$62,5,0)))</f>
        <v/>
      </c>
      <c r="S269" s="116" t="str">
        <f>IF(OR(入力シート!$C$5&lt;&gt;入力リスト!$N$4,COUNTIF(入力シート!$J$16:$S$23,入力リスト!$K$4)=0),"",IF($A269="","",IF(ISERROR(AVERAGEIF(従業員の給与情報!$B:$B,$A269,従業員の給与情報!$C:$C)),0,IF(ISERROR(AVERAGEIF(従業員の給与情報!$B:$B,$A269,従業員の給与情報!$C:$C)),0,AVERAGEIF(従業員の給与情報!$B:$B,$A269,従業員の給与情報!$C:$C)))))</f>
        <v/>
      </c>
      <c r="T269" s="116" t="str">
        <f>IF(OR(入力シート!$C$5&lt;&gt;入力リスト!$N$4,COUNTIF(入力シート!$J$16:$S$23,入力リスト!$K$4)=0),"",IF(A269="","",IF(ISERROR(AVERAGEIF(従業員の給与情報!$B:$B,$A269,従業員の給与情報!$D:$D)),0,IF(ISERROR(AVERAGEIF(従業員の給与情報!$B:$B,$A269,従業員の給与情報!$D:$D)),0,AVERAGEIF(従業員の給与情報!$B:$B,$A269,従業員の給与情報!$D:$D)))))</f>
        <v/>
      </c>
      <c r="U269" s="116" t="str">
        <f>IF(OR(入力シート!$C$5&lt;&gt;入力リスト!$N$4,COUNTIF(入力シート!$J$16:$S$23,入力リスト!$K$4)=0),"",IF(A269="","",IF(ISERROR(AVERAGEIF(従業員の給与情報!$B:$B,$A269,従業員の給与情報!$E:$E)),0,IF(ISERROR(AVERAGEIF(従業員の給与情報!$B:$B,$A269,従業員の給与情報!$E:$E)),0,AVERAGEIF(従業員の給与情報!$B:$B,$A269,従業員の給与情報!$E:$E)))))</f>
        <v/>
      </c>
      <c r="V269" s="117" t="str">
        <f>IF(OR(入力シート!$C$5&lt;&gt;入力リスト!$N$4,COUNTIF(入力シート!$J$16:$S$23,入力リスト!$K$4)=0),"",IF(A269="","",IF(ISERROR(AVERAGEIF(従業員の給与情報!$B:$B,$A269,従業員の給与情報!$F:$F)),0,IF(ISERROR(AVERAGEIF(従業員の給与情報!$B:$B,$A269,従業員の給与情報!$F:$F)),0,AVERAGEIF(従業員の給与情報!$B:$B,$A269,従業員の給与情報!$F:$F)))))</f>
        <v/>
      </c>
      <c r="W269" s="182"/>
      <c r="X269" s="260"/>
    </row>
    <row r="270" spans="1:24">
      <c r="A270" s="368"/>
      <c r="B270" s="361"/>
      <c r="C270" s="362"/>
      <c r="D270" s="361"/>
      <c r="E270" s="361"/>
      <c r="F270" s="372" t="str">
        <f>IF(G270,"この従業員番号は、すでに他のセルで入力されています。",IF(入力シート!$C$5=入力リスト!$N$5,"",IF(AND(A270="",B270="",C270="",D270="",E270=""),"",IF(OR(A270="",B270="",C270="",D270=""),IF(A270="","従業員番号","")&amp;IF(AND(A270="",OR(B270="",C270="",D270="")),",","")&amp;IF(B270="","雇用形態","")&amp;IF(AND(B270="",OR(C270="",D270="")),",","")&amp;IF(OR(入力シート!$J$18=入力リスト!$K$4,入力シート!$J$22=入力リスト!$K$4),IF(C270="","入社年月日",""),"")&amp;IF(AND(C270="",D270=""),",","")&amp;IF(D270="","性別","")&amp;IF(IF(A270="","従業員番号","")&amp;IF(B270="","雇用形態","")&amp;IF(OR(入力シート!$J$18=入力リスト!$K$4,入力シート!$J$22=入力リスト!$K$4),IF(C270="","入社年月日",""),"")&amp;IF(D270="","性別","")="","","が空白です。"),IF(J270,"入社年月日に「基準日」の翌日以降の日付が入力されています。","")&amp;IF(I270,"入社年月日に数値以外（又は1900/1/1以前の日付）が入力されています。","")&amp;IF(H270,"雇用形態"&amp;IF(OR(K270,L270),",",""),"")&amp;IF(K270,"性別"&amp;IF(L270,",",""),"")&amp;IF(L270,"役職","")&amp;IF(OR(H270,K270,L270),"に、［入力シート］(4)「貴社」欄と異なる文言が入力されています。","")))))</f>
        <v/>
      </c>
      <c r="G270" s="236" t="b">
        <f>COUNTIF($A$4:A269,$A270)&gt;0</f>
        <v>0</v>
      </c>
      <c r="H270" s="237" t="b">
        <f>IF(COUNTIF(入力シート!$J$16:$S$23,入力リスト!$K$4)=0,FALSE,IF(入力シート!$J$16=入力リスト!$K$5,FALSE,ISERROR(VLOOKUP(B270,入力シート!$S$37:$V$62,1,0))))</f>
        <v>0</v>
      </c>
      <c r="I270" s="237" t="b">
        <f>IF(AND(OR(入力シート!$J$18=入力リスト!$K$4,入力シート!$J$22=入力リスト!$K$4),入力シート!$J$24&lt;&gt;""),IF(ISERROR(C270+1),TRUE,IF(ISNUMBER(C270),FALSE,TRUE)),FALSE)</f>
        <v>0</v>
      </c>
      <c r="J270" s="237" t="b">
        <f>IF(AND(入力シート!$J$18=入力リスト!$K$4,入力シート!$J$22=入力リスト!$K$4),FALSE,IF(I270=TRUE,FALSE,IF(ISERROR(C270+1),FALSE,C270&gt;入力シート!$J$24)))</f>
        <v>0</v>
      </c>
      <c r="K270" s="237" t="b">
        <f>IF(COUNTIF(入力シート!$J$16:$S$23,入力リスト!$K$4)=0,FALSE,IF(AND(入力シート!$J$16&lt;&gt;入力リスト!$K$5,入力シート!$J$18&lt;&gt;入力リスト!$K$5,入力シート!$J$20&lt;&gt;入力リスト!$K$5,入力シート!$J$22&lt;&gt;入力リスト!$K$5),FALSE,ISERROR(VLOOKUP(D270,入力シート!$AW$37:$AY$38,1,0))))</f>
        <v>0</v>
      </c>
      <c r="L270" s="237" t="b">
        <f>IF(COUNTIF(入力シート!$J$16:$S$23,入力リスト!$K$4)=0,FALSE,IF(入力シート!$J$20=入力リスト!$K$5,FALSE,IF(E270="",FALSE,ISERROR(VLOOKUP(E270,入力シート!$AH$37:$AK$62,1,0)))))</f>
        <v>0</v>
      </c>
      <c r="M270" s="238" t="str">
        <f t="shared" si="4"/>
        <v/>
      </c>
      <c r="N270" s="236" t="str">
        <f>IF(B270="","",VLOOKUP('従業員情報(給与以外)'!$B270,入力シート!$S$37:$Z$62,5,0))</f>
        <v/>
      </c>
      <c r="O270" s="182" t="str">
        <f>IF(ISNUMBER(C270)=FALSE,"",IF(C270&gt;入力シート!$J$24,"",_xlfn.DAYS(入力シート!$J$24,'従業員情報(給与以外)'!$C270)/365))</f>
        <v/>
      </c>
      <c r="P270" s="237" t="str">
        <f>IF(O270="","",VLOOKUP(_xlfn.DAYS(入力シート!$J$24,'従業員情報(給与以外)'!$C270)/365,入力リスト!$H$4:$I$12,2,2))</f>
        <v/>
      </c>
      <c r="Q270" s="236" t="str">
        <f>IF(D270="","",VLOOKUP('従業員情報(給与以外)'!$D270,入力シート!$AW$37:$BB$38,4,0))</f>
        <v/>
      </c>
      <c r="R270" s="236" t="str">
        <f>IF(A270="","",IF(E270="","非役職",VLOOKUP('従業員情報(給与以外)'!$E270,入力シート!$AH$37:$AO$62,5,0)))</f>
        <v/>
      </c>
      <c r="S270" s="116" t="str">
        <f>IF(OR(入力シート!$C$5&lt;&gt;入力リスト!$N$4,COUNTIF(入力シート!$J$16:$S$23,入力リスト!$K$4)=0),"",IF($A270="","",IF(ISERROR(AVERAGEIF(従業員の給与情報!$B:$B,$A270,従業員の給与情報!$C:$C)),0,IF(ISERROR(AVERAGEIF(従業員の給与情報!$B:$B,$A270,従業員の給与情報!$C:$C)),0,AVERAGEIF(従業員の給与情報!$B:$B,$A270,従業員の給与情報!$C:$C)))))</f>
        <v/>
      </c>
      <c r="T270" s="116" t="str">
        <f>IF(OR(入力シート!$C$5&lt;&gt;入力リスト!$N$4,COUNTIF(入力シート!$J$16:$S$23,入力リスト!$K$4)=0),"",IF(A270="","",IF(ISERROR(AVERAGEIF(従業員の給与情報!$B:$B,$A270,従業員の給与情報!$D:$D)),0,IF(ISERROR(AVERAGEIF(従業員の給与情報!$B:$B,$A270,従業員の給与情報!$D:$D)),0,AVERAGEIF(従業員の給与情報!$B:$B,$A270,従業員の給与情報!$D:$D)))))</f>
        <v/>
      </c>
      <c r="U270" s="116" t="str">
        <f>IF(OR(入力シート!$C$5&lt;&gt;入力リスト!$N$4,COUNTIF(入力シート!$J$16:$S$23,入力リスト!$K$4)=0),"",IF(A270="","",IF(ISERROR(AVERAGEIF(従業員の給与情報!$B:$B,$A270,従業員の給与情報!$E:$E)),0,IF(ISERROR(AVERAGEIF(従業員の給与情報!$B:$B,$A270,従業員の給与情報!$E:$E)),0,AVERAGEIF(従業員の給与情報!$B:$B,$A270,従業員の給与情報!$E:$E)))))</f>
        <v/>
      </c>
      <c r="V270" s="117" t="str">
        <f>IF(OR(入力シート!$C$5&lt;&gt;入力リスト!$N$4,COUNTIF(入力シート!$J$16:$S$23,入力リスト!$K$4)=0),"",IF(A270="","",IF(ISERROR(AVERAGEIF(従業員の給与情報!$B:$B,$A270,従業員の給与情報!$F:$F)),0,IF(ISERROR(AVERAGEIF(従業員の給与情報!$B:$B,$A270,従業員の給与情報!$F:$F)),0,AVERAGEIF(従業員の給与情報!$B:$B,$A270,従業員の給与情報!$F:$F)))))</f>
        <v/>
      </c>
      <c r="W270" s="182"/>
      <c r="X270" s="260"/>
    </row>
    <row r="271" spans="1:24">
      <c r="A271" s="368"/>
      <c r="B271" s="361"/>
      <c r="C271" s="362"/>
      <c r="D271" s="361"/>
      <c r="E271" s="361"/>
      <c r="F271" s="372" t="str">
        <f>IF(G271,"この従業員番号は、すでに他のセルで入力されています。",IF(入力シート!$C$5=入力リスト!$N$5,"",IF(AND(A271="",B271="",C271="",D271="",E271=""),"",IF(OR(A271="",B271="",C271="",D271=""),IF(A271="","従業員番号","")&amp;IF(AND(A271="",OR(B271="",C271="",D271="")),",","")&amp;IF(B271="","雇用形態","")&amp;IF(AND(B271="",OR(C271="",D271="")),",","")&amp;IF(OR(入力シート!$J$18=入力リスト!$K$4,入力シート!$J$22=入力リスト!$K$4),IF(C271="","入社年月日",""),"")&amp;IF(AND(C271="",D271=""),",","")&amp;IF(D271="","性別","")&amp;IF(IF(A271="","従業員番号","")&amp;IF(B271="","雇用形態","")&amp;IF(OR(入力シート!$J$18=入力リスト!$K$4,入力シート!$J$22=入力リスト!$K$4),IF(C271="","入社年月日",""),"")&amp;IF(D271="","性別","")="","","が空白です。"),IF(J271,"入社年月日に「基準日」の翌日以降の日付が入力されています。","")&amp;IF(I271,"入社年月日に数値以外（又は1900/1/1以前の日付）が入力されています。","")&amp;IF(H271,"雇用形態"&amp;IF(OR(K271,L271),",",""),"")&amp;IF(K271,"性別"&amp;IF(L271,",",""),"")&amp;IF(L271,"役職","")&amp;IF(OR(H271,K271,L271),"に、［入力シート］(4)「貴社」欄と異なる文言が入力されています。","")))))</f>
        <v/>
      </c>
      <c r="G271" s="236" t="b">
        <f>COUNTIF($A$4:A270,$A271)&gt;0</f>
        <v>0</v>
      </c>
      <c r="H271" s="237" t="b">
        <f>IF(COUNTIF(入力シート!$J$16:$S$23,入力リスト!$K$4)=0,FALSE,IF(入力シート!$J$16=入力リスト!$K$5,FALSE,ISERROR(VLOOKUP(B271,入力シート!$S$37:$V$62,1,0))))</f>
        <v>0</v>
      </c>
      <c r="I271" s="237" t="b">
        <f>IF(AND(OR(入力シート!$J$18=入力リスト!$K$4,入力シート!$J$22=入力リスト!$K$4),入力シート!$J$24&lt;&gt;""),IF(ISERROR(C271+1),TRUE,IF(ISNUMBER(C271),FALSE,TRUE)),FALSE)</f>
        <v>0</v>
      </c>
      <c r="J271" s="237" t="b">
        <f>IF(AND(入力シート!$J$18=入力リスト!$K$4,入力シート!$J$22=入力リスト!$K$4),FALSE,IF(I271=TRUE,FALSE,IF(ISERROR(C271+1),FALSE,C271&gt;入力シート!$J$24)))</f>
        <v>0</v>
      </c>
      <c r="K271" s="237" t="b">
        <f>IF(COUNTIF(入力シート!$J$16:$S$23,入力リスト!$K$4)=0,FALSE,IF(AND(入力シート!$J$16&lt;&gt;入力リスト!$K$5,入力シート!$J$18&lt;&gt;入力リスト!$K$5,入力シート!$J$20&lt;&gt;入力リスト!$K$5,入力シート!$J$22&lt;&gt;入力リスト!$K$5),FALSE,ISERROR(VLOOKUP(D271,入力シート!$AW$37:$AY$38,1,0))))</f>
        <v>0</v>
      </c>
      <c r="L271" s="237" t="b">
        <f>IF(COUNTIF(入力シート!$J$16:$S$23,入力リスト!$K$4)=0,FALSE,IF(入力シート!$J$20=入力リスト!$K$5,FALSE,IF(E271="",FALSE,ISERROR(VLOOKUP(E271,入力シート!$AH$37:$AK$62,1,0)))))</f>
        <v>0</v>
      </c>
      <c r="M271" s="238" t="str">
        <f t="shared" si="4"/>
        <v/>
      </c>
      <c r="N271" s="236" t="str">
        <f>IF(B271="","",VLOOKUP('従業員情報(給与以外)'!$B271,入力シート!$S$37:$Z$62,5,0))</f>
        <v/>
      </c>
      <c r="O271" s="182" t="str">
        <f>IF(ISNUMBER(C271)=FALSE,"",IF(C271&gt;入力シート!$J$24,"",_xlfn.DAYS(入力シート!$J$24,'従業員情報(給与以外)'!$C271)/365))</f>
        <v/>
      </c>
      <c r="P271" s="237" t="str">
        <f>IF(O271="","",VLOOKUP(_xlfn.DAYS(入力シート!$J$24,'従業員情報(給与以外)'!$C271)/365,入力リスト!$H$4:$I$12,2,2))</f>
        <v/>
      </c>
      <c r="Q271" s="236" t="str">
        <f>IF(D271="","",VLOOKUP('従業員情報(給与以外)'!$D271,入力シート!$AW$37:$BB$38,4,0))</f>
        <v/>
      </c>
      <c r="R271" s="236" t="str">
        <f>IF(A271="","",IF(E271="","非役職",VLOOKUP('従業員情報(給与以外)'!$E271,入力シート!$AH$37:$AO$62,5,0)))</f>
        <v/>
      </c>
      <c r="S271" s="116" t="str">
        <f>IF(OR(入力シート!$C$5&lt;&gt;入力リスト!$N$4,COUNTIF(入力シート!$J$16:$S$23,入力リスト!$K$4)=0),"",IF($A271="","",IF(ISERROR(AVERAGEIF(従業員の給与情報!$B:$B,$A271,従業員の給与情報!$C:$C)),0,IF(ISERROR(AVERAGEIF(従業員の給与情報!$B:$B,$A271,従業員の給与情報!$C:$C)),0,AVERAGEIF(従業員の給与情報!$B:$B,$A271,従業員の給与情報!$C:$C)))))</f>
        <v/>
      </c>
      <c r="T271" s="116" t="str">
        <f>IF(OR(入力シート!$C$5&lt;&gt;入力リスト!$N$4,COUNTIF(入力シート!$J$16:$S$23,入力リスト!$K$4)=0),"",IF(A271="","",IF(ISERROR(AVERAGEIF(従業員の給与情報!$B:$B,$A271,従業員の給与情報!$D:$D)),0,IF(ISERROR(AVERAGEIF(従業員の給与情報!$B:$B,$A271,従業員の給与情報!$D:$D)),0,AVERAGEIF(従業員の給与情報!$B:$B,$A271,従業員の給与情報!$D:$D)))))</f>
        <v/>
      </c>
      <c r="U271" s="116" t="str">
        <f>IF(OR(入力シート!$C$5&lt;&gt;入力リスト!$N$4,COUNTIF(入力シート!$J$16:$S$23,入力リスト!$K$4)=0),"",IF(A271="","",IF(ISERROR(AVERAGEIF(従業員の給与情報!$B:$B,$A271,従業員の給与情報!$E:$E)),0,IF(ISERROR(AVERAGEIF(従業員の給与情報!$B:$B,$A271,従業員の給与情報!$E:$E)),0,AVERAGEIF(従業員の給与情報!$B:$B,$A271,従業員の給与情報!$E:$E)))))</f>
        <v/>
      </c>
      <c r="V271" s="117" t="str">
        <f>IF(OR(入力シート!$C$5&lt;&gt;入力リスト!$N$4,COUNTIF(入力シート!$J$16:$S$23,入力リスト!$K$4)=0),"",IF(A271="","",IF(ISERROR(AVERAGEIF(従業員の給与情報!$B:$B,$A271,従業員の給与情報!$F:$F)),0,IF(ISERROR(AVERAGEIF(従業員の給与情報!$B:$B,$A271,従業員の給与情報!$F:$F)),0,AVERAGEIF(従業員の給与情報!$B:$B,$A271,従業員の給与情報!$F:$F)))))</f>
        <v/>
      </c>
      <c r="W271" s="182"/>
      <c r="X271" s="260"/>
    </row>
    <row r="272" spans="1:24">
      <c r="A272" s="368"/>
      <c r="B272" s="361"/>
      <c r="C272" s="362"/>
      <c r="D272" s="361"/>
      <c r="E272" s="361"/>
      <c r="F272" s="372" t="str">
        <f>IF(G272,"この従業員番号は、すでに他のセルで入力されています。",IF(入力シート!$C$5=入力リスト!$N$5,"",IF(AND(A272="",B272="",C272="",D272="",E272=""),"",IF(OR(A272="",B272="",C272="",D272=""),IF(A272="","従業員番号","")&amp;IF(AND(A272="",OR(B272="",C272="",D272="")),",","")&amp;IF(B272="","雇用形態","")&amp;IF(AND(B272="",OR(C272="",D272="")),",","")&amp;IF(OR(入力シート!$J$18=入力リスト!$K$4,入力シート!$J$22=入力リスト!$K$4),IF(C272="","入社年月日",""),"")&amp;IF(AND(C272="",D272=""),",","")&amp;IF(D272="","性別","")&amp;IF(IF(A272="","従業員番号","")&amp;IF(B272="","雇用形態","")&amp;IF(OR(入力シート!$J$18=入力リスト!$K$4,入力シート!$J$22=入力リスト!$K$4),IF(C272="","入社年月日",""),"")&amp;IF(D272="","性別","")="","","が空白です。"),IF(J272,"入社年月日に「基準日」の翌日以降の日付が入力されています。","")&amp;IF(I272,"入社年月日に数値以外（又は1900/1/1以前の日付）が入力されています。","")&amp;IF(H272,"雇用形態"&amp;IF(OR(K272,L272),",",""),"")&amp;IF(K272,"性別"&amp;IF(L272,",",""),"")&amp;IF(L272,"役職","")&amp;IF(OR(H272,K272,L272),"に、［入力シート］(4)「貴社」欄と異なる文言が入力されています。","")))))</f>
        <v/>
      </c>
      <c r="G272" s="236" t="b">
        <f>COUNTIF($A$4:A271,$A272)&gt;0</f>
        <v>0</v>
      </c>
      <c r="H272" s="237" t="b">
        <f>IF(COUNTIF(入力シート!$J$16:$S$23,入力リスト!$K$4)=0,FALSE,IF(入力シート!$J$16=入力リスト!$K$5,FALSE,ISERROR(VLOOKUP(B272,入力シート!$S$37:$V$62,1,0))))</f>
        <v>0</v>
      </c>
      <c r="I272" s="237" t="b">
        <f>IF(AND(OR(入力シート!$J$18=入力リスト!$K$4,入力シート!$J$22=入力リスト!$K$4),入力シート!$J$24&lt;&gt;""),IF(ISERROR(C272+1),TRUE,IF(ISNUMBER(C272),FALSE,TRUE)),FALSE)</f>
        <v>0</v>
      </c>
      <c r="J272" s="237" t="b">
        <f>IF(AND(入力シート!$J$18=入力リスト!$K$4,入力シート!$J$22=入力リスト!$K$4),FALSE,IF(I272=TRUE,FALSE,IF(ISERROR(C272+1),FALSE,C272&gt;入力シート!$J$24)))</f>
        <v>0</v>
      </c>
      <c r="K272" s="237" t="b">
        <f>IF(COUNTIF(入力シート!$J$16:$S$23,入力リスト!$K$4)=0,FALSE,IF(AND(入力シート!$J$16&lt;&gt;入力リスト!$K$5,入力シート!$J$18&lt;&gt;入力リスト!$K$5,入力シート!$J$20&lt;&gt;入力リスト!$K$5,入力シート!$J$22&lt;&gt;入力リスト!$K$5),FALSE,ISERROR(VLOOKUP(D272,入力シート!$AW$37:$AY$38,1,0))))</f>
        <v>0</v>
      </c>
      <c r="L272" s="237" t="b">
        <f>IF(COUNTIF(入力シート!$J$16:$S$23,入力リスト!$K$4)=0,FALSE,IF(入力シート!$J$20=入力リスト!$K$5,FALSE,IF(E272="",FALSE,ISERROR(VLOOKUP(E272,入力シート!$AH$37:$AK$62,1,0)))))</f>
        <v>0</v>
      </c>
      <c r="M272" s="238" t="str">
        <f t="shared" si="4"/>
        <v/>
      </c>
      <c r="N272" s="236" t="str">
        <f>IF(B272="","",VLOOKUP('従業員情報(給与以外)'!$B272,入力シート!$S$37:$Z$62,5,0))</f>
        <v/>
      </c>
      <c r="O272" s="182" t="str">
        <f>IF(ISNUMBER(C272)=FALSE,"",IF(C272&gt;入力シート!$J$24,"",_xlfn.DAYS(入力シート!$J$24,'従業員情報(給与以外)'!$C272)/365))</f>
        <v/>
      </c>
      <c r="P272" s="237" t="str">
        <f>IF(O272="","",VLOOKUP(_xlfn.DAYS(入力シート!$J$24,'従業員情報(給与以外)'!$C272)/365,入力リスト!$H$4:$I$12,2,2))</f>
        <v/>
      </c>
      <c r="Q272" s="236" t="str">
        <f>IF(D272="","",VLOOKUP('従業員情報(給与以外)'!$D272,入力シート!$AW$37:$BB$38,4,0))</f>
        <v/>
      </c>
      <c r="R272" s="236" t="str">
        <f>IF(A272="","",IF(E272="","非役職",VLOOKUP('従業員情報(給与以外)'!$E272,入力シート!$AH$37:$AO$62,5,0)))</f>
        <v/>
      </c>
      <c r="S272" s="116" t="str">
        <f>IF(OR(入力シート!$C$5&lt;&gt;入力リスト!$N$4,COUNTIF(入力シート!$J$16:$S$23,入力リスト!$K$4)=0),"",IF($A272="","",IF(ISERROR(AVERAGEIF(従業員の給与情報!$B:$B,$A272,従業員の給与情報!$C:$C)),0,IF(ISERROR(AVERAGEIF(従業員の給与情報!$B:$B,$A272,従業員の給与情報!$C:$C)),0,AVERAGEIF(従業員の給与情報!$B:$B,$A272,従業員の給与情報!$C:$C)))))</f>
        <v/>
      </c>
      <c r="T272" s="116" t="str">
        <f>IF(OR(入力シート!$C$5&lt;&gt;入力リスト!$N$4,COUNTIF(入力シート!$J$16:$S$23,入力リスト!$K$4)=0),"",IF(A272="","",IF(ISERROR(AVERAGEIF(従業員の給与情報!$B:$B,$A272,従業員の給与情報!$D:$D)),0,IF(ISERROR(AVERAGEIF(従業員の給与情報!$B:$B,$A272,従業員の給与情報!$D:$D)),0,AVERAGEIF(従業員の給与情報!$B:$B,$A272,従業員の給与情報!$D:$D)))))</f>
        <v/>
      </c>
      <c r="U272" s="116" t="str">
        <f>IF(OR(入力シート!$C$5&lt;&gt;入力リスト!$N$4,COUNTIF(入力シート!$J$16:$S$23,入力リスト!$K$4)=0),"",IF(A272="","",IF(ISERROR(AVERAGEIF(従業員の給与情報!$B:$B,$A272,従業員の給与情報!$E:$E)),0,IF(ISERROR(AVERAGEIF(従業員の給与情報!$B:$B,$A272,従業員の給与情報!$E:$E)),0,AVERAGEIF(従業員の給与情報!$B:$B,$A272,従業員の給与情報!$E:$E)))))</f>
        <v/>
      </c>
      <c r="V272" s="117" t="str">
        <f>IF(OR(入力シート!$C$5&lt;&gt;入力リスト!$N$4,COUNTIF(入力シート!$J$16:$S$23,入力リスト!$K$4)=0),"",IF(A272="","",IF(ISERROR(AVERAGEIF(従業員の給与情報!$B:$B,$A272,従業員の給与情報!$F:$F)),0,IF(ISERROR(AVERAGEIF(従業員の給与情報!$B:$B,$A272,従業員の給与情報!$F:$F)),0,AVERAGEIF(従業員の給与情報!$B:$B,$A272,従業員の給与情報!$F:$F)))))</f>
        <v/>
      </c>
      <c r="W272" s="182"/>
      <c r="X272" s="260"/>
    </row>
    <row r="273" spans="1:24">
      <c r="A273" s="368"/>
      <c r="B273" s="361"/>
      <c r="C273" s="362"/>
      <c r="D273" s="361"/>
      <c r="E273" s="361"/>
      <c r="F273" s="372" t="str">
        <f>IF(G273,"この従業員番号は、すでに他のセルで入力されています。",IF(入力シート!$C$5=入力リスト!$N$5,"",IF(AND(A273="",B273="",C273="",D273="",E273=""),"",IF(OR(A273="",B273="",C273="",D273=""),IF(A273="","従業員番号","")&amp;IF(AND(A273="",OR(B273="",C273="",D273="")),",","")&amp;IF(B273="","雇用形態","")&amp;IF(AND(B273="",OR(C273="",D273="")),",","")&amp;IF(OR(入力シート!$J$18=入力リスト!$K$4,入力シート!$J$22=入力リスト!$K$4),IF(C273="","入社年月日",""),"")&amp;IF(AND(C273="",D273=""),",","")&amp;IF(D273="","性別","")&amp;IF(IF(A273="","従業員番号","")&amp;IF(B273="","雇用形態","")&amp;IF(OR(入力シート!$J$18=入力リスト!$K$4,入力シート!$J$22=入力リスト!$K$4),IF(C273="","入社年月日",""),"")&amp;IF(D273="","性別","")="","","が空白です。"),IF(J273,"入社年月日に「基準日」の翌日以降の日付が入力されています。","")&amp;IF(I273,"入社年月日に数値以外（又は1900/1/1以前の日付）が入力されています。","")&amp;IF(H273,"雇用形態"&amp;IF(OR(K273,L273),",",""),"")&amp;IF(K273,"性別"&amp;IF(L273,",",""),"")&amp;IF(L273,"役職","")&amp;IF(OR(H273,K273,L273),"に、［入力シート］(4)「貴社」欄と異なる文言が入力されています。","")))))</f>
        <v/>
      </c>
      <c r="G273" s="236" t="b">
        <f>COUNTIF($A$4:A272,$A273)&gt;0</f>
        <v>0</v>
      </c>
      <c r="H273" s="237" t="b">
        <f>IF(COUNTIF(入力シート!$J$16:$S$23,入力リスト!$K$4)=0,FALSE,IF(入力シート!$J$16=入力リスト!$K$5,FALSE,ISERROR(VLOOKUP(B273,入力シート!$S$37:$V$62,1,0))))</f>
        <v>0</v>
      </c>
      <c r="I273" s="237" t="b">
        <f>IF(AND(OR(入力シート!$J$18=入力リスト!$K$4,入力シート!$J$22=入力リスト!$K$4),入力シート!$J$24&lt;&gt;""),IF(ISERROR(C273+1),TRUE,IF(ISNUMBER(C273),FALSE,TRUE)),FALSE)</f>
        <v>0</v>
      </c>
      <c r="J273" s="237" t="b">
        <f>IF(AND(入力シート!$J$18=入力リスト!$K$4,入力シート!$J$22=入力リスト!$K$4),FALSE,IF(I273=TRUE,FALSE,IF(ISERROR(C273+1),FALSE,C273&gt;入力シート!$J$24)))</f>
        <v>0</v>
      </c>
      <c r="K273" s="237" t="b">
        <f>IF(COUNTIF(入力シート!$J$16:$S$23,入力リスト!$K$4)=0,FALSE,IF(AND(入力シート!$J$16&lt;&gt;入力リスト!$K$5,入力シート!$J$18&lt;&gt;入力リスト!$K$5,入力シート!$J$20&lt;&gt;入力リスト!$K$5,入力シート!$J$22&lt;&gt;入力リスト!$K$5),FALSE,ISERROR(VLOOKUP(D273,入力シート!$AW$37:$AY$38,1,0))))</f>
        <v>0</v>
      </c>
      <c r="L273" s="237" t="b">
        <f>IF(COUNTIF(入力シート!$J$16:$S$23,入力リスト!$K$4)=0,FALSE,IF(入力シート!$J$20=入力リスト!$K$5,FALSE,IF(E273="",FALSE,ISERROR(VLOOKUP(E273,入力シート!$AH$37:$AK$62,1,0)))))</f>
        <v>0</v>
      </c>
      <c r="M273" s="238" t="str">
        <f t="shared" si="4"/>
        <v/>
      </c>
      <c r="N273" s="236" t="str">
        <f>IF(B273="","",VLOOKUP('従業員情報(給与以外)'!$B273,入力シート!$S$37:$Z$62,5,0))</f>
        <v/>
      </c>
      <c r="O273" s="182" t="str">
        <f>IF(ISNUMBER(C273)=FALSE,"",IF(C273&gt;入力シート!$J$24,"",_xlfn.DAYS(入力シート!$J$24,'従業員情報(給与以外)'!$C273)/365))</f>
        <v/>
      </c>
      <c r="P273" s="237" t="str">
        <f>IF(O273="","",VLOOKUP(_xlfn.DAYS(入力シート!$J$24,'従業員情報(給与以外)'!$C273)/365,入力リスト!$H$4:$I$12,2,2))</f>
        <v/>
      </c>
      <c r="Q273" s="236" t="str">
        <f>IF(D273="","",VLOOKUP('従業員情報(給与以外)'!$D273,入力シート!$AW$37:$BB$38,4,0))</f>
        <v/>
      </c>
      <c r="R273" s="236" t="str">
        <f>IF(A273="","",IF(E273="","非役職",VLOOKUP('従業員情報(給与以外)'!$E273,入力シート!$AH$37:$AO$62,5,0)))</f>
        <v/>
      </c>
      <c r="S273" s="116" t="str">
        <f>IF(OR(入力シート!$C$5&lt;&gt;入力リスト!$N$4,COUNTIF(入力シート!$J$16:$S$23,入力リスト!$K$4)=0),"",IF($A273="","",IF(ISERROR(AVERAGEIF(従業員の給与情報!$B:$B,$A273,従業員の給与情報!$C:$C)),0,IF(ISERROR(AVERAGEIF(従業員の給与情報!$B:$B,$A273,従業員の給与情報!$C:$C)),0,AVERAGEIF(従業員の給与情報!$B:$B,$A273,従業員の給与情報!$C:$C)))))</f>
        <v/>
      </c>
      <c r="T273" s="116" t="str">
        <f>IF(OR(入力シート!$C$5&lt;&gt;入力リスト!$N$4,COUNTIF(入力シート!$J$16:$S$23,入力リスト!$K$4)=0),"",IF(A273="","",IF(ISERROR(AVERAGEIF(従業員の給与情報!$B:$B,$A273,従業員の給与情報!$D:$D)),0,IF(ISERROR(AVERAGEIF(従業員の給与情報!$B:$B,$A273,従業員の給与情報!$D:$D)),0,AVERAGEIF(従業員の給与情報!$B:$B,$A273,従業員の給与情報!$D:$D)))))</f>
        <v/>
      </c>
      <c r="U273" s="116" t="str">
        <f>IF(OR(入力シート!$C$5&lt;&gt;入力リスト!$N$4,COUNTIF(入力シート!$J$16:$S$23,入力リスト!$K$4)=0),"",IF(A273="","",IF(ISERROR(AVERAGEIF(従業員の給与情報!$B:$B,$A273,従業員の給与情報!$E:$E)),0,IF(ISERROR(AVERAGEIF(従業員の給与情報!$B:$B,$A273,従業員の給与情報!$E:$E)),0,AVERAGEIF(従業員の給与情報!$B:$B,$A273,従業員の給与情報!$E:$E)))))</f>
        <v/>
      </c>
      <c r="V273" s="117" t="str">
        <f>IF(OR(入力シート!$C$5&lt;&gt;入力リスト!$N$4,COUNTIF(入力シート!$J$16:$S$23,入力リスト!$K$4)=0),"",IF(A273="","",IF(ISERROR(AVERAGEIF(従業員の給与情報!$B:$B,$A273,従業員の給与情報!$F:$F)),0,IF(ISERROR(AVERAGEIF(従業員の給与情報!$B:$B,$A273,従業員の給与情報!$F:$F)),0,AVERAGEIF(従業員の給与情報!$B:$B,$A273,従業員の給与情報!$F:$F)))))</f>
        <v/>
      </c>
      <c r="W273" s="182"/>
      <c r="X273" s="260"/>
    </row>
    <row r="274" spans="1:24">
      <c r="A274" s="368"/>
      <c r="B274" s="361"/>
      <c r="C274" s="362"/>
      <c r="D274" s="361"/>
      <c r="E274" s="361"/>
      <c r="F274" s="372" t="str">
        <f>IF(G274,"この従業員番号は、すでに他のセルで入力されています。",IF(入力シート!$C$5=入力リスト!$N$5,"",IF(AND(A274="",B274="",C274="",D274="",E274=""),"",IF(OR(A274="",B274="",C274="",D274=""),IF(A274="","従業員番号","")&amp;IF(AND(A274="",OR(B274="",C274="",D274="")),",","")&amp;IF(B274="","雇用形態","")&amp;IF(AND(B274="",OR(C274="",D274="")),",","")&amp;IF(OR(入力シート!$J$18=入力リスト!$K$4,入力シート!$J$22=入力リスト!$K$4),IF(C274="","入社年月日",""),"")&amp;IF(AND(C274="",D274=""),",","")&amp;IF(D274="","性別","")&amp;IF(IF(A274="","従業員番号","")&amp;IF(B274="","雇用形態","")&amp;IF(OR(入力シート!$J$18=入力リスト!$K$4,入力シート!$J$22=入力リスト!$K$4),IF(C274="","入社年月日",""),"")&amp;IF(D274="","性別","")="","","が空白です。"),IF(J274,"入社年月日に「基準日」の翌日以降の日付が入力されています。","")&amp;IF(I274,"入社年月日に数値以外（又は1900/1/1以前の日付）が入力されています。","")&amp;IF(H274,"雇用形態"&amp;IF(OR(K274,L274),",",""),"")&amp;IF(K274,"性別"&amp;IF(L274,",",""),"")&amp;IF(L274,"役職","")&amp;IF(OR(H274,K274,L274),"に、［入力シート］(4)「貴社」欄と異なる文言が入力されています。","")))))</f>
        <v/>
      </c>
      <c r="G274" s="236" t="b">
        <f>COUNTIF($A$4:A273,$A274)&gt;0</f>
        <v>0</v>
      </c>
      <c r="H274" s="237" t="b">
        <f>IF(COUNTIF(入力シート!$J$16:$S$23,入力リスト!$K$4)=0,FALSE,IF(入力シート!$J$16=入力リスト!$K$5,FALSE,ISERROR(VLOOKUP(B274,入力シート!$S$37:$V$62,1,0))))</f>
        <v>0</v>
      </c>
      <c r="I274" s="237" t="b">
        <f>IF(AND(OR(入力シート!$J$18=入力リスト!$K$4,入力シート!$J$22=入力リスト!$K$4),入力シート!$J$24&lt;&gt;""),IF(ISERROR(C274+1),TRUE,IF(ISNUMBER(C274),FALSE,TRUE)),FALSE)</f>
        <v>0</v>
      </c>
      <c r="J274" s="237" t="b">
        <f>IF(AND(入力シート!$J$18=入力リスト!$K$4,入力シート!$J$22=入力リスト!$K$4),FALSE,IF(I274=TRUE,FALSE,IF(ISERROR(C274+1),FALSE,C274&gt;入力シート!$J$24)))</f>
        <v>0</v>
      </c>
      <c r="K274" s="237" t="b">
        <f>IF(COUNTIF(入力シート!$J$16:$S$23,入力リスト!$K$4)=0,FALSE,IF(AND(入力シート!$J$16&lt;&gt;入力リスト!$K$5,入力シート!$J$18&lt;&gt;入力リスト!$K$5,入力シート!$J$20&lt;&gt;入力リスト!$K$5,入力シート!$J$22&lt;&gt;入力リスト!$K$5),FALSE,ISERROR(VLOOKUP(D274,入力シート!$AW$37:$AY$38,1,0))))</f>
        <v>0</v>
      </c>
      <c r="L274" s="237" t="b">
        <f>IF(COUNTIF(入力シート!$J$16:$S$23,入力リスト!$K$4)=0,FALSE,IF(入力シート!$J$20=入力リスト!$K$5,FALSE,IF(E274="",FALSE,ISERROR(VLOOKUP(E274,入力シート!$AH$37:$AK$62,1,0)))))</f>
        <v>0</v>
      </c>
      <c r="M274" s="238" t="str">
        <f t="shared" si="4"/>
        <v/>
      </c>
      <c r="N274" s="236" t="str">
        <f>IF(B274="","",VLOOKUP('従業員情報(給与以外)'!$B274,入力シート!$S$37:$Z$62,5,0))</f>
        <v/>
      </c>
      <c r="O274" s="182" t="str">
        <f>IF(ISNUMBER(C274)=FALSE,"",IF(C274&gt;入力シート!$J$24,"",_xlfn.DAYS(入力シート!$J$24,'従業員情報(給与以外)'!$C274)/365))</f>
        <v/>
      </c>
      <c r="P274" s="237" t="str">
        <f>IF(O274="","",VLOOKUP(_xlfn.DAYS(入力シート!$J$24,'従業員情報(給与以外)'!$C274)/365,入力リスト!$H$4:$I$12,2,2))</f>
        <v/>
      </c>
      <c r="Q274" s="236" t="str">
        <f>IF(D274="","",VLOOKUP('従業員情報(給与以外)'!$D274,入力シート!$AW$37:$BB$38,4,0))</f>
        <v/>
      </c>
      <c r="R274" s="236" t="str">
        <f>IF(A274="","",IF(E274="","非役職",VLOOKUP('従業員情報(給与以外)'!$E274,入力シート!$AH$37:$AO$62,5,0)))</f>
        <v/>
      </c>
      <c r="S274" s="116" t="str">
        <f>IF(OR(入力シート!$C$5&lt;&gt;入力リスト!$N$4,COUNTIF(入力シート!$J$16:$S$23,入力リスト!$K$4)=0),"",IF($A274="","",IF(ISERROR(AVERAGEIF(従業員の給与情報!$B:$B,$A274,従業員の給与情報!$C:$C)),0,IF(ISERROR(AVERAGEIF(従業員の給与情報!$B:$B,$A274,従業員の給与情報!$C:$C)),0,AVERAGEIF(従業員の給与情報!$B:$B,$A274,従業員の給与情報!$C:$C)))))</f>
        <v/>
      </c>
      <c r="T274" s="116" t="str">
        <f>IF(OR(入力シート!$C$5&lt;&gt;入力リスト!$N$4,COUNTIF(入力シート!$J$16:$S$23,入力リスト!$K$4)=0),"",IF(A274="","",IF(ISERROR(AVERAGEIF(従業員の給与情報!$B:$B,$A274,従業員の給与情報!$D:$D)),0,IF(ISERROR(AVERAGEIF(従業員の給与情報!$B:$B,$A274,従業員の給与情報!$D:$D)),0,AVERAGEIF(従業員の給与情報!$B:$B,$A274,従業員の給与情報!$D:$D)))))</f>
        <v/>
      </c>
      <c r="U274" s="116" t="str">
        <f>IF(OR(入力シート!$C$5&lt;&gt;入力リスト!$N$4,COUNTIF(入力シート!$J$16:$S$23,入力リスト!$K$4)=0),"",IF(A274="","",IF(ISERROR(AVERAGEIF(従業員の給与情報!$B:$B,$A274,従業員の給与情報!$E:$E)),0,IF(ISERROR(AVERAGEIF(従業員の給与情報!$B:$B,$A274,従業員の給与情報!$E:$E)),0,AVERAGEIF(従業員の給与情報!$B:$B,$A274,従業員の給与情報!$E:$E)))))</f>
        <v/>
      </c>
      <c r="V274" s="117" t="str">
        <f>IF(OR(入力シート!$C$5&lt;&gt;入力リスト!$N$4,COUNTIF(入力シート!$J$16:$S$23,入力リスト!$K$4)=0),"",IF(A274="","",IF(ISERROR(AVERAGEIF(従業員の給与情報!$B:$B,$A274,従業員の給与情報!$F:$F)),0,IF(ISERROR(AVERAGEIF(従業員の給与情報!$B:$B,$A274,従業員の給与情報!$F:$F)),0,AVERAGEIF(従業員の給与情報!$B:$B,$A274,従業員の給与情報!$F:$F)))))</f>
        <v/>
      </c>
      <c r="W274" s="182"/>
      <c r="X274" s="260"/>
    </row>
    <row r="275" spans="1:24">
      <c r="A275" s="368"/>
      <c r="B275" s="361"/>
      <c r="C275" s="362"/>
      <c r="D275" s="361"/>
      <c r="E275" s="361"/>
      <c r="F275" s="372" t="str">
        <f>IF(G275,"この従業員番号は、すでに他のセルで入力されています。",IF(入力シート!$C$5=入力リスト!$N$5,"",IF(AND(A275="",B275="",C275="",D275="",E275=""),"",IF(OR(A275="",B275="",C275="",D275=""),IF(A275="","従業員番号","")&amp;IF(AND(A275="",OR(B275="",C275="",D275="")),",","")&amp;IF(B275="","雇用形態","")&amp;IF(AND(B275="",OR(C275="",D275="")),",","")&amp;IF(OR(入力シート!$J$18=入力リスト!$K$4,入力シート!$J$22=入力リスト!$K$4),IF(C275="","入社年月日",""),"")&amp;IF(AND(C275="",D275=""),",","")&amp;IF(D275="","性別","")&amp;IF(IF(A275="","従業員番号","")&amp;IF(B275="","雇用形態","")&amp;IF(OR(入力シート!$J$18=入力リスト!$K$4,入力シート!$J$22=入力リスト!$K$4),IF(C275="","入社年月日",""),"")&amp;IF(D275="","性別","")="","","が空白です。"),IF(J275,"入社年月日に「基準日」の翌日以降の日付が入力されています。","")&amp;IF(I275,"入社年月日に数値以外（又は1900/1/1以前の日付）が入力されています。","")&amp;IF(H275,"雇用形態"&amp;IF(OR(K275,L275),",",""),"")&amp;IF(K275,"性別"&amp;IF(L275,",",""),"")&amp;IF(L275,"役職","")&amp;IF(OR(H275,K275,L275),"に、［入力シート］(4)「貴社」欄と異なる文言が入力されています。","")))))</f>
        <v/>
      </c>
      <c r="G275" s="236" t="b">
        <f>COUNTIF($A$4:A274,$A275)&gt;0</f>
        <v>0</v>
      </c>
      <c r="H275" s="237" t="b">
        <f>IF(COUNTIF(入力シート!$J$16:$S$23,入力リスト!$K$4)=0,FALSE,IF(入力シート!$J$16=入力リスト!$K$5,FALSE,ISERROR(VLOOKUP(B275,入力シート!$S$37:$V$62,1,0))))</f>
        <v>0</v>
      </c>
      <c r="I275" s="237" t="b">
        <f>IF(AND(OR(入力シート!$J$18=入力リスト!$K$4,入力シート!$J$22=入力リスト!$K$4),入力シート!$J$24&lt;&gt;""),IF(ISERROR(C275+1),TRUE,IF(ISNUMBER(C275),FALSE,TRUE)),FALSE)</f>
        <v>0</v>
      </c>
      <c r="J275" s="237" t="b">
        <f>IF(AND(入力シート!$J$18=入力リスト!$K$4,入力シート!$J$22=入力リスト!$K$4),FALSE,IF(I275=TRUE,FALSE,IF(ISERROR(C275+1),FALSE,C275&gt;入力シート!$J$24)))</f>
        <v>0</v>
      </c>
      <c r="K275" s="237" t="b">
        <f>IF(COUNTIF(入力シート!$J$16:$S$23,入力リスト!$K$4)=0,FALSE,IF(AND(入力シート!$J$16&lt;&gt;入力リスト!$K$5,入力シート!$J$18&lt;&gt;入力リスト!$K$5,入力シート!$J$20&lt;&gt;入力リスト!$K$5,入力シート!$J$22&lt;&gt;入力リスト!$K$5),FALSE,ISERROR(VLOOKUP(D275,入力シート!$AW$37:$AY$38,1,0))))</f>
        <v>0</v>
      </c>
      <c r="L275" s="237" t="b">
        <f>IF(COUNTIF(入力シート!$J$16:$S$23,入力リスト!$K$4)=0,FALSE,IF(入力シート!$J$20=入力リスト!$K$5,FALSE,IF(E275="",FALSE,ISERROR(VLOOKUP(E275,入力シート!$AH$37:$AK$62,1,0)))))</f>
        <v>0</v>
      </c>
      <c r="M275" s="238" t="str">
        <f t="shared" si="4"/>
        <v/>
      </c>
      <c r="N275" s="236" t="str">
        <f>IF(B275="","",VLOOKUP('従業員情報(給与以外)'!$B275,入力シート!$S$37:$Z$62,5,0))</f>
        <v/>
      </c>
      <c r="O275" s="182" t="str">
        <f>IF(ISNUMBER(C275)=FALSE,"",IF(C275&gt;入力シート!$J$24,"",_xlfn.DAYS(入力シート!$J$24,'従業員情報(給与以外)'!$C275)/365))</f>
        <v/>
      </c>
      <c r="P275" s="237" t="str">
        <f>IF(O275="","",VLOOKUP(_xlfn.DAYS(入力シート!$J$24,'従業員情報(給与以外)'!$C275)/365,入力リスト!$H$4:$I$12,2,2))</f>
        <v/>
      </c>
      <c r="Q275" s="236" t="str">
        <f>IF(D275="","",VLOOKUP('従業員情報(給与以外)'!$D275,入力シート!$AW$37:$BB$38,4,0))</f>
        <v/>
      </c>
      <c r="R275" s="236" t="str">
        <f>IF(A275="","",IF(E275="","非役職",VLOOKUP('従業員情報(給与以外)'!$E275,入力シート!$AH$37:$AO$62,5,0)))</f>
        <v/>
      </c>
      <c r="S275" s="116" t="str">
        <f>IF(OR(入力シート!$C$5&lt;&gt;入力リスト!$N$4,COUNTIF(入力シート!$J$16:$S$23,入力リスト!$K$4)=0),"",IF($A275="","",IF(ISERROR(AVERAGEIF(従業員の給与情報!$B:$B,$A275,従業員の給与情報!$C:$C)),0,IF(ISERROR(AVERAGEIF(従業員の給与情報!$B:$B,$A275,従業員の給与情報!$C:$C)),0,AVERAGEIF(従業員の給与情報!$B:$B,$A275,従業員の給与情報!$C:$C)))))</f>
        <v/>
      </c>
      <c r="T275" s="116" t="str">
        <f>IF(OR(入力シート!$C$5&lt;&gt;入力リスト!$N$4,COUNTIF(入力シート!$J$16:$S$23,入力リスト!$K$4)=0),"",IF(A275="","",IF(ISERROR(AVERAGEIF(従業員の給与情報!$B:$B,$A275,従業員の給与情報!$D:$D)),0,IF(ISERROR(AVERAGEIF(従業員の給与情報!$B:$B,$A275,従業員の給与情報!$D:$D)),0,AVERAGEIF(従業員の給与情報!$B:$B,$A275,従業員の給与情報!$D:$D)))))</f>
        <v/>
      </c>
      <c r="U275" s="116" t="str">
        <f>IF(OR(入力シート!$C$5&lt;&gt;入力リスト!$N$4,COUNTIF(入力シート!$J$16:$S$23,入力リスト!$K$4)=0),"",IF(A275="","",IF(ISERROR(AVERAGEIF(従業員の給与情報!$B:$B,$A275,従業員の給与情報!$E:$E)),0,IF(ISERROR(AVERAGEIF(従業員の給与情報!$B:$B,$A275,従業員の給与情報!$E:$E)),0,AVERAGEIF(従業員の給与情報!$B:$B,$A275,従業員の給与情報!$E:$E)))))</f>
        <v/>
      </c>
      <c r="V275" s="117" t="str">
        <f>IF(OR(入力シート!$C$5&lt;&gt;入力リスト!$N$4,COUNTIF(入力シート!$J$16:$S$23,入力リスト!$K$4)=0),"",IF(A275="","",IF(ISERROR(AVERAGEIF(従業員の給与情報!$B:$B,$A275,従業員の給与情報!$F:$F)),0,IF(ISERROR(AVERAGEIF(従業員の給与情報!$B:$B,$A275,従業員の給与情報!$F:$F)),0,AVERAGEIF(従業員の給与情報!$B:$B,$A275,従業員の給与情報!$F:$F)))))</f>
        <v/>
      </c>
      <c r="W275" s="182"/>
      <c r="X275" s="260"/>
    </row>
    <row r="276" spans="1:24">
      <c r="A276" s="368"/>
      <c r="B276" s="361"/>
      <c r="C276" s="362"/>
      <c r="D276" s="361"/>
      <c r="E276" s="361"/>
      <c r="F276" s="372" t="str">
        <f>IF(G276,"この従業員番号は、すでに他のセルで入力されています。",IF(入力シート!$C$5=入力リスト!$N$5,"",IF(AND(A276="",B276="",C276="",D276="",E276=""),"",IF(OR(A276="",B276="",C276="",D276=""),IF(A276="","従業員番号","")&amp;IF(AND(A276="",OR(B276="",C276="",D276="")),",","")&amp;IF(B276="","雇用形態","")&amp;IF(AND(B276="",OR(C276="",D276="")),",","")&amp;IF(OR(入力シート!$J$18=入力リスト!$K$4,入力シート!$J$22=入力リスト!$K$4),IF(C276="","入社年月日",""),"")&amp;IF(AND(C276="",D276=""),",","")&amp;IF(D276="","性別","")&amp;IF(IF(A276="","従業員番号","")&amp;IF(B276="","雇用形態","")&amp;IF(OR(入力シート!$J$18=入力リスト!$K$4,入力シート!$J$22=入力リスト!$K$4),IF(C276="","入社年月日",""),"")&amp;IF(D276="","性別","")="","","が空白です。"),IF(J276,"入社年月日に「基準日」の翌日以降の日付が入力されています。","")&amp;IF(I276,"入社年月日に数値以外（又は1900/1/1以前の日付）が入力されています。","")&amp;IF(H276,"雇用形態"&amp;IF(OR(K276,L276),",",""),"")&amp;IF(K276,"性別"&amp;IF(L276,",",""),"")&amp;IF(L276,"役職","")&amp;IF(OR(H276,K276,L276),"に、［入力シート］(4)「貴社」欄と異なる文言が入力されています。","")))))</f>
        <v/>
      </c>
      <c r="G276" s="236" t="b">
        <f>COUNTIF($A$4:A275,$A276)&gt;0</f>
        <v>0</v>
      </c>
      <c r="H276" s="237" t="b">
        <f>IF(COUNTIF(入力シート!$J$16:$S$23,入力リスト!$K$4)=0,FALSE,IF(入力シート!$J$16=入力リスト!$K$5,FALSE,ISERROR(VLOOKUP(B276,入力シート!$S$37:$V$62,1,0))))</f>
        <v>0</v>
      </c>
      <c r="I276" s="237" t="b">
        <f>IF(AND(OR(入力シート!$J$18=入力リスト!$K$4,入力シート!$J$22=入力リスト!$K$4),入力シート!$J$24&lt;&gt;""),IF(ISERROR(C276+1),TRUE,IF(ISNUMBER(C276),FALSE,TRUE)),FALSE)</f>
        <v>0</v>
      </c>
      <c r="J276" s="237" t="b">
        <f>IF(AND(入力シート!$J$18=入力リスト!$K$4,入力シート!$J$22=入力リスト!$K$4),FALSE,IF(I276=TRUE,FALSE,IF(ISERROR(C276+1),FALSE,C276&gt;入力シート!$J$24)))</f>
        <v>0</v>
      </c>
      <c r="K276" s="237" t="b">
        <f>IF(COUNTIF(入力シート!$J$16:$S$23,入力リスト!$K$4)=0,FALSE,IF(AND(入力シート!$J$16&lt;&gt;入力リスト!$K$5,入力シート!$J$18&lt;&gt;入力リスト!$K$5,入力シート!$J$20&lt;&gt;入力リスト!$K$5,入力シート!$J$22&lt;&gt;入力リスト!$K$5),FALSE,ISERROR(VLOOKUP(D276,入力シート!$AW$37:$AY$38,1,0))))</f>
        <v>0</v>
      </c>
      <c r="L276" s="237" t="b">
        <f>IF(COUNTIF(入力シート!$J$16:$S$23,入力リスト!$K$4)=0,FALSE,IF(入力シート!$J$20=入力リスト!$K$5,FALSE,IF(E276="",FALSE,ISERROR(VLOOKUP(E276,入力シート!$AH$37:$AK$62,1,0)))))</f>
        <v>0</v>
      </c>
      <c r="M276" s="238" t="str">
        <f t="shared" si="4"/>
        <v/>
      </c>
      <c r="N276" s="236" t="str">
        <f>IF(B276="","",VLOOKUP('従業員情報(給与以外)'!$B276,入力シート!$S$37:$Z$62,5,0))</f>
        <v/>
      </c>
      <c r="O276" s="182" t="str">
        <f>IF(ISNUMBER(C276)=FALSE,"",IF(C276&gt;入力シート!$J$24,"",_xlfn.DAYS(入力シート!$J$24,'従業員情報(給与以外)'!$C276)/365))</f>
        <v/>
      </c>
      <c r="P276" s="237" t="str">
        <f>IF(O276="","",VLOOKUP(_xlfn.DAYS(入力シート!$J$24,'従業員情報(給与以外)'!$C276)/365,入力リスト!$H$4:$I$12,2,2))</f>
        <v/>
      </c>
      <c r="Q276" s="236" t="str">
        <f>IF(D276="","",VLOOKUP('従業員情報(給与以外)'!$D276,入力シート!$AW$37:$BB$38,4,0))</f>
        <v/>
      </c>
      <c r="R276" s="236" t="str">
        <f>IF(A276="","",IF(E276="","非役職",VLOOKUP('従業員情報(給与以外)'!$E276,入力シート!$AH$37:$AO$62,5,0)))</f>
        <v/>
      </c>
      <c r="S276" s="116" t="str">
        <f>IF(OR(入力シート!$C$5&lt;&gt;入力リスト!$N$4,COUNTIF(入力シート!$J$16:$S$23,入力リスト!$K$4)=0),"",IF($A276="","",IF(ISERROR(AVERAGEIF(従業員の給与情報!$B:$B,$A276,従業員の給与情報!$C:$C)),0,IF(ISERROR(AVERAGEIF(従業員の給与情報!$B:$B,$A276,従業員の給与情報!$C:$C)),0,AVERAGEIF(従業員の給与情報!$B:$B,$A276,従業員の給与情報!$C:$C)))))</f>
        <v/>
      </c>
      <c r="T276" s="116" t="str">
        <f>IF(OR(入力シート!$C$5&lt;&gt;入力リスト!$N$4,COUNTIF(入力シート!$J$16:$S$23,入力リスト!$K$4)=0),"",IF(A276="","",IF(ISERROR(AVERAGEIF(従業員の給与情報!$B:$B,$A276,従業員の給与情報!$D:$D)),0,IF(ISERROR(AVERAGEIF(従業員の給与情報!$B:$B,$A276,従業員の給与情報!$D:$D)),0,AVERAGEIF(従業員の給与情報!$B:$B,$A276,従業員の給与情報!$D:$D)))))</f>
        <v/>
      </c>
      <c r="U276" s="116" t="str">
        <f>IF(OR(入力シート!$C$5&lt;&gt;入力リスト!$N$4,COUNTIF(入力シート!$J$16:$S$23,入力リスト!$K$4)=0),"",IF(A276="","",IF(ISERROR(AVERAGEIF(従業員の給与情報!$B:$B,$A276,従業員の給与情報!$E:$E)),0,IF(ISERROR(AVERAGEIF(従業員の給与情報!$B:$B,$A276,従業員の給与情報!$E:$E)),0,AVERAGEIF(従業員の給与情報!$B:$B,$A276,従業員の給与情報!$E:$E)))))</f>
        <v/>
      </c>
      <c r="V276" s="117" t="str">
        <f>IF(OR(入力シート!$C$5&lt;&gt;入力リスト!$N$4,COUNTIF(入力シート!$J$16:$S$23,入力リスト!$K$4)=0),"",IF(A276="","",IF(ISERROR(AVERAGEIF(従業員の給与情報!$B:$B,$A276,従業員の給与情報!$F:$F)),0,IF(ISERROR(AVERAGEIF(従業員の給与情報!$B:$B,$A276,従業員の給与情報!$F:$F)),0,AVERAGEIF(従業員の給与情報!$B:$B,$A276,従業員の給与情報!$F:$F)))))</f>
        <v/>
      </c>
      <c r="W276" s="182"/>
      <c r="X276" s="260"/>
    </row>
    <row r="277" spans="1:24">
      <c r="A277" s="368"/>
      <c r="B277" s="361"/>
      <c r="C277" s="362"/>
      <c r="D277" s="361"/>
      <c r="E277" s="361"/>
      <c r="F277" s="372" t="str">
        <f>IF(G277,"この従業員番号は、すでに他のセルで入力されています。",IF(入力シート!$C$5=入力リスト!$N$5,"",IF(AND(A277="",B277="",C277="",D277="",E277=""),"",IF(OR(A277="",B277="",C277="",D277=""),IF(A277="","従業員番号","")&amp;IF(AND(A277="",OR(B277="",C277="",D277="")),",","")&amp;IF(B277="","雇用形態","")&amp;IF(AND(B277="",OR(C277="",D277="")),",","")&amp;IF(OR(入力シート!$J$18=入力リスト!$K$4,入力シート!$J$22=入力リスト!$K$4),IF(C277="","入社年月日",""),"")&amp;IF(AND(C277="",D277=""),",","")&amp;IF(D277="","性別","")&amp;IF(IF(A277="","従業員番号","")&amp;IF(B277="","雇用形態","")&amp;IF(OR(入力シート!$J$18=入力リスト!$K$4,入力シート!$J$22=入力リスト!$K$4),IF(C277="","入社年月日",""),"")&amp;IF(D277="","性別","")="","","が空白です。"),IF(J277,"入社年月日に「基準日」の翌日以降の日付が入力されています。","")&amp;IF(I277,"入社年月日に数値以外（又は1900/1/1以前の日付）が入力されています。","")&amp;IF(H277,"雇用形態"&amp;IF(OR(K277,L277),",",""),"")&amp;IF(K277,"性別"&amp;IF(L277,",",""),"")&amp;IF(L277,"役職","")&amp;IF(OR(H277,K277,L277),"に、［入力シート］(4)「貴社」欄と異なる文言が入力されています。","")))))</f>
        <v/>
      </c>
      <c r="G277" s="236" t="b">
        <f>COUNTIF($A$4:A276,$A277)&gt;0</f>
        <v>0</v>
      </c>
      <c r="H277" s="237" t="b">
        <f>IF(COUNTIF(入力シート!$J$16:$S$23,入力リスト!$K$4)=0,FALSE,IF(入力シート!$J$16=入力リスト!$K$5,FALSE,ISERROR(VLOOKUP(B277,入力シート!$S$37:$V$62,1,0))))</f>
        <v>0</v>
      </c>
      <c r="I277" s="237" t="b">
        <f>IF(AND(OR(入力シート!$J$18=入力リスト!$K$4,入力シート!$J$22=入力リスト!$K$4),入力シート!$J$24&lt;&gt;""),IF(ISERROR(C277+1),TRUE,IF(ISNUMBER(C277),FALSE,TRUE)),FALSE)</f>
        <v>0</v>
      </c>
      <c r="J277" s="237" t="b">
        <f>IF(AND(入力シート!$J$18=入力リスト!$K$4,入力シート!$J$22=入力リスト!$K$4),FALSE,IF(I277=TRUE,FALSE,IF(ISERROR(C277+1),FALSE,C277&gt;入力シート!$J$24)))</f>
        <v>0</v>
      </c>
      <c r="K277" s="237" t="b">
        <f>IF(COUNTIF(入力シート!$J$16:$S$23,入力リスト!$K$4)=0,FALSE,IF(AND(入力シート!$J$16&lt;&gt;入力リスト!$K$5,入力シート!$J$18&lt;&gt;入力リスト!$K$5,入力シート!$J$20&lt;&gt;入力リスト!$K$5,入力シート!$J$22&lt;&gt;入力リスト!$K$5),FALSE,ISERROR(VLOOKUP(D277,入力シート!$AW$37:$AY$38,1,0))))</f>
        <v>0</v>
      </c>
      <c r="L277" s="237" t="b">
        <f>IF(COUNTIF(入力シート!$J$16:$S$23,入力リスト!$K$4)=0,FALSE,IF(入力シート!$J$20=入力リスト!$K$5,FALSE,IF(E277="",FALSE,ISERROR(VLOOKUP(E277,入力シート!$AH$37:$AK$62,1,0)))))</f>
        <v>0</v>
      </c>
      <c r="M277" s="238" t="str">
        <f t="shared" si="4"/>
        <v/>
      </c>
      <c r="N277" s="236" t="str">
        <f>IF(B277="","",VLOOKUP('従業員情報(給与以外)'!$B277,入力シート!$S$37:$Z$62,5,0))</f>
        <v/>
      </c>
      <c r="O277" s="182" t="str">
        <f>IF(ISNUMBER(C277)=FALSE,"",IF(C277&gt;入力シート!$J$24,"",_xlfn.DAYS(入力シート!$J$24,'従業員情報(給与以外)'!$C277)/365))</f>
        <v/>
      </c>
      <c r="P277" s="237" t="str">
        <f>IF(O277="","",VLOOKUP(_xlfn.DAYS(入力シート!$J$24,'従業員情報(給与以外)'!$C277)/365,入力リスト!$H$4:$I$12,2,2))</f>
        <v/>
      </c>
      <c r="Q277" s="236" t="str">
        <f>IF(D277="","",VLOOKUP('従業員情報(給与以外)'!$D277,入力シート!$AW$37:$BB$38,4,0))</f>
        <v/>
      </c>
      <c r="R277" s="236" t="str">
        <f>IF(A277="","",IF(E277="","非役職",VLOOKUP('従業員情報(給与以外)'!$E277,入力シート!$AH$37:$AO$62,5,0)))</f>
        <v/>
      </c>
      <c r="S277" s="116" t="str">
        <f>IF(OR(入力シート!$C$5&lt;&gt;入力リスト!$N$4,COUNTIF(入力シート!$J$16:$S$23,入力リスト!$K$4)=0),"",IF($A277="","",IF(ISERROR(AVERAGEIF(従業員の給与情報!$B:$B,$A277,従業員の給与情報!$C:$C)),0,IF(ISERROR(AVERAGEIF(従業員の給与情報!$B:$B,$A277,従業員の給与情報!$C:$C)),0,AVERAGEIF(従業員の給与情報!$B:$B,$A277,従業員の給与情報!$C:$C)))))</f>
        <v/>
      </c>
      <c r="T277" s="116" t="str">
        <f>IF(OR(入力シート!$C$5&lt;&gt;入力リスト!$N$4,COUNTIF(入力シート!$J$16:$S$23,入力リスト!$K$4)=0),"",IF(A277="","",IF(ISERROR(AVERAGEIF(従業員の給与情報!$B:$B,$A277,従業員の給与情報!$D:$D)),0,IF(ISERROR(AVERAGEIF(従業員の給与情報!$B:$B,$A277,従業員の給与情報!$D:$D)),0,AVERAGEIF(従業員の給与情報!$B:$B,$A277,従業員の給与情報!$D:$D)))))</f>
        <v/>
      </c>
      <c r="U277" s="116" t="str">
        <f>IF(OR(入力シート!$C$5&lt;&gt;入力リスト!$N$4,COUNTIF(入力シート!$J$16:$S$23,入力リスト!$K$4)=0),"",IF(A277="","",IF(ISERROR(AVERAGEIF(従業員の給与情報!$B:$B,$A277,従業員の給与情報!$E:$E)),0,IF(ISERROR(AVERAGEIF(従業員の給与情報!$B:$B,$A277,従業員の給与情報!$E:$E)),0,AVERAGEIF(従業員の給与情報!$B:$B,$A277,従業員の給与情報!$E:$E)))))</f>
        <v/>
      </c>
      <c r="V277" s="117" t="str">
        <f>IF(OR(入力シート!$C$5&lt;&gt;入力リスト!$N$4,COUNTIF(入力シート!$J$16:$S$23,入力リスト!$K$4)=0),"",IF(A277="","",IF(ISERROR(AVERAGEIF(従業員の給与情報!$B:$B,$A277,従業員の給与情報!$F:$F)),0,IF(ISERROR(AVERAGEIF(従業員の給与情報!$B:$B,$A277,従業員の給与情報!$F:$F)),0,AVERAGEIF(従業員の給与情報!$B:$B,$A277,従業員の給与情報!$F:$F)))))</f>
        <v/>
      </c>
      <c r="W277" s="182"/>
      <c r="X277" s="260"/>
    </row>
    <row r="278" spans="1:24">
      <c r="A278" s="368"/>
      <c r="B278" s="361"/>
      <c r="C278" s="362"/>
      <c r="D278" s="361"/>
      <c r="E278" s="361"/>
      <c r="F278" s="372" t="str">
        <f>IF(G278,"この従業員番号は、すでに他のセルで入力されています。",IF(入力シート!$C$5=入力リスト!$N$5,"",IF(AND(A278="",B278="",C278="",D278="",E278=""),"",IF(OR(A278="",B278="",C278="",D278=""),IF(A278="","従業員番号","")&amp;IF(AND(A278="",OR(B278="",C278="",D278="")),",","")&amp;IF(B278="","雇用形態","")&amp;IF(AND(B278="",OR(C278="",D278="")),",","")&amp;IF(OR(入力シート!$J$18=入力リスト!$K$4,入力シート!$J$22=入力リスト!$K$4),IF(C278="","入社年月日",""),"")&amp;IF(AND(C278="",D278=""),",","")&amp;IF(D278="","性別","")&amp;IF(IF(A278="","従業員番号","")&amp;IF(B278="","雇用形態","")&amp;IF(OR(入力シート!$J$18=入力リスト!$K$4,入力シート!$J$22=入力リスト!$K$4),IF(C278="","入社年月日",""),"")&amp;IF(D278="","性別","")="","","が空白です。"),IF(J278,"入社年月日に「基準日」の翌日以降の日付が入力されています。","")&amp;IF(I278,"入社年月日に数値以外（又は1900/1/1以前の日付）が入力されています。","")&amp;IF(H278,"雇用形態"&amp;IF(OR(K278,L278),",",""),"")&amp;IF(K278,"性別"&amp;IF(L278,",",""),"")&amp;IF(L278,"役職","")&amp;IF(OR(H278,K278,L278),"に、［入力シート］(4)「貴社」欄と異なる文言が入力されています。","")))))</f>
        <v/>
      </c>
      <c r="G278" s="236" t="b">
        <f>COUNTIF($A$4:A277,$A278)&gt;0</f>
        <v>0</v>
      </c>
      <c r="H278" s="237" t="b">
        <f>IF(COUNTIF(入力シート!$J$16:$S$23,入力リスト!$K$4)=0,FALSE,IF(入力シート!$J$16=入力リスト!$K$5,FALSE,ISERROR(VLOOKUP(B278,入力シート!$S$37:$V$62,1,0))))</f>
        <v>0</v>
      </c>
      <c r="I278" s="237" t="b">
        <f>IF(AND(OR(入力シート!$J$18=入力リスト!$K$4,入力シート!$J$22=入力リスト!$K$4),入力シート!$J$24&lt;&gt;""),IF(ISERROR(C278+1),TRUE,IF(ISNUMBER(C278),FALSE,TRUE)),FALSE)</f>
        <v>0</v>
      </c>
      <c r="J278" s="237" t="b">
        <f>IF(AND(入力シート!$J$18=入力リスト!$K$4,入力シート!$J$22=入力リスト!$K$4),FALSE,IF(I278=TRUE,FALSE,IF(ISERROR(C278+1),FALSE,C278&gt;入力シート!$J$24)))</f>
        <v>0</v>
      </c>
      <c r="K278" s="237" t="b">
        <f>IF(COUNTIF(入力シート!$J$16:$S$23,入力リスト!$K$4)=0,FALSE,IF(AND(入力シート!$J$16&lt;&gt;入力リスト!$K$5,入力シート!$J$18&lt;&gt;入力リスト!$K$5,入力シート!$J$20&lt;&gt;入力リスト!$K$5,入力シート!$J$22&lt;&gt;入力リスト!$K$5),FALSE,ISERROR(VLOOKUP(D278,入力シート!$AW$37:$AY$38,1,0))))</f>
        <v>0</v>
      </c>
      <c r="L278" s="237" t="b">
        <f>IF(COUNTIF(入力シート!$J$16:$S$23,入力リスト!$K$4)=0,FALSE,IF(入力シート!$J$20=入力リスト!$K$5,FALSE,IF(E278="",FALSE,ISERROR(VLOOKUP(E278,入力シート!$AH$37:$AK$62,1,0)))))</f>
        <v>0</v>
      </c>
      <c r="M278" s="238" t="str">
        <f t="shared" si="4"/>
        <v/>
      </c>
      <c r="N278" s="236" t="str">
        <f>IF(B278="","",VLOOKUP('従業員情報(給与以外)'!$B278,入力シート!$S$37:$Z$62,5,0))</f>
        <v/>
      </c>
      <c r="O278" s="182" t="str">
        <f>IF(ISNUMBER(C278)=FALSE,"",IF(C278&gt;入力シート!$J$24,"",_xlfn.DAYS(入力シート!$J$24,'従業員情報(給与以外)'!$C278)/365))</f>
        <v/>
      </c>
      <c r="P278" s="237" t="str">
        <f>IF(O278="","",VLOOKUP(_xlfn.DAYS(入力シート!$J$24,'従業員情報(給与以外)'!$C278)/365,入力リスト!$H$4:$I$12,2,2))</f>
        <v/>
      </c>
      <c r="Q278" s="236" t="str">
        <f>IF(D278="","",VLOOKUP('従業員情報(給与以外)'!$D278,入力シート!$AW$37:$BB$38,4,0))</f>
        <v/>
      </c>
      <c r="R278" s="236" t="str">
        <f>IF(A278="","",IF(E278="","非役職",VLOOKUP('従業員情報(給与以外)'!$E278,入力シート!$AH$37:$AO$62,5,0)))</f>
        <v/>
      </c>
      <c r="S278" s="116" t="str">
        <f>IF(OR(入力シート!$C$5&lt;&gt;入力リスト!$N$4,COUNTIF(入力シート!$J$16:$S$23,入力リスト!$K$4)=0),"",IF($A278="","",IF(ISERROR(AVERAGEIF(従業員の給与情報!$B:$B,$A278,従業員の給与情報!$C:$C)),0,IF(ISERROR(AVERAGEIF(従業員の給与情報!$B:$B,$A278,従業員の給与情報!$C:$C)),0,AVERAGEIF(従業員の給与情報!$B:$B,$A278,従業員の給与情報!$C:$C)))))</f>
        <v/>
      </c>
      <c r="T278" s="116" t="str">
        <f>IF(OR(入力シート!$C$5&lt;&gt;入力リスト!$N$4,COUNTIF(入力シート!$J$16:$S$23,入力リスト!$K$4)=0),"",IF(A278="","",IF(ISERROR(AVERAGEIF(従業員の給与情報!$B:$B,$A278,従業員の給与情報!$D:$D)),0,IF(ISERROR(AVERAGEIF(従業員の給与情報!$B:$B,$A278,従業員の給与情報!$D:$D)),0,AVERAGEIF(従業員の給与情報!$B:$B,$A278,従業員の給与情報!$D:$D)))))</f>
        <v/>
      </c>
      <c r="U278" s="116" t="str">
        <f>IF(OR(入力シート!$C$5&lt;&gt;入力リスト!$N$4,COUNTIF(入力シート!$J$16:$S$23,入力リスト!$K$4)=0),"",IF(A278="","",IF(ISERROR(AVERAGEIF(従業員の給与情報!$B:$B,$A278,従業員の給与情報!$E:$E)),0,IF(ISERROR(AVERAGEIF(従業員の給与情報!$B:$B,$A278,従業員の給与情報!$E:$E)),0,AVERAGEIF(従業員の給与情報!$B:$B,$A278,従業員の給与情報!$E:$E)))))</f>
        <v/>
      </c>
      <c r="V278" s="117" t="str">
        <f>IF(OR(入力シート!$C$5&lt;&gt;入力リスト!$N$4,COUNTIF(入力シート!$J$16:$S$23,入力リスト!$K$4)=0),"",IF(A278="","",IF(ISERROR(AVERAGEIF(従業員の給与情報!$B:$B,$A278,従業員の給与情報!$F:$F)),0,IF(ISERROR(AVERAGEIF(従業員の給与情報!$B:$B,$A278,従業員の給与情報!$F:$F)),0,AVERAGEIF(従業員の給与情報!$B:$B,$A278,従業員の給与情報!$F:$F)))))</f>
        <v/>
      </c>
      <c r="W278" s="182"/>
      <c r="X278" s="260"/>
    </row>
    <row r="279" spans="1:24">
      <c r="A279" s="368"/>
      <c r="B279" s="361"/>
      <c r="C279" s="362"/>
      <c r="D279" s="361"/>
      <c r="E279" s="361"/>
      <c r="F279" s="372" t="str">
        <f>IF(G279,"この従業員番号は、すでに他のセルで入力されています。",IF(入力シート!$C$5=入力リスト!$N$5,"",IF(AND(A279="",B279="",C279="",D279="",E279=""),"",IF(OR(A279="",B279="",C279="",D279=""),IF(A279="","従業員番号","")&amp;IF(AND(A279="",OR(B279="",C279="",D279="")),",","")&amp;IF(B279="","雇用形態","")&amp;IF(AND(B279="",OR(C279="",D279="")),",","")&amp;IF(OR(入力シート!$J$18=入力リスト!$K$4,入力シート!$J$22=入力リスト!$K$4),IF(C279="","入社年月日",""),"")&amp;IF(AND(C279="",D279=""),",","")&amp;IF(D279="","性別","")&amp;IF(IF(A279="","従業員番号","")&amp;IF(B279="","雇用形態","")&amp;IF(OR(入力シート!$J$18=入力リスト!$K$4,入力シート!$J$22=入力リスト!$K$4),IF(C279="","入社年月日",""),"")&amp;IF(D279="","性別","")="","","が空白です。"),IF(J279,"入社年月日に「基準日」の翌日以降の日付が入力されています。","")&amp;IF(I279,"入社年月日に数値以外（又は1900/1/1以前の日付）が入力されています。","")&amp;IF(H279,"雇用形態"&amp;IF(OR(K279,L279),",",""),"")&amp;IF(K279,"性別"&amp;IF(L279,",",""),"")&amp;IF(L279,"役職","")&amp;IF(OR(H279,K279,L279),"に、［入力シート］(4)「貴社」欄と異なる文言が入力されています。","")))))</f>
        <v/>
      </c>
      <c r="G279" s="236" t="b">
        <f>COUNTIF($A$4:A278,$A279)&gt;0</f>
        <v>0</v>
      </c>
      <c r="H279" s="237" t="b">
        <f>IF(COUNTIF(入力シート!$J$16:$S$23,入力リスト!$K$4)=0,FALSE,IF(入力シート!$J$16=入力リスト!$K$5,FALSE,ISERROR(VLOOKUP(B279,入力シート!$S$37:$V$62,1,0))))</f>
        <v>0</v>
      </c>
      <c r="I279" s="237" t="b">
        <f>IF(AND(OR(入力シート!$J$18=入力リスト!$K$4,入力シート!$J$22=入力リスト!$K$4),入力シート!$J$24&lt;&gt;""),IF(ISERROR(C279+1),TRUE,IF(ISNUMBER(C279),FALSE,TRUE)),FALSE)</f>
        <v>0</v>
      </c>
      <c r="J279" s="237" t="b">
        <f>IF(AND(入力シート!$J$18=入力リスト!$K$4,入力シート!$J$22=入力リスト!$K$4),FALSE,IF(I279=TRUE,FALSE,IF(ISERROR(C279+1),FALSE,C279&gt;入力シート!$J$24)))</f>
        <v>0</v>
      </c>
      <c r="K279" s="237" t="b">
        <f>IF(COUNTIF(入力シート!$J$16:$S$23,入力リスト!$K$4)=0,FALSE,IF(AND(入力シート!$J$16&lt;&gt;入力リスト!$K$5,入力シート!$J$18&lt;&gt;入力リスト!$K$5,入力シート!$J$20&lt;&gt;入力リスト!$K$5,入力シート!$J$22&lt;&gt;入力リスト!$K$5),FALSE,ISERROR(VLOOKUP(D279,入力シート!$AW$37:$AY$38,1,0))))</f>
        <v>0</v>
      </c>
      <c r="L279" s="237" t="b">
        <f>IF(COUNTIF(入力シート!$J$16:$S$23,入力リスト!$K$4)=0,FALSE,IF(入力シート!$J$20=入力リスト!$K$5,FALSE,IF(E279="",FALSE,ISERROR(VLOOKUP(E279,入力シート!$AH$37:$AK$62,1,0)))))</f>
        <v>0</v>
      </c>
      <c r="M279" s="238" t="str">
        <f t="shared" si="4"/>
        <v/>
      </c>
      <c r="N279" s="236" t="str">
        <f>IF(B279="","",VLOOKUP('従業員情報(給与以外)'!$B279,入力シート!$S$37:$Z$62,5,0))</f>
        <v/>
      </c>
      <c r="O279" s="182" t="str">
        <f>IF(ISNUMBER(C279)=FALSE,"",IF(C279&gt;入力シート!$J$24,"",_xlfn.DAYS(入力シート!$J$24,'従業員情報(給与以外)'!$C279)/365))</f>
        <v/>
      </c>
      <c r="P279" s="237" t="str">
        <f>IF(O279="","",VLOOKUP(_xlfn.DAYS(入力シート!$J$24,'従業員情報(給与以外)'!$C279)/365,入力リスト!$H$4:$I$12,2,2))</f>
        <v/>
      </c>
      <c r="Q279" s="236" t="str">
        <f>IF(D279="","",VLOOKUP('従業員情報(給与以外)'!$D279,入力シート!$AW$37:$BB$38,4,0))</f>
        <v/>
      </c>
      <c r="R279" s="236" t="str">
        <f>IF(A279="","",IF(E279="","非役職",VLOOKUP('従業員情報(給与以外)'!$E279,入力シート!$AH$37:$AO$62,5,0)))</f>
        <v/>
      </c>
      <c r="S279" s="116" t="str">
        <f>IF(OR(入力シート!$C$5&lt;&gt;入力リスト!$N$4,COUNTIF(入力シート!$J$16:$S$23,入力リスト!$K$4)=0),"",IF($A279="","",IF(ISERROR(AVERAGEIF(従業員の給与情報!$B:$B,$A279,従業員の給与情報!$C:$C)),0,IF(ISERROR(AVERAGEIF(従業員の給与情報!$B:$B,$A279,従業員の給与情報!$C:$C)),0,AVERAGEIF(従業員の給与情報!$B:$B,$A279,従業員の給与情報!$C:$C)))))</f>
        <v/>
      </c>
      <c r="T279" s="116" t="str">
        <f>IF(OR(入力シート!$C$5&lt;&gt;入力リスト!$N$4,COUNTIF(入力シート!$J$16:$S$23,入力リスト!$K$4)=0),"",IF(A279="","",IF(ISERROR(AVERAGEIF(従業員の給与情報!$B:$B,$A279,従業員の給与情報!$D:$D)),0,IF(ISERROR(AVERAGEIF(従業員の給与情報!$B:$B,$A279,従業員の給与情報!$D:$D)),0,AVERAGEIF(従業員の給与情報!$B:$B,$A279,従業員の給与情報!$D:$D)))))</f>
        <v/>
      </c>
      <c r="U279" s="116" t="str">
        <f>IF(OR(入力シート!$C$5&lt;&gt;入力リスト!$N$4,COUNTIF(入力シート!$J$16:$S$23,入力リスト!$K$4)=0),"",IF(A279="","",IF(ISERROR(AVERAGEIF(従業員の給与情報!$B:$B,$A279,従業員の給与情報!$E:$E)),0,IF(ISERROR(AVERAGEIF(従業員の給与情報!$B:$B,$A279,従業員の給与情報!$E:$E)),0,AVERAGEIF(従業員の給与情報!$B:$B,$A279,従業員の給与情報!$E:$E)))))</f>
        <v/>
      </c>
      <c r="V279" s="117" t="str">
        <f>IF(OR(入力シート!$C$5&lt;&gt;入力リスト!$N$4,COUNTIF(入力シート!$J$16:$S$23,入力リスト!$K$4)=0),"",IF(A279="","",IF(ISERROR(AVERAGEIF(従業員の給与情報!$B:$B,$A279,従業員の給与情報!$F:$F)),0,IF(ISERROR(AVERAGEIF(従業員の給与情報!$B:$B,$A279,従業員の給与情報!$F:$F)),0,AVERAGEIF(従業員の給与情報!$B:$B,$A279,従業員の給与情報!$F:$F)))))</f>
        <v/>
      </c>
      <c r="W279" s="182"/>
      <c r="X279" s="260"/>
    </row>
    <row r="280" spans="1:24">
      <c r="A280" s="368"/>
      <c r="B280" s="361"/>
      <c r="C280" s="362"/>
      <c r="D280" s="361"/>
      <c r="E280" s="361"/>
      <c r="F280" s="372" t="str">
        <f>IF(G280,"この従業員番号は、すでに他のセルで入力されています。",IF(入力シート!$C$5=入力リスト!$N$5,"",IF(AND(A280="",B280="",C280="",D280="",E280=""),"",IF(OR(A280="",B280="",C280="",D280=""),IF(A280="","従業員番号","")&amp;IF(AND(A280="",OR(B280="",C280="",D280="")),",","")&amp;IF(B280="","雇用形態","")&amp;IF(AND(B280="",OR(C280="",D280="")),",","")&amp;IF(OR(入力シート!$J$18=入力リスト!$K$4,入力シート!$J$22=入力リスト!$K$4),IF(C280="","入社年月日",""),"")&amp;IF(AND(C280="",D280=""),",","")&amp;IF(D280="","性別","")&amp;IF(IF(A280="","従業員番号","")&amp;IF(B280="","雇用形態","")&amp;IF(OR(入力シート!$J$18=入力リスト!$K$4,入力シート!$J$22=入力リスト!$K$4),IF(C280="","入社年月日",""),"")&amp;IF(D280="","性別","")="","","が空白です。"),IF(J280,"入社年月日に「基準日」の翌日以降の日付が入力されています。","")&amp;IF(I280,"入社年月日に数値以外（又は1900/1/1以前の日付）が入力されています。","")&amp;IF(H280,"雇用形態"&amp;IF(OR(K280,L280),",",""),"")&amp;IF(K280,"性別"&amp;IF(L280,",",""),"")&amp;IF(L280,"役職","")&amp;IF(OR(H280,K280,L280),"に、［入力シート］(4)「貴社」欄と異なる文言が入力されています。","")))))</f>
        <v/>
      </c>
      <c r="G280" s="236" t="b">
        <f>COUNTIF($A$4:A279,$A280)&gt;0</f>
        <v>0</v>
      </c>
      <c r="H280" s="237" t="b">
        <f>IF(COUNTIF(入力シート!$J$16:$S$23,入力リスト!$K$4)=0,FALSE,IF(入力シート!$J$16=入力リスト!$K$5,FALSE,ISERROR(VLOOKUP(B280,入力シート!$S$37:$V$62,1,0))))</f>
        <v>0</v>
      </c>
      <c r="I280" s="237" t="b">
        <f>IF(AND(OR(入力シート!$J$18=入力リスト!$K$4,入力シート!$J$22=入力リスト!$K$4),入力シート!$J$24&lt;&gt;""),IF(ISERROR(C280+1),TRUE,IF(ISNUMBER(C280),FALSE,TRUE)),FALSE)</f>
        <v>0</v>
      </c>
      <c r="J280" s="237" t="b">
        <f>IF(AND(入力シート!$J$18=入力リスト!$K$4,入力シート!$J$22=入力リスト!$K$4),FALSE,IF(I280=TRUE,FALSE,IF(ISERROR(C280+1),FALSE,C280&gt;入力シート!$J$24)))</f>
        <v>0</v>
      </c>
      <c r="K280" s="237" t="b">
        <f>IF(COUNTIF(入力シート!$J$16:$S$23,入力リスト!$K$4)=0,FALSE,IF(AND(入力シート!$J$16&lt;&gt;入力リスト!$K$5,入力シート!$J$18&lt;&gt;入力リスト!$K$5,入力シート!$J$20&lt;&gt;入力リスト!$K$5,入力シート!$J$22&lt;&gt;入力リスト!$K$5),FALSE,ISERROR(VLOOKUP(D280,入力シート!$AW$37:$AY$38,1,0))))</f>
        <v>0</v>
      </c>
      <c r="L280" s="237" t="b">
        <f>IF(COUNTIF(入力シート!$J$16:$S$23,入力リスト!$K$4)=0,FALSE,IF(入力シート!$J$20=入力リスト!$K$5,FALSE,IF(E280="",FALSE,ISERROR(VLOOKUP(E280,入力シート!$AH$37:$AK$62,1,0)))))</f>
        <v>0</v>
      </c>
      <c r="M280" s="238" t="str">
        <f t="shared" si="4"/>
        <v/>
      </c>
      <c r="N280" s="236" t="str">
        <f>IF(B280="","",VLOOKUP('従業員情報(給与以外)'!$B280,入力シート!$S$37:$Z$62,5,0))</f>
        <v/>
      </c>
      <c r="O280" s="182" t="str">
        <f>IF(ISNUMBER(C280)=FALSE,"",IF(C280&gt;入力シート!$J$24,"",_xlfn.DAYS(入力シート!$J$24,'従業員情報(給与以外)'!$C280)/365))</f>
        <v/>
      </c>
      <c r="P280" s="237" t="str">
        <f>IF(O280="","",VLOOKUP(_xlfn.DAYS(入力シート!$J$24,'従業員情報(給与以外)'!$C280)/365,入力リスト!$H$4:$I$12,2,2))</f>
        <v/>
      </c>
      <c r="Q280" s="236" t="str">
        <f>IF(D280="","",VLOOKUP('従業員情報(給与以外)'!$D280,入力シート!$AW$37:$BB$38,4,0))</f>
        <v/>
      </c>
      <c r="R280" s="236" t="str">
        <f>IF(A280="","",IF(E280="","非役職",VLOOKUP('従業員情報(給与以外)'!$E280,入力シート!$AH$37:$AO$62,5,0)))</f>
        <v/>
      </c>
      <c r="S280" s="116" t="str">
        <f>IF(OR(入力シート!$C$5&lt;&gt;入力リスト!$N$4,COUNTIF(入力シート!$J$16:$S$23,入力リスト!$K$4)=0),"",IF($A280="","",IF(ISERROR(AVERAGEIF(従業員の給与情報!$B:$B,$A280,従業員の給与情報!$C:$C)),0,IF(ISERROR(AVERAGEIF(従業員の給与情報!$B:$B,$A280,従業員の給与情報!$C:$C)),0,AVERAGEIF(従業員の給与情報!$B:$B,$A280,従業員の給与情報!$C:$C)))))</f>
        <v/>
      </c>
      <c r="T280" s="116" t="str">
        <f>IF(OR(入力シート!$C$5&lt;&gt;入力リスト!$N$4,COUNTIF(入力シート!$J$16:$S$23,入力リスト!$K$4)=0),"",IF(A280="","",IF(ISERROR(AVERAGEIF(従業員の給与情報!$B:$B,$A280,従業員の給与情報!$D:$D)),0,IF(ISERROR(AVERAGEIF(従業員の給与情報!$B:$B,$A280,従業員の給与情報!$D:$D)),0,AVERAGEIF(従業員の給与情報!$B:$B,$A280,従業員の給与情報!$D:$D)))))</f>
        <v/>
      </c>
      <c r="U280" s="116" t="str">
        <f>IF(OR(入力シート!$C$5&lt;&gt;入力リスト!$N$4,COUNTIF(入力シート!$J$16:$S$23,入力リスト!$K$4)=0),"",IF(A280="","",IF(ISERROR(AVERAGEIF(従業員の給与情報!$B:$B,$A280,従業員の給与情報!$E:$E)),0,IF(ISERROR(AVERAGEIF(従業員の給与情報!$B:$B,$A280,従業員の給与情報!$E:$E)),0,AVERAGEIF(従業員の給与情報!$B:$B,$A280,従業員の給与情報!$E:$E)))))</f>
        <v/>
      </c>
      <c r="V280" s="117" t="str">
        <f>IF(OR(入力シート!$C$5&lt;&gt;入力リスト!$N$4,COUNTIF(入力シート!$J$16:$S$23,入力リスト!$K$4)=0),"",IF(A280="","",IF(ISERROR(AVERAGEIF(従業員の給与情報!$B:$B,$A280,従業員の給与情報!$F:$F)),0,IF(ISERROR(AVERAGEIF(従業員の給与情報!$B:$B,$A280,従業員の給与情報!$F:$F)),0,AVERAGEIF(従業員の給与情報!$B:$B,$A280,従業員の給与情報!$F:$F)))))</f>
        <v/>
      </c>
      <c r="W280" s="182"/>
      <c r="X280" s="260"/>
    </row>
    <row r="281" spans="1:24">
      <c r="A281" s="368"/>
      <c r="B281" s="361"/>
      <c r="C281" s="362"/>
      <c r="D281" s="361"/>
      <c r="E281" s="361"/>
      <c r="F281" s="372" t="str">
        <f>IF(G281,"この従業員番号は、すでに他のセルで入力されています。",IF(入力シート!$C$5=入力リスト!$N$5,"",IF(AND(A281="",B281="",C281="",D281="",E281=""),"",IF(OR(A281="",B281="",C281="",D281=""),IF(A281="","従業員番号","")&amp;IF(AND(A281="",OR(B281="",C281="",D281="")),",","")&amp;IF(B281="","雇用形態","")&amp;IF(AND(B281="",OR(C281="",D281="")),",","")&amp;IF(OR(入力シート!$J$18=入力リスト!$K$4,入力シート!$J$22=入力リスト!$K$4),IF(C281="","入社年月日",""),"")&amp;IF(AND(C281="",D281=""),",","")&amp;IF(D281="","性別","")&amp;IF(IF(A281="","従業員番号","")&amp;IF(B281="","雇用形態","")&amp;IF(OR(入力シート!$J$18=入力リスト!$K$4,入力シート!$J$22=入力リスト!$K$4),IF(C281="","入社年月日",""),"")&amp;IF(D281="","性別","")="","","が空白です。"),IF(J281,"入社年月日に「基準日」の翌日以降の日付が入力されています。","")&amp;IF(I281,"入社年月日に数値以外（又は1900/1/1以前の日付）が入力されています。","")&amp;IF(H281,"雇用形態"&amp;IF(OR(K281,L281),",",""),"")&amp;IF(K281,"性別"&amp;IF(L281,",",""),"")&amp;IF(L281,"役職","")&amp;IF(OR(H281,K281,L281),"に、［入力シート］(4)「貴社」欄と異なる文言が入力されています。","")))))</f>
        <v/>
      </c>
      <c r="G281" s="236" t="b">
        <f>COUNTIF($A$4:A280,$A281)&gt;0</f>
        <v>0</v>
      </c>
      <c r="H281" s="237" t="b">
        <f>IF(COUNTIF(入力シート!$J$16:$S$23,入力リスト!$K$4)=0,FALSE,IF(入力シート!$J$16=入力リスト!$K$5,FALSE,ISERROR(VLOOKUP(B281,入力シート!$S$37:$V$62,1,0))))</f>
        <v>0</v>
      </c>
      <c r="I281" s="237" t="b">
        <f>IF(AND(OR(入力シート!$J$18=入力リスト!$K$4,入力シート!$J$22=入力リスト!$K$4),入力シート!$J$24&lt;&gt;""),IF(ISERROR(C281+1),TRUE,IF(ISNUMBER(C281),FALSE,TRUE)),FALSE)</f>
        <v>0</v>
      </c>
      <c r="J281" s="237" t="b">
        <f>IF(AND(入力シート!$J$18=入力リスト!$K$4,入力シート!$J$22=入力リスト!$K$4),FALSE,IF(I281=TRUE,FALSE,IF(ISERROR(C281+1),FALSE,C281&gt;入力シート!$J$24)))</f>
        <v>0</v>
      </c>
      <c r="K281" s="237" t="b">
        <f>IF(COUNTIF(入力シート!$J$16:$S$23,入力リスト!$K$4)=0,FALSE,IF(AND(入力シート!$J$16&lt;&gt;入力リスト!$K$5,入力シート!$J$18&lt;&gt;入力リスト!$K$5,入力シート!$J$20&lt;&gt;入力リスト!$K$5,入力シート!$J$22&lt;&gt;入力リスト!$K$5),FALSE,ISERROR(VLOOKUP(D281,入力シート!$AW$37:$AY$38,1,0))))</f>
        <v>0</v>
      </c>
      <c r="L281" s="237" t="b">
        <f>IF(COUNTIF(入力シート!$J$16:$S$23,入力リスト!$K$4)=0,FALSE,IF(入力シート!$J$20=入力リスト!$K$5,FALSE,IF(E281="",FALSE,ISERROR(VLOOKUP(E281,入力シート!$AH$37:$AK$62,1,0)))))</f>
        <v>0</v>
      </c>
      <c r="M281" s="238" t="str">
        <f t="shared" si="4"/>
        <v/>
      </c>
      <c r="N281" s="236" t="str">
        <f>IF(B281="","",VLOOKUP('従業員情報(給与以外)'!$B281,入力シート!$S$37:$Z$62,5,0))</f>
        <v/>
      </c>
      <c r="O281" s="182" t="str">
        <f>IF(ISNUMBER(C281)=FALSE,"",IF(C281&gt;入力シート!$J$24,"",_xlfn.DAYS(入力シート!$J$24,'従業員情報(給与以外)'!$C281)/365))</f>
        <v/>
      </c>
      <c r="P281" s="237" t="str">
        <f>IF(O281="","",VLOOKUP(_xlfn.DAYS(入力シート!$J$24,'従業員情報(給与以外)'!$C281)/365,入力リスト!$H$4:$I$12,2,2))</f>
        <v/>
      </c>
      <c r="Q281" s="236" t="str">
        <f>IF(D281="","",VLOOKUP('従業員情報(給与以外)'!$D281,入力シート!$AW$37:$BB$38,4,0))</f>
        <v/>
      </c>
      <c r="R281" s="236" t="str">
        <f>IF(A281="","",IF(E281="","非役職",VLOOKUP('従業員情報(給与以外)'!$E281,入力シート!$AH$37:$AO$62,5,0)))</f>
        <v/>
      </c>
      <c r="S281" s="116" t="str">
        <f>IF(OR(入力シート!$C$5&lt;&gt;入力リスト!$N$4,COUNTIF(入力シート!$J$16:$S$23,入力リスト!$K$4)=0),"",IF($A281="","",IF(ISERROR(AVERAGEIF(従業員の給与情報!$B:$B,$A281,従業員の給与情報!$C:$C)),0,IF(ISERROR(AVERAGEIF(従業員の給与情報!$B:$B,$A281,従業員の給与情報!$C:$C)),0,AVERAGEIF(従業員の給与情報!$B:$B,$A281,従業員の給与情報!$C:$C)))))</f>
        <v/>
      </c>
      <c r="T281" s="116" t="str">
        <f>IF(OR(入力シート!$C$5&lt;&gt;入力リスト!$N$4,COUNTIF(入力シート!$J$16:$S$23,入力リスト!$K$4)=0),"",IF(A281="","",IF(ISERROR(AVERAGEIF(従業員の給与情報!$B:$B,$A281,従業員の給与情報!$D:$D)),0,IF(ISERROR(AVERAGEIF(従業員の給与情報!$B:$B,$A281,従業員の給与情報!$D:$D)),0,AVERAGEIF(従業員の給与情報!$B:$B,$A281,従業員の給与情報!$D:$D)))))</f>
        <v/>
      </c>
      <c r="U281" s="116" t="str">
        <f>IF(OR(入力シート!$C$5&lt;&gt;入力リスト!$N$4,COUNTIF(入力シート!$J$16:$S$23,入力リスト!$K$4)=0),"",IF(A281="","",IF(ISERROR(AVERAGEIF(従業員の給与情報!$B:$B,$A281,従業員の給与情報!$E:$E)),0,IF(ISERROR(AVERAGEIF(従業員の給与情報!$B:$B,$A281,従業員の給与情報!$E:$E)),0,AVERAGEIF(従業員の給与情報!$B:$B,$A281,従業員の給与情報!$E:$E)))))</f>
        <v/>
      </c>
      <c r="V281" s="117" t="str">
        <f>IF(OR(入力シート!$C$5&lt;&gt;入力リスト!$N$4,COUNTIF(入力シート!$J$16:$S$23,入力リスト!$K$4)=0),"",IF(A281="","",IF(ISERROR(AVERAGEIF(従業員の給与情報!$B:$B,$A281,従業員の給与情報!$F:$F)),0,IF(ISERROR(AVERAGEIF(従業員の給与情報!$B:$B,$A281,従業員の給与情報!$F:$F)),0,AVERAGEIF(従業員の給与情報!$B:$B,$A281,従業員の給与情報!$F:$F)))))</f>
        <v/>
      </c>
      <c r="W281" s="182"/>
      <c r="X281" s="260"/>
    </row>
    <row r="282" spans="1:24">
      <c r="A282" s="368"/>
      <c r="B282" s="361"/>
      <c r="C282" s="362"/>
      <c r="D282" s="361"/>
      <c r="E282" s="361"/>
      <c r="F282" s="372" t="str">
        <f>IF(G282,"この従業員番号は、すでに他のセルで入力されています。",IF(入力シート!$C$5=入力リスト!$N$5,"",IF(AND(A282="",B282="",C282="",D282="",E282=""),"",IF(OR(A282="",B282="",C282="",D282=""),IF(A282="","従業員番号","")&amp;IF(AND(A282="",OR(B282="",C282="",D282="")),",","")&amp;IF(B282="","雇用形態","")&amp;IF(AND(B282="",OR(C282="",D282="")),",","")&amp;IF(OR(入力シート!$J$18=入力リスト!$K$4,入力シート!$J$22=入力リスト!$K$4),IF(C282="","入社年月日",""),"")&amp;IF(AND(C282="",D282=""),",","")&amp;IF(D282="","性別","")&amp;IF(IF(A282="","従業員番号","")&amp;IF(B282="","雇用形態","")&amp;IF(OR(入力シート!$J$18=入力リスト!$K$4,入力シート!$J$22=入力リスト!$K$4),IF(C282="","入社年月日",""),"")&amp;IF(D282="","性別","")="","","が空白です。"),IF(J282,"入社年月日に「基準日」の翌日以降の日付が入力されています。","")&amp;IF(I282,"入社年月日に数値以外（又は1900/1/1以前の日付）が入力されています。","")&amp;IF(H282,"雇用形態"&amp;IF(OR(K282,L282),",",""),"")&amp;IF(K282,"性別"&amp;IF(L282,",",""),"")&amp;IF(L282,"役職","")&amp;IF(OR(H282,K282,L282),"に、［入力シート］(4)「貴社」欄と異なる文言が入力されています。","")))))</f>
        <v/>
      </c>
      <c r="G282" s="236" t="b">
        <f>COUNTIF($A$4:A281,$A282)&gt;0</f>
        <v>0</v>
      </c>
      <c r="H282" s="237" t="b">
        <f>IF(COUNTIF(入力シート!$J$16:$S$23,入力リスト!$K$4)=0,FALSE,IF(入力シート!$J$16=入力リスト!$K$5,FALSE,ISERROR(VLOOKUP(B282,入力シート!$S$37:$V$62,1,0))))</f>
        <v>0</v>
      </c>
      <c r="I282" s="237" t="b">
        <f>IF(AND(OR(入力シート!$J$18=入力リスト!$K$4,入力シート!$J$22=入力リスト!$K$4),入力シート!$J$24&lt;&gt;""),IF(ISERROR(C282+1),TRUE,IF(ISNUMBER(C282),FALSE,TRUE)),FALSE)</f>
        <v>0</v>
      </c>
      <c r="J282" s="237" t="b">
        <f>IF(AND(入力シート!$J$18=入力リスト!$K$4,入力シート!$J$22=入力リスト!$K$4),FALSE,IF(I282=TRUE,FALSE,IF(ISERROR(C282+1),FALSE,C282&gt;入力シート!$J$24)))</f>
        <v>0</v>
      </c>
      <c r="K282" s="237" t="b">
        <f>IF(COUNTIF(入力シート!$J$16:$S$23,入力リスト!$K$4)=0,FALSE,IF(AND(入力シート!$J$16&lt;&gt;入力リスト!$K$5,入力シート!$J$18&lt;&gt;入力リスト!$K$5,入力シート!$J$20&lt;&gt;入力リスト!$K$5,入力シート!$J$22&lt;&gt;入力リスト!$K$5),FALSE,ISERROR(VLOOKUP(D282,入力シート!$AW$37:$AY$38,1,0))))</f>
        <v>0</v>
      </c>
      <c r="L282" s="237" t="b">
        <f>IF(COUNTIF(入力シート!$J$16:$S$23,入力リスト!$K$4)=0,FALSE,IF(入力シート!$J$20=入力リスト!$K$5,FALSE,IF(E282="",FALSE,ISERROR(VLOOKUP(E282,入力シート!$AH$37:$AK$62,1,0)))))</f>
        <v>0</v>
      </c>
      <c r="M282" s="238" t="str">
        <f t="shared" si="4"/>
        <v/>
      </c>
      <c r="N282" s="236" t="str">
        <f>IF(B282="","",VLOOKUP('従業員情報(給与以外)'!$B282,入力シート!$S$37:$Z$62,5,0))</f>
        <v/>
      </c>
      <c r="O282" s="182" t="str">
        <f>IF(ISNUMBER(C282)=FALSE,"",IF(C282&gt;入力シート!$J$24,"",_xlfn.DAYS(入力シート!$J$24,'従業員情報(給与以外)'!$C282)/365))</f>
        <v/>
      </c>
      <c r="P282" s="237" t="str">
        <f>IF(O282="","",VLOOKUP(_xlfn.DAYS(入力シート!$J$24,'従業員情報(給与以外)'!$C282)/365,入力リスト!$H$4:$I$12,2,2))</f>
        <v/>
      </c>
      <c r="Q282" s="236" t="str">
        <f>IF(D282="","",VLOOKUP('従業員情報(給与以外)'!$D282,入力シート!$AW$37:$BB$38,4,0))</f>
        <v/>
      </c>
      <c r="R282" s="236" t="str">
        <f>IF(A282="","",IF(E282="","非役職",VLOOKUP('従業員情報(給与以外)'!$E282,入力シート!$AH$37:$AO$62,5,0)))</f>
        <v/>
      </c>
      <c r="S282" s="116" t="str">
        <f>IF(OR(入力シート!$C$5&lt;&gt;入力リスト!$N$4,COUNTIF(入力シート!$J$16:$S$23,入力リスト!$K$4)=0),"",IF($A282="","",IF(ISERROR(AVERAGEIF(従業員の給与情報!$B:$B,$A282,従業員の給与情報!$C:$C)),0,IF(ISERROR(AVERAGEIF(従業員の給与情報!$B:$B,$A282,従業員の給与情報!$C:$C)),0,AVERAGEIF(従業員の給与情報!$B:$B,$A282,従業員の給与情報!$C:$C)))))</f>
        <v/>
      </c>
      <c r="T282" s="116" t="str">
        <f>IF(OR(入力シート!$C$5&lt;&gt;入力リスト!$N$4,COUNTIF(入力シート!$J$16:$S$23,入力リスト!$K$4)=0),"",IF(A282="","",IF(ISERROR(AVERAGEIF(従業員の給与情報!$B:$B,$A282,従業員の給与情報!$D:$D)),0,IF(ISERROR(AVERAGEIF(従業員の給与情報!$B:$B,$A282,従業員の給与情報!$D:$D)),0,AVERAGEIF(従業員の給与情報!$B:$B,$A282,従業員の給与情報!$D:$D)))))</f>
        <v/>
      </c>
      <c r="U282" s="116" t="str">
        <f>IF(OR(入力シート!$C$5&lt;&gt;入力リスト!$N$4,COUNTIF(入力シート!$J$16:$S$23,入力リスト!$K$4)=0),"",IF(A282="","",IF(ISERROR(AVERAGEIF(従業員の給与情報!$B:$B,$A282,従業員の給与情報!$E:$E)),0,IF(ISERROR(AVERAGEIF(従業員の給与情報!$B:$B,$A282,従業員の給与情報!$E:$E)),0,AVERAGEIF(従業員の給与情報!$B:$B,$A282,従業員の給与情報!$E:$E)))))</f>
        <v/>
      </c>
      <c r="V282" s="117" t="str">
        <f>IF(OR(入力シート!$C$5&lt;&gt;入力リスト!$N$4,COUNTIF(入力シート!$J$16:$S$23,入力リスト!$K$4)=0),"",IF(A282="","",IF(ISERROR(AVERAGEIF(従業員の給与情報!$B:$B,$A282,従業員の給与情報!$F:$F)),0,IF(ISERROR(AVERAGEIF(従業員の給与情報!$B:$B,$A282,従業員の給与情報!$F:$F)),0,AVERAGEIF(従業員の給与情報!$B:$B,$A282,従業員の給与情報!$F:$F)))))</f>
        <v/>
      </c>
      <c r="W282" s="182"/>
      <c r="X282" s="260"/>
    </row>
    <row r="283" spans="1:24">
      <c r="A283" s="368"/>
      <c r="B283" s="361"/>
      <c r="C283" s="362"/>
      <c r="D283" s="361"/>
      <c r="E283" s="361"/>
      <c r="F283" s="372" t="str">
        <f>IF(G283,"この従業員番号は、すでに他のセルで入力されています。",IF(入力シート!$C$5=入力リスト!$N$5,"",IF(AND(A283="",B283="",C283="",D283="",E283=""),"",IF(OR(A283="",B283="",C283="",D283=""),IF(A283="","従業員番号","")&amp;IF(AND(A283="",OR(B283="",C283="",D283="")),",","")&amp;IF(B283="","雇用形態","")&amp;IF(AND(B283="",OR(C283="",D283="")),",","")&amp;IF(OR(入力シート!$J$18=入力リスト!$K$4,入力シート!$J$22=入力リスト!$K$4),IF(C283="","入社年月日",""),"")&amp;IF(AND(C283="",D283=""),",","")&amp;IF(D283="","性別","")&amp;IF(IF(A283="","従業員番号","")&amp;IF(B283="","雇用形態","")&amp;IF(OR(入力シート!$J$18=入力リスト!$K$4,入力シート!$J$22=入力リスト!$K$4),IF(C283="","入社年月日",""),"")&amp;IF(D283="","性別","")="","","が空白です。"),IF(J283,"入社年月日に「基準日」の翌日以降の日付が入力されています。","")&amp;IF(I283,"入社年月日に数値以外（又は1900/1/1以前の日付）が入力されています。","")&amp;IF(H283,"雇用形態"&amp;IF(OR(K283,L283),",",""),"")&amp;IF(K283,"性別"&amp;IF(L283,",",""),"")&amp;IF(L283,"役職","")&amp;IF(OR(H283,K283,L283),"に、［入力シート］(4)「貴社」欄と異なる文言が入力されています。","")))))</f>
        <v/>
      </c>
      <c r="G283" s="236" t="b">
        <f>COUNTIF($A$4:A282,$A283)&gt;0</f>
        <v>0</v>
      </c>
      <c r="H283" s="237" t="b">
        <f>IF(COUNTIF(入力シート!$J$16:$S$23,入力リスト!$K$4)=0,FALSE,IF(入力シート!$J$16=入力リスト!$K$5,FALSE,ISERROR(VLOOKUP(B283,入力シート!$S$37:$V$62,1,0))))</f>
        <v>0</v>
      </c>
      <c r="I283" s="237" t="b">
        <f>IF(AND(OR(入力シート!$J$18=入力リスト!$K$4,入力シート!$J$22=入力リスト!$K$4),入力シート!$J$24&lt;&gt;""),IF(ISERROR(C283+1),TRUE,IF(ISNUMBER(C283),FALSE,TRUE)),FALSE)</f>
        <v>0</v>
      </c>
      <c r="J283" s="237" t="b">
        <f>IF(AND(入力シート!$J$18=入力リスト!$K$4,入力シート!$J$22=入力リスト!$K$4),FALSE,IF(I283=TRUE,FALSE,IF(ISERROR(C283+1),FALSE,C283&gt;入力シート!$J$24)))</f>
        <v>0</v>
      </c>
      <c r="K283" s="237" t="b">
        <f>IF(COUNTIF(入力シート!$J$16:$S$23,入力リスト!$K$4)=0,FALSE,IF(AND(入力シート!$J$16&lt;&gt;入力リスト!$K$5,入力シート!$J$18&lt;&gt;入力リスト!$K$5,入力シート!$J$20&lt;&gt;入力リスト!$K$5,入力シート!$J$22&lt;&gt;入力リスト!$K$5),FALSE,ISERROR(VLOOKUP(D283,入力シート!$AW$37:$AY$38,1,0))))</f>
        <v>0</v>
      </c>
      <c r="L283" s="237" t="b">
        <f>IF(COUNTIF(入力シート!$J$16:$S$23,入力リスト!$K$4)=0,FALSE,IF(入力シート!$J$20=入力リスト!$K$5,FALSE,IF(E283="",FALSE,ISERROR(VLOOKUP(E283,入力シート!$AH$37:$AK$62,1,0)))))</f>
        <v>0</v>
      </c>
      <c r="M283" s="238" t="str">
        <f t="shared" si="4"/>
        <v/>
      </c>
      <c r="N283" s="236" t="str">
        <f>IF(B283="","",VLOOKUP('従業員情報(給与以外)'!$B283,入力シート!$S$37:$Z$62,5,0))</f>
        <v/>
      </c>
      <c r="O283" s="182" t="str">
        <f>IF(ISNUMBER(C283)=FALSE,"",IF(C283&gt;入力シート!$J$24,"",_xlfn.DAYS(入力シート!$J$24,'従業員情報(給与以外)'!$C283)/365))</f>
        <v/>
      </c>
      <c r="P283" s="237" t="str">
        <f>IF(O283="","",VLOOKUP(_xlfn.DAYS(入力シート!$J$24,'従業員情報(給与以外)'!$C283)/365,入力リスト!$H$4:$I$12,2,2))</f>
        <v/>
      </c>
      <c r="Q283" s="236" t="str">
        <f>IF(D283="","",VLOOKUP('従業員情報(給与以外)'!$D283,入力シート!$AW$37:$BB$38,4,0))</f>
        <v/>
      </c>
      <c r="R283" s="236" t="str">
        <f>IF(A283="","",IF(E283="","非役職",VLOOKUP('従業員情報(給与以外)'!$E283,入力シート!$AH$37:$AO$62,5,0)))</f>
        <v/>
      </c>
      <c r="S283" s="116" t="str">
        <f>IF(OR(入力シート!$C$5&lt;&gt;入力リスト!$N$4,COUNTIF(入力シート!$J$16:$S$23,入力リスト!$K$4)=0),"",IF($A283="","",IF(ISERROR(AVERAGEIF(従業員の給与情報!$B:$B,$A283,従業員の給与情報!$C:$C)),0,IF(ISERROR(AVERAGEIF(従業員の給与情報!$B:$B,$A283,従業員の給与情報!$C:$C)),0,AVERAGEIF(従業員の給与情報!$B:$B,$A283,従業員の給与情報!$C:$C)))))</f>
        <v/>
      </c>
      <c r="T283" s="116" t="str">
        <f>IF(OR(入力シート!$C$5&lt;&gt;入力リスト!$N$4,COUNTIF(入力シート!$J$16:$S$23,入力リスト!$K$4)=0),"",IF(A283="","",IF(ISERROR(AVERAGEIF(従業員の給与情報!$B:$B,$A283,従業員の給与情報!$D:$D)),0,IF(ISERROR(AVERAGEIF(従業員の給与情報!$B:$B,$A283,従業員の給与情報!$D:$D)),0,AVERAGEIF(従業員の給与情報!$B:$B,$A283,従業員の給与情報!$D:$D)))))</f>
        <v/>
      </c>
      <c r="U283" s="116" t="str">
        <f>IF(OR(入力シート!$C$5&lt;&gt;入力リスト!$N$4,COUNTIF(入力シート!$J$16:$S$23,入力リスト!$K$4)=0),"",IF(A283="","",IF(ISERROR(AVERAGEIF(従業員の給与情報!$B:$B,$A283,従業員の給与情報!$E:$E)),0,IF(ISERROR(AVERAGEIF(従業員の給与情報!$B:$B,$A283,従業員の給与情報!$E:$E)),0,AVERAGEIF(従業員の給与情報!$B:$B,$A283,従業員の給与情報!$E:$E)))))</f>
        <v/>
      </c>
      <c r="V283" s="117" t="str">
        <f>IF(OR(入力シート!$C$5&lt;&gt;入力リスト!$N$4,COUNTIF(入力シート!$J$16:$S$23,入力リスト!$K$4)=0),"",IF(A283="","",IF(ISERROR(AVERAGEIF(従業員の給与情報!$B:$B,$A283,従業員の給与情報!$F:$F)),0,IF(ISERROR(AVERAGEIF(従業員の給与情報!$B:$B,$A283,従業員の給与情報!$F:$F)),0,AVERAGEIF(従業員の給与情報!$B:$B,$A283,従業員の給与情報!$F:$F)))))</f>
        <v/>
      </c>
      <c r="W283" s="182"/>
      <c r="X283" s="260"/>
    </row>
    <row r="284" spans="1:24">
      <c r="A284" s="368"/>
      <c r="B284" s="361"/>
      <c r="C284" s="362"/>
      <c r="D284" s="361"/>
      <c r="E284" s="361"/>
      <c r="F284" s="372" t="str">
        <f>IF(G284,"この従業員番号は、すでに他のセルで入力されています。",IF(入力シート!$C$5=入力リスト!$N$5,"",IF(AND(A284="",B284="",C284="",D284="",E284=""),"",IF(OR(A284="",B284="",C284="",D284=""),IF(A284="","従業員番号","")&amp;IF(AND(A284="",OR(B284="",C284="",D284="")),",","")&amp;IF(B284="","雇用形態","")&amp;IF(AND(B284="",OR(C284="",D284="")),",","")&amp;IF(OR(入力シート!$J$18=入力リスト!$K$4,入力シート!$J$22=入力リスト!$K$4),IF(C284="","入社年月日",""),"")&amp;IF(AND(C284="",D284=""),",","")&amp;IF(D284="","性別","")&amp;IF(IF(A284="","従業員番号","")&amp;IF(B284="","雇用形態","")&amp;IF(OR(入力シート!$J$18=入力リスト!$K$4,入力シート!$J$22=入力リスト!$K$4),IF(C284="","入社年月日",""),"")&amp;IF(D284="","性別","")="","","が空白です。"),IF(J284,"入社年月日に「基準日」の翌日以降の日付が入力されています。","")&amp;IF(I284,"入社年月日に数値以外（又は1900/1/1以前の日付）が入力されています。","")&amp;IF(H284,"雇用形態"&amp;IF(OR(K284,L284),",",""),"")&amp;IF(K284,"性別"&amp;IF(L284,",",""),"")&amp;IF(L284,"役職","")&amp;IF(OR(H284,K284,L284),"に、［入力シート］(4)「貴社」欄と異なる文言が入力されています。","")))))</f>
        <v/>
      </c>
      <c r="G284" s="236" t="b">
        <f>COUNTIF($A$4:A283,$A284)&gt;0</f>
        <v>0</v>
      </c>
      <c r="H284" s="237" t="b">
        <f>IF(COUNTIF(入力シート!$J$16:$S$23,入力リスト!$K$4)=0,FALSE,IF(入力シート!$J$16=入力リスト!$K$5,FALSE,ISERROR(VLOOKUP(B284,入力シート!$S$37:$V$62,1,0))))</f>
        <v>0</v>
      </c>
      <c r="I284" s="237" t="b">
        <f>IF(AND(OR(入力シート!$J$18=入力リスト!$K$4,入力シート!$J$22=入力リスト!$K$4),入力シート!$J$24&lt;&gt;""),IF(ISERROR(C284+1),TRUE,IF(ISNUMBER(C284),FALSE,TRUE)),FALSE)</f>
        <v>0</v>
      </c>
      <c r="J284" s="237" t="b">
        <f>IF(AND(入力シート!$J$18=入力リスト!$K$4,入力シート!$J$22=入力リスト!$K$4),FALSE,IF(I284=TRUE,FALSE,IF(ISERROR(C284+1),FALSE,C284&gt;入力シート!$J$24)))</f>
        <v>0</v>
      </c>
      <c r="K284" s="237" t="b">
        <f>IF(COUNTIF(入力シート!$J$16:$S$23,入力リスト!$K$4)=0,FALSE,IF(AND(入力シート!$J$16&lt;&gt;入力リスト!$K$5,入力シート!$J$18&lt;&gt;入力リスト!$K$5,入力シート!$J$20&lt;&gt;入力リスト!$K$5,入力シート!$J$22&lt;&gt;入力リスト!$K$5),FALSE,ISERROR(VLOOKUP(D284,入力シート!$AW$37:$AY$38,1,0))))</f>
        <v>0</v>
      </c>
      <c r="L284" s="237" t="b">
        <f>IF(COUNTIF(入力シート!$J$16:$S$23,入力リスト!$K$4)=0,FALSE,IF(入力シート!$J$20=入力リスト!$K$5,FALSE,IF(E284="",FALSE,ISERROR(VLOOKUP(E284,入力シート!$AH$37:$AK$62,1,0)))))</f>
        <v>0</v>
      </c>
      <c r="M284" s="238" t="str">
        <f t="shared" si="4"/>
        <v/>
      </c>
      <c r="N284" s="236" t="str">
        <f>IF(B284="","",VLOOKUP('従業員情報(給与以外)'!$B284,入力シート!$S$37:$Z$62,5,0))</f>
        <v/>
      </c>
      <c r="O284" s="182" t="str">
        <f>IF(ISNUMBER(C284)=FALSE,"",IF(C284&gt;入力シート!$J$24,"",_xlfn.DAYS(入力シート!$J$24,'従業員情報(給与以外)'!$C284)/365))</f>
        <v/>
      </c>
      <c r="P284" s="237" t="str">
        <f>IF(O284="","",VLOOKUP(_xlfn.DAYS(入力シート!$J$24,'従業員情報(給与以外)'!$C284)/365,入力リスト!$H$4:$I$12,2,2))</f>
        <v/>
      </c>
      <c r="Q284" s="236" t="str">
        <f>IF(D284="","",VLOOKUP('従業員情報(給与以外)'!$D284,入力シート!$AW$37:$BB$38,4,0))</f>
        <v/>
      </c>
      <c r="R284" s="236" t="str">
        <f>IF(A284="","",IF(E284="","非役職",VLOOKUP('従業員情報(給与以外)'!$E284,入力シート!$AH$37:$AO$62,5,0)))</f>
        <v/>
      </c>
      <c r="S284" s="116" t="str">
        <f>IF(OR(入力シート!$C$5&lt;&gt;入力リスト!$N$4,COUNTIF(入力シート!$J$16:$S$23,入力リスト!$K$4)=0),"",IF($A284="","",IF(ISERROR(AVERAGEIF(従業員の給与情報!$B:$B,$A284,従業員の給与情報!$C:$C)),0,IF(ISERROR(AVERAGEIF(従業員の給与情報!$B:$B,$A284,従業員の給与情報!$C:$C)),0,AVERAGEIF(従業員の給与情報!$B:$B,$A284,従業員の給与情報!$C:$C)))))</f>
        <v/>
      </c>
      <c r="T284" s="116" t="str">
        <f>IF(OR(入力シート!$C$5&lt;&gt;入力リスト!$N$4,COUNTIF(入力シート!$J$16:$S$23,入力リスト!$K$4)=0),"",IF(A284="","",IF(ISERROR(AVERAGEIF(従業員の給与情報!$B:$B,$A284,従業員の給与情報!$D:$D)),0,IF(ISERROR(AVERAGEIF(従業員の給与情報!$B:$B,$A284,従業員の給与情報!$D:$D)),0,AVERAGEIF(従業員の給与情報!$B:$B,$A284,従業員の給与情報!$D:$D)))))</f>
        <v/>
      </c>
      <c r="U284" s="116" t="str">
        <f>IF(OR(入力シート!$C$5&lt;&gt;入力リスト!$N$4,COUNTIF(入力シート!$J$16:$S$23,入力リスト!$K$4)=0),"",IF(A284="","",IF(ISERROR(AVERAGEIF(従業員の給与情報!$B:$B,$A284,従業員の給与情報!$E:$E)),0,IF(ISERROR(AVERAGEIF(従業員の給与情報!$B:$B,$A284,従業員の給与情報!$E:$E)),0,AVERAGEIF(従業員の給与情報!$B:$B,$A284,従業員の給与情報!$E:$E)))))</f>
        <v/>
      </c>
      <c r="V284" s="117" t="str">
        <f>IF(OR(入力シート!$C$5&lt;&gt;入力リスト!$N$4,COUNTIF(入力シート!$J$16:$S$23,入力リスト!$K$4)=0),"",IF(A284="","",IF(ISERROR(AVERAGEIF(従業員の給与情報!$B:$B,$A284,従業員の給与情報!$F:$F)),0,IF(ISERROR(AVERAGEIF(従業員の給与情報!$B:$B,$A284,従業員の給与情報!$F:$F)),0,AVERAGEIF(従業員の給与情報!$B:$B,$A284,従業員の給与情報!$F:$F)))))</f>
        <v/>
      </c>
      <c r="W284" s="182"/>
      <c r="X284" s="260"/>
    </row>
    <row r="285" spans="1:24">
      <c r="A285" s="368"/>
      <c r="B285" s="361"/>
      <c r="C285" s="362"/>
      <c r="D285" s="361"/>
      <c r="E285" s="361"/>
      <c r="F285" s="372" t="str">
        <f>IF(G285,"この従業員番号は、すでに他のセルで入力されています。",IF(入力シート!$C$5=入力リスト!$N$5,"",IF(AND(A285="",B285="",C285="",D285="",E285=""),"",IF(OR(A285="",B285="",C285="",D285=""),IF(A285="","従業員番号","")&amp;IF(AND(A285="",OR(B285="",C285="",D285="")),",","")&amp;IF(B285="","雇用形態","")&amp;IF(AND(B285="",OR(C285="",D285="")),",","")&amp;IF(OR(入力シート!$J$18=入力リスト!$K$4,入力シート!$J$22=入力リスト!$K$4),IF(C285="","入社年月日",""),"")&amp;IF(AND(C285="",D285=""),",","")&amp;IF(D285="","性別","")&amp;IF(IF(A285="","従業員番号","")&amp;IF(B285="","雇用形態","")&amp;IF(OR(入力シート!$J$18=入力リスト!$K$4,入力シート!$J$22=入力リスト!$K$4),IF(C285="","入社年月日",""),"")&amp;IF(D285="","性別","")="","","が空白です。"),IF(J285,"入社年月日に「基準日」の翌日以降の日付が入力されています。","")&amp;IF(I285,"入社年月日に数値以外（又は1900/1/1以前の日付）が入力されています。","")&amp;IF(H285,"雇用形態"&amp;IF(OR(K285,L285),",",""),"")&amp;IF(K285,"性別"&amp;IF(L285,",",""),"")&amp;IF(L285,"役職","")&amp;IF(OR(H285,K285,L285),"に、［入力シート］(4)「貴社」欄と異なる文言が入力されています。","")))))</f>
        <v/>
      </c>
      <c r="G285" s="236" t="b">
        <f>COUNTIF($A$4:A284,$A285)&gt;0</f>
        <v>0</v>
      </c>
      <c r="H285" s="237" t="b">
        <f>IF(COUNTIF(入力シート!$J$16:$S$23,入力リスト!$K$4)=0,FALSE,IF(入力シート!$J$16=入力リスト!$K$5,FALSE,ISERROR(VLOOKUP(B285,入力シート!$S$37:$V$62,1,0))))</f>
        <v>0</v>
      </c>
      <c r="I285" s="237" t="b">
        <f>IF(AND(OR(入力シート!$J$18=入力リスト!$K$4,入力シート!$J$22=入力リスト!$K$4),入力シート!$J$24&lt;&gt;""),IF(ISERROR(C285+1),TRUE,IF(ISNUMBER(C285),FALSE,TRUE)),FALSE)</f>
        <v>0</v>
      </c>
      <c r="J285" s="237" t="b">
        <f>IF(AND(入力シート!$J$18=入力リスト!$K$4,入力シート!$J$22=入力リスト!$K$4),FALSE,IF(I285=TRUE,FALSE,IF(ISERROR(C285+1),FALSE,C285&gt;入力シート!$J$24)))</f>
        <v>0</v>
      </c>
      <c r="K285" s="237" t="b">
        <f>IF(COUNTIF(入力シート!$J$16:$S$23,入力リスト!$K$4)=0,FALSE,IF(AND(入力シート!$J$16&lt;&gt;入力リスト!$K$5,入力シート!$J$18&lt;&gt;入力リスト!$K$5,入力シート!$J$20&lt;&gt;入力リスト!$K$5,入力シート!$J$22&lt;&gt;入力リスト!$K$5),FALSE,ISERROR(VLOOKUP(D285,入力シート!$AW$37:$AY$38,1,0))))</f>
        <v>0</v>
      </c>
      <c r="L285" s="237" t="b">
        <f>IF(COUNTIF(入力シート!$J$16:$S$23,入力リスト!$K$4)=0,FALSE,IF(入力シート!$J$20=入力リスト!$K$5,FALSE,IF(E285="",FALSE,ISERROR(VLOOKUP(E285,入力シート!$AH$37:$AK$62,1,0)))))</f>
        <v>0</v>
      </c>
      <c r="M285" s="238" t="str">
        <f t="shared" si="4"/>
        <v/>
      </c>
      <c r="N285" s="236" t="str">
        <f>IF(B285="","",VLOOKUP('従業員情報(給与以外)'!$B285,入力シート!$S$37:$Z$62,5,0))</f>
        <v/>
      </c>
      <c r="O285" s="182" t="str">
        <f>IF(ISNUMBER(C285)=FALSE,"",IF(C285&gt;入力シート!$J$24,"",_xlfn.DAYS(入力シート!$J$24,'従業員情報(給与以外)'!$C285)/365))</f>
        <v/>
      </c>
      <c r="P285" s="237" t="str">
        <f>IF(O285="","",VLOOKUP(_xlfn.DAYS(入力シート!$J$24,'従業員情報(給与以外)'!$C285)/365,入力リスト!$H$4:$I$12,2,2))</f>
        <v/>
      </c>
      <c r="Q285" s="236" t="str">
        <f>IF(D285="","",VLOOKUP('従業員情報(給与以外)'!$D285,入力シート!$AW$37:$BB$38,4,0))</f>
        <v/>
      </c>
      <c r="R285" s="236" t="str">
        <f>IF(A285="","",IF(E285="","非役職",VLOOKUP('従業員情報(給与以外)'!$E285,入力シート!$AH$37:$AO$62,5,0)))</f>
        <v/>
      </c>
      <c r="S285" s="116" t="str">
        <f>IF(OR(入力シート!$C$5&lt;&gt;入力リスト!$N$4,COUNTIF(入力シート!$J$16:$S$23,入力リスト!$K$4)=0),"",IF($A285="","",IF(ISERROR(AVERAGEIF(従業員の給与情報!$B:$B,$A285,従業員の給与情報!$C:$C)),0,IF(ISERROR(AVERAGEIF(従業員の給与情報!$B:$B,$A285,従業員の給与情報!$C:$C)),0,AVERAGEIF(従業員の給与情報!$B:$B,$A285,従業員の給与情報!$C:$C)))))</f>
        <v/>
      </c>
      <c r="T285" s="116" t="str">
        <f>IF(OR(入力シート!$C$5&lt;&gt;入力リスト!$N$4,COUNTIF(入力シート!$J$16:$S$23,入力リスト!$K$4)=0),"",IF(A285="","",IF(ISERROR(AVERAGEIF(従業員の給与情報!$B:$B,$A285,従業員の給与情報!$D:$D)),0,IF(ISERROR(AVERAGEIF(従業員の給与情報!$B:$B,$A285,従業員の給与情報!$D:$D)),0,AVERAGEIF(従業員の給与情報!$B:$B,$A285,従業員の給与情報!$D:$D)))))</f>
        <v/>
      </c>
      <c r="U285" s="116" t="str">
        <f>IF(OR(入力シート!$C$5&lt;&gt;入力リスト!$N$4,COUNTIF(入力シート!$J$16:$S$23,入力リスト!$K$4)=0),"",IF(A285="","",IF(ISERROR(AVERAGEIF(従業員の給与情報!$B:$B,$A285,従業員の給与情報!$E:$E)),0,IF(ISERROR(AVERAGEIF(従業員の給与情報!$B:$B,$A285,従業員の給与情報!$E:$E)),0,AVERAGEIF(従業員の給与情報!$B:$B,$A285,従業員の給与情報!$E:$E)))))</f>
        <v/>
      </c>
      <c r="V285" s="117" t="str">
        <f>IF(OR(入力シート!$C$5&lt;&gt;入力リスト!$N$4,COUNTIF(入力シート!$J$16:$S$23,入力リスト!$K$4)=0),"",IF(A285="","",IF(ISERROR(AVERAGEIF(従業員の給与情報!$B:$B,$A285,従業員の給与情報!$F:$F)),0,IF(ISERROR(AVERAGEIF(従業員の給与情報!$B:$B,$A285,従業員の給与情報!$F:$F)),0,AVERAGEIF(従業員の給与情報!$B:$B,$A285,従業員の給与情報!$F:$F)))))</f>
        <v/>
      </c>
      <c r="W285" s="182"/>
      <c r="X285" s="260"/>
    </row>
    <row r="286" spans="1:24">
      <c r="A286" s="368"/>
      <c r="B286" s="361"/>
      <c r="C286" s="362"/>
      <c r="D286" s="361"/>
      <c r="E286" s="361"/>
      <c r="F286" s="372" t="str">
        <f>IF(G286,"この従業員番号は、すでに他のセルで入力されています。",IF(入力シート!$C$5=入力リスト!$N$5,"",IF(AND(A286="",B286="",C286="",D286="",E286=""),"",IF(OR(A286="",B286="",C286="",D286=""),IF(A286="","従業員番号","")&amp;IF(AND(A286="",OR(B286="",C286="",D286="")),",","")&amp;IF(B286="","雇用形態","")&amp;IF(AND(B286="",OR(C286="",D286="")),",","")&amp;IF(OR(入力シート!$J$18=入力リスト!$K$4,入力シート!$J$22=入力リスト!$K$4),IF(C286="","入社年月日",""),"")&amp;IF(AND(C286="",D286=""),",","")&amp;IF(D286="","性別","")&amp;IF(IF(A286="","従業員番号","")&amp;IF(B286="","雇用形態","")&amp;IF(OR(入力シート!$J$18=入力リスト!$K$4,入力シート!$J$22=入力リスト!$K$4),IF(C286="","入社年月日",""),"")&amp;IF(D286="","性別","")="","","が空白です。"),IF(J286,"入社年月日に「基準日」の翌日以降の日付が入力されています。","")&amp;IF(I286,"入社年月日に数値以外（又は1900/1/1以前の日付）が入力されています。","")&amp;IF(H286,"雇用形態"&amp;IF(OR(K286,L286),",",""),"")&amp;IF(K286,"性別"&amp;IF(L286,",",""),"")&amp;IF(L286,"役職","")&amp;IF(OR(H286,K286,L286),"に、［入力シート］(4)「貴社」欄と異なる文言が入力されています。","")))))</f>
        <v/>
      </c>
      <c r="G286" s="236" t="b">
        <f>COUNTIF($A$4:A285,$A286)&gt;0</f>
        <v>0</v>
      </c>
      <c r="H286" s="237" t="b">
        <f>IF(COUNTIF(入力シート!$J$16:$S$23,入力リスト!$K$4)=0,FALSE,IF(入力シート!$J$16=入力リスト!$K$5,FALSE,ISERROR(VLOOKUP(B286,入力シート!$S$37:$V$62,1,0))))</f>
        <v>0</v>
      </c>
      <c r="I286" s="237" t="b">
        <f>IF(AND(OR(入力シート!$J$18=入力リスト!$K$4,入力シート!$J$22=入力リスト!$K$4),入力シート!$J$24&lt;&gt;""),IF(ISERROR(C286+1),TRUE,IF(ISNUMBER(C286),FALSE,TRUE)),FALSE)</f>
        <v>0</v>
      </c>
      <c r="J286" s="237" t="b">
        <f>IF(AND(入力シート!$J$18=入力リスト!$K$4,入力シート!$J$22=入力リスト!$K$4),FALSE,IF(I286=TRUE,FALSE,IF(ISERROR(C286+1),FALSE,C286&gt;入力シート!$J$24)))</f>
        <v>0</v>
      </c>
      <c r="K286" s="237" t="b">
        <f>IF(COUNTIF(入力シート!$J$16:$S$23,入力リスト!$K$4)=0,FALSE,IF(AND(入力シート!$J$16&lt;&gt;入力リスト!$K$5,入力シート!$J$18&lt;&gt;入力リスト!$K$5,入力シート!$J$20&lt;&gt;入力リスト!$K$5,入力シート!$J$22&lt;&gt;入力リスト!$K$5),FALSE,ISERROR(VLOOKUP(D286,入力シート!$AW$37:$AY$38,1,0))))</f>
        <v>0</v>
      </c>
      <c r="L286" s="237" t="b">
        <f>IF(COUNTIF(入力シート!$J$16:$S$23,入力リスト!$K$4)=0,FALSE,IF(入力シート!$J$20=入力リスト!$K$5,FALSE,IF(E286="",FALSE,ISERROR(VLOOKUP(E286,入力シート!$AH$37:$AK$62,1,0)))))</f>
        <v>0</v>
      </c>
      <c r="M286" s="238" t="str">
        <f t="shared" si="4"/>
        <v/>
      </c>
      <c r="N286" s="236" t="str">
        <f>IF(B286="","",VLOOKUP('従業員情報(給与以外)'!$B286,入力シート!$S$37:$Z$62,5,0))</f>
        <v/>
      </c>
      <c r="O286" s="182" t="str">
        <f>IF(ISNUMBER(C286)=FALSE,"",IF(C286&gt;入力シート!$J$24,"",_xlfn.DAYS(入力シート!$J$24,'従業員情報(給与以外)'!$C286)/365))</f>
        <v/>
      </c>
      <c r="P286" s="237" t="str">
        <f>IF(O286="","",VLOOKUP(_xlfn.DAYS(入力シート!$J$24,'従業員情報(給与以外)'!$C286)/365,入力リスト!$H$4:$I$12,2,2))</f>
        <v/>
      </c>
      <c r="Q286" s="236" t="str">
        <f>IF(D286="","",VLOOKUP('従業員情報(給与以外)'!$D286,入力シート!$AW$37:$BB$38,4,0))</f>
        <v/>
      </c>
      <c r="R286" s="236" t="str">
        <f>IF(A286="","",IF(E286="","非役職",VLOOKUP('従業員情報(給与以外)'!$E286,入力シート!$AH$37:$AO$62,5,0)))</f>
        <v/>
      </c>
      <c r="S286" s="116" t="str">
        <f>IF(OR(入力シート!$C$5&lt;&gt;入力リスト!$N$4,COUNTIF(入力シート!$J$16:$S$23,入力リスト!$K$4)=0),"",IF($A286="","",IF(ISERROR(AVERAGEIF(従業員の給与情報!$B:$B,$A286,従業員の給与情報!$C:$C)),0,IF(ISERROR(AVERAGEIF(従業員の給与情報!$B:$B,$A286,従業員の給与情報!$C:$C)),0,AVERAGEIF(従業員の給与情報!$B:$B,$A286,従業員の給与情報!$C:$C)))))</f>
        <v/>
      </c>
      <c r="T286" s="116" t="str">
        <f>IF(OR(入力シート!$C$5&lt;&gt;入力リスト!$N$4,COUNTIF(入力シート!$J$16:$S$23,入力リスト!$K$4)=0),"",IF(A286="","",IF(ISERROR(AVERAGEIF(従業員の給与情報!$B:$B,$A286,従業員の給与情報!$D:$D)),0,IF(ISERROR(AVERAGEIF(従業員の給与情報!$B:$B,$A286,従業員の給与情報!$D:$D)),0,AVERAGEIF(従業員の給与情報!$B:$B,$A286,従業員の給与情報!$D:$D)))))</f>
        <v/>
      </c>
      <c r="U286" s="116" t="str">
        <f>IF(OR(入力シート!$C$5&lt;&gt;入力リスト!$N$4,COUNTIF(入力シート!$J$16:$S$23,入力リスト!$K$4)=0),"",IF(A286="","",IF(ISERROR(AVERAGEIF(従業員の給与情報!$B:$B,$A286,従業員の給与情報!$E:$E)),0,IF(ISERROR(AVERAGEIF(従業員の給与情報!$B:$B,$A286,従業員の給与情報!$E:$E)),0,AVERAGEIF(従業員の給与情報!$B:$B,$A286,従業員の給与情報!$E:$E)))))</f>
        <v/>
      </c>
      <c r="V286" s="117" t="str">
        <f>IF(OR(入力シート!$C$5&lt;&gt;入力リスト!$N$4,COUNTIF(入力シート!$J$16:$S$23,入力リスト!$K$4)=0),"",IF(A286="","",IF(ISERROR(AVERAGEIF(従業員の給与情報!$B:$B,$A286,従業員の給与情報!$F:$F)),0,IF(ISERROR(AVERAGEIF(従業員の給与情報!$B:$B,$A286,従業員の給与情報!$F:$F)),0,AVERAGEIF(従業員の給与情報!$B:$B,$A286,従業員の給与情報!$F:$F)))))</f>
        <v/>
      </c>
      <c r="W286" s="182"/>
      <c r="X286" s="260"/>
    </row>
    <row r="287" spans="1:24">
      <c r="A287" s="368"/>
      <c r="B287" s="361"/>
      <c r="C287" s="362"/>
      <c r="D287" s="361"/>
      <c r="E287" s="361"/>
      <c r="F287" s="372" t="str">
        <f>IF(G287,"この従業員番号は、すでに他のセルで入力されています。",IF(入力シート!$C$5=入力リスト!$N$5,"",IF(AND(A287="",B287="",C287="",D287="",E287=""),"",IF(OR(A287="",B287="",C287="",D287=""),IF(A287="","従業員番号","")&amp;IF(AND(A287="",OR(B287="",C287="",D287="")),",","")&amp;IF(B287="","雇用形態","")&amp;IF(AND(B287="",OR(C287="",D287="")),",","")&amp;IF(OR(入力シート!$J$18=入力リスト!$K$4,入力シート!$J$22=入力リスト!$K$4),IF(C287="","入社年月日",""),"")&amp;IF(AND(C287="",D287=""),",","")&amp;IF(D287="","性別","")&amp;IF(IF(A287="","従業員番号","")&amp;IF(B287="","雇用形態","")&amp;IF(OR(入力シート!$J$18=入力リスト!$K$4,入力シート!$J$22=入力リスト!$K$4),IF(C287="","入社年月日",""),"")&amp;IF(D287="","性別","")="","","が空白です。"),IF(J287,"入社年月日に「基準日」の翌日以降の日付が入力されています。","")&amp;IF(I287,"入社年月日に数値以外（又は1900/1/1以前の日付）が入力されています。","")&amp;IF(H287,"雇用形態"&amp;IF(OR(K287,L287),",",""),"")&amp;IF(K287,"性別"&amp;IF(L287,",",""),"")&amp;IF(L287,"役職","")&amp;IF(OR(H287,K287,L287),"に、［入力シート］(4)「貴社」欄と異なる文言が入力されています。","")))))</f>
        <v/>
      </c>
      <c r="G287" s="236" t="b">
        <f>COUNTIF($A$4:A286,$A287)&gt;0</f>
        <v>0</v>
      </c>
      <c r="H287" s="237" t="b">
        <f>IF(COUNTIF(入力シート!$J$16:$S$23,入力リスト!$K$4)=0,FALSE,IF(入力シート!$J$16=入力リスト!$K$5,FALSE,ISERROR(VLOOKUP(B287,入力シート!$S$37:$V$62,1,0))))</f>
        <v>0</v>
      </c>
      <c r="I287" s="237" t="b">
        <f>IF(AND(OR(入力シート!$J$18=入力リスト!$K$4,入力シート!$J$22=入力リスト!$K$4),入力シート!$J$24&lt;&gt;""),IF(ISERROR(C287+1),TRUE,IF(ISNUMBER(C287),FALSE,TRUE)),FALSE)</f>
        <v>0</v>
      </c>
      <c r="J287" s="237" t="b">
        <f>IF(AND(入力シート!$J$18=入力リスト!$K$4,入力シート!$J$22=入力リスト!$K$4),FALSE,IF(I287=TRUE,FALSE,IF(ISERROR(C287+1),FALSE,C287&gt;入力シート!$J$24)))</f>
        <v>0</v>
      </c>
      <c r="K287" s="237" t="b">
        <f>IF(COUNTIF(入力シート!$J$16:$S$23,入力リスト!$K$4)=0,FALSE,IF(AND(入力シート!$J$16&lt;&gt;入力リスト!$K$5,入力シート!$J$18&lt;&gt;入力リスト!$K$5,入力シート!$J$20&lt;&gt;入力リスト!$K$5,入力シート!$J$22&lt;&gt;入力リスト!$K$5),FALSE,ISERROR(VLOOKUP(D287,入力シート!$AW$37:$AY$38,1,0))))</f>
        <v>0</v>
      </c>
      <c r="L287" s="237" t="b">
        <f>IF(COUNTIF(入力シート!$J$16:$S$23,入力リスト!$K$4)=0,FALSE,IF(入力シート!$J$20=入力リスト!$K$5,FALSE,IF(E287="",FALSE,ISERROR(VLOOKUP(E287,入力シート!$AH$37:$AK$62,1,0)))))</f>
        <v>0</v>
      </c>
      <c r="M287" s="238" t="str">
        <f t="shared" si="4"/>
        <v/>
      </c>
      <c r="N287" s="236" t="str">
        <f>IF(B287="","",VLOOKUP('従業員情報(給与以外)'!$B287,入力シート!$S$37:$Z$62,5,0))</f>
        <v/>
      </c>
      <c r="O287" s="182" t="str">
        <f>IF(ISNUMBER(C287)=FALSE,"",IF(C287&gt;入力シート!$J$24,"",_xlfn.DAYS(入力シート!$J$24,'従業員情報(給与以外)'!$C287)/365))</f>
        <v/>
      </c>
      <c r="P287" s="237" t="str">
        <f>IF(O287="","",VLOOKUP(_xlfn.DAYS(入力シート!$J$24,'従業員情報(給与以外)'!$C287)/365,入力リスト!$H$4:$I$12,2,2))</f>
        <v/>
      </c>
      <c r="Q287" s="236" t="str">
        <f>IF(D287="","",VLOOKUP('従業員情報(給与以外)'!$D287,入力シート!$AW$37:$BB$38,4,0))</f>
        <v/>
      </c>
      <c r="R287" s="236" t="str">
        <f>IF(A287="","",IF(E287="","非役職",VLOOKUP('従業員情報(給与以外)'!$E287,入力シート!$AH$37:$AO$62,5,0)))</f>
        <v/>
      </c>
      <c r="S287" s="116" t="str">
        <f>IF(OR(入力シート!$C$5&lt;&gt;入力リスト!$N$4,COUNTIF(入力シート!$J$16:$S$23,入力リスト!$K$4)=0),"",IF($A287="","",IF(ISERROR(AVERAGEIF(従業員の給与情報!$B:$B,$A287,従業員の給与情報!$C:$C)),0,IF(ISERROR(AVERAGEIF(従業員の給与情報!$B:$B,$A287,従業員の給与情報!$C:$C)),0,AVERAGEIF(従業員の給与情報!$B:$B,$A287,従業員の給与情報!$C:$C)))))</f>
        <v/>
      </c>
      <c r="T287" s="116" t="str">
        <f>IF(OR(入力シート!$C$5&lt;&gt;入力リスト!$N$4,COUNTIF(入力シート!$J$16:$S$23,入力リスト!$K$4)=0),"",IF(A287="","",IF(ISERROR(AVERAGEIF(従業員の給与情報!$B:$B,$A287,従業員の給与情報!$D:$D)),0,IF(ISERROR(AVERAGEIF(従業員の給与情報!$B:$B,$A287,従業員の給与情報!$D:$D)),0,AVERAGEIF(従業員の給与情報!$B:$B,$A287,従業員の給与情報!$D:$D)))))</f>
        <v/>
      </c>
      <c r="U287" s="116" t="str">
        <f>IF(OR(入力シート!$C$5&lt;&gt;入力リスト!$N$4,COUNTIF(入力シート!$J$16:$S$23,入力リスト!$K$4)=0),"",IF(A287="","",IF(ISERROR(AVERAGEIF(従業員の給与情報!$B:$B,$A287,従業員の給与情報!$E:$E)),0,IF(ISERROR(AVERAGEIF(従業員の給与情報!$B:$B,$A287,従業員の給与情報!$E:$E)),0,AVERAGEIF(従業員の給与情報!$B:$B,$A287,従業員の給与情報!$E:$E)))))</f>
        <v/>
      </c>
      <c r="V287" s="117" t="str">
        <f>IF(OR(入力シート!$C$5&lt;&gt;入力リスト!$N$4,COUNTIF(入力シート!$J$16:$S$23,入力リスト!$K$4)=0),"",IF(A287="","",IF(ISERROR(AVERAGEIF(従業員の給与情報!$B:$B,$A287,従業員の給与情報!$F:$F)),0,IF(ISERROR(AVERAGEIF(従業員の給与情報!$B:$B,$A287,従業員の給与情報!$F:$F)),0,AVERAGEIF(従業員の給与情報!$B:$B,$A287,従業員の給与情報!$F:$F)))))</f>
        <v/>
      </c>
      <c r="W287" s="182"/>
      <c r="X287" s="260"/>
    </row>
    <row r="288" spans="1:24">
      <c r="A288" s="368"/>
      <c r="B288" s="361"/>
      <c r="C288" s="362"/>
      <c r="D288" s="361"/>
      <c r="E288" s="361"/>
      <c r="F288" s="372" t="str">
        <f>IF(G288,"この従業員番号は、すでに他のセルで入力されています。",IF(入力シート!$C$5=入力リスト!$N$5,"",IF(AND(A288="",B288="",C288="",D288="",E288=""),"",IF(OR(A288="",B288="",C288="",D288=""),IF(A288="","従業員番号","")&amp;IF(AND(A288="",OR(B288="",C288="",D288="")),",","")&amp;IF(B288="","雇用形態","")&amp;IF(AND(B288="",OR(C288="",D288="")),",","")&amp;IF(OR(入力シート!$J$18=入力リスト!$K$4,入力シート!$J$22=入力リスト!$K$4),IF(C288="","入社年月日",""),"")&amp;IF(AND(C288="",D288=""),",","")&amp;IF(D288="","性別","")&amp;IF(IF(A288="","従業員番号","")&amp;IF(B288="","雇用形態","")&amp;IF(OR(入力シート!$J$18=入力リスト!$K$4,入力シート!$J$22=入力リスト!$K$4),IF(C288="","入社年月日",""),"")&amp;IF(D288="","性別","")="","","が空白です。"),IF(J288,"入社年月日に「基準日」の翌日以降の日付が入力されています。","")&amp;IF(I288,"入社年月日に数値以外（又は1900/1/1以前の日付）が入力されています。","")&amp;IF(H288,"雇用形態"&amp;IF(OR(K288,L288),",",""),"")&amp;IF(K288,"性別"&amp;IF(L288,",",""),"")&amp;IF(L288,"役職","")&amp;IF(OR(H288,K288,L288),"に、［入力シート］(4)「貴社」欄と異なる文言が入力されています。","")))))</f>
        <v/>
      </c>
      <c r="G288" s="236" t="b">
        <f>COUNTIF($A$4:A287,$A288)&gt;0</f>
        <v>0</v>
      </c>
      <c r="H288" s="237" t="b">
        <f>IF(COUNTIF(入力シート!$J$16:$S$23,入力リスト!$K$4)=0,FALSE,IF(入力シート!$J$16=入力リスト!$K$5,FALSE,ISERROR(VLOOKUP(B288,入力シート!$S$37:$V$62,1,0))))</f>
        <v>0</v>
      </c>
      <c r="I288" s="237" t="b">
        <f>IF(AND(OR(入力シート!$J$18=入力リスト!$K$4,入力シート!$J$22=入力リスト!$K$4),入力シート!$J$24&lt;&gt;""),IF(ISERROR(C288+1),TRUE,IF(ISNUMBER(C288),FALSE,TRUE)),FALSE)</f>
        <v>0</v>
      </c>
      <c r="J288" s="237" t="b">
        <f>IF(AND(入力シート!$J$18=入力リスト!$K$4,入力シート!$J$22=入力リスト!$K$4),FALSE,IF(I288=TRUE,FALSE,IF(ISERROR(C288+1),FALSE,C288&gt;入力シート!$J$24)))</f>
        <v>0</v>
      </c>
      <c r="K288" s="237" t="b">
        <f>IF(COUNTIF(入力シート!$J$16:$S$23,入力リスト!$K$4)=0,FALSE,IF(AND(入力シート!$J$16&lt;&gt;入力リスト!$K$5,入力シート!$J$18&lt;&gt;入力リスト!$K$5,入力シート!$J$20&lt;&gt;入力リスト!$K$5,入力シート!$J$22&lt;&gt;入力リスト!$K$5),FALSE,ISERROR(VLOOKUP(D288,入力シート!$AW$37:$AY$38,1,0))))</f>
        <v>0</v>
      </c>
      <c r="L288" s="237" t="b">
        <f>IF(COUNTIF(入力シート!$J$16:$S$23,入力リスト!$K$4)=0,FALSE,IF(入力シート!$J$20=入力リスト!$K$5,FALSE,IF(E288="",FALSE,ISERROR(VLOOKUP(E288,入力シート!$AH$37:$AK$62,1,0)))))</f>
        <v>0</v>
      </c>
      <c r="M288" s="238" t="str">
        <f t="shared" si="4"/>
        <v/>
      </c>
      <c r="N288" s="236" t="str">
        <f>IF(B288="","",VLOOKUP('従業員情報(給与以外)'!$B288,入力シート!$S$37:$Z$62,5,0))</f>
        <v/>
      </c>
      <c r="O288" s="182" t="str">
        <f>IF(ISNUMBER(C288)=FALSE,"",IF(C288&gt;入力シート!$J$24,"",_xlfn.DAYS(入力シート!$J$24,'従業員情報(給与以外)'!$C288)/365))</f>
        <v/>
      </c>
      <c r="P288" s="237" t="str">
        <f>IF(O288="","",VLOOKUP(_xlfn.DAYS(入力シート!$J$24,'従業員情報(給与以外)'!$C288)/365,入力リスト!$H$4:$I$12,2,2))</f>
        <v/>
      </c>
      <c r="Q288" s="236" t="str">
        <f>IF(D288="","",VLOOKUP('従業員情報(給与以外)'!$D288,入力シート!$AW$37:$BB$38,4,0))</f>
        <v/>
      </c>
      <c r="R288" s="236" t="str">
        <f>IF(A288="","",IF(E288="","非役職",VLOOKUP('従業員情報(給与以外)'!$E288,入力シート!$AH$37:$AO$62,5,0)))</f>
        <v/>
      </c>
      <c r="S288" s="116" t="str">
        <f>IF(OR(入力シート!$C$5&lt;&gt;入力リスト!$N$4,COUNTIF(入力シート!$J$16:$S$23,入力リスト!$K$4)=0),"",IF($A288="","",IF(ISERROR(AVERAGEIF(従業員の給与情報!$B:$B,$A288,従業員の給与情報!$C:$C)),0,IF(ISERROR(AVERAGEIF(従業員の給与情報!$B:$B,$A288,従業員の給与情報!$C:$C)),0,AVERAGEIF(従業員の給与情報!$B:$B,$A288,従業員の給与情報!$C:$C)))))</f>
        <v/>
      </c>
      <c r="T288" s="116" t="str">
        <f>IF(OR(入力シート!$C$5&lt;&gt;入力リスト!$N$4,COUNTIF(入力シート!$J$16:$S$23,入力リスト!$K$4)=0),"",IF(A288="","",IF(ISERROR(AVERAGEIF(従業員の給与情報!$B:$B,$A288,従業員の給与情報!$D:$D)),0,IF(ISERROR(AVERAGEIF(従業員の給与情報!$B:$B,$A288,従業員の給与情報!$D:$D)),0,AVERAGEIF(従業員の給与情報!$B:$B,$A288,従業員の給与情報!$D:$D)))))</f>
        <v/>
      </c>
      <c r="U288" s="116" t="str">
        <f>IF(OR(入力シート!$C$5&lt;&gt;入力リスト!$N$4,COUNTIF(入力シート!$J$16:$S$23,入力リスト!$K$4)=0),"",IF(A288="","",IF(ISERROR(AVERAGEIF(従業員の給与情報!$B:$B,$A288,従業員の給与情報!$E:$E)),0,IF(ISERROR(AVERAGEIF(従業員の給与情報!$B:$B,$A288,従業員の給与情報!$E:$E)),0,AVERAGEIF(従業員の給与情報!$B:$B,$A288,従業員の給与情報!$E:$E)))))</f>
        <v/>
      </c>
      <c r="V288" s="117" t="str">
        <f>IF(OR(入力シート!$C$5&lt;&gt;入力リスト!$N$4,COUNTIF(入力シート!$J$16:$S$23,入力リスト!$K$4)=0),"",IF(A288="","",IF(ISERROR(AVERAGEIF(従業員の給与情報!$B:$B,$A288,従業員の給与情報!$F:$F)),0,IF(ISERROR(AVERAGEIF(従業員の給与情報!$B:$B,$A288,従業員の給与情報!$F:$F)),0,AVERAGEIF(従業員の給与情報!$B:$B,$A288,従業員の給与情報!$F:$F)))))</f>
        <v/>
      </c>
      <c r="W288" s="182"/>
      <c r="X288" s="260"/>
    </row>
    <row r="289" spans="1:24">
      <c r="A289" s="368"/>
      <c r="B289" s="361"/>
      <c r="C289" s="362"/>
      <c r="D289" s="361"/>
      <c r="E289" s="361"/>
      <c r="F289" s="372" t="str">
        <f>IF(G289,"この従業員番号は、すでに他のセルで入力されています。",IF(入力シート!$C$5=入力リスト!$N$5,"",IF(AND(A289="",B289="",C289="",D289="",E289=""),"",IF(OR(A289="",B289="",C289="",D289=""),IF(A289="","従業員番号","")&amp;IF(AND(A289="",OR(B289="",C289="",D289="")),",","")&amp;IF(B289="","雇用形態","")&amp;IF(AND(B289="",OR(C289="",D289="")),",","")&amp;IF(OR(入力シート!$J$18=入力リスト!$K$4,入力シート!$J$22=入力リスト!$K$4),IF(C289="","入社年月日",""),"")&amp;IF(AND(C289="",D289=""),",","")&amp;IF(D289="","性別","")&amp;IF(IF(A289="","従業員番号","")&amp;IF(B289="","雇用形態","")&amp;IF(OR(入力シート!$J$18=入力リスト!$K$4,入力シート!$J$22=入力リスト!$K$4),IF(C289="","入社年月日",""),"")&amp;IF(D289="","性別","")="","","が空白です。"),IF(J289,"入社年月日に「基準日」の翌日以降の日付が入力されています。","")&amp;IF(I289,"入社年月日に数値以外（又は1900/1/1以前の日付）が入力されています。","")&amp;IF(H289,"雇用形態"&amp;IF(OR(K289,L289),",",""),"")&amp;IF(K289,"性別"&amp;IF(L289,",",""),"")&amp;IF(L289,"役職","")&amp;IF(OR(H289,K289,L289),"に、［入力シート］(4)「貴社」欄と異なる文言が入力されています。","")))))</f>
        <v/>
      </c>
      <c r="G289" s="236" t="b">
        <f>COUNTIF($A$4:A288,$A289)&gt;0</f>
        <v>0</v>
      </c>
      <c r="H289" s="237" t="b">
        <f>IF(COUNTIF(入力シート!$J$16:$S$23,入力リスト!$K$4)=0,FALSE,IF(入力シート!$J$16=入力リスト!$K$5,FALSE,ISERROR(VLOOKUP(B289,入力シート!$S$37:$V$62,1,0))))</f>
        <v>0</v>
      </c>
      <c r="I289" s="237" t="b">
        <f>IF(AND(OR(入力シート!$J$18=入力リスト!$K$4,入力シート!$J$22=入力リスト!$K$4),入力シート!$J$24&lt;&gt;""),IF(ISERROR(C289+1),TRUE,IF(ISNUMBER(C289),FALSE,TRUE)),FALSE)</f>
        <v>0</v>
      </c>
      <c r="J289" s="237" t="b">
        <f>IF(AND(入力シート!$J$18=入力リスト!$K$4,入力シート!$J$22=入力リスト!$K$4),FALSE,IF(I289=TRUE,FALSE,IF(ISERROR(C289+1),FALSE,C289&gt;入力シート!$J$24)))</f>
        <v>0</v>
      </c>
      <c r="K289" s="237" t="b">
        <f>IF(COUNTIF(入力シート!$J$16:$S$23,入力リスト!$K$4)=0,FALSE,IF(AND(入力シート!$J$16&lt;&gt;入力リスト!$K$5,入力シート!$J$18&lt;&gt;入力リスト!$K$5,入力シート!$J$20&lt;&gt;入力リスト!$K$5,入力シート!$J$22&lt;&gt;入力リスト!$K$5),FALSE,ISERROR(VLOOKUP(D289,入力シート!$AW$37:$AY$38,1,0))))</f>
        <v>0</v>
      </c>
      <c r="L289" s="237" t="b">
        <f>IF(COUNTIF(入力シート!$J$16:$S$23,入力リスト!$K$4)=0,FALSE,IF(入力シート!$J$20=入力リスト!$K$5,FALSE,IF(E289="",FALSE,ISERROR(VLOOKUP(E289,入力シート!$AH$37:$AK$62,1,0)))))</f>
        <v>0</v>
      </c>
      <c r="M289" s="238" t="str">
        <f t="shared" si="4"/>
        <v/>
      </c>
      <c r="N289" s="236" t="str">
        <f>IF(B289="","",VLOOKUP('従業員情報(給与以外)'!$B289,入力シート!$S$37:$Z$62,5,0))</f>
        <v/>
      </c>
      <c r="O289" s="182" t="str">
        <f>IF(ISNUMBER(C289)=FALSE,"",IF(C289&gt;入力シート!$J$24,"",_xlfn.DAYS(入力シート!$J$24,'従業員情報(給与以外)'!$C289)/365))</f>
        <v/>
      </c>
      <c r="P289" s="237" t="str">
        <f>IF(O289="","",VLOOKUP(_xlfn.DAYS(入力シート!$J$24,'従業員情報(給与以外)'!$C289)/365,入力リスト!$H$4:$I$12,2,2))</f>
        <v/>
      </c>
      <c r="Q289" s="236" t="str">
        <f>IF(D289="","",VLOOKUP('従業員情報(給与以外)'!$D289,入力シート!$AW$37:$BB$38,4,0))</f>
        <v/>
      </c>
      <c r="R289" s="236" t="str">
        <f>IF(A289="","",IF(E289="","非役職",VLOOKUP('従業員情報(給与以外)'!$E289,入力シート!$AH$37:$AO$62,5,0)))</f>
        <v/>
      </c>
      <c r="S289" s="116" t="str">
        <f>IF(OR(入力シート!$C$5&lt;&gt;入力リスト!$N$4,COUNTIF(入力シート!$J$16:$S$23,入力リスト!$K$4)=0),"",IF($A289="","",IF(ISERROR(AVERAGEIF(従業員の給与情報!$B:$B,$A289,従業員の給与情報!$C:$C)),0,IF(ISERROR(AVERAGEIF(従業員の給与情報!$B:$B,$A289,従業員の給与情報!$C:$C)),0,AVERAGEIF(従業員の給与情報!$B:$B,$A289,従業員の給与情報!$C:$C)))))</f>
        <v/>
      </c>
      <c r="T289" s="116" t="str">
        <f>IF(OR(入力シート!$C$5&lt;&gt;入力リスト!$N$4,COUNTIF(入力シート!$J$16:$S$23,入力リスト!$K$4)=0),"",IF(A289="","",IF(ISERROR(AVERAGEIF(従業員の給与情報!$B:$B,$A289,従業員の給与情報!$D:$D)),0,IF(ISERROR(AVERAGEIF(従業員の給与情報!$B:$B,$A289,従業員の給与情報!$D:$D)),0,AVERAGEIF(従業員の給与情報!$B:$B,$A289,従業員の給与情報!$D:$D)))))</f>
        <v/>
      </c>
      <c r="U289" s="116" t="str">
        <f>IF(OR(入力シート!$C$5&lt;&gt;入力リスト!$N$4,COUNTIF(入力シート!$J$16:$S$23,入力リスト!$K$4)=0),"",IF(A289="","",IF(ISERROR(AVERAGEIF(従業員の給与情報!$B:$B,$A289,従業員の給与情報!$E:$E)),0,IF(ISERROR(AVERAGEIF(従業員の給与情報!$B:$B,$A289,従業員の給与情報!$E:$E)),0,AVERAGEIF(従業員の給与情報!$B:$B,$A289,従業員の給与情報!$E:$E)))))</f>
        <v/>
      </c>
      <c r="V289" s="117" t="str">
        <f>IF(OR(入力シート!$C$5&lt;&gt;入力リスト!$N$4,COUNTIF(入力シート!$J$16:$S$23,入力リスト!$K$4)=0),"",IF(A289="","",IF(ISERROR(AVERAGEIF(従業員の給与情報!$B:$B,$A289,従業員の給与情報!$F:$F)),0,IF(ISERROR(AVERAGEIF(従業員の給与情報!$B:$B,$A289,従業員の給与情報!$F:$F)),0,AVERAGEIF(従業員の給与情報!$B:$B,$A289,従業員の給与情報!$F:$F)))))</f>
        <v/>
      </c>
      <c r="W289" s="182"/>
      <c r="X289" s="260"/>
    </row>
    <row r="290" spans="1:24">
      <c r="A290" s="368"/>
      <c r="B290" s="361"/>
      <c r="C290" s="362"/>
      <c r="D290" s="361"/>
      <c r="E290" s="361"/>
      <c r="F290" s="372" t="str">
        <f>IF(G290,"この従業員番号は、すでに他のセルで入力されています。",IF(入力シート!$C$5=入力リスト!$N$5,"",IF(AND(A290="",B290="",C290="",D290="",E290=""),"",IF(OR(A290="",B290="",C290="",D290=""),IF(A290="","従業員番号","")&amp;IF(AND(A290="",OR(B290="",C290="",D290="")),",","")&amp;IF(B290="","雇用形態","")&amp;IF(AND(B290="",OR(C290="",D290="")),",","")&amp;IF(OR(入力シート!$J$18=入力リスト!$K$4,入力シート!$J$22=入力リスト!$K$4),IF(C290="","入社年月日",""),"")&amp;IF(AND(C290="",D290=""),",","")&amp;IF(D290="","性別","")&amp;IF(IF(A290="","従業員番号","")&amp;IF(B290="","雇用形態","")&amp;IF(OR(入力シート!$J$18=入力リスト!$K$4,入力シート!$J$22=入力リスト!$K$4),IF(C290="","入社年月日",""),"")&amp;IF(D290="","性別","")="","","が空白です。"),IF(J290,"入社年月日に「基準日」の翌日以降の日付が入力されています。","")&amp;IF(I290,"入社年月日に数値以外（又は1900/1/1以前の日付）が入力されています。","")&amp;IF(H290,"雇用形態"&amp;IF(OR(K290,L290),",",""),"")&amp;IF(K290,"性別"&amp;IF(L290,",",""),"")&amp;IF(L290,"役職","")&amp;IF(OR(H290,K290,L290),"に、［入力シート］(4)「貴社」欄と異なる文言が入力されています。","")))))</f>
        <v/>
      </c>
      <c r="G290" s="236" t="b">
        <f>COUNTIF($A$4:A289,$A290)&gt;0</f>
        <v>0</v>
      </c>
      <c r="H290" s="237" t="b">
        <f>IF(COUNTIF(入力シート!$J$16:$S$23,入力リスト!$K$4)=0,FALSE,IF(入力シート!$J$16=入力リスト!$K$5,FALSE,ISERROR(VLOOKUP(B290,入力シート!$S$37:$V$62,1,0))))</f>
        <v>0</v>
      </c>
      <c r="I290" s="237" t="b">
        <f>IF(AND(OR(入力シート!$J$18=入力リスト!$K$4,入力シート!$J$22=入力リスト!$K$4),入力シート!$J$24&lt;&gt;""),IF(ISERROR(C290+1),TRUE,IF(ISNUMBER(C290),FALSE,TRUE)),FALSE)</f>
        <v>0</v>
      </c>
      <c r="J290" s="237" t="b">
        <f>IF(AND(入力シート!$J$18=入力リスト!$K$4,入力シート!$J$22=入力リスト!$K$4),FALSE,IF(I290=TRUE,FALSE,IF(ISERROR(C290+1),FALSE,C290&gt;入力シート!$J$24)))</f>
        <v>0</v>
      </c>
      <c r="K290" s="237" t="b">
        <f>IF(COUNTIF(入力シート!$J$16:$S$23,入力リスト!$K$4)=0,FALSE,IF(AND(入力シート!$J$16&lt;&gt;入力リスト!$K$5,入力シート!$J$18&lt;&gt;入力リスト!$K$5,入力シート!$J$20&lt;&gt;入力リスト!$K$5,入力シート!$J$22&lt;&gt;入力リスト!$K$5),FALSE,ISERROR(VLOOKUP(D290,入力シート!$AW$37:$AY$38,1,0))))</f>
        <v>0</v>
      </c>
      <c r="L290" s="237" t="b">
        <f>IF(COUNTIF(入力シート!$J$16:$S$23,入力リスト!$K$4)=0,FALSE,IF(入力シート!$J$20=入力リスト!$K$5,FALSE,IF(E290="",FALSE,ISERROR(VLOOKUP(E290,入力シート!$AH$37:$AK$62,1,0)))))</f>
        <v>0</v>
      </c>
      <c r="M290" s="238" t="str">
        <f t="shared" si="4"/>
        <v/>
      </c>
      <c r="N290" s="236" t="str">
        <f>IF(B290="","",VLOOKUP('従業員情報(給与以外)'!$B290,入力シート!$S$37:$Z$62,5,0))</f>
        <v/>
      </c>
      <c r="O290" s="182" t="str">
        <f>IF(ISNUMBER(C290)=FALSE,"",IF(C290&gt;入力シート!$J$24,"",_xlfn.DAYS(入力シート!$J$24,'従業員情報(給与以外)'!$C290)/365))</f>
        <v/>
      </c>
      <c r="P290" s="237" t="str">
        <f>IF(O290="","",VLOOKUP(_xlfn.DAYS(入力シート!$J$24,'従業員情報(給与以外)'!$C290)/365,入力リスト!$H$4:$I$12,2,2))</f>
        <v/>
      </c>
      <c r="Q290" s="236" t="str">
        <f>IF(D290="","",VLOOKUP('従業員情報(給与以外)'!$D290,入力シート!$AW$37:$BB$38,4,0))</f>
        <v/>
      </c>
      <c r="R290" s="236" t="str">
        <f>IF(A290="","",IF(E290="","非役職",VLOOKUP('従業員情報(給与以外)'!$E290,入力シート!$AH$37:$AO$62,5,0)))</f>
        <v/>
      </c>
      <c r="S290" s="116" t="str">
        <f>IF(OR(入力シート!$C$5&lt;&gt;入力リスト!$N$4,COUNTIF(入力シート!$J$16:$S$23,入力リスト!$K$4)=0),"",IF($A290="","",IF(ISERROR(AVERAGEIF(従業員の給与情報!$B:$B,$A290,従業員の給与情報!$C:$C)),0,IF(ISERROR(AVERAGEIF(従業員の給与情報!$B:$B,$A290,従業員の給与情報!$C:$C)),0,AVERAGEIF(従業員の給与情報!$B:$B,$A290,従業員の給与情報!$C:$C)))))</f>
        <v/>
      </c>
      <c r="T290" s="116" t="str">
        <f>IF(OR(入力シート!$C$5&lt;&gt;入力リスト!$N$4,COUNTIF(入力シート!$J$16:$S$23,入力リスト!$K$4)=0),"",IF(A290="","",IF(ISERROR(AVERAGEIF(従業員の給与情報!$B:$B,$A290,従業員の給与情報!$D:$D)),0,IF(ISERROR(AVERAGEIF(従業員の給与情報!$B:$B,$A290,従業員の給与情報!$D:$D)),0,AVERAGEIF(従業員の給与情報!$B:$B,$A290,従業員の給与情報!$D:$D)))))</f>
        <v/>
      </c>
      <c r="U290" s="116" t="str">
        <f>IF(OR(入力シート!$C$5&lt;&gt;入力リスト!$N$4,COUNTIF(入力シート!$J$16:$S$23,入力リスト!$K$4)=0),"",IF(A290="","",IF(ISERROR(AVERAGEIF(従業員の給与情報!$B:$B,$A290,従業員の給与情報!$E:$E)),0,IF(ISERROR(AVERAGEIF(従業員の給与情報!$B:$B,$A290,従業員の給与情報!$E:$E)),0,AVERAGEIF(従業員の給与情報!$B:$B,$A290,従業員の給与情報!$E:$E)))))</f>
        <v/>
      </c>
      <c r="V290" s="117" t="str">
        <f>IF(OR(入力シート!$C$5&lt;&gt;入力リスト!$N$4,COUNTIF(入力シート!$J$16:$S$23,入力リスト!$K$4)=0),"",IF(A290="","",IF(ISERROR(AVERAGEIF(従業員の給与情報!$B:$B,$A290,従業員の給与情報!$F:$F)),0,IF(ISERROR(AVERAGEIF(従業員の給与情報!$B:$B,$A290,従業員の給与情報!$F:$F)),0,AVERAGEIF(従業員の給与情報!$B:$B,$A290,従業員の給与情報!$F:$F)))))</f>
        <v/>
      </c>
      <c r="W290" s="182"/>
      <c r="X290" s="260"/>
    </row>
    <row r="291" spans="1:24">
      <c r="A291" s="368"/>
      <c r="B291" s="361"/>
      <c r="C291" s="362"/>
      <c r="D291" s="361"/>
      <c r="E291" s="361"/>
      <c r="F291" s="372" t="str">
        <f>IF(G291,"この従業員番号は、すでに他のセルで入力されています。",IF(入力シート!$C$5=入力リスト!$N$5,"",IF(AND(A291="",B291="",C291="",D291="",E291=""),"",IF(OR(A291="",B291="",C291="",D291=""),IF(A291="","従業員番号","")&amp;IF(AND(A291="",OR(B291="",C291="",D291="")),",","")&amp;IF(B291="","雇用形態","")&amp;IF(AND(B291="",OR(C291="",D291="")),",","")&amp;IF(OR(入力シート!$J$18=入力リスト!$K$4,入力シート!$J$22=入力リスト!$K$4),IF(C291="","入社年月日",""),"")&amp;IF(AND(C291="",D291=""),",","")&amp;IF(D291="","性別","")&amp;IF(IF(A291="","従業員番号","")&amp;IF(B291="","雇用形態","")&amp;IF(OR(入力シート!$J$18=入力リスト!$K$4,入力シート!$J$22=入力リスト!$K$4),IF(C291="","入社年月日",""),"")&amp;IF(D291="","性別","")="","","が空白です。"),IF(J291,"入社年月日に「基準日」の翌日以降の日付が入力されています。","")&amp;IF(I291,"入社年月日に数値以外（又は1900/1/1以前の日付）が入力されています。","")&amp;IF(H291,"雇用形態"&amp;IF(OR(K291,L291),",",""),"")&amp;IF(K291,"性別"&amp;IF(L291,",",""),"")&amp;IF(L291,"役職","")&amp;IF(OR(H291,K291,L291),"に、［入力シート］(4)「貴社」欄と異なる文言が入力されています。","")))))</f>
        <v/>
      </c>
      <c r="G291" s="236" t="b">
        <f>COUNTIF($A$4:A290,$A291)&gt;0</f>
        <v>0</v>
      </c>
      <c r="H291" s="237" t="b">
        <f>IF(COUNTIF(入力シート!$J$16:$S$23,入力リスト!$K$4)=0,FALSE,IF(入力シート!$J$16=入力リスト!$K$5,FALSE,ISERROR(VLOOKUP(B291,入力シート!$S$37:$V$62,1,0))))</f>
        <v>0</v>
      </c>
      <c r="I291" s="237" t="b">
        <f>IF(AND(OR(入力シート!$J$18=入力リスト!$K$4,入力シート!$J$22=入力リスト!$K$4),入力シート!$J$24&lt;&gt;""),IF(ISERROR(C291+1),TRUE,IF(ISNUMBER(C291),FALSE,TRUE)),FALSE)</f>
        <v>0</v>
      </c>
      <c r="J291" s="237" t="b">
        <f>IF(AND(入力シート!$J$18=入力リスト!$K$4,入力シート!$J$22=入力リスト!$K$4),FALSE,IF(I291=TRUE,FALSE,IF(ISERROR(C291+1),FALSE,C291&gt;入力シート!$J$24)))</f>
        <v>0</v>
      </c>
      <c r="K291" s="237" t="b">
        <f>IF(COUNTIF(入力シート!$J$16:$S$23,入力リスト!$K$4)=0,FALSE,IF(AND(入力シート!$J$16&lt;&gt;入力リスト!$K$5,入力シート!$J$18&lt;&gt;入力リスト!$K$5,入力シート!$J$20&lt;&gt;入力リスト!$K$5,入力シート!$J$22&lt;&gt;入力リスト!$K$5),FALSE,ISERROR(VLOOKUP(D291,入力シート!$AW$37:$AY$38,1,0))))</f>
        <v>0</v>
      </c>
      <c r="L291" s="237" t="b">
        <f>IF(COUNTIF(入力シート!$J$16:$S$23,入力リスト!$K$4)=0,FALSE,IF(入力シート!$J$20=入力リスト!$K$5,FALSE,IF(E291="",FALSE,ISERROR(VLOOKUP(E291,入力シート!$AH$37:$AK$62,1,0)))))</f>
        <v>0</v>
      </c>
      <c r="M291" s="238" t="str">
        <f t="shared" si="4"/>
        <v/>
      </c>
      <c r="N291" s="236" t="str">
        <f>IF(B291="","",VLOOKUP('従業員情報(給与以外)'!$B291,入力シート!$S$37:$Z$62,5,0))</f>
        <v/>
      </c>
      <c r="O291" s="182" t="str">
        <f>IF(ISNUMBER(C291)=FALSE,"",IF(C291&gt;入力シート!$J$24,"",_xlfn.DAYS(入力シート!$J$24,'従業員情報(給与以外)'!$C291)/365))</f>
        <v/>
      </c>
      <c r="P291" s="237" t="str">
        <f>IF(O291="","",VLOOKUP(_xlfn.DAYS(入力シート!$J$24,'従業員情報(給与以外)'!$C291)/365,入力リスト!$H$4:$I$12,2,2))</f>
        <v/>
      </c>
      <c r="Q291" s="236" t="str">
        <f>IF(D291="","",VLOOKUP('従業員情報(給与以外)'!$D291,入力シート!$AW$37:$BB$38,4,0))</f>
        <v/>
      </c>
      <c r="R291" s="236" t="str">
        <f>IF(A291="","",IF(E291="","非役職",VLOOKUP('従業員情報(給与以外)'!$E291,入力シート!$AH$37:$AO$62,5,0)))</f>
        <v/>
      </c>
      <c r="S291" s="116" t="str">
        <f>IF(OR(入力シート!$C$5&lt;&gt;入力リスト!$N$4,COUNTIF(入力シート!$J$16:$S$23,入力リスト!$K$4)=0),"",IF($A291="","",IF(ISERROR(AVERAGEIF(従業員の給与情報!$B:$B,$A291,従業員の給与情報!$C:$C)),0,IF(ISERROR(AVERAGEIF(従業員の給与情報!$B:$B,$A291,従業員の給与情報!$C:$C)),0,AVERAGEIF(従業員の給与情報!$B:$B,$A291,従業員の給与情報!$C:$C)))))</f>
        <v/>
      </c>
      <c r="T291" s="116" t="str">
        <f>IF(OR(入力シート!$C$5&lt;&gt;入力リスト!$N$4,COUNTIF(入力シート!$J$16:$S$23,入力リスト!$K$4)=0),"",IF(A291="","",IF(ISERROR(AVERAGEIF(従業員の給与情報!$B:$B,$A291,従業員の給与情報!$D:$D)),0,IF(ISERROR(AVERAGEIF(従業員の給与情報!$B:$B,$A291,従業員の給与情報!$D:$D)),0,AVERAGEIF(従業員の給与情報!$B:$B,$A291,従業員の給与情報!$D:$D)))))</f>
        <v/>
      </c>
      <c r="U291" s="116" t="str">
        <f>IF(OR(入力シート!$C$5&lt;&gt;入力リスト!$N$4,COUNTIF(入力シート!$J$16:$S$23,入力リスト!$K$4)=0),"",IF(A291="","",IF(ISERROR(AVERAGEIF(従業員の給与情報!$B:$B,$A291,従業員の給与情報!$E:$E)),0,IF(ISERROR(AVERAGEIF(従業員の給与情報!$B:$B,$A291,従業員の給与情報!$E:$E)),0,AVERAGEIF(従業員の給与情報!$B:$B,$A291,従業員の給与情報!$E:$E)))))</f>
        <v/>
      </c>
      <c r="V291" s="117" t="str">
        <f>IF(OR(入力シート!$C$5&lt;&gt;入力リスト!$N$4,COUNTIF(入力シート!$J$16:$S$23,入力リスト!$K$4)=0),"",IF(A291="","",IF(ISERROR(AVERAGEIF(従業員の給与情報!$B:$B,$A291,従業員の給与情報!$F:$F)),0,IF(ISERROR(AVERAGEIF(従業員の給与情報!$B:$B,$A291,従業員の給与情報!$F:$F)),0,AVERAGEIF(従業員の給与情報!$B:$B,$A291,従業員の給与情報!$F:$F)))))</f>
        <v/>
      </c>
      <c r="W291" s="182"/>
      <c r="X291" s="260"/>
    </row>
    <row r="292" spans="1:24">
      <c r="A292" s="368"/>
      <c r="B292" s="361"/>
      <c r="C292" s="362"/>
      <c r="D292" s="361"/>
      <c r="E292" s="361"/>
      <c r="F292" s="372" t="str">
        <f>IF(G292,"この従業員番号は、すでに他のセルで入力されています。",IF(入力シート!$C$5=入力リスト!$N$5,"",IF(AND(A292="",B292="",C292="",D292="",E292=""),"",IF(OR(A292="",B292="",C292="",D292=""),IF(A292="","従業員番号","")&amp;IF(AND(A292="",OR(B292="",C292="",D292="")),",","")&amp;IF(B292="","雇用形態","")&amp;IF(AND(B292="",OR(C292="",D292="")),",","")&amp;IF(OR(入力シート!$J$18=入力リスト!$K$4,入力シート!$J$22=入力リスト!$K$4),IF(C292="","入社年月日",""),"")&amp;IF(AND(C292="",D292=""),",","")&amp;IF(D292="","性別","")&amp;IF(IF(A292="","従業員番号","")&amp;IF(B292="","雇用形態","")&amp;IF(OR(入力シート!$J$18=入力リスト!$K$4,入力シート!$J$22=入力リスト!$K$4),IF(C292="","入社年月日",""),"")&amp;IF(D292="","性別","")="","","が空白です。"),IF(J292,"入社年月日に「基準日」の翌日以降の日付が入力されています。","")&amp;IF(I292,"入社年月日に数値以外（又は1900/1/1以前の日付）が入力されています。","")&amp;IF(H292,"雇用形態"&amp;IF(OR(K292,L292),",",""),"")&amp;IF(K292,"性別"&amp;IF(L292,",",""),"")&amp;IF(L292,"役職","")&amp;IF(OR(H292,K292,L292),"に、［入力シート］(4)「貴社」欄と異なる文言が入力されています。","")))))</f>
        <v/>
      </c>
      <c r="G292" s="236" t="b">
        <f>COUNTIF($A$4:A291,$A292)&gt;0</f>
        <v>0</v>
      </c>
      <c r="H292" s="237" t="b">
        <f>IF(COUNTIF(入力シート!$J$16:$S$23,入力リスト!$K$4)=0,FALSE,IF(入力シート!$J$16=入力リスト!$K$5,FALSE,ISERROR(VLOOKUP(B292,入力シート!$S$37:$V$62,1,0))))</f>
        <v>0</v>
      </c>
      <c r="I292" s="237" t="b">
        <f>IF(AND(OR(入力シート!$J$18=入力リスト!$K$4,入力シート!$J$22=入力リスト!$K$4),入力シート!$J$24&lt;&gt;""),IF(ISERROR(C292+1),TRUE,IF(ISNUMBER(C292),FALSE,TRUE)),FALSE)</f>
        <v>0</v>
      </c>
      <c r="J292" s="237" t="b">
        <f>IF(AND(入力シート!$J$18=入力リスト!$K$4,入力シート!$J$22=入力リスト!$K$4),FALSE,IF(I292=TRUE,FALSE,IF(ISERROR(C292+1),FALSE,C292&gt;入力シート!$J$24)))</f>
        <v>0</v>
      </c>
      <c r="K292" s="237" t="b">
        <f>IF(COUNTIF(入力シート!$J$16:$S$23,入力リスト!$K$4)=0,FALSE,IF(AND(入力シート!$J$16&lt;&gt;入力リスト!$K$5,入力シート!$J$18&lt;&gt;入力リスト!$K$5,入力シート!$J$20&lt;&gt;入力リスト!$K$5,入力シート!$J$22&lt;&gt;入力リスト!$K$5),FALSE,ISERROR(VLOOKUP(D292,入力シート!$AW$37:$AY$38,1,0))))</f>
        <v>0</v>
      </c>
      <c r="L292" s="237" t="b">
        <f>IF(COUNTIF(入力シート!$J$16:$S$23,入力リスト!$K$4)=0,FALSE,IF(入力シート!$J$20=入力リスト!$K$5,FALSE,IF(E292="",FALSE,ISERROR(VLOOKUP(E292,入力シート!$AH$37:$AK$62,1,0)))))</f>
        <v>0</v>
      </c>
      <c r="M292" s="238" t="str">
        <f t="shared" si="4"/>
        <v/>
      </c>
      <c r="N292" s="236" t="str">
        <f>IF(B292="","",VLOOKUP('従業員情報(給与以外)'!$B292,入力シート!$S$37:$Z$62,5,0))</f>
        <v/>
      </c>
      <c r="O292" s="182" t="str">
        <f>IF(ISNUMBER(C292)=FALSE,"",IF(C292&gt;入力シート!$J$24,"",_xlfn.DAYS(入力シート!$J$24,'従業員情報(給与以外)'!$C292)/365))</f>
        <v/>
      </c>
      <c r="P292" s="237" t="str">
        <f>IF(O292="","",VLOOKUP(_xlfn.DAYS(入力シート!$J$24,'従業員情報(給与以外)'!$C292)/365,入力リスト!$H$4:$I$12,2,2))</f>
        <v/>
      </c>
      <c r="Q292" s="236" t="str">
        <f>IF(D292="","",VLOOKUP('従業員情報(給与以外)'!$D292,入力シート!$AW$37:$BB$38,4,0))</f>
        <v/>
      </c>
      <c r="R292" s="236" t="str">
        <f>IF(A292="","",IF(E292="","非役職",VLOOKUP('従業員情報(給与以外)'!$E292,入力シート!$AH$37:$AO$62,5,0)))</f>
        <v/>
      </c>
      <c r="S292" s="116" t="str">
        <f>IF(OR(入力シート!$C$5&lt;&gt;入力リスト!$N$4,COUNTIF(入力シート!$J$16:$S$23,入力リスト!$K$4)=0),"",IF($A292="","",IF(ISERROR(AVERAGEIF(従業員の給与情報!$B:$B,$A292,従業員の給与情報!$C:$C)),0,IF(ISERROR(AVERAGEIF(従業員の給与情報!$B:$B,$A292,従業員の給与情報!$C:$C)),0,AVERAGEIF(従業員の給与情報!$B:$B,$A292,従業員の給与情報!$C:$C)))))</f>
        <v/>
      </c>
      <c r="T292" s="116" t="str">
        <f>IF(OR(入力シート!$C$5&lt;&gt;入力リスト!$N$4,COUNTIF(入力シート!$J$16:$S$23,入力リスト!$K$4)=0),"",IF(A292="","",IF(ISERROR(AVERAGEIF(従業員の給与情報!$B:$B,$A292,従業員の給与情報!$D:$D)),0,IF(ISERROR(AVERAGEIF(従業員の給与情報!$B:$B,$A292,従業員の給与情報!$D:$D)),0,AVERAGEIF(従業員の給与情報!$B:$B,$A292,従業員の給与情報!$D:$D)))))</f>
        <v/>
      </c>
      <c r="U292" s="116" t="str">
        <f>IF(OR(入力シート!$C$5&lt;&gt;入力リスト!$N$4,COUNTIF(入力シート!$J$16:$S$23,入力リスト!$K$4)=0),"",IF(A292="","",IF(ISERROR(AVERAGEIF(従業員の給与情報!$B:$B,$A292,従業員の給与情報!$E:$E)),0,IF(ISERROR(AVERAGEIF(従業員の給与情報!$B:$B,$A292,従業員の給与情報!$E:$E)),0,AVERAGEIF(従業員の給与情報!$B:$B,$A292,従業員の給与情報!$E:$E)))))</f>
        <v/>
      </c>
      <c r="V292" s="117" t="str">
        <f>IF(OR(入力シート!$C$5&lt;&gt;入力リスト!$N$4,COUNTIF(入力シート!$J$16:$S$23,入力リスト!$K$4)=0),"",IF(A292="","",IF(ISERROR(AVERAGEIF(従業員の給与情報!$B:$B,$A292,従業員の給与情報!$F:$F)),0,IF(ISERROR(AVERAGEIF(従業員の給与情報!$B:$B,$A292,従業員の給与情報!$F:$F)),0,AVERAGEIF(従業員の給与情報!$B:$B,$A292,従業員の給与情報!$F:$F)))))</f>
        <v/>
      </c>
      <c r="W292" s="182"/>
      <c r="X292" s="260"/>
    </row>
    <row r="293" spans="1:24">
      <c r="A293" s="368"/>
      <c r="B293" s="361"/>
      <c r="C293" s="362"/>
      <c r="D293" s="361"/>
      <c r="E293" s="361"/>
      <c r="F293" s="372" t="str">
        <f>IF(G293,"この従業員番号は、すでに他のセルで入力されています。",IF(入力シート!$C$5=入力リスト!$N$5,"",IF(AND(A293="",B293="",C293="",D293="",E293=""),"",IF(OR(A293="",B293="",C293="",D293=""),IF(A293="","従業員番号","")&amp;IF(AND(A293="",OR(B293="",C293="",D293="")),",","")&amp;IF(B293="","雇用形態","")&amp;IF(AND(B293="",OR(C293="",D293="")),",","")&amp;IF(OR(入力シート!$J$18=入力リスト!$K$4,入力シート!$J$22=入力リスト!$K$4),IF(C293="","入社年月日",""),"")&amp;IF(AND(C293="",D293=""),",","")&amp;IF(D293="","性別","")&amp;IF(IF(A293="","従業員番号","")&amp;IF(B293="","雇用形態","")&amp;IF(OR(入力シート!$J$18=入力リスト!$K$4,入力シート!$J$22=入力リスト!$K$4),IF(C293="","入社年月日",""),"")&amp;IF(D293="","性別","")="","","が空白です。"),IF(J293,"入社年月日に「基準日」の翌日以降の日付が入力されています。","")&amp;IF(I293,"入社年月日に数値以外（又は1900/1/1以前の日付）が入力されています。","")&amp;IF(H293,"雇用形態"&amp;IF(OR(K293,L293),",",""),"")&amp;IF(K293,"性別"&amp;IF(L293,",",""),"")&amp;IF(L293,"役職","")&amp;IF(OR(H293,K293,L293),"に、［入力シート］(4)「貴社」欄と異なる文言が入力されています。","")))))</f>
        <v/>
      </c>
      <c r="G293" s="236" t="b">
        <f>COUNTIF($A$4:A292,$A293)&gt;0</f>
        <v>0</v>
      </c>
      <c r="H293" s="237" t="b">
        <f>IF(COUNTIF(入力シート!$J$16:$S$23,入力リスト!$K$4)=0,FALSE,IF(入力シート!$J$16=入力リスト!$K$5,FALSE,ISERROR(VLOOKUP(B293,入力シート!$S$37:$V$62,1,0))))</f>
        <v>0</v>
      </c>
      <c r="I293" s="237" t="b">
        <f>IF(AND(OR(入力シート!$J$18=入力リスト!$K$4,入力シート!$J$22=入力リスト!$K$4),入力シート!$J$24&lt;&gt;""),IF(ISERROR(C293+1),TRUE,IF(ISNUMBER(C293),FALSE,TRUE)),FALSE)</f>
        <v>0</v>
      </c>
      <c r="J293" s="237" t="b">
        <f>IF(AND(入力シート!$J$18=入力リスト!$K$4,入力シート!$J$22=入力リスト!$K$4),FALSE,IF(I293=TRUE,FALSE,IF(ISERROR(C293+1),FALSE,C293&gt;入力シート!$J$24)))</f>
        <v>0</v>
      </c>
      <c r="K293" s="237" t="b">
        <f>IF(COUNTIF(入力シート!$J$16:$S$23,入力リスト!$K$4)=0,FALSE,IF(AND(入力シート!$J$16&lt;&gt;入力リスト!$K$5,入力シート!$J$18&lt;&gt;入力リスト!$K$5,入力シート!$J$20&lt;&gt;入力リスト!$K$5,入力シート!$J$22&lt;&gt;入力リスト!$K$5),FALSE,ISERROR(VLOOKUP(D293,入力シート!$AW$37:$AY$38,1,0))))</f>
        <v>0</v>
      </c>
      <c r="L293" s="237" t="b">
        <f>IF(COUNTIF(入力シート!$J$16:$S$23,入力リスト!$K$4)=0,FALSE,IF(入力シート!$J$20=入力リスト!$K$5,FALSE,IF(E293="",FALSE,ISERROR(VLOOKUP(E293,入力シート!$AH$37:$AK$62,1,0)))))</f>
        <v>0</v>
      </c>
      <c r="M293" s="238" t="str">
        <f t="shared" si="4"/>
        <v/>
      </c>
      <c r="N293" s="236" t="str">
        <f>IF(B293="","",VLOOKUP('従業員情報(給与以外)'!$B293,入力シート!$S$37:$Z$62,5,0))</f>
        <v/>
      </c>
      <c r="O293" s="182" t="str">
        <f>IF(ISNUMBER(C293)=FALSE,"",IF(C293&gt;入力シート!$J$24,"",_xlfn.DAYS(入力シート!$J$24,'従業員情報(給与以外)'!$C293)/365))</f>
        <v/>
      </c>
      <c r="P293" s="237" t="str">
        <f>IF(O293="","",VLOOKUP(_xlfn.DAYS(入力シート!$J$24,'従業員情報(給与以外)'!$C293)/365,入力リスト!$H$4:$I$12,2,2))</f>
        <v/>
      </c>
      <c r="Q293" s="236" t="str">
        <f>IF(D293="","",VLOOKUP('従業員情報(給与以外)'!$D293,入力シート!$AW$37:$BB$38,4,0))</f>
        <v/>
      </c>
      <c r="R293" s="236" t="str">
        <f>IF(A293="","",IF(E293="","非役職",VLOOKUP('従業員情報(給与以外)'!$E293,入力シート!$AH$37:$AO$62,5,0)))</f>
        <v/>
      </c>
      <c r="S293" s="116" t="str">
        <f>IF(OR(入力シート!$C$5&lt;&gt;入力リスト!$N$4,COUNTIF(入力シート!$J$16:$S$23,入力リスト!$K$4)=0),"",IF($A293="","",IF(ISERROR(AVERAGEIF(従業員の給与情報!$B:$B,$A293,従業員の給与情報!$C:$C)),0,IF(ISERROR(AVERAGEIF(従業員の給与情報!$B:$B,$A293,従業員の給与情報!$C:$C)),0,AVERAGEIF(従業員の給与情報!$B:$B,$A293,従業員の給与情報!$C:$C)))))</f>
        <v/>
      </c>
      <c r="T293" s="116" t="str">
        <f>IF(OR(入力シート!$C$5&lt;&gt;入力リスト!$N$4,COUNTIF(入力シート!$J$16:$S$23,入力リスト!$K$4)=0),"",IF(A293="","",IF(ISERROR(AVERAGEIF(従業員の給与情報!$B:$B,$A293,従業員の給与情報!$D:$D)),0,IF(ISERROR(AVERAGEIF(従業員の給与情報!$B:$B,$A293,従業員の給与情報!$D:$D)),0,AVERAGEIF(従業員の給与情報!$B:$B,$A293,従業員の給与情報!$D:$D)))))</f>
        <v/>
      </c>
      <c r="U293" s="116" t="str">
        <f>IF(OR(入力シート!$C$5&lt;&gt;入力リスト!$N$4,COUNTIF(入力シート!$J$16:$S$23,入力リスト!$K$4)=0),"",IF(A293="","",IF(ISERROR(AVERAGEIF(従業員の給与情報!$B:$B,$A293,従業員の給与情報!$E:$E)),0,IF(ISERROR(AVERAGEIF(従業員の給与情報!$B:$B,$A293,従業員の給与情報!$E:$E)),0,AVERAGEIF(従業員の給与情報!$B:$B,$A293,従業員の給与情報!$E:$E)))))</f>
        <v/>
      </c>
      <c r="V293" s="117" t="str">
        <f>IF(OR(入力シート!$C$5&lt;&gt;入力リスト!$N$4,COUNTIF(入力シート!$J$16:$S$23,入力リスト!$K$4)=0),"",IF(A293="","",IF(ISERROR(AVERAGEIF(従業員の給与情報!$B:$B,$A293,従業員の給与情報!$F:$F)),0,IF(ISERROR(AVERAGEIF(従業員の給与情報!$B:$B,$A293,従業員の給与情報!$F:$F)),0,AVERAGEIF(従業員の給与情報!$B:$B,$A293,従業員の給与情報!$F:$F)))))</f>
        <v/>
      </c>
      <c r="W293" s="182"/>
      <c r="X293" s="260"/>
    </row>
    <row r="294" spans="1:24">
      <c r="A294" s="368"/>
      <c r="B294" s="361"/>
      <c r="C294" s="362"/>
      <c r="D294" s="361"/>
      <c r="E294" s="361"/>
      <c r="F294" s="372" t="str">
        <f>IF(G294,"この従業員番号は、すでに他のセルで入力されています。",IF(入力シート!$C$5=入力リスト!$N$5,"",IF(AND(A294="",B294="",C294="",D294="",E294=""),"",IF(OR(A294="",B294="",C294="",D294=""),IF(A294="","従業員番号","")&amp;IF(AND(A294="",OR(B294="",C294="",D294="")),",","")&amp;IF(B294="","雇用形態","")&amp;IF(AND(B294="",OR(C294="",D294="")),",","")&amp;IF(OR(入力シート!$J$18=入力リスト!$K$4,入力シート!$J$22=入力リスト!$K$4),IF(C294="","入社年月日",""),"")&amp;IF(AND(C294="",D294=""),",","")&amp;IF(D294="","性別","")&amp;IF(IF(A294="","従業員番号","")&amp;IF(B294="","雇用形態","")&amp;IF(OR(入力シート!$J$18=入力リスト!$K$4,入力シート!$J$22=入力リスト!$K$4),IF(C294="","入社年月日",""),"")&amp;IF(D294="","性別","")="","","が空白です。"),IF(J294,"入社年月日に「基準日」の翌日以降の日付が入力されています。","")&amp;IF(I294,"入社年月日に数値以外（又は1900/1/1以前の日付）が入力されています。","")&amp;IF(H294,"雇用形態"&amp;IF(OR(K294,L294),",",""),"")&amp;IF(K294,"性別"&amp;IF(L294,",",""),"")&amp;IF(L294,"役職","")&amp;IF(OR(H294,K294,L294),"に、［入力シート］(4)「貴社」欄と異なる文言が入力されています。","")))))</f>
        <v/>
      </c>
      <c r="G294" s="236" t="b">
        <f>COUNTIF($A$4:A293,$A294)&gt;0</f>
        <v>0</v>
      </c>
      <c r="H294" s="237" t="b">
        <f>IF(COUNTIF(入力シート!$J$16:$S$23,入力リスト!$K$4)=0,FALSE,IF(入力シート!$J$16=入力リスト!$K$5,FALSE,ISERROR(VLOOKUP(B294,入力シート!$S$37:$V$62,1,0))))</f>
        <v>0</v>
      </c>
      <c r="I294" s="237" t="b">
        <f>IF(AND(OR(入力シート!$J$18=入力リスト!$K$4,入力シート!$J$22=入力リスト!$K$4),入力シート!$J$24&lt;&gt;""),IF(ISERROR(C294+1),TRUE,IF(ISNUMBER(C294),FALSE,TRUE)),FALSE)</f>
        <v>0</v>
      </c>
      <c r="J294" s="237" t="b">
        <f>IF(AND(入力シート!$J$18=入力リスト!$K$4,入力シート!$J$22=入力リスト!$K$4),FALSE,IF(I294=TRUE,FALSE,IF(ISERROR(C294+1),FALSE,C294&gt;入力シート!$J$24)))</f>
        <v>0</v>
      </c>
      <c r="K294" s="237" t="b">
        <f>IF(COUNTIF(入力シート!$J$16:$S$23,入力リスト!$K$4)=0,FALSE,IF(AND(入力シート!$J$16&lt;&gt;入力リスト!$K$5,入力シート!$J$18&lt;&gt;入力リスト!$K$5,入力シート!$J$20&lt;&gt;入力リスト!$K$5,入力シート!$J$22&lt;&gt;入力リスト!$K$5),FALSE,ISERROR(VLOOKUP(D294,入力シート!$AW$37:$AY$38,1,0))))</f>
        <v>0</v>
      </c>
      <c r="L294" s="237" t="b">
        <f>IF(COUNTIF(入力シート!$J$16:$S$23,入力リスト!$K$4)=0,FALSE,IF(入力シート!$J$20=入力リスト!$K$5,FALSE,IF(E294="",FALSE,ISERROR(VLOOKUP(E294,入力シート!$AH$37:$AK$62,1,0)))))</f>
        <v>0</v>
      </c>
      <c r="M294" s="238" t="str">
        <f t="shared" si="4"/>
        <v/>
      </c>
      <c r="N294" s="236" t="str">
        <f>IF(B294="","",VLOOKUP('従業員情報(給与以外)'!$B294,入力シート!$S$37:$Z$62,5,0))</f>
        <v/>
      </c>
      <c r="O294" s="182" t="str">
        <f>IF(ISNUMBER(C294)=FALSE,"",IF(C294&gt;入力シート!$J$24,"",_xlfn.DAYS(入力シート!$J$24,'従業員情報(給与以外)'!$C294)/365))</f>
        <v/>
      </c>
      <c r="P294" s="237" t="str">
        <f>IF(O294="","",VLOOKUP(_xlfn.DAYS(入力シート!$J$24,'従業員情報(給与以外)'!$C294)/365,入力リスト!$H$4:$I$12,2,2))</f>
        <v/>
      </c>
      <c r="Q294" s="236" t="str">
        <f>IF(D294="","",VLOOKUP('従業員情報(給与以外)'!$D294,入力シート!$AW$37:$BB$38,4,0))</f>
        <v/>
      </c>
      <c r="R294" s="236" t="str">
        <f>IF(A294="","",IF(E294="","非役職",VLOOKUP('従業員情報(給与以外)'!$E294,入力シート!$AH$37:$AO$62,5,0)))</f>
        <v/>
      </c>
      <c r="S294" s="116" t="str">
        <f>IF(OR(入力シート!$C$5&lt;&gt;入力リスト!$N$4,COUNTIF(入力シート!$J$16:$S$23,入力リスト!$K$4)=0),"",IF($A294="","",IF(ISERROR(AVERAGEIF(従業員の給与情報!$B:$B,$A294,従業員の給与情報!$C:$C)),0,IF(ISERROR(AVERAGEIF(従業員の給与情報!$B:$B,$A294,従業員の給与情報!$C:$C)),0,AVERAGEIF(従業員の給与情報!$B:$B,$A294,従業員の給与情報!$C:$C)))))</f>
        <v/>
      </c>
      <c r="T294" s="116" t="str">
        <f>IF(OR(入力シート!$C$5&lt;&gt;入力リスト!$N$4,COUNTIF(入力シート!$J$16:$S$23,入力リスト!$K$4)=0),"",IF(A294="","",IF(ISERROR(AVERAGEIF(従業員の給与情報!$B:$B,$A294,従業員の給与情報!$D:$D)),0,IF(ISERROR(AVERAGEIF(従業員の給与情報!$B:$B,$A294,従業員の給与情報!$D:$D)),0,AVERAGEIF(従業員の給与情報!$B:$B,$A294,従業員の給与情報!$D:$D)))))</f>
        <v/>
      </c>
      <c r="U294" s="116" t="str">
        <f>IF(OR(入力シート!$C$5&lt;&gt;入力リスト!$N$4,COUNTIF(入力シート!$J$16:$S$23,入力リスト!$K$4)=0),"",IF(A294="","",IF(ISERROR(AVERAGEIF(従業員の給与情報!$B:$B,$A294,従業員の給与情報!$E:$E)),0,IF(ISERROR(AVERAGEIF(従業員の給与情報!$B:$B,$A294,従業員の給与情報!$E:$E)),0,AVERAGEIF(従業員の給与情報!$B:$B,$A294,従業員の給与情報!$E:$E)))))</f>
        <v/>
      </c>
      <c r="V294" s="117" t="str">
        <f>IF(OR(入力シート!$C$5&lt;&gt;入力リスト!$N$4,COUNTIF(入力シート!$J$16:$S$23,入力リスト!$K$4)=0),"",IF(A294="","",IF(ISERROR(AVERAGEIF(従業員の給与情報!$B:$B,$A294,従業員の給与情報!$F:$F)),0,IF(ISERROR(AVERAGEIF(従業員の給与情報!$B:$B,$A294,従業員の給与情報!$F:$F)),0,AVERAGEIF(従業員の給与情報!$B:$B,$A294,従業員の給与情報!$F:$F)))))</f>
        <v/>
      </c>
      <c r="W294" s="182"/>
      <c r="X294" s="260"/>
    </row>
    <row r="295" spans="1:24">
      <c r="A295" s="368"/>
      <c r="B295" s="361"/>
      <c r="C295" s="362"/>
      <c r="D295" s="361"/>
      <c r="E295" s="361"/>
      <c r="F295" s="372" t="str">
        <f>IF(G295,"この従業員番号は、すでに他のセルで入力されています。",IF(入力シート!$C$5=入力リスト!$N$5,"",IF(AND(A295="",B295="",C295="",D295="",E295=""),"",IF(OR(A295="",B295="",C295="",D295=""),IF(A295="","従業員番号","")&amp;IF(AND(A295="",OR(B295="",C295="",D295="")),",","")&amp;IF(B295="","雇用形態","")&amp;IF(AND(B295="",OR(C295="",D295="")),",","")&amp;IF(OR(入力シート!$J$18=入力リスト!$K$4,入力シート!$J$22=入力リスト!$K$4),IF(C295="","入社年月日",""),"")&amp;IF(AND(C295="",D295=""),",","")&amp;IF(D295="","性別","")&amp;IF(IF(A295="","従業員番号","")&amp;IF(B295="","雇用形態","")&amp;IF(OR(入力シート!$J$18=入力リスト!$K$4,入力シート!$J$22=入力リスト!$K$4),IF(C295="","入社年月日",""),"")&amp;IF(D295="","性別","")="","","が空白です。"),IF(J295,"入社年月日に「基準日」の翌日以降の日付が入力されています。","")&amp;IF(I295,"入社年月日に数値以外（又は1900/1/1以前の日付）が入力されています。","")&amp;IF(H295,"雇用形態"&amp;IF(OR(K295,L295),",",""),"")&amp;IF(K295,"性別"&amp;IF(L295,",",""),"")&amp;IF(L295,"役職","")&amp;IF(OR(H295,K295,L295),"に、［入力シート］(4)「貴社」欄と異なる文言が入力されています。","")))))</f>
        <v/>
      </c>
      <c r="G295" s="236" t="b">
        <f>COUNTIF($A$4:A294,$A295)&gt;0</f>
        <v>0</v>
      </c>
      <c r="H295" s="237" t="b">
        <f>IF(COUNTIF(入力シート!$J$16:$S$23,入力リスト!$K$4)=0,FALSE,IF(入力シート!$J$16=入力リスト!$K$5,FALSE,ISERROR(VLOOKUP(B295,入力シート!$S$37:$V$62,1,0))))</f>
        <v>0</v>
      </c>
      <c r="I295" s="237" t="b">
        <f>IF(AND(OR(入力シート!$J$18=入力リスト!$K$4,入力シート!$J$22=入力リスト!$K$4),入力シート!$J$24&lt;&gt;""),IF(ISERROR(C295+1),TRUE,IF(ISNUMBER(C295),FALSE,TRUE)),FALSE)</f>
        <v>0</v>
      </c>
      <c r="J295" s="237" t="b">
        <f>IF(AND(入力シート!$J$18=入力リスト!$K$4,入力シート!$J$22=入力リスト!$K$4),FALSE,IF(I295=TRUE,FALSE,IF(ISERROR(C295+1),FALSE,C295&gt;入力シート!$J$24)))</f>
        <v>0</v>
      </c>
      <c r="K295" s="237" t="b">
        <f>IF(COUNTIF(入力シート!$J$16:$S$23,入力リスト!$K$4)=0,FALSE,IF(AND(入力シート!$J$16&lt;&gt;入力リスト!$K$5,入力シート!$J$18&lt;&gt;入力リスト!$K$5,入力シート!$J$20&lt;&gt;入力リスト!$K$5,入力シート!$J$22&lt;&gt;入力リスト!$K$5),FALSE,ISERROR(VLOOKUP(D295,入力シート!$AW$37:$AY$38,1,0))))</f>
        <v>0</v>
      </c>
      <c r="L295" s="237" t="b">
        <f>IF(COUNTIF(入力シート!$J$16:$S$23,入力リスト!$K$4)=0,FALSE,IF(入力シート!$J$20=入力リスト!$K$5,FALSE,IF(E295="",FALSE,ISERROR(VLOOKUP(E295,入力シート!$AH$37:$AK$62,1,0)))))</f>
        <v>0</v>
      </c>
      <c r="M295" s="238" t="str">
        <f t="shared" si="4"/>
        <v/>
      </c>
      <c r="N295" s="236" t="str">
        <f>IF(B295="","",VLOOKUP('従業員情報(給与以外)'!$B295,入力シート!$S$37:$Z$62,5,0))</f>
        <v/>
      </c>
      <c r="O295" s="182" t="str">
        <f>IF(ISNUMBER(C295)=FALSE,"",IF(C295&gt;入力シート!$J$24,"",_xlfn.DAYS(入力シート!$J$24,'従業員情報(給与以外)'!$C295)/365))</f>
        <v/>
      </c>
      <c r="P295" s="237" t="str">
        <f>IF(O295="","",VLOOKUP(_xlfn.DAYS(入力シート!$J$24,'従業員情報(給与以外)'!$C295)/365,入力リスト!$H$4:$I$12,2,2))</f>
        <v/>
      </c>
      <c r="Q295" s="236" t="str">
        <f>IF(D295="","",VLOOKUP('従業員情報(給与以外)'!$D295,入力シート!$AW$37:$BB$38,4,0))</f>
        <v/>
      </c>
      <c r="R295" s="236" t="str">
        <f>IF(A295="","",IF(E295="","非役職",VLOOKUP('従業員情報(給与以外)'!$E295,入力シート!$AH$37:$AO$62,5,0)))</f>
        <v/>
      </c>
      <c r="S295" s="116" t="str">
        <f>IF(OR(入力シート!$C$5&lt;&gt;入力リスト!$N$4,COUNTIF(入力シート!$J$16:$S$23,入力リスト!$K$4)=0),"",IF($A295="","",IF(ISERROR(AVERAGEIF(従業員の給与情報!$B:$B,$A295,従業員の給与情報!$C:$C)),0,IF(ISERROR(AVERAGEIF(従業員の給与情報!$B:$B,$A295,従業員の給与情報!$C:$C)),0,AVERAGEIF(従業員の給与情報!$B:$B,$A295,従業員の給与情報!$C:$C)))))</f>
        <v/>
      </c>
      <c r="T295" s="116" t="str">
        <f>IF(OR(入力シート!$C$5&lt;&gt;入力リスト!$N$4,COUNTIF(入力シート!$J$16:$S$23,入力リスト!$K$4)=0),"",IF(A295="","",IF(ISERROR(AVERAGEIF(従業員の給与情報!$B:$B,$A295,従業員の給与情報!$D:$D)),0,IF(ISERROR(AVERAGEIF(従業員の給与情報!$B:$B,$A295,従業員の給与情報!$D:$D)),0,AVERAGEIF(従業員の給与情報!$B:$B,$A295,従業員の給与情報!$D:$D)))))</f>
        <v/>
      </c>
      <c r="U295" s="116" t="str">
        <f>IF(OR(入力シート!$C$5&lt;&gt;入力リスト!$N$4,COUNTIF(入力シート!$J$16:$S$23,入力リスト!$K$4)=0),"",IF(A295="","",IF(ISERROR(AVERAGEIF(従業員の給与情報!$B:$B,$A295,従業員の給与情報!$E:$E)),0,IF(ISERROR(AVERAGEIF(従業員の給与情報!$B:$B,$A295,従業員の給与情報!$E:$E)),0,AVERAGEIF(従業員の給与情報!$B:$B,$A295,従業員の給与情報!$E:$E)))))</f>
        <v/>
      </c>
      <c r="V295" s="117" t="str">
        <f>IF(OR(入力シート!$C$5&lt;&gt;入力リスト!$N$4,COUNTIF(入力シート!$J$16:$S$23,入力リスト!$K$4)=0),"",IF(A295="","",IF(ISERROR(AVERAGEIF(従業員の給与情報!$B:$B,$A295,従業員の給与情報!$F:$F)),0,IF(ISERROR(AVERAGEIF(従業員の給与情報!$B:$B,$A295,従業員の給与情報!$F:$F)),0,AVERAGEIF(従業員の給与情報!$B:$B,$A295,従業員の給与情報!$F:$F)))))</f>
        <v/>
      </c>
      <c r="W295" s="182"/>
      <c r="X295" s="260"/>
    </row>
    <row r="296" spans="1:24">
      <c r="A296" s="368"/>
      <c r="B296" s="361"/>
      <c r="C296" s="362"/>
      <c r="D296" s="361"/>
      <c r="E296" s="361"/>
      <c r="F296" s="372" t="str">
        <f>IF(G296,"この従業員番号は、すでに他のセルで入力されています。",IF(入力シート!$C$5=入力リスト!$N$5,"",IF(AND(A296="",B296="",C296="",D296="",E296=""),"",IF(OR(A296="",B296="",C296="",D296=""),IF(A296="","従業員番号","")&amp;IF(AND(A296="",OR(B296="",C296="",D296="")),",","")&amp;IF(B296="","雇用形態","")&amp;IF(AND(B296="",OR(C296="",D296="")),",","")&amp;IF(OR(入力シート!$J$18=入力リスト!$K$4,入力シート!$J$22=入力リスト!$K$4),IF(C296="","入社年月日",""),"")&amp;IF(AND(C296="",D296=""),",","")&amp;IF(D296="","性別","")&amp;IF(IF(A296="","従業員番号","")&amp;IF(B296="","雇用形態","")&amp;IF(OR(入力シート!$J$18=入力リスト!$K$4,入力シート!$J$22=入力リスト!$K$4),IF(C296="","入社年月日",""),"")&amp;IF(D296="","性別","")="","","が空白です。"),IF(J296,"入社年月日に「基準日」の翌日以降の日付が入力されています。","")&amp;IF(I296,"入社年月日に数値以外（又は1900/1/1以前の日付）が入力されています。","")&amp;IF(H296,"雇用形態"&amp;IF(OR(K296,L296),",",""),"")&amp;IF(K296,"性別"&amp;IF(L296,",",""),"")&amp;IF(L296,"役職","")&amp;IF(OR(H296,K296,L296),"に、［入力シート］(4)「貴社」欄と異なる文言が入力されています。","")))))</f>
        <v/>
      </c>
      <c r="G296" s="236" t="b">
        <f>COUNTIF($A$4:A295,$A296)&gt;0</f>
        <v>0</v>
      </c>
      <c r="H296" s="237" t="b">
        <f>IF(COUNTIF(入力シート!$J$16:$S$23,入力リスト!$K$4)=0,FALSE,IF(入力シート!$J$16=入力リスト!$K$5,FALSE,ISERROR(VLOOKUP(B296,入力シート!$S$37:$V$62,1,0))))</f>
        <v>0</v>
      </c>
      <c r="I296" s="237" t="b">
        <f>IF(AND(OR(入力シート!$J$18=入力リスト!$K$4,入力シート!$J$22=入力リスト!$K$4),入力シート!$J$24&lt;&gt;""),IF(ISERROR(C296+1),TRUE,IF(ISNUMBER(C296),FALSE,TRUE)),FALSE)</f>
        <v>0</v>
      </c>
      <c r="J296" s="237" t="b">
        <f>IF(AND(入力シート!$J$18=入力リスト!$K$4,入力シート!$J$22=入力リスト!$K$4),FALSE,IF(I296=TRUE,FALSE,IF(ISERROR(C296+1),FALSE,C296&gt;入力シート!$J$24)))</f>
        <v>0</v>
      </c>
      <c r="K296" s="237" t="b">
        <f>IF(COUNTIF(入力シート!$J$16:$S$23,入力リスト!$K$4)=0,FALSE,IF(AND(入力シート!$J$16&lt;&gt;入力リスト!$K$5,入力シート!$J$18&lt;&gt;入力リスト!$K$5,入力シート!$J$20&lt;&gt;入力リスト!$K$5,入力シート!$J$22&lt;&gt;入力リスト!$K$5),FALSE,ISERROR(VLOOKUP(D296,入力シート!$AW$37:$AY$38,1,0))))</f>
        <v>0</v>
      </c>
      <c r="L296" s="237" t="b">
        <f>IF(COUNTIF(入力シート!$J$16:$S$23,入力リスト!$K$4)=0,FALSE,IF(入力シート!$J$20=入力リスト!$K$5,FALSE,IF(E296="",FALSE,ISERROR(VLOOKUP(E296,入力シート!$AH$37:$AK$62,1,0)))))</f>
        <v>0</v>
      </c>
      <c r="M296" s="238" t="str">
        <f t="shared" si="4"/>
        <v/>
      </c>
      <c r="N296" s="236" t="str">
        <f>IF(B296="","",VLOOKUP('従業員情報(給与以外)'!$B296,入力シート!$S$37:$Z$62,5,0))</f>
        <v/>
      </c>
      <c r="O296" s="182" t="str">
        <f>IF(ISNUMBER(C296)=FALSE,"",IF(C296&gt;入力シート!$J$24,"",_xlfn.DAYS(入力シート!$J$24,'従業員情報(給与以外)'!$C296)/365))</f>
        <v/>
      </c>
      <c r="P296" s="237" t="str">
        <f>IF(O296="","",VLOOKUP(_xlfn.DAYS(入力シート!$J$24,'従業員情報(給与以外)'!$C296)/365,入力リスト!$H$4:$I$12,2,2))</f>
        <v/>
      </c>
      <c r="Q296" s="236" t="str">
        <f>IF(D296="","",VLOOKUP('従業員情報(給与以外)'!$D296,入力シート!$AW$37:$BB$38,4,0))</f>
        <v/>
      </c>
      <c r="R296" s="236" t="str">
        <f>IF(A296="","",IF(E296="","非役職",VLOOKUP('従業員情報(給与以外)'!$E296,入力シート!$AH$37:$AO$62,5,0)))</f>
        <v/>
      </c>
      <c r="S296" s="116" t="str">
        <f>IF(OR(入力シート!$C$5&lt;&gt;入力リスト!$N$4,COUNTIF(入力シート!$J$16:$S$23,入力リスト!$K$4)=0),"",IF($A296="","",IF(ISERROR(AVERAGEIF(従業員の給与情報!$B:$B,$A296,従業員の給与情報!$C:$C)),0,IF(ISERROR(AVERAGEIF(従業員の給与情報!$B:$B,$A296,従業員の給与情報!$C:$C)),0,AVERAGEIF(従業員の給与情報!$B:$B,$A296,従業員の給与情報!$C:$C)))))</f>
        <v/>
      </c>
      <c r="T296" s="116" t="str">
        <f>IF(OR(入力シート!$C$5&lt;&gt;入力リスト!$N$4,COUNTIF(入力シート!$J$16:$S$23,入力リスト!$K$4)=0),"",IF(A296="","",IF(ISERROR(AVERAGEIF(従業員の給与情報!$B:$B,$A296,従業員の給与情報!$D:$D)),0,IF(ISERROR(AVERAGEIF(従業員の給与情報!$B:$B,$A296,従業員の給与情報!$D:$D)),0,AVERAGEIF(従業員の給与情報!$B:$B,$A296,従業員の給与情報!$D:$D)))))</f>
        <v/>
      </c>
      <c r="U296" s="116" t="str">
        <f>IF(OR(入力シート!$C$5&lt;&gt;入力リスト!$N$4,COUNTIF(入力シート!$J$16:$S$23,入力リスト!$K$4)=0),"",IF(A296="","",IF(ISERROR(AVERAGEIF(従業員の給与情報!$B:$B,$A296,従業員の給与情報!$E:$E)),0,IF(ISERROR(AVERAGEIF(従業員の給与情報!$B:$B,$A296,従業員の給与情報!$E:$E)),0,AVERAGEIF(従業員の給与情報!$B:$B,$A296,従業員の給与情報!$E:$E)))))</f>
        <v/>
      </c>
      <c r="V296" s="117" t="str">
        <f>IF(OR(入力シート!$C$5&lt;&gt;入力リスト!$N$4,COUNTIF(入力シート!$J$16:$S$23,入力リスト!$K$4)=0),"",IF(A296="","",IF(ISERROR(AVERAGEIF(従業員の給与情報!$B:$B,$A296,従業員の給与情報!$F:$F)),0,IF(ISERROR(AVERAGEIF(従業員の給与情報!$B:$B,$A296,従業員の給与情報!$F:$F)),0,AVERAGEIF(従業員の給与情報!$B:$B,$A296,従業員の給与情報!$F:$F)))))</f>
        <v/>
      </c>
      <c r="W296" s="182"/>
      <c r="X296" s="260"/>
    </row>
    <row r="297" spans="1:24">
      <c r="A297" s="368"/>
      <c r="B297" s="361"/>
      <c r="C297" s="362"/>
      <c r="D297" s="361"/>
      <c r="E297" s="361"/>
      <c r="F297" s="372" t="str">
        <f>IF(G297,"この従業員番号は、すでに他のセルで入力されています。",IF(入力シート!$C$5=入力リスト!$N$5,"",IF(AND(A297="",B297="",C297="",D297="",E297=""),"",IF(OR(A297="",B297="",C297="",D297=""),IF(A297="","従業員番号","")&amp;IF(AND(A297="",OR(B297="",C297="",D297="")),",","")&amp;IF(B297="","雇用形態","")&amp;IF(AND(B297="",OR(C297="",D297="")),",","")&amp;IF(OR(入力シート!$J$18=入力リスト!$K$4,入力シート!$J$22=入力リスト!$K$4),IF(C297="","入社年月日",""),"")&amp;IF(AND(C297="",D297=""),",","")&amp;IF(D297="","性別","")&amp;IF(IF(A297="","従業員番号","")&amp;IF(B297="","雇用形態","")&amp;IF(OR(入力シート!$J$18=入力リスト!$K$4,入力シート!$J$22=入力リスト!$K$4),IF(C297="","入社年月日",""),"")&amp;IF(D297="","性別","")="","","が空白です。"),IF(J297,"入社年月日に「基準日」の翌日以降の日付が入力されています。","")&amp;IF(I297,"入社年月日に数値以外（又は1900/1/1以前の日付）が入力されています。","")&amp;IF(H297,"雇用形態"&amp;IF(OR(K297,L297),",",""),"")&amp;IF(K297,"性別"&amp;IF(L297,",",""),"")&amp;IF(L297,"役職","")&amp;IF(OR(H297,K297,L297),"に、［入力シート］(4)「貴社」欄と異なる文言が入力されています。","")))))</f>
        <v/>
      </c>
      <c r="G297" s="236" t="b">
        <f>COUNTIF($A$4:A296,$A297)&gt;0</f>
        <v>0</v>
      </c>
      <c r="H297" s="237" t="b">
        <f>IF(COUNTIF(入力シート!$J$16:$S$23,入力リスト!$K$4)=0,FALSE,IF(入力シート!$J$16=入力リスト!$K$5,FALSE,ISERROR(VLOOKUP(B297,入力シート!$S$37:$V$62,1,0))))</f>
        <v>0</v>
      </c>
      <c r="I297" s="237" t="b">
        <f>IF(AND(OR(入力シート!$J$18=入力リスト!$K$4,入力シート!$J$22=入力リスト!$K$4),入力シート!$J$24&lt;&gt;""),IF(ISERROR(C297+1),TRUE,IF(ISNUMBER(C297),FALSE,TRUE)),FALSE)</f>
        <v>0</v>
      </c>
      <c r="J297" s="237" t="b">
        <f>IF(AND(入力シート!$J$18=入力リスト!$K$4,入力シート!$J$22=入力リスト!$K$4),FALSE,IF(I297=TRUE,FALSE,IF(ISERROR(C297+1),FALSE,C297&gt;入力シート!$J$24)))</f>
        <v>0</v>
      </c>
      <c r="K297" s="237" t="b">
        <f>IF(COUNTIF(入力シート!$J$16:$S$23,入力リスト!$K$4)=0,FALSE,IF(AND(入力シート!$J$16&lt;&gt;入力リスト!$K$5,入力シート!$J$18&lt;&gt;入力リスト!$K$5,入力シート!$J$20&lt;&gt;入力リスト!$K$5,入力シート!$J$22&lt;&gt;入力リスト!$K$5),FALSE,ISERROR(VLOOKUP(D297,入力シート!$AW$37:$AY$38,1,0))))</f>
        <v>0</v>
      </c>
      <c r="L297" s="237" t="b">
        <f>IF(COUNTIF(入力シート!$J$16:$S$23,入力リスト!$K$4)=0,FALSE,IF(入力シート!$J$20=入力リスト!$K$5,FALSE,IF(E297="",FALSE,ISERROR(VLOOKUP(E297,入力シート!$AH$37:$AK$62,1,0)))))</f>
        <v>0</v>
      </c>
      <c r="M297" s="238" t="str">
        <f t="shared" si="4"/>
        <v/>
      </c>
      <c r="N297" s="236" t="str">
        <f>IF(B297="","",VLOOKUP('従業員情報(給与以外)'!$B297,入力シート!$S$37:$Z$62,5,0))</f>
        <v/>
      </c>
      <c r="O297" s="182" t="str">
        <f>IF(ISNUMBER(C297)=FALSE,"",IF(C297&gt;入力シート!$J$24,"",_xlfn.DAYS(入力シート!$J$24,'従業員情報(給与以外)'!$C297)/365))</f>
        <v/>
      </c>
      <c r="P297" s="237" t="str">
        <f>IF(O297="","",VLOOKUP(_xlfn.DAYS(入力シート!$J$24,'従業員情報(給与以外)'!$C297)/365,入力リスト!$H$4:$I$12,2,2))</f>
        <v/>
      </c>
      <c r="Q297" s="236" t="str">
        <f>IF(D297="","",VLOOKUP('従業員情報(給与以外)'!$D297,入力シート!$AW$37:$BB$38,4,0))</f>
        <v/>
      </c>
      <c r="R297" s="236" t="str">
        <f>IF(A297="","",IF(E297="","非役職",VLOOKUP('従業員情報(給与以外)'!$E297,入力シート!$AH$37:$AO$62,5,0)))</f>
        <v/>
      </c>
      <c r="S297" s="116" t="str">
        <f>IF(OR(入力シート!$C$5&lt;&gt;入力リスト!$N$4,COUNTIF(入力シート!$J$16:$S$23,入力リスト!$K$4)=0),"",IF($A297="","",IF(ISERROR(AVERAGEIF(従業員の給与情報!$B:$B,$A297,従業員の給与情報!$C:$C)),0,IF(ISERROR(AVERAGEIF(従業員の給与情報!$B:$B,$A297,従業員の給与情報!$C:$C)),0,AVERAGEIF(従業員の給与情報!$B:$B,$A297,従業員の給与情報!$C:$C)))))</f>
        <v/>
      </c>
      <c r="T297" s="116" t="str">
        <f>IF(OR(入力シート!$C$5&lt;&gt;入力リスト!$N$4,COUNTIF(入力シート!$J$16:$S$23,入力リスト!$K$4)=0),"",IF(A297="","",IF(ISERROR(AVERAGEIF(従業員の給与情報!$B:$B,$A297,従業員の給与情報!$D:$D)),0,IF(ISERROR(AVERAGEIF(従業員の給与情報!$B:$B,$A297,従業員の給与情報!$D:$D)),0,AVERAGEIF(従業員の給与情報!$B:$B,$A297,従業員の給与情報!$D:$D)))))</f>
        <v/>
      </c>
      <c r="U297" s="116" t="str">
        <f>IF(OR(入力シート!$C$5&lt;&gt;入力リスト!$N$4,COUNTIF(入力シート!$J$16:$S$23,入力リスト!$K$4)=0),"",IF(A297="","",IF(ISERROR(AVERAGEIF(従業員の給与情報!$B:$B,$A297,従業員の給与情報!$E:$E)),0,IF(ISERROR(AVERAGEIF(従業員の給与情報!$B:$B,$A297,従業員の給与情報!$E:$E)),0,AVERAGEIF(従業員の給与情報!$B:$B,$A297,従業員の給与情報!$E:$E)))))</f>
        <v/>
      </c>
      <c r="V297" s="117" t="str">
        <f>IF(OR(入力シート!$C$5&lt;&gt;入力リスト!$N$4,COUNTIF(入力シート!$J$16:$S$23,入力リスト!$K$4)=0),"",IF(A297="","",IF(ISERROR(AVERAGEIF(従業員の給与情報!$B:$B,$A297,従業員の給与情報!$F:$F)),0,IF(ISERROR(AVERAGEIF(従業員の給与情報!$B:$B,$A297,従業員の給与情報!$F:$F)),0,AVERAGEIF(従業員の給与情報!$B:$B,$A297,従業員の給与情報!$F:$F)))))</f>
        <v/>
      </c>
      <c r="W297" s="182"/>
      <c r="X297" s="260"/>
    </row>
    <row r="298" spans="1:24">
      <c r="A298" s="368"/>
      <c r="B298" s="361"/>
      <c r="C298" s="362"/>
      <c r="D298" s="361"/>
      <c r="E298" s="361"/>
      <c r="F298" s="372" t="str">
        <f>IF(G298,"この従業員番号は、すでに他のセルで入力されています。",IF(入力シート!$C$5=入力リスト!$N$5,"",IF(AND(A298="",B298="",C298="",D298="",E298=""),"",IF(OR(A298="",B298="",C298="",D298=""),IF(A298="","従業員番号","")&amp;IF(AND(A298="",OR(B298="",C298="",D298="")),",","")&amp;IF(B298="","雇用形態","")&amp;IF(AND(B298="",OR(C298="",D298="")),",","")&amp;IF(OR(入力シート!$J$18=入力リスト!$K$4,入力シート!$J$22=入力リスト!$K$4),IF(C298="","入社年月日",""),"")&amp;IF(AND(C298="",D298=""),",","")&amp;IF(D298="","性別","")&amp;IF(IF(A298="","従業員番号","")&amp;IF(B298="","雇用形態","")&amp;IF(OR(入力シート!$J$18=入力リスト!$K$4,入力シート!$J$22=入力リスト!$K$4),IF(C298="","入社年月日",""),"")&amp;IF(D298="","性別","")="","","が空白です。"),IF(J298,"入社年月日に「基準日」の翌日以降の日付が入力されています。","")&amp;IF(I298,"入社年月日に数値以外（又は1900/1/1以前の日付）が入力されています。","")&amp;IF(H298,"雇用形態"&amp;IF(OR(K298,L298),",",""),"")&amp;IF(K298,"性別"&amp;IF(L298,",",""),"")&amp;IF(L298,"役職","")&amp;IF(OR(H298,K298,L298),"に、［入力シート］(4)「貴社」欄と異なる文言が入力されています。","")))))</f>
        <v/>
      </c>
      <c r="G298" s="236" t="b">
        <f>COUNTIF($A$4:A297,$A298)&gt;0</f>
        <v>0</v>
      </c>
      <c r="H298" s="237" t="b">
        <f>IF(COUNTIF(入力シート!$J$16:$S$23,入力リスト!$K$4)=0,FALSE,IF(入力シート!$J$16=入力リスト!$K$5,FALSE,ISERROR(VLOOKUP(B298,入力シート!$S$37:$V$62,1,0))))</f>
        <v>0</v>
      </c>
      <c r="I298" s="237" t="b">
        <f>IF(AND(OR(入力シート!$J$18=入力リスト!$K$4,入力シート!$J$22=入力リスト!$K$4),入力シート!$J$24&lt;&gt;""),IF(ISERROR(C298+1),TRUE,IF(ISNUMBER(C298),FALSE,TRUE)),FALSE)</f>
        <v>0</v>
      </c>
      <c r="J298" s="237" t="b">
        <f>IF(AND(入力シート!$J$18=入力リスト!$K$4,入力シート!$J$22=入力リスト!$K$4),FALSE,IF(I298=TRUE,FALSE,IF(ISERROR(C298+1),FALSE,C298&gt;入力シート!$J$24)))</f>
        <v>0</v>
      </c>
      <c r="K298" s="237" t="b">
        <f>IF(COUNTIF(入力シート!$J$16:$S$23,入力リスト!$K$4)=0,FALSE,IF(AND(入力シート!$J$16&lt;&gt;入力リスト!$K$5,入力シート!$J$18&lt;&gt;入力リスト!$K$5,入力シート!$J$20&lt;&gt;入力リスト!$K$5,入力シート!$J$22&lt;&gt;入力リスト!$K$5),FALSE,ISERROR(VLOOKUP(D298,入力シート!$AW$37:$AY$38,1,0))))</f>
        <v>0</v>
      </c>
      <c r="L298" s="237" t="b">
        <f>IF(COUNTIF(入力シート!$J$16:$S$23,入力リスト!$K$4)=0,FALSE,IF(入力シート!$J$20=入力リスト!$K$5,FALSE,IF(E298="",FALSE,ISERROR(VLOOKUP(E298,入力シート!$AH$37:$AK$62,1,0)))))</f>
        <v>0</v>
      </c>
      <c r="M298" s="238" t="str">
        <f t="shared" si="4"/>
        <v/>
      </c>
      <c r="N298" s="236" t="str">
        <f>IF(B298="","",VLOOKUP('従業員情報(給与以外)'!$B298,入力シート!$S$37:$Z$62,5,0))</f>
        <v/>
      </c>
      <c r="O298" s="182" t="str">
        <f>IF(ISNUMBER(C298)=FALSE,"",IF(C298&gt;入力シート!$J$24,"",_xlfn.DAYS(入力シート!$J$24,'従業員情報(給与以外)'!$C298)/365))</f>
        <v/>
      </c>
      <c r="P298" s="237" t="str">
        <f>IF(O298="","",VLOOKUP(_xlfn.DAYS(入力シート!$J$24,'従業員情報(給与以外)'!$C298)/365,入力リスト!$H$4:$I$12,2,2))</f>
        <v/>
      </c>
      <c r="Q298" s="236" t="str">
        <f>IF(D298="","",VLOOKUP('従業員情報(給与以外)'!$D298,入力シート!$AW$37:$BB$38,4,0))</f>
        <v/>
      </c>
      <c r="R298" s="236" t="str">
        <f>IF(A298="","",IF(E298="","非役職",VLOOKUP('従業員情報(給与以外)'!$E298,入力シート!$AH$37:$AO$62,5,0)))</f>
        <v/>
      </c>
      <c r="S298" s="116" t="str">
        <f>IF(OR(入力シート!$C$5&lt;&gt;入力リスト!$N$4,COUNTIF(入力シート!$J$16:$S$23,入力リスト!$K$4)=0),"",IF($A298="","",IF(ISERROR(AVERAGEIF(従業員の給与情報!$B:$B,$A298,従業員の給与情報!$C:$C)),0,IF(ISERROR(AVERAGEIF(従業員の給与情報!$B:$B,$A298,従業員の給与情報!$C:$C)),0,AVERAGEIF(従業員の給与情報!$B:$B,$A298,従業員の給与情報!$C:$C)))))</f>
        <v/>
      </c>
      <c r="T298" s="116" t="str">
        <f>IF(OR(入力シート!$C$5&lt;&gt;入力リスト!$N$4,COUNTIF(入力シート!$J$16:$S$23,入力リスト!$K$4)=0),"",IF(A298="","",IF(ISERROR(AVERAGEIF(従業員の給与情報!$B:$B,$A298,従業員の給与情報!$D:$D)),0,IF(ISERROR(AVERAGEIF(従業員の給与情報!$B:$B,$A298,従業員の給与情報!$D:$D)),0,AVERAGEIF(従業員の給与情報!$B:$B,$A298,従業員の給与情報!$D:$D)))))</f>
        <v/>
      </c>
      <c r="U298" s="116" t="str">
        <f>IF(OR(入力シート!$C$5&lt;&gt;入力リスト!$N$4,COUNTIF(入力シート!$J$16:$S$23,入力リスト!$K$4)=0),"",IF(A298="","",IF(ISERROR(AVERAGEIF(従業員の給与情報!$B:$B,$A298,従業員の給与情報!$E:$E)),0,IF(ISERROR(AVERAGEIF(従業員の給与情報!$B:$B,$A298,従業員の給与情報!$E:$E)),0,AVERAGEIF(従業員の給与情報!$B:$B,$A298,従業員の給与情報!$E:$E)))))</f>
        <v/>
      </c>
      <c r="V298" s="117" t="str">
        <f>IF(OR(入力シート!$C$5&lt;&gt;入力リスト!$N$4,COUNTIF(入力シート!$J$16:$S$23,入力リスト!$K$4)=0),"",IF(A298="","",IF(ISERROR(AVERAGEIF(従業員の給与情報!$B:$B,$A298,従業員の給与情報!$F:$F)),0,IF(ISERROR(AVERAGEIF(従業員の給与情報!$B:$B,$A298,従業員の給与情報!$F:$F)),0,AVERAGEIF(従業員の給与情報!$B:$B,$A298,従業員の給与情報!$F:$F)))))</f>
        <v/>
      </c>
      <c r="W298" s="182"/>
      <c r="X298" s="260"/>
    </row>
    <row r="299" spans="1:24">
      <c r="A299" s="368"/>
      <c r="B299" s="361"/>
      <c r="C299" s="362"/>
      <c r="D299" s="361"/>
      <c r="E299" s="361"/>
      <c r="F299" s="372" t="str">
        <f>IF(G299,"この従業員番号は、すでに他のセルで入力されています。",IF(入力シート!$C$5=入力リスト!$N$5,"",IF(AND(A299="",B299="",C299="",D299="",E299=""),"",IF(OR(A299="",B299="",C299="",D299=""),IF(A299="","従業員番号","")&amp;IF(AND(A299="",OR(B299="",C299="",D299="")),",","")&amp;IF(B299="","雇用形態","")&amp;IF(AND(B299="",OR(C299="",D299="")),",","")&amp;IF(OR(入力シート!$J$18=入力リスト!$K$4,入力シート!$J$22=入力リスト!$K$4),IF(C299="","入社年月日",""),"")&amp;IF(AND(C299="",D299=""),",","")&amp;IF(D299="","性別","")&amp;IF(IF(A299="","従業員番号","")&amp;IF(B299="","雇用形態","")&amp;IF(OR(入力シート!$J$18=入力リスト!$K$4,入力シート!$J$22=入力リスト!$K$4),IF(C299="","入社年月日",""),"")&amp;IF(D299="","性別","")="","","が空白です。"),IF(J299,"入社年月日に「基準日」の翌日以降の日付が入力されています。","")&amp;IF(I299,"入社年月日に数値以外（又は1900/1/1以前の日付）が入力されています。","")&amp;IF(H299,"雇用形態"&amp;IF(OR(K299,L299),",",""),"")&amp;IF(K299,"性別"&amp;IF(L299,",",""),"")&amp;IF(L299,"役職","")&amp;IF(OR(H299,K299,L299),"に、［入力シート］(4)「貴社」欄と異なる文言が入力されています。","")))))</f>
        <v/>
      </c>
      <c r="G299" s="236" t="b">
        <f>COUNTIF($A$4:A298,$A299)&gt;0</f>
        <v>0</v>
      </c>
      <c r="H299" s="237" t="b">
        <f>IF(COUNTIF(入力シート!$J$16:$S$23,入力リスト!$K$4)=0,FALSE,IF(入力シート!$J$16=入力リスト!$K$5,FALSE,ISERROR(VLOOKUP(B299,入力シート!$S$37:$V$62,1,0))))</f>
        <v>0</v>
      </c>
      <c r="I299" s="237" t="b">
        <f>IF(AND(OR(入力シート!$J$18=入力リスト!$K$4,入力シート!$J$22=入力リスト!$K$4),入力シート!$J$24&lt;&gt;""),IF(ISERROR(C299+1),TRUE,IF(ISNUMBER(C299),FALSE,TRUE)),FALSE)</f>
        <v>0</v>
      </c>
      <c r="J299" s="237" t="b">
        <f>IF(AND(入力シート!$J$18=入力リスト!$K$4,入力シート!$J$22=入力リスト!$K$4),FALSE,IF(I299=TRUE,FALSE,IF(ISERROR(C299+1),FALSE,C299&gt;入力シート!$J$24)))</f>
        <v>0</v>
      </c>
      <c r="K299" s="237" t="b">
        <f>IF(COUNTIF(入力シート!$J$16:$S$23,入力リスト!$K$4)=0,FALSE,IF(AND(入力シート!$J$16&lt;&gt;入力リスト!$K$5,入力シート!$J$18&lt;&gt;入力リスト!$K$5,入力シート!$J$20&lt;&gt;入力リスト!$K$5,入力シート!$J$22&lt;&gt;入力リスト!$K$5),FALSE,ISERROR(VLOOKUP(D299,入力シート!$AW$37:$AY$38,1,0))))</f>
        <v>0</v>
      </c>
      <c r="L299" s="237" t="b">
        <f>IF(COUNTIF(入力シート!$J$16:$S$23,入力リスト!$K$4)=0,FALSE,IF(入力シート!$J$20=入力リスト!$K$5,FALSE,IF(E299="",FALSE,ISERROR(VLOOKUP(E299,入力シート!$AH$37:$AK$62,1,0)))))</f>
        <v>0</v>
      </c>
      <c r="M299" s="238" t="str">
        <f t="shared" si="4"/>
        <v/>
      </c>
      <c r="N299" s="236" t="str">
        <f>IF(B299="","",VLOOKUP('従業員情報(給与以外)'!$B299,入力シート!$S$37:$Z$62,5,0))</f>
        <v/>
      </c>
      <c r="O299" s="182" t="str">
        <f>IF(ISNUMBER(C299)=FALSE,"",IF(C299&gt;入力シート!$J$24,"",_xlfn.DAYS(入力シート!$J$24,'従業員情報(給与以外)'!$C299)/365))</f>
        <v/>
      </c>
      <c r="P299" s="237" t="str">
        <f>IF(O299="","",VLOOKUP(_xlfn.DAYS(入力シート!$J$24,'従業員情報(給与以外)'!$C299)/365,入力リスト!$H$4:$I$12,2,2))</f>
        <v/>
      </c>
      <c r="Q299" s="236" t="str">
        <f>IF(D299="","",VLOOKUP('従業員情報(給与以外)'!$D299,入力シート!$AW$37:$BB$38,4,0))</f>
        <v/>
      </c>
      <c r="R299" s="236" t="str">
        <f>IF(A299="","",IF(E299="","非役職",VLOOKUP('従業員情報(給与以外)'!$E299,入力シート!$AH$37:$AO$62,5,0)))</f>
        <v/>
      </c>
      <c r="S299" s="116" t="str">
        <f>IF(OR(入力シート!$C$5&lt;&gt;入力リスト!$N$4,COUNTIF(入力シート!$J$16:$S$23,入力リスト!$K$4)=0),"",IF($A299="","",IF(ISERROR(AVERAGEIF(従業員の給与情報!$B:$B,$A299,従業員の給与情報!$C:$C)),0,IF(ISERROR(AVERAGEIF(従業員の給与情報!$B:$B,$A299,従業員の給与情報!$C:$C)),0,AVERAGEIF(従業員の給与情報!$B:$B,$A299,従業員の給与情報!$C:$C)))))</f>
        <v/>
      </c>
      <c r="T299" s="116" t="str">
        <f>IF(OR(入力シート!$C$5&lt;&gt;入力リスト!$N$4,COUNTIF(入力シート!$J$16:$S$23,入力リスト!$K$4)=0),"",IF(A299="","",IF(ISERROR(AVERAGEIF(従業員の給与情報!$B:$B,$A299,従業員の給与情報!$D:$D)),0,IF(ISERROR(AVERAGEIF(従業員の給与情報!$B:$B,$A299,従業員の給与情報!$D:$D)),0,AVERAGEIF(従業員の給与情報!$B:$B,$A299,従業員の給与情報!$D:$D)))))</f>
        <v/>
      </c>
      <c r="U299" s="116" t="str">
        <f>IF(OR(入力シート!$C$5&lt;&gt;入力リスト!$N$4,COUNTIF(入力シート!$J$16:$S$23,入力リスト!$K$4)=0),"",IF(A299="","",IF(ISERROR(AVERAGEIF(従業員の給与情報!$B:$B,$A299,従業員の給与情報!$E:$E)),0,IF(ISERROR(AVERAGEIF(従業員の給与情報!$B:$B,$A299,従業員の給与情報!$E:$E)),0,AVERAGEIF(従業員の給与情報!$B:$B,$A299,従業員の給与情報!$E:$E)))))</f>
        <v/>
      </c>
      <c r="V299" s="117" t="str">
        <f>IF(OR(入力シート!$C$5&lt;&gt;入力リスト!$N$4,COUNTIF(入力シート!$J$16:$S$23,入力リスト!$K$4)=0),"",IF(A299="","",IF(ISERROR(AVERAGEIF(従業員の給与情報!$B:$B,$A299,従業員の給与情報!$F:$F)),0,IF(ISERROR(AVERAGEIF(従業員の給与情報!$B:$B,$A299,従業員の給与情報!$F:$F)),0,AVERAGEIF(従業員の給与情報!$B:$B,$A299,従業員の給与情報!$F:$F)))))</f>
        <v/>
      </c>
      <c r="W299" s="182"/>
      <c r="X299" s="260"/>
    </row>
    <row r="300" spans="1:24">
      <c r="A300" s="368"/>
      <c r="B300" s="361"/>
      <c r="C300" s="362"/>
      <c r="D300" s="361"/>
      <c r="E300" s="361"/>
      <c r="F300" s="372" t="str">
        <f>IF(G300,"この従業員番号は、すでに他のセルで入力されています。",IF(入力シート!$C$5=入力リスト!$N$5,"",IF(AND(A300="",B300="",C300="",D300="",E300=""),"",IF(OR(A300="",B300="",C300="",D300=""),IF(A300="","従業員番号","")&amp;IF(AND(A300="",OR(B300="",C300="",D300="")),",","")&amp;IF(B300="","雇用形態","")&amp;IF(AND(B300="",OR(C300="",D300="")),",","")&amp;IF(OR(入力シート!$J$18=入力リスト!$K$4,入力シート!$J$22=入力リスト!$K$4),IF(C300="","入社年月日",""),"")&amp;IF(AND(C300="",D300=""),",","")&amp;IF(D300="","性別","")&amp;IF(IF(A300="","従業員番号","")&amp;IF(B300="","雇用形態","")&amp;IF(OR(入力シート!$J$18=入力リスト!$K$4,入力シート!$J$22=入力リスト!$K$4),IF(C300="","入社年月日",""),"")&amp;IF(D300="","性別","")="","","が空白です。"),IF(J300,"入社年月日に「基準日」の翌日以降の日付が入力されています。","")&amp;IF(I300,"入社年月日に数値以外（又は1900/1/1以前の日付）が入力されています。","")&amp;IF(H300,"雇用形態"&amp;IF(OR(K300,L300),",",""),"")&amp;IF(K300,"性別"&amp;IF(L300,",",""),"")&amp;IF(L300,"役職","")&amp;IF(OR(H300,K300,L300),"に、［入力シート］(4)「貴社」欄と異なる文言が入力されています。","")))))</f>
        <v/>
      </c>
      <c r="G300" s="236" t="b">
        <f>COUNTIF($A$4:A299,$A300)&gt;0</f>
        <v>0</v>
      </c>
      <c r="H300" s="237" t="b">
        <f>IF(COUNTIF(入力シート!$J$16:$S$23,入力リスト!$K$4)=0,FALSE,IF(入力シート!$J$16=入力リスト!$K$5,FALSE,ISERROR(VLOOKUP(B300,入力シート!$S$37:$V$62,1,0))))</f>
        <v>0</v>
      </c>
      <c r="I300" s="237" t="b">
        <f>IF(AND(OR(入力シート!$J$18=入力リスト!$K$4,入力シート!$J$22=入力リスト!$K$4),入力シート!$J$24&lt;&gt;""),IF(ISERROR(C300+1),TRUE,IF(ISNUMBER(C300),FALSE,TRUE)),FALSE)</f>
        <v>0</v>
      </c>
      <c r="J300" s="237" t="b">
        <f>IF(AND(入力シート!$J$18=入力リスト!$K$4,入力シート!$J$22=入力リスト!$K$4),FALSE,IF(I300=TRUE,FALSE,IF(ISERROR(C300+1),FALSE,C300&gt;入力シート!$J$24)))</f>
        <v>0</v>
      </c>
      <c r="K300" s="237" t="b">
        <f>IF(COUNTIF(入力シート!$J$16:$S$23,入力リスト!$K$4)=0,FALSE,IF(AND(入力シート!$J$16&lt;&gt;入力リスト!$K$5,入力シート!$J$18&lt;&gt;入力リスト!$K$5,入力シート!$J$20&lt;&gt;入力リスト!$K$5,入力シート!$J$22&lt;&gt;入力リスト!$K$5),FALSE,ISERROR(VLOOKUP(D300,入力シート!$AW$37:$AY$38,1,0))))</f>
        <v>0</v>
      </c>
      <c r="L300" s="237" t="b">
        <f>IF(COUNTIF(入力シート!$J$16:$S$23,入力リスト!$K$4)=0,FALSE,IF(入力シート!$J$20=入力リスト!$K$5,FALSE,IF(E300="",FALSE,ISERROR(VLOOKUP(E300,入力シート!$AH$37:$AK$62,1,0)))))</f>
        <v>0</v>
      </c>
      <c r="M300" s="238" t="str">
        <f t="shared" si="4"/>
        <v/>
      </c>
      <c r="N300" s="236" t="str">
        <f>IF(B300="","",VLOOKUP('従業員情報(給与以外)'!$B300,入力シート!$S$37:$Z$62,5,0))</f>
        <v/>
      </c>
      <c r="O300" s="182" t="str">
        <f>IF(ISNUMBER(C300)=FALSE,"",IF(C300&gt;入力シート!$J$24,"",_xlfn.DAYS(入力シート!$J$24,'従業員情報(給与以外)'!$C300)/365))</f>
        <v/>
      </c>
      <c r="P300" s="237" t="str">
        <f>IF(O300="","",VLOOKUP(_xlfn.DAYS(入力シート!$J$24,'従業員情報(給与以外)'!$C300)/365,入力リスト!$H$4:$I$12,2,2))</f>
        <v/>
      </c>
      <c r="Q300" s="236" t="str">
        <f>IF(D300="","",VLOOKUP('従業員情報(給与以外)'!$D300,入力シート!$AW$37:$BB$38,4,0))</f>
        <v/>
      </c>
      <c r="R300" s="236" t="str">
        <f>IF(A300="","",IF(E300="","非役職",VLOOKUP('従業員情報(給与以外)'!$E300,入力シート!$AH$37:$AO$62,5,0)))</f>
        <v/>
      </c>
      <c r="S300" s="116" t="str">
        <f>IF(OR(入力シート!$C$5&lt;&gt;入力リスト!$N$4,COUNTIF(入力シート!$J$16:$S$23,入力リスト!$K$4)=0),"",IF($A300="","",IF(ISERROR(AVERAGEIF(従業員の給与情報!$B:$B,$A300,従業員の給与情報!$C:$C)),0,IF(ISERROR(AVERAGEIF(従業員の給与情報!$B:$B,$A300,従業員の給与情報!$C:$C)),0,AVERAGEIF(従業員の給与情報!$B:$B,$A300,従業員の給与情報!$C:$C)))))</f>
        <v/>
      </c>
      <c r="T300" s="116" t="str">
        <f>IF(OR(入力シート!$C$5&lt;&gt;入力リスト!$N$4,COUNTIF(入力シート!$J$16:$S$23,入力リスト!$K$4)=0),"",IF(A300="","",IF(ISERROR(AVERAGEIF(従業員の給与情報!$B:$B,$A300,従業員の給与情報!$D:$D)),0,IF(ISERROR(AVERAGEIF(従業員の給与情報!$B:$B,$A300,従業員の給与情報!$D:$D)),0,AVERAGEIF(従業員の給与情報!$B:$B,$A300,従業員の給与情報!$D:$D)))))</f>
        <v/>
      </c>
      <c r="U300" s="116" t="str">
        <f>IF(OR(入力シート!$C$5&lt;&gt;入力リスト!$N$4,COUNTIF(入力シート!$J$16:$S$23,入力リスト!$K$4)=0),"",IF(A300="","",IF(ISERROR(AVERAGEIF(従業員の給与情報!$B:$B,$A300,従業員の給与情報!$E:$E)),0,IF(ISERROR(AVERAGEIF(従業員の給与情報!$B:$B,$A300,従業員の給与情報!$E:$E)),0,AVERAGEIF(従業員の給与情報!$B:$B,$A300,従業員の給与情報!$E:$E)))))</f>
        <v/>
      </c>
      <c r="V300" s="117" t="str">
        <f>IF(OR(入力シート!$C$5&lt;&gt;入力リスト!$N$4,COUNTIF(入力シート!$J$16:$S$23,入力リスト!$K$4)=0),"",IF(A300="","",IF(ISERROR(AVERAGEIF(従業員の給与情報!$B:$B,$A300,従業員の給与情報!$F:$F)),0,IF(ISERROR(AVERAGEIF(従業員の給与情報!$B:$B,$A300,従業員の給与情報!$F:$F)),0,AVERAGEIF(従業員の給与情報!$B:$B,$A300,従業員の給与情報!$F:$F)))))</f>
        <v/>
      </c>
      <c r="W300" s="182"/>
      <c r="X300" s="260"/>
    </row>
    <row r="301" spans="1:24">
      <c r="A301" s="368"/>
      <c r="B301" s="361"/>
      <c r="C301" s="362"/>
      <c r="D301" s="361"/>
      <c r="E301" s="361"/>
      <c r="F301" s="372" t="str">
        <f>IF(G301,"この従業員番号は、すでに他のセルで入力されています。",IF(入力シート!$C$5=入力リスト!$N$5,"",IF(AND(A301="",B301="",C301="",D301="",E301=""),"",IF(OR(A301="",B301="",C301="",D301=""),IF(A301="","従業員番号","")&amp;IF(AND(A301="",OR(B301="",C301="",D301="")),",","")&amp;IF(B301="","雇用形態","")&amp;IF(AND(B301="",OR(C301="",D301="")),",","")&amp;IF(OR(入力シート!$J$18=入力リスト!$K$4,入力シート!$J$22=入力リスト!$K$4),IF(C301="","入社年月日",""),"")&amp;IF(AND(C301="",D301=""),",","")&amp;IF(D301="","性別","")&amp;IF(IF(A301="","従業員番号","")&amp;IF(B301="","雇用形態","")&amp;IF(OR(入力シート!$J$18=入力リスト!$K$4,入力シート!$J$22=入力リスト!$K$4),IF(C301="","入社年月日",""),"")&amp;IF(D301="","性別","")="","","が空白です。"),IF(J301,"入社年月日に「基準日」の翌日以降の日付が入力されています。","")&amp;IF(I301,"入社年月日に数値以外（又は1900/1/1以前の日付）が入力されています。","")&amp;IF(H301,"雇用形態"&amp;IF(OR(K301,L301),",",""),"")&amp;IF(K301,"性別"&amp;IF(L301,",",""),"")&amp;IF(L301,"役職","")&amp;IF(OR(H301,K301,L301),"に、［入力シート］(4)「貴社」欄と異なる文言が入力されています。","")))))</f>
        <v/>
      </c>
      <c r="G301" s="236" t="b">
        <f>COUNTIF($A$4:A300,$A301)&gt;0</f>
        <v>0</v>
      </c>
      <c r="H301" s="237" t="b">
        <f>IF(COUNTIF(入力シート!$J$16:$S$23,入力リスト!$K$4)=0,FALSE,IF(入力シート!$J$16=入力リスト!$K$5,FALSE,ISERROR(VLOOKUP(B301,入力シート!$S$37:$V$62,1,0))))</f>
        <v>0</v>
      </c>
      <c r="I301" s="237" t="b">
        <f>IF(AND(OR(入力シート!$J$18=入力リスト!$K$4,入力シート!$J$22=入力リスト!$K$4),入力シート!$J$24&lt;&gt;""),IF(ISERROR(C301+1),TRUE,IF(ISNUMBER(C301),FALSE,TRUE)),FALSE)</f>
        <v>0</v>
      </c>
      <c r="J301" s="237" t="b">
        <f>IF(AND(入力シート!$J$18=入力リスト!$K$4,入力シート!$J$22=入力リスト!$K$4),FALSE,IF(I301=TRUE,FALSE,IF(ISERROR(C301+1),FALSE,C301&gt;入力シート!$J$24)))</f>
        <v>0</v>
      </c>
      <c r="K301" s="237" t="b">
        <f>IF(COUNTIF(入力シート!$J$16:$S$23,入力リスト!$K$4)=0,FALSE,IF(AND(入力シート!$J$16&lt;&gt;入力リスト!$K$5,入力シート!$J$18&lt;&gt;入力リスト!$K$5,入力シート!$J$20&lt;&gt;入力リスト!$K$5,入力シート!$J$22&lt;&gt;入力リスト!$K$5),FALSE,ISERROR(VLOOKUP(D301,入力シート!$AW$37:$AY$38,1,0))))</f>
        <v>0</v>
      </c>
      <c r="L301" s="237" t="b">
        <f>IF(COUNTIF(入力シート!$J$16:$S$23,入力リスト!$K$4)=0,FALSE,IF(入力シート!$J$20=入力リスト!$K$5,FALSE,IF(E301="",FALSE,ISERROR(VLOOKUP(E301,入力シート!$AH$37:$AK$62,1,0)))))</f>
        <v>0</v>
      </c>
      <c r="M301" s="238" t="str">
        <f t="shared" si="4"/>
        <v/>
      </c>
      <c r="N301" s="236" t="str">
        <f>IF(B301="","",VLOOKUP('従業員情報(給与以外)'!$B301,入力シート!$S$37:$Z$62,5,0))</f>
        <v/>
      </c>
      <c r="O301" s="182" t="str">
        <f>IF(ISNUMBER(C301)=FALSE,"",IF(C301&gt;入力シート!$J$24,"",_xlfn.DAYS(入力シート!$J$24,'従業員情報(給与以外)'!$C301)/365))</f>
        <v/>
      </c>
      <c r="P301" s="237" t="str">
        <f>IF(O301="","",VLOOKUP(_xlfn.DAYS(入力シート!$J$24,'従業員情報(給与以外)'!$C301)/365,入力リスト!$H$4:$I$12,2,2))</f>
        <v/>
      </c>
      <c r="Q301" s="236" t="str">
        <f>IF(D301="","",VLOOKUP('従業員情報(給与以外)'!$D301,入力シート!$AW$37:$BB$38,4,0))</f>
        <v/>
      </c>
      <c r="R301" s="236" t="str">
        <f>IF(A301="","",IF(E301="","非役職",VLOOKUP('従業員情報(給与以外)'!$E301,入力シート!$AH$37:$AO$62,5,0)))</f>
        <v/>
      </c>
      <c r="S301" s="116" t="str">
        <f>IF(OR(入力シート!$C$5&lt;&gt;入力リスト!$N$4,COUNTIF(入力シート!$J$16:$S$23,入力リスト!$K$4)=0),"",IF($A301="","",IF(ISERROR(AVERAGEIF(従業員の給与情報!$B:$B,$A301,従業員の給与情報!$C:$C)),0,IF(ISERROR(AVERAGEIF(従業員の給与情報!$B:$B,$A301,従業員の給与情報!$C:$C)),0,AVERAGEIF(従業員の給与情報!$B:$B,$A301,従業員の給与情報!$C:$C)))))</f>
        <v/>
      </c>
      <c r="T301" s="116" t="str">
        <f>IF(OR(入力シート!$C$5&lt;&gt;入力リスト!$N$4,COUNTIF(入力シート!$J$16:$S$23,入力リスト!$K$4)=0),"",IF(A301="","",IF(ISERROR(AVERAGEIF(従業員の給与情報!$B:$B,$A301,従業員の給与情報!$D:$D)),0,IF(ISERROR(AVERAGEIF(従業員の給与情報!$B:$B,$A301,従業員の給与情報!$D:$D)),0,AVERAGEIF(従業員の給与情報!$B:$B,$A301,従業員の給与情報!$D:$D)))))</f>
        <v/>
      </c>
      <c r="U301" s="116" t="str">
        <f>IF(OR(入力シート!$C$5&lt;&gt;入力リスト!$N$4,COUNTIF(入力シート!$J$16:$S$23,入力リスト!$K$4)=0),"",IF(A301="","",IF(ISERROR(AVERAGEIF(従業員の給与情報!$B:$B,$A301,従業員の給与情報!$E:$E)),0,IF(ISERROR(AVERAGEIF(従業員の給与情報!$B:$B,$A301,従業員の給与情報!$E:$E)),0,AVERAGEIF(従業員の給与情報!$B:$B,$A301,従業員の給与情報!$E:$E)))))</f>
        <v/>
      </c>
      <c r="V301" s="117" t="str">
        <f>IF(OR(入力シート!$C$5&lt;&gt;入力リスト!$N$4,COUNTIF(入力シート!$J$16:$S$23,入力リスト!$K$4)=0),"",IF(A301="","",IF(ISERROR(AVERAGEIF(従業員の給与情報!$B:$B,$A301,従業員の給与情報!$F:$F)),0,IF(ISERROR(AVERAGEIF(従業員の給与情報!$B:$B,$A301,従業員の給与情報!$F:$F)),0,AVERAGEIF(従業員の給与情報!$B:$B,$A301,従業員の給与情報!$F:$F)))))</f>
        <v/>
      </c>
      <c r="W301" s="182"/>
      <c r="X301" s="260"/>
    </row>
    <row r="302" spans="1:24">
      <c r="A302" s="368"/>
      <c r="B302" s="361"/>
      <c r="C302" s="362"/>
      <c r="D302" s="361"/>
      <c r="E302" s="361"/>
      <c r="F302" s="372" t="str">
        <f>IF(G302,"この従業員番号は、すでに他のセルで入力されています。",IF(入力シート!$C$5=入力リスト!$N$5,"",IF(AND(A302="",B302="",C302="",D302="",E302=""),"",IF(OR(A302="",B302="",C302="",D302=""),IF(A302="","従業員番号","")&amp;IF(AND(A302="",OR(B302="",C302="",D302="")),",","")&amp;IF(B302="","雇用形態","")&amp;IF(AND(B302="",OR(C302="",D302="")),",","")&amp;IF(OR(入力シート!$J$18=入力リスト!$K$4,入力シート!$J$22=入力リスト!$K$4),IF(C302="","入社年月日",""),"")&amp;IF(AND(C302="",D302=""),",","")&amp;IF(D302="","性別","")&amp;IF(IF(A302="","従業員番号","")&amp;IF(B302="","雇用形態","")&amp;IF(OR(入力シート!$J$18=入力リスト!$K$4,入力シート!$J$22=入力リスト!$K$4),IF(C302="","入社年月日",""),"")&amp;IF(D302="","性別","")="","","が空白です。"),IF(J302,"入社年月日に「基準日」の翌日以降の日付が入力されています。","")&amp;IF(I302,"入社年月日に数値以外（又は1900/1/1以前の日付）が入力されています。","")&amp;IF(H302,"雇用形態"&amp;IF(OR(K302,L302),",",""),"")&amp;IF(K302,"性別"&amp;IF(L302,",",""),"")&amp;IF(L302,"役職","")&amp;IF(OR(H302,K302,L302),"に、［入力シート］(4)「貴社」欄と異なる文言が入力されています。","")))))</f>
        <v/>
      </c>
      <c r="G302" s="236" t="b">
        <f>COUNTIF($A$4:A301,$A302)&gt;0</f>
        <v>0</v>
      </c>
      <c r="H302" s="237" t="b">
        <f>IF(COUNTIF(入力シート!$J$16:$S$23,入力リスト!$K$4)=0,FALSE,IF(入力シート!$J$16=入力リスト!$K$5,FALSE,ISERROR(VLOOKUP(B302,入力シート!$S$37:$V$62,1,0))))</f>
        <v>0</v>
      </c>
      <c r="I302" s="237" t="b">
        <f>IF(AND(OR(入力シート!$J$18=入力リスト!$K$4,入力シート!$J$22=入力リスト!$K$4),入力シート!$J$24&lt;&gt;""),IF(ISERROR(C302+1),TRUE,IF(ISNUMBER(C302),FALSE,TRUE)),FALSE)</f>
        <v>0</v>
      </c>
      <c r="J302" s="237" t="b">
        <f>IF(AND(入力シート!$J$18=入力リスト!$K$4,入力シート!$J$22=入力リスト!$K$4),FALSE,IF(I302=TRUE,FALSE,IF(ISERROR(C302+1),FALSE,C302&gt;入力シート!$J$24)))</f>
        <v>0</v>
      </c>
      <c r="K302" s="237" t="b">
        <f>IF(COUNTIF(入力シート!$J$16:$S$23,入力リスト!$K$4)=0,FALSE,IF(AND(入力シート!$J$16&lt;&gt;入力リスト!$K$5,入力シート!$J$18&lt;&gt;入力リスト!$K$5,入力シート!$J$20&lt;&gt;入力リスト!$K$5,入力シート!$J$22&lt;&gt;入力リスト!$K$5),FALSE,ISERROR(VLOOKUP(D302,入力シート!$AW$37:$AY$38,1,0))))</f>
        <v>0</v>
      </c>
      <c r="L302" s="237" t="b">
        <f>IF(COUNTIF(入力シート!$J$16:$S$23,入力リスト!$K$4)=0,FALSE,IF(入力シート!$J$20=入力リスト!$K$5,FALSE,IF(E302="",FALSE,ISERROR(VLOOKUP(E302,入力シート!$AH$37:$AK$62,1,0)))))</f>
        <v>0</v>
      </c>
      <c r="M302" s="238" t="str">
        <f t="shared" si="4"/>
        <v/>
      </c>
      <c r="N302" s="236" t="str">
        <f>IF(B302="","",VLOOKUP('従業員情報(給与以外)'!$B302,入力シート!$S$37:$Z$62,5,0))</f>
        <v/>
      </c>
      <c r="O302" s="182" t="str">
        <f>IF(ISNUMBER(C302)=FALSE,"",IF(C302&gt;入力シート!$J$24,"",_xlfn.DAYS(入力シート!$J$24,'従業員情報(給与以外)'!$C302)/365))</f>
        <v/>
      </c>
      <c r="P302" s="237" t="str">
        <f>IF(O302="","",VLOOKUP(_xlfn.DAYS(入力シート!$J$24,'従業員情報(給与以外)'!$C302)/365,入力リスト!$H$4:$I$12,2,2))</f>
        <v/>
      </c>
      <c r="Q302" s="237" t="str">
        <f>IF(COUNTIF(L302,"*入社年月日に数値以外*"),"※1900/0/0以前は数値として認識されません。","")</f>
        <v/>
      </c>
      <c r="R302" s="236" t="str">
        <f>IF(A302="","",IF(E302="","非役職",VLOOKUP('従業員情報(給与以外)'!$E302,入力シート!$AH$37:$AO$62,5,0)))</f>
        <v/>
      </c>
      <c r="S302" s="116" t="str">
        <f>IF(OR(入力シート!$C$5&lt;&gt;入力リスト!$N$4,COUNTIF(入力シート!$J$16:$S$23,入力リスト!$K$4)=0),"",IF($A302="","",IF(ISERROR(AVERAGEIF(従業員の給与情報!$B:$B,$A302,従業員の給与情報!$C:$C)),0,IF(ISERROR(AVERAGEIF(従業員の給与情報!$B:$B,$A302,従業員の給与情報!$C:$C)),0,AVERAGEIF(従業員の給与情報!$B:$B,$A302,従業員の給与情報!$C:$C)))))</f>
        <v/>
      </c>
      <c r="T302" s="116" t="str">
        <f>IF(OR(入力シート!$C$5&lt;&gt;入力リスト!$N$4,COUNTIF(入力シート!$J$16:$S$23,入力リスト!$K$4)=0),"",IF(A302="","",IF(ISERROR(AVERAGEIF(従業員の給与情報!$B:$B,$A302,従業員の給与情報!$D:$D)),0,IF(ISERROR(AVERAGEIF(従業員の給与情報!$B:$B,$A302,従業員の給与情報!$D:$D)),0,AVERAGEIF(従業員の給与情報!$B:$B,$A302,従業員の給与情報!$D:$D)))))</f>
        <v/>
      </c>
      <c r="U302" s="116" t="str">
        <f>IF(OR(入力シート!$C$5&lt;&gt;入力リスト!$N$4,COUNTIF(入力シート!$J$16:$S$23,入力リスト!$K$4)=0),"",IF(A302="","",IF(ISERROR(AVERAGEIF(従業員の給与情報!$B:$B,$A302,従業員の給与情報!$E:$E)),0,IF(ISERROR(AVERAGEIF(従業員の給与情報!$B:$B,$A302,従業員の給与情報!$E:$E)),0,AVERAGEIF(従業員の給与情報!$B:$B,$A302,従業員の給与情報!$E:$E)))))</f>
        <v/>
      </c>
      <c r="V302" s="117" t="str">
        <f>IF(OR(入力シート!$C$5&lt;&gt;入力リスト!$N$4,COUNTIF(入力シート!$J$16:$S$23,入力リスト!$K$4)=0),"",IF(A302="","",IF(ISERROR(AVERAGEIF(従業員の給与情報!$B:$B,$A302,従業員の給与情報!$F:$F)),0,IF(ISERROR(AVERAGEIF(従業員の給与情報!$B:$B,$A302,従業員の給与情報!$F:$F)),0,AVERAGEIF(従業員の給与情報!$B:$B,$A302,従業員の給与情報!$F:$F)))))</f>
        <v/>
      </c>
      <c r="W302" s="182"/>
      <c r="X302" s="260"/>
    </row>
    <row r="303" spans="1:24">
      <c r="A303" s="368"/>
      <c r="B303" s="361"/>
      <c r="C303" s="362"/>
      <c r="D303" s="361"/>
      <c r="E303" s="361"/>
      <c r="F303" s="372" t="str">
        <f>IF(G303,"この従業員番号は、すでに他のセルで入力されています。",IF(入力シート!$C$5=入力リスト!$N$5,"",IF(AND(A303="",B303="",C303="",D303="",E303=""),"",IF(OR(A303="",B303="",C303="",D303=""),IF(A303="","従業員番号","")&amp;IF(AND(A303="",OR(B303="",C303="",D303="")),",","")&amp;IF(B303="","雇用形態","")&amp;IF(AND(B303="",OR(C303="",D303="")),",","")&amp;IF(OR(入力シート!$J$18=入力リスト!$K$4,入力シート!$J$22=入力リスト!$K$4),IF(C303="","入社年月日",""),"")&amp;IF(AND(C303="",D303=""),",","")&amp;IF(D303="","性別","")&amp;IF(IF(A303="","従業員番号","")&amp;IF(B303="","雇用形態","")&amp;IF(OR(入力シート!$J$18=入力リスト!$K$4,入力シート!$J$22=入力リスト!$K$4),IF(C303="","入社年月日",""),"")&amp;IF(D303="","性別","")="","","が空白です。"),IF(J303,"入社年月日に「基準日」の翌日以降の日付が入力されています。","")&amp;IF(I303,"入社年月日に数値以外（又は1900/1/1以前の日付）が入力されています。","")&amp;IF(H303,"雇用形態"&amp;IF(OR(K303,L303),",",""),"")&amp;IF(K303,"性別"&amp;IF(L303,",",""),"")&amp;IF(L303,"役職","")&amp;IF(OR(H303,K303,L303),"に、［入力シート］(4)「貴社」欄と異なる文言が入力されています。","")))))</f>
        <v/>
      </c>
      <c r="G303" s="236" t="b">
        <f>COUNTIF($A$4:A302,$A303)&gt;0</f>
        <v>0</v>
      </c>
      <c r="H303" s="237" t="b">
        <f>IF(COUNTIF(入力シート!$J$16:$S$23,入力リスト!$K$4)=0,FALSE,IF(入力シート!$J$16=入力リスト!$K$5,FALSE,ISERROR(VLOOKUP(B303,入力シート!$S$37:$V$62,1,0))))</f>
        <v>0</v>
      </c>
      <c r="I303" s="237" t="b">
        <f>IF(AND(OR(入力シート!$J$18=入力リスト!$K$4,入力シート!$J$22=入力リスト!$K$4),入力シート!$J$24&lt;&gt;""),IF(ISERROR(C303+1),TRUE,IF(ISNUMBER(C303),FALSE,TRUE)),FALSE)</f>
        <v>0</v>
      </c>
      <c r="J303" s="237" t="b">
        <f>IF(AND(入力シート!$J$18=入力リスト!$K$4,入力シート!$J$22=入力リスト!$K$4),FALSE,IF(I303=TRUE,FALSE,IF(ISERROR(C303+1),FALSE,C303&gt;入力シート!$J$24)))</f>
        <v>0</v>
      </c>
      <c r="K303" s="237" t="b">
        <f>IF(COUNTIF(入力シート!$J$16:$S$23,入力リスト!$K$4)=0,FALSE,IF(AND(入力シート!$J$16&lt;&gt;入力リスト!$K$5,入力シート!$J$18&lt;&gt;入力リスト!$K$5,入力シート!$J$20&lt;&gt;入力リスト!$K$5,入力シート!$J$22&lt;&gt;入力リスト!$K$5),FALSE,ISERROR(VLOOKUP(D303,入力シート!$AW$37:$AY$38,1,0))))</f>
        <v>0</v>
      </c>
      <c r="L303" s="237" t="b">
        <f>IF(COUNTIF(入力シート!$J$16:$S$23,入力リスト!$K$4)=0,FALSE,IF(入力シート!$J$20=入力リスト!$K$5,FALSE,IF(E303="",FALSE,ISERROR(VLOOKUP(E303,入力シート!$AH$37:$AK$62,1,0)))))</f>
        <v>0</v>
      </c>
      <c r="M303" s="238" t="str">
        <f t="shared" si="4"/>
        <v/>
      </c>
      <c r="N303" s="236" t="str">
        <f>IF(B303="","",VLOOKUP('従業員情報(給与以外)'!$B303,入力シート!$S$37:$Z$62,5,0))</f>
        <v/>
      </c>
      <c r="O303" s="182" t="str">
        <f>IF(ISNUMBER(C303)=FALSE,"",IF(C303&gt;入力シート!$J$24,"",_xlfn.DAYS(入力シート!$J$24,'従業員情報(給与以外)'!$C303)/365))</f>
        <v/>
      </c>
      <c r="P303" s="237" t="str">
        <f>IF(O303="","",VLOOKUP(_xlfn.DAYS(入力シート!$J$24,'従業員情報(給与以外)'!$C303)/365,入力リスト!$H$4:$I$12,2,2))</f>
        <v/>
      </c>
      <c r="Q303" s="236" t="str">
        <f>IF(D303="","",VLOOKUP('従業員情報(給与以外)'!$D303,入力シート!$AW$37:$BB$38,4,0))</f>
        <v/>
      </c>
      <c r="R303" s="236" t="str">
        <f>IF(A303="","",IF(E303="","非役職",VLOOKUP('従業員情報(給与以外)'!$E303,入力シート!$AH$37:$AO$62,5,0)))</f>
        <v/>
      </c>
      <c r="S303" s="116" t="str">
        <f>IF(OR(入力シート!$C$5&lt;&gt;入力リスト!$N$4,COUNTIF(入力シート!$J$16:$S$23,入力リスト!$K$4)=0),"",IF($A303="","",IF(ISERROR(AVERAGEIF(従業員の給与情報!$B:$B,$A303,従業員の給与情報!$C:$C)),0,IF(ISERROR(AVERAGEIF(従業員の給与情報!$B:$B,$A303,従業員の給与情報!$C:$C)),0,AVERAGEIF(従業員の給与情報!$B:$B,$A303,従業員の給与情報!$C:$C)))))</f>
        <v/>
      </c>
      <c r="T303" s="116" t="str">
        <f>IF(OR(入力シート!$C$5&lt;&gt;入力リスト!$N$4,COUNTIF(入力シート!$J$16:$S$23,入力リスト!$K$4)=0),"",IF(A303="","",IF(ISERROR(AVERAGEIF(従業員の給与情報!$B:$B,$A303,従業員の給与情報!$D:$D)),0,IF(ISERROR(AVERAGEIF(従業員の給与情報!$B:$B,$A303,従業員の給与情報!$D:$D)),0,AVERAGEIF(従業員の給与情報!$B:$B,$A303,従業員の給与情報!$D:$D)))))</f>
        <v/>
      </c>
      <c r="U303" s="116" t="str">
        <f>IF(OR(入力シート!$C$5&lt;&gt;入力リスト!$N$4,COUNTIF(入力シート!$J$16:$S$23,入力リスト!$K$4)=0),"",IF(A303="","",IF(ISERROR(AVERAGEIF(従業員の給与情報!$B:$B,$A303,従業員の給与情報!$E:$E)),0,IF(ISERROR(AVERAGEIF(従業員の給与情報!$B:$B,$A303,従業員の給与情報!$E:$E)),0,AVERAGEIF(従業員の給与情報!$B:$B,$A303,従業員の給与情報!$E:$E)))))</f>
        <v/>
      </c>
      <c r="V303" s="117" t="str">
        <f>IF(OR(入力シート!$C$5&lt;&gt;入力リスト!$N$4,COUNTIF(入力シート!$J$16:$S$23,入力リスト!$K$4)=0),"",IF(A303="","",IF(ISERROR(AVERAGEIF(従業員の給与情報!$B:$B,$A303,従業員の給与情報!$F:$F)),0,IF(ISERROR(AVERAGEIF(従業員の給与情報!$B:$B,$A303,従業員の給与情報!$F:$F)),0,AVERAGEIF(従業員の給与情報!$B:$B,$A303,従業員の給与情報!$F:$F)))))</f>
        <v/>
      </c>
      <c r="W303" s="182"/>
      <c r="X303" s="260"/>
    </row>
    <row r="304" spans="1:24">
      <c r="A304" s="368"/>
      <c r="B304" s="361"/>
      <c r="C304" s="362"/>
      <c r="D304" s="361"/>
      <c r="E304" s="361"/>
      <c r="F304" s="372" t="str">
        <f>IF(G304,"この従業員番号は、すでに他のセルで入力されています。",IF(入力シート!$C$5=入力リスト!$N$5,"",IF(AND(A304="",B304="",C304="",D304="",E304=""),"",IF(OR(A304="",B304="",C304="",D304=""),IF(A304="","従業員番号","")&amp;IF(AND(A304="",OR(B304="",C304="",D304="")),",","")&amp;IF(B304="","雇用形態","")&amp;IF(AND(B304="",OR(C304="",D304="")),",","")&amp;IF(OR(入力シート!$J$18=入力リスト!$K$4,入力シート!$J$22=入力リスト!$K$4),IF(C304="","入社年月日",""),"")&amp;IF(AND(C304="",D304=""),",","")&amp;IF(D304="","性別","")&amp;IF(IF(A304="","従業員番号","")&amp;IF(B304="","雇用形態","")&amp;IF(OR(入力シート!$J$18=入力リスト!$K$4,入力シート!$J$22=入力リスト!$K$4),IF(C304="","入社年月日",""),"")&amp;IF(D304="","性別","")="","","が空白です。"),IF(J304,"入社年月日に「基準日」の翌日以降の日付が入力されています。","")&amp;IF(I304,"入社年月日に数値以外（又は1900/1/1以前の日付）が入力されています。","")&amp;IF(H304,"雇用形態"&amp;IF(OR(K304,L304),",",""),"")&amp;IF(K304,"性別"&amp;IF(L304,",",""),"")&amp;IF(L304,"役職","")&amp;IF(OR(H304,K304,L304),"に、［入力シート］(4)「貴社」欄と異なる文言が入力されています。","")))))</f>
        <v/>
      </c>
      <c r="G304" s="236" t="b">
        <f>COUNTIF($A$4:A303,$A304)&gt;0</f>
        <v>0</v>
      </c>
      <c r="H304" s="237" t="b">
        <f>IF(COUNTIF(入力シート!$J$16:$S$23,入力リスト!$K$4)=0,FALSE,IF(入力シート!$J$16=入力リスト!$K$5,FALSE,ISERROR(VLOOKUP(B304,入力シート!$S$37:$V$62,1,0))))</f>
        <v>0</v>
      </c>
      <c r="I304" s="237" t="b">
        <f>IF(AND(OR(入力シート!$J$18=入力リスト!$K$4,入力シート!$J$22=入力リスト!$K$4),入力シート!$J$24&lt;&gt;""),IF(ISERROR(C304+1),TRUE,IF(ISNUMBER(C304),FALSE,TRUE)),FALSE)</f>
        <v>0</v>
      </c>
      <c r="J304" s="237" t="b">
        <f>IF(AND(入力シート!$J$18=入力リスト!$K$4,入力シート!$J$22=入力リスト!$K$4),FALSE,IF(I304=TRUE,FALSE,IF(ISERROR(C304+1),FALSE,C304&gt;入力シート!$J$24)))</f>
        <v>0</v>
      </c>
      <c r="K304" s="237" t="b">
        <f>IF(COUNTIF(入力シート!$J$16:$S$23,入力リスト!$K$4)=0,FALSE,IF(AND(入力シート!$J$16&lt;&gt;入力リスト!$K$5,入力シート!$J$18&lt;&gt;入力リスト!$K$5,入力シート!$J$20&lt;&gt;入力リスト!$K$5,入力シート!$J$22&lt;&gt;入力リスト!$K$5),FALSE,ISERROR(VLOOKUP(D304,入力シート!$AW$37:$AY$38,1,0))))</f>
        <v>0</v>
      </c>
      <c r="L304" s="237" t="b">
        <f>IF(COUNTIF(入力シート!$J$16:$S$23,入力リスト!$K$4)=0,FALSE,IF(入力シート!$J$20=入力リスト!$K$5,FALSE,IF(E304="",FALSE,ISERROR(VLOOKUP(E304,入力シート!$AH$37:$AK$62,1,0)))))</f>
        <v>0</v>
      </c>
      <c r="M304" s="238" t="str">
        <f t="shared" si="4"/>
        <v/>
      </c>
      <c r="N304" s="236" t="str">
        <f>IF(B304="","",VLOOKUP('従業員情報(給与以外)'!$B304,入力シート!$S$37:$Z$62,5,0))</f>
        <v/>
      </c>
      <c r="O304" s="182" t="str">
        <f>IF(ISNUMBER(C304)=FALSE,"",IF(C304&gt;入力シート!$J$24,"",_xlfn.DAYS(入力シート!$J$24,'従業員情報(給与以外)'!$C304)/365))</f>
        <v/>
      </c>
      <c r="P304" s="237" t="str">
        <f>IF(O304="","",VLOOKUP(_xlfn.DAYS(入力シート!$J$24,'従業員情報(給与以外)'!$C304)/365,入力リスト!$H$4:$I$12,2,2))</f>
        <v/>
      </c>
      <c r="Q304" s="236" t="str">
        <f>IF(D304="","",VLOOKUP('従業員情報(給与以外)'!$D304,入力シート!$AW$37:$BB$38,4,0))</f>
        <v/>
      </c>
      <c r="R304" s="236" t="str">
        <f>IF(A304="","",IF(E304="","非役職",VLOOKUP('従業員情報(給与以外)'!$E304,入力シート!$AH$37:$AO$62,5,0)))</f>
        <v/>
      </c>
      <c r="S304" s="116" t="str">
        <f>IF(OR(入力シート!$C$5&lt;&gt;入力リスト!$N$4,COUNTIF(入力シート!$J$16:$S$23,入力リスト!$K$4)=0),"",IF($A304="","",IF(ISERROR(AVERAGEIF(従業員の給与情報!$B:$B,$A304,従業員の給与情報!$C:$C)),0,IF(ISERROR(AVERAGEIF(従業員の給与情報!$B:$B,$A304,従業員の給与情報!$C:$C)),0,AVERAGEIF(従業員の給与情報!$B:$B,$A304,従業員の給与情報!$C:$C)))))</f>
        <v/>
      </c>
      <c r="T304" s="116" t="str">
        <f>IF(OR(入力シート!$C$5&lt;&gt;入力リスト!$N$4,COUNTIF(入力シート!$J$16:$S$23,入力リスト!$K$4)=0),"",IF(A304="","",IF(ISERROR(AVERAGEIF(従業員の給与情報!$B:$B,$A304,従業員の給与情報!$D:$D)),0,IF(ISERROR(AVERAGEIF(従業員の給与情報!$B:$B,$A304,従業員の給与情報!$D:$D)),0,AVERAGEIF(従業員の給与情報!$B:$B,$A304,従業員の給与情報!$D:$D)))))</f>
        <v/>
      </c>
      <c r="U304" s="116" t="str">
        <f>IF(OR(入力シート!$C$5&lt;&gt;入力リスト!$N$4,COUNTIF(入力シート!$J$16:$S$23,入力リスト!$K$4)=0),"",IF(A304="","",IF(ISERROR(AVERAGEIF(従業員の給与情報!$B:$B,$A304,従業員の給与情報!$E:$E)),0,IF(ISERROR(AVERAGEIF(従業員の給与情報!$B:$B,$A304,従業員の給与情報!$E:$E)),0,AVERAGEIF(従業員の給与情報!$B:$B,$A304,従業員の給与情報!$E:$E)))))</f>
        <v/>
      </c>
      <c r="V304" s="117" t="str">
        <f>IF(OR(入力シート!$C$5&lt;&gt;入力リスト!$N$4,COUNTIF(入力シート!$J$16:$S$23,入力リスト!$K$4)=0),"",IF(A304="","",IF(ISERROR(AVERAGEIF(従業員の給与情報!$B:$B,$A304,従業員の給与情報!$F:$F)),0,IF(ISERROR(AVERAGEIF(従業員の給与情報!$B:$B,$A304,従業員の給与情報!$F:$F)),0,AVERAGEIF(従業員の給与情報!$B:$B,$A304,従業員の給与情報!$F:$F)))))</f>
        <v/>
      </c>
      <c r="W304" s="182"/>
      <c r="X304" s="260"/>
    </row>
    <row r="305" spans="1:24">
      <c r="A305" s="368"/>
      <c r="B305" s="361"/>
      <c r="C305" s="362"/>
      <c r="D305" s="361"/>
      <c r="E305" s="361"/>
      <c r="F305" s="372" t="str">
        <f>IF(G305,"この従業員番号は、すでに他のセルで入力されています。",IF(入力シート!$C$5=入力リスト!$N$5,"",IF(AND(A305="",B305="",C305="",D305="",E305=""),"",IF(OR(A305="",B305="",C305="",D305=""),IF(A305="","従業員番号","")&amp;IF(AND(A305="",OR(B305="",C305="",D305="")),",","")&amp;IF(B305="","雇用形態","")&amp;IF(AND(B305="",OR(C305="",D305="")),",","")&amp;IF(OR(入力シート!$J$18=入力リスト!$K$4,入力シート!$J$22=入力リスト!$K$4),IF(C305="","入社年月日",""),"")&amp;IF(AND(C305="",D305=""),",","")&amp;IF(D305="","性別","")&amp;IF(IF(A305="","従業員番号","")&amp;IF(B305="","雇用形態","")&amp;IF(OR(入力シート!$J$18=入力リスト!$K$4,入力シート!$J$22=入力リスト!$K$4),IF(C305="","入社年月日",""),"")&amp;IF(D305="","性別","")="","","が空白です。"),IF(J305,"入社年月日に「基準日」の翌日以降の日付が入力されています。","")&amp;IF(I305,"入社年月日に数値以外（又は1900/1/1以前の日付）が入力されています。","")&amp;IF(H305,"雇用形態"&amp;IF(OR(K305,L305),",",""),"")&amp;IF(K305,"性別"&amp;IF(L305,",",""),"")&amp;IF(L305,"役職","")&amp;IF(OR(H305,K305,L305),"に、［入力シート］(4)「貴社」欄と異なる文言が入力されています。","")))))</f>
        <v/>
      </c>
      <c r="G305" s="236" t="b">
        <f>COUNTIF($A$4:A304,$A305)&gt;0</f>
        <v>0</v>
      </c>
      <c r="H305" s="237" t="b">
        <f>IF(COUNTIF(入力シート!$J$16:$S$23,入力リスト!$K$4)=0,FALSE,IF(入力シート!$J$16=入力リスト!$K$5,FALSE,ISERROR(VLOOKUP(B305,入力シート!$S$37:$V$62,1,0))))</f>
        <v>0</v>
      </c>
      <c r="I305" s="237" t="b">
        <f>IF(AND(OR(入力シート!$J$18=入力リスト!$K$4,入力シート!$J$22=入力リスト!$K$4),入力シート!$J$24&lt;&gt;""),IF(ISERROR(C305+1),TRUE,IF(ISNUMBER(C305),FALSE,TRUE)),FALSE)</f>
        <v>0</v>
      </c>
      <c r="J305" s="237" t="b">
        <f>IF(AND(入力シート!$J$18=入力リスト!$K$4,入力シート!$J$22=入力リスト!$K$4),FALSE,IF(I305=TRUE,FALSE,IF(ISERROR(C305+1),FALSE,C305&gt;入力シート!$J$24)))</f>
        <v>0</v>
      </c>
      <c r="K305" s="237" t="b">
        <f>IF(COUNTIF(入力シート!$J$16:$S$23,入力リスト!$K$4)=0,FALSE,IF(AND(入力シート!$J$16&lt;&gt;入力リスト!$K$5,入力シート!$J$18&lt;&gt;入力リスト!$K$5,入力シート!$J$20&lt;&gt;入力リスト!$K$5,入力シート!$J$22&lt;&gt;入力リスト!$K$5),FALSE,ISERROR(VLOOKUP(D305,入力シート!$AW$37:$AY$38,1,0))))</f>
        <v>0</v>
      </c>
      <c r="L305" s="237" t="b">
        <f>IF(COUNTIF(入力シート!$J$16:$S$23,入力リスト!$K$4)=0,FALSE,IF(入力シート!$J$20=入力リスト!$K$5,FALSE,IF(E305="",FALSE,ISERROR(VLOOKUP(E305,入力シート!$AH$37:$AK$62,1,0)))))</f>
        <v>0</v>
      </c>
      <c r="M305" s="238" t="str">
        <f t="shared" si="4"/>
        <v/>
      </c>
      <c r="N305" s="236" t="str">
        <f>IF(B305="","",VLOOKUP('従業員情報(給与以外)'!$B305,入力シート!$S$37:$Z$62,5,0))</f>
        <v/>
      </c>
      <c r="O305" s="182" t="str">
        <f>IF(ISNUMBER(C305)=FALSE,"",IF(C305&gt;入力シート!$J$24,"",_xlfn.DAYS(入力シート!$J$24,'従業員情報(給与以外)'!$C305)/365))</f>
        <v/>
      </c>
      <c r="P305" s="237" t="str">
        <f>IF(O305="","",VLOOKUP(_xlfn.DAYS(入力シート!$J$24,'従業員情報(給与以外)'!$C305)/365,入力リスト!$H$4:$I$12,2,2))</f>
        <v/>
      </c>
      <c r="Q305" s="236" t="str">
        <f>IF(D305="","",VLOOKUP('従業員情報(給与以外)'!$D305,入力シート!$AW$37:$BB$38,4,0))</f>
        <v/>
      </c>
      <c r="R305" s="236" t="str">
        <f>IF(A305="","",IF(E305="","非役職",VLOOKUP('従業員情報(給与以外)'!$E305,入力シート!$AH$37:$AO$62,5,0)))</f>
        <v/>
      </c>
      <c r="S305" s="116" t="str">
        <f>IF(OR(入力シート!$C$5&lt;&gt;入力リスト!$N$4,COUNTIF(入力シート!$J$16:$S$23,入力リスト!$K$4)=0),"",IF($A305="","",IF(ISERROR(AVERAGEIF(従業員の給与情報!$B:$B,$A305,従業員の給与情報!$C:$C)),0,IF(ISERROR(AVERAGEIF(従業員の給与情報!$B:$B,$A305,従業員の給与情報!$C:$C)),0,AVERAGEIF(従業員の給与情報!$B:$B,$A305,従業員の給与情報!$C:$C)))))</f>
        <v/>
      </c>
      <c r="T305" s="116" t="str">
        <f>IF(OR(入力シート!$C$5&lt;&gt;入力リスト!$N$4,COUNTIF(入力シート!$J$16:$S$23,入力リスト!$K$4)=0),"",IF(A305="","",IF(ISERROR(AVERAGEIF(従業員の給与情報!$B:$B,$A305,従業員の給与情報!$D:$D)),0,IF(ISERROR(AVERAGEIF(従業員の給与情報!$B:$B,$A305,従業員の給与情報!$D:$D)),0,AVERAGEIF(従業員の給与情報!$B:$B,$A305,従業員の給与情報!$D:$D)))))</f>
        <v/>
      </c>
      <c r="U305" s="116" t="str">
        <f>IF(OR(入力シート!$C$5&lt;&gt;入力リスト!$N$4,COUNTIF(入力シート!$J$16:$S$23,入力リスト!$K$4)=0),"",IF(A305="","",IF(ISERROR(AVERAGEIF(従業員の給与情報!$B:$B,$A305,従業員の給与情報!$E:$E)),0,IF(ISERROR(AVERAGEIF(従業員の給与情報!$B:$B,$A305,従業員の給与情報!$E:$E)),0,AVERAGEIF(従業員の給与情報!$B:$B,$A305,従業員の給与情報!$E:$E)))))</f>
        <v/>
      </c>
      <c r="V305" s="117" t="str">
        <f>IF(OR(入力シート!$C$5&lt;&gt;入力リスト!$N$4,COUNTIF(入力シート!$J$16:$S$23,入力リスト!$K$4)=0),"",IF(A305="","",IF(ISERROR(AVERAGEIF(従業員の給与情報!$B:$B,$A305,従業員の給与情報!$F:$F)),0,IF(ISERROR(AVERAGEIF(従業員の給与情報!$B:$B,$A305,従業員の給与情報!$F:$F)),0,AVERAGEIF(従業員の給与情報!$B:$B,$A305,従業員の給与情報!$F:$F)))))</f>
        <v/>
      </c>
      <c r="W305" s="182"/>
      <c r="X305" s="260"/>
    </row>
    <row r="306" spans="1:24">
      <c r="A306" s="368"/>
      <c r="B306" s="361"/>
      <c r="C306" s="362"/>
      <c r="D306" s="361"/>
      <c r="E306" s="361"/>
      <c r="F306" s="372" t="str">
        <f>IF(G306,"この従業員番号は、すでに他のセルで入力されています。",IF(入力シート!$C$5=入力リスト!$N$5,"",IF(AND(A306="",B306="",C306="",D306="",E306=""),"",IF(OR(A306="",B306="",C306="",D306=""),IF(A306="","従業員番号","")&amp;IF(AND(A306="",OR(B306="",C306="",D306="")),",","")&amp;IF(B306="","雇用形態","")&amp;IF(AND(B306="",OR(C306="",D306="")),",","")&amp;IF(OR(入力シート!$J$18=入力リスト!$K$4,入力シート!$J$22=入力リスト!$K$4),IF(C306="","入社年月日",""),"")&amp;IF(AND(C306="",D306=""),",","")&amp;IF(D306="","性別","")&amp;IF(IF(A306="","従業員番号","")&amp;IF(B306="","雇用形態","")&amp;IF(OR(入力シート!$J$18=入力リスト!$K$4,入力シート!$J$22=入力リスト!$K$4),IF(C306="","入社年月日",""),"")&amp;IF(D306="","性別","")="","","が空白です。"),IF(J306,"入社年月日に「基準日」の翌日以降の日付が入力されています。","")&amp;IF(I306,"入社年月日に数値以外（又は1900/1/1以前の日付）が入力されています。","")&amp;IF(H306,"雇用形態"&amp;IF(OR(K306,L306),",",""),"")&amp;IF(K306,"性別"&amp;IF(L306,",",""),"")&amp;IF(L306,"役職","")&amp;IF(OR(H306,K306,L306),"に、［入力シート］(4)「貴社」欄と異なる文言が入力されています。","")))))</f>
        <v/>
      </c>
      <c r="G306" s="236" t="b">
        <f>COUNTIF($A$4:A305,$A306)&gt;0</f>
        <v>0</v>
      </c>
      <c r="H306" s="237" t="b">
        <f>IF(COUNTIF(入力シート!$J$16:$S$23,入力リスト!$K$4)=0,FALSE,IF(入力シート!$J$16=入力リスト!$K$5,FALSE,ISERROR(VLOOKUP(B306,入力シート!$S$37:$V$62,1,0))))</f>
        <v>0</v>
      </c>
      <c r="I306" s="237" t="b">
        <f>IF(AND(OR(入力シート!$J$18=入力リスト!$K$4,入力シート!$J$22=入力リスト!$K$4),入力シート!$J$24&lt;&gt;""),IF(ISERROR(C306+1),TRUE,IF(ISNUMBER(C306),FALSE,TRUE)),FALSE)</f>
        <v>0</v>
      </c>
      <c r="J306" s="237" t="b">
        <f>IF(AND(入力シート!$J$18=入力リスト!$K$4,入力シート!$J$22=入力リスト!$K$4),FALSE,IF(I306=TRUE,FALSE,IF(ISERROR(C306+1),FALSE,C306&gt;入力シート!$J$24)))</f>
        <v>0</v>
      </c>
      <c r="K306" s="237" t="b">
        <f>IF(COUNTIF(入力シート!$J$16:$S$23,入力リスト!$K$4)=0,FALSE,IF(AND(入力シート!$J$16&lt;&gt;入力リスト!$K$5,入力シート!$J$18&lt;&gt;入力リスト!$K$5,入力シート!$J$20&lt;&gt;入力リスト!$K$5,入力シート!$J$22&lt;&gt;入力リスト!$K$5),FALSE,ISERROR(VLOOKUP(D306,入力シート!$AW$37:$AY$38,1,0))))</f>
        <v>0</v>
      </c>
      <c r="L306" s="237" t="b">
        <f>IF(COUNTIF(入力シート!$J$16:$S$23,入力リスト!$K$4)=0,FALSE,IF(入力シート!$J$20=入力リスト!$K$5,FALSE,IF(E306="",FALSE,ISERROR(VLOOKUP(E306,入力シート!$AH$37:$AK$62,1,0)))))</f>
        <v>0</v>
      </c>
      <c r="M306" s="238" t="str">
        <f t="shared" si="4"/>
        <v/>
      </c>
      <c r="N306" s="236" t="str">
        <f>IF(B306="","",VLOOKUP('従業員情報(給与以外)'!$B306,入力シート!$S$37:$Z$62,5,0))</f>
        <v/>
      </c>
      <c r="O306" s="182" t="str">
        <f>IF(ISNUMBER(C306)=FALSE,"",IF(C306&gt;入力シート!$J$24,"",_xlfn.DAYS(入力シート!$J$24,'従業員情報(給与以外)'!$C306)/365))</f>
        <v/>
      </c>
      <c r="P306" s="237" t="str">
        <f>IF(O306="","",VLOOKUP(_xlfn.DAYS(入力シート!$J$24,'従業員情報(給与以外)'!$C306)/365,入力リスト!$H$4:$I$12,2,2))</f>
        <v/>
      </c>
      <c r="Q306" s="236" t="str">
        <f>IF(D306="","",VLOOKUP('従業員情報(給与以外)'!$D306,入力シート!$AW$37:$BB$38,4,0))</f>
        <v/>
      </c>
      <c r="R306" s="236" t="str">
        <f>IF(A306="","",IF(E306="","非役職",VLOOKUP('従業員情報(給与以外)'!$E306,入力シート!$AH$37:$AO$62,5,0)))</f>
        <v/>
      </c>
      <c r="S306" s="116" t="str">
        <f>IF(OR(入力シート!$C$5&lt;&gt;入力リスト!$N$4,COUNTIF(入力シート!$J$16:$S$23,入力リスト!$K$4)=0),"",IF($A306="","",IF(ISERROR(AVERAGEIF(従業員の給与情報!$B:$B,$A306,従業員の給与情報!$C:$C)),0,IF(ISERROR(AVERAGEIF(従業員の給与情報!$B:$B,$A306,従業員の給与情報!$C:$C)),0,AVERAGEIF(従業員の給与情報!$B:$B,$A306,従業員の給与情報!$C:$C)))))</f>
        <v/>
      </c>
      <c r="T306" s="116" t="str">
        <f>IF(OR(入力シート!$C$5&lt;&gt;入力リスト!$N$4,COUNTIF(入力シート!$J$16:$S$23,入力リスト!$K$4)=0),"",IF(A306="","",IF(ISERROR(AVERAGEIF(従業員の給与情報!$B:$B,$A306,従業員の給与情報!$D:$D)),0,IF(ISERROR(AVERAGEIF(従業員の給与情報!$B:$B,$A306,従業員の給与情報!$D:$D)),0,AVERAGEIF(従業員の給与情報!$B:$B,$A306,従業員の給与情報!$D:$D)))))</f>
        <v/>
      </c>
      <c r="U306" s="116" t="str">
        <f>IF(OR(入力シート!$C$5&lt;&gt;入力リスト!$N$4,COUNTIF(入力シート!$J$16:$S$23,入力リスト!$K$4)=0),"",IF(A306="","",IF(ISERROR(AVERAGEIF(従業員の給与情報!$B:$B,$A306,従業員の給与情報!$E:$E)),0,IF(ISERROR(AVERAGEIF(従業員の給与情報!$B:$B,$A306,従業員の給与情報!$E:$E)),0,AVERAGEIF(従業員の給与情報!$B:$B,$A306,従業員の給与情報!$E:$E)))))</f>
        <v/>
      </c>
      <c r="V306" s="117" t="str">
        <f>IF(OR(入力シート!$C$5&lt;&gt;入力リスト!$N$4,COUNTIF(入力シート!$J$16:$S$23,入力リスト!$K$4)=0),"",IF(A306="","",IF(ISERROR(AVERAGEIF(従業員の給与情報!$B:$B,$A306,従業員の給与情報!$F:$F)),0,IF(ISERROR(AVERAGEIF(従業員の給与情報!$B:$B,$A306,従業員の給与情報!$F:$F)),0,AVERAGEIF(従業員の給与情報!$B:$B,$A306,従業員の給与情報!$F:$F)))))</f>
        <v/>
      </c>
      <c r="W306" s="182"/>
      <c r="X306" s="260"/>
    </row>
    <row r="307" spans="1:24">
      <c r="A307" s="368"/>
      <c r="B307" s="361"/>
      <c r="C307" s="362"/>
      <c r="D307" s="361"/>
      <c r="E307" s="361"/>
      <c r="F307" s="372" t="str">
        <f>IF(G307,"この従業員番号は、すでに他のセルで入力されています。",IF(入力シート!$C$5=入力リスト!$N$5,"",IF(AND(A307="",B307="",C307="",D307="",E307=""),"",IF(OR(A307="",B307="",C307="",D307=""),IF(A307="","従業員番号","")&amp;IF(AND(A307="",OR(B307="",C307="",D307="")),",","")&amp;IF(B307="","雇用形態","")&amp;IF(AND(B307="",OR(C307="",D307="")),",","")&amp;IF(OR(入力シート!$J$18=入力リスト!$K$4,入力シート!$J$22=入力リスト!$K$4),IF(C307="","入社年月日",""),"")&amp;IF(AND(C307="",D307=""),",","")&amp;IF(D307="","性別","")&amp;IF(IF(A307="","従業員番号","")&amp;IF(B307="","雇用形態","")&amp;IF(OR(入力シート!$J$18=入力リスト!$K$4,入力シート!$J$22=入力リスト!$K$4),IF(C307="","入社年月日",""),"")&amp;IF(D307="","性別","")="","","が空白です。"),IF(J307,"入社年月日に「基準日」の翌日以降の日付が入力されています。","")&amp;IF(I307,"入社年月日に数値以外（又は1900/1/1以前の日付）が入力されています。","")&amp;IF(H307,"雇用形態"&amp;IF(OR(K307,L307),",",""),"")&amp;IF(K307,"性別"&amp;IF(L307,",",""),"")&amp;IF(L307,"役職","")&amp;IF(OR(H307,K307,L307),"に、［入力シート］(4)「貴社」欄と異なる文言が入力されています。","")))))</f>
        <v/>
      </c>
      <c r="G307" s="236" t="b">
        <f>COUNTIF($A$4:A306,$A307)&gt;0</f>
        <v>0</v>
      </c>
      <c r="H307" s="237" t="b">
        <f>IF(COUNTIF(入力シート!$J$16:$S$23,入力リスト!$K$4)=0,FALSE,IF(入力シート!$J$16=入力リスト!$K$5,FALSE,ISERROR(VLOOKUP(B307,入力シート!$S$37:$V$62,1,0))))</f>
        <v>0</v>
      </c>
      <c r="I307" s="237" t="b">
        <f>IF(AND(OR(入力シート!$J$18=入力リスト!$K$4,入力シート!$J$22=入力リスト!$K$4),入力シート!$J$24&lt;&gt;""),IF(ISERROR(C307+1),TRUE,IF(ISNUMBER(C307),FALSE,TRUE)),FALSE)</f>
        <v>0</v>
      </c>
      <c r="J307" s="237" t="b">
        <f>IF(AND(入力シート!$J$18=入力リスト!$K$4,入力シート!$J$22=入力リスト!$K$4),FALSE,IF(I307=TRUE,FALSE,IF(ISERROR(C307+1),FALSE,C307&gt;入力シート!$J$24)))</f>
        <v>0</v>
      </c>
      <c r="K307" s="237" t="b">
        <f>IF(COUNTIF(入力シート!$J$16:$S$23,入力リスト!$K$4)=0,FALSE,IF(AND(入力シート!$J$16&lt;&gt;入力リスト!$K$5,入力シート!$J$18&lt;&gt;入力リスト!$K$5,入力シート!$J$20&lt;&gt;入力リスト!$K$5,入力シート!$J$22&lt;&gt;入力リスト!$K$5),FALSE,ISERROR(VLOOKUP(D307,入力シート!$AW$37:$AY$38,1,0))))</f>
        <v>0</v>
      </c>
      <c r="L307" s="237" t="b">
        <f>IF(COUNTIF(入力シート!$J$16:$S$23,入力リスト!$K$4)=0,FALSE,IF(入力シート!$J$20=入力リスト!$K$5,FALSE,IF(E307="",FALSE,ISERROR(VLOOKUP(E307,入力シート!$AH$37:$AK$62,1,0)))))</f>
        <v>0</v>
      </c>
      <c r="M307" s="238" t="str">
        <f t="shared" si="4"/>
        <v/>
      </c>
      <c r="N307" s="236" t="str">
        <f>IF(B307="","",VLOOKUP('従業員情報(給与以外)'!$B307,入力シート!$S$37:$Z$62,5,0))</f>
        <v/>
      </c>
      <c r="O307" s="182" t="str">
        <f>IF(ISNUMBER(C307)=FALSE,"",IF(C307&gt;入力シート!$J$24,"",_xlfn.DAYS(入力シート!$J$24,'従業員情報(給与以外)'!$C307)/365))</f>
        <v/>
      </c>
      <c r="P307" s="237" t="str">
        <f>IF(O307="","",VLOOKUP(_xlfn.DAYS(入力シート!$J$24,'従業員情報(給与以外)'!$C307)/365,入力リスト!$H$4:$I$12,2,2))</f>
        <v/>
      </c>
      <c r="Q307" s="236" t="str">
        <f>IF(D307="","",VLOOKUP('従業員情報(給与以外)'!$D307,入力シート!$AW$37:$BB$38,4,0))</f>
        <v/>
      </c>
      <c r="R307" s="236" t="str">
        <f>IF(A307="","",IF(E307="","非役職",VLOOKUP('従業員情報(給与以外)'!$E307,入力シート!$AH$37:$AO$62,5,0)))</f>
        <v/>
      </c>
      <c r="S307" s="116" t="str">
        <f>IF(OR(入力シート!$C$5&lt;&gt;入力リスト!$N$4,COUNTIF(入力シート!$J$16:$S$23,入力リスト!$K$4)=0),"",IF($A307="","",IF(ISERROR(AVERAGEIF(従業員の給与情報!$B:$B,$A307,従業員の給与情報!$C:$C)),0,IF(ISERROR(AVERAGEIF(従業員の給与情報!$B:$B,$A307,従業員の給与情報!$C:$C)),0,AVERAGEIF(従業員の給与情報!$B:$B,$A307,従業員の給与情報!$C:$C)))))</f>
        <v/>
      </c>
      <c r="T307" s="116" t="str">
        <f>IF(OR(入力シート!$C$5&lt;&gt;入力リスト!$N$4,COUNTIF(入力シート!$J$16:$S$23,入力リスト!$K$4)=0),"",IF(A307="","",IF(ISERROR(AVERAGEIF(従業員の給与情報!$B:$B,$A307,従業員の給与情報!$D:$D)),0,IF(ISERROR(AVERAGEIF(従業員の給与情報!$B:$B,$A307,従業員の給与情報!$D:$D)),0,AVERAGEIF(従業員の給与情報!$B:$B,$A307,従業員の給与情報!$D:$D)))))</f>
        <v/>
      </c>
      <c r="U307" s="116" t="str">
        <f>IF(OR(入力シート!$C$5&lt;&gt;入力リスト!$N$4,COUNTIF(入力シート!$J$16:$S$23,入力リスト!$K$4)=0),"",IF(A307="","",IF(ISERROR(AVERAGEIF(従業員の給与情報!$B:$B,$A307,従業員の給与情報!$E:$E)),0,IF(ISERROR(AVERAGEIF(従業員の給与情報!$B:$B,$A307,従業員の給与情報!$E:$E)),0,AVERAGEIF(従業員の給与情報!$B:$B,$A307,従業員の給与情報!$E:$E)))))</f>
        <v/>
      </c>
      <c r="V307" s="117" t="str">
        <f>IF(OR(入力シート!$C$5&lt;&gt;入力リスト!$N$4,COUNTIF(入力シート!$J$16:$S$23,入力リスト!$K$4)=0),"",IF(A307="","",IF(ISERROR(AVERAGEIF(従業員の給与情報!$B:$B,$A307,従業員の給与情報!$F:$F)),0,IF(ISERROR(AVERAGEIF(従業員の給与情報!$B:$B,$A307,従業員の給与情報!$F:$F)),0,AVERAGEIF(従業員の給与情報!$B:$B,$A307,従業員の給与情報!$F:$F)))))</f>
        <v/>
      </c>
      <c r="W307" s="182"/>
      <c r="X307" s="260"/>
    </row>
    <row r="308" spans="1:24">
      <c r="A308" s="368"/>
      <c r="B308" s="361"/>
      <c r="C308" s="362"/>
      <c r="D308" s="361"/>
      <c r="E308" s="361"/>
      <c r="F308" s="372" t="str">
        <f>IF(G308,"この従業員番号は、すでに他のセルで入力されています。",IF(入力シート!$C$5=入力リスト!$N$5,"",IF(AND(A308="",B308="",C308="",D308="",E308=""),"",IF(OR(A308="",B308="",C308="",D308=""),IF(A308="","従業員番号","")&amp;IF(AND(A308="",OR(B308="",C308="",D308="")),",","")&amp;IF(B308="","雇用形態","")&amp;IF(AND(B308="",OR(C308="",D308="")),",","")&amp;IF(OR(入力シート!$J$18=入力リスト!$K$4,入力シート!$J$22=入力リスト!$K$4),IF(C308="","入社年月日",""),"")&amp;IF(AND(C308="",D308=""),",","")&amp;IF(D308="","性別","")&amp;IF(IF(A308="","従業員番号","")&amp;IF(B308="","雇用形態","")&amp;IF(OR(入力シート!$J$18=入力リスト!$K$4,入力シート!$J$22=入力リスト!$K$4),IF(C308="","入社年月日",""),"")&amp;IF(D308="","性別","")="","","が空白です。"),IF(J308,"入社年月日に「基準日」の翌日以降の日付が入力されています。","")&amp;IF(I308,"入社年月日に数値以外（又は1900/1/1以前の日付）が入力されています。","")&amp;IF(H308,"雇用形態"&amp;IF(OR(K308,L308),",",""),"")&amp;IF(K308,"性別"&amp;IF(L308,",",""),"")&amp;IF(L308,"役職","")&amp;IF(OR(H308,K308,L308),"に、［入力シート］(4)「貴社」欄と異なる文言が入力されています。","")))))</f>
        <v/>
      </c>
      <c r="G308" s="236" t="b">
        <f>COUNTIF($A$4:A307,$A308)&gt;0</f>
        <v>0</v>
      </c>
      <c r="H308" s="237" t="b">
        <f>IF(COUNTIF(入力シート!$J$16:$S$23,入力リスト!$K$4)=0,FALSE,IF(入力シート!$J$16=入力リスト!$K$5,FALSE,ISERROR(VLOOKUP(B308,入力シート!$S$37:$V$62,1,0))))</f>
        <v>0</v>
      </c>
      <c r="I308" s="237" t="b">
        <f>IF(AND(OR(入力シート!$J$18=入力リスト!$K$4,入力シート!$J$22=入力リスト!$K$4),入力シート!$J$24&lt;&gt;""),IF(ISERROR(C308+1),TRUE,IF(ISNUMBER(C308),FALSE,TRUE)),FALSE)</f>
        <v>0</v>
      </c>
      <c r="J308" s="237" t="b">
        <f>IF(AND(入力シート!$J$18=入力リスト!$K$4,入力シート!$J$22=入力リスト!$K$4),FALSE,IF(I308=TRUE,FALSE,IF(ISERROR(C308+1),FALSE,C308&gt;入力シート!$J$24)))</f>
        <v>0</v>
      </c>
      <c r="K308" s="237" t="b">
        <f>IF(COUNTIF(入力シート!$J$16:$S$23,入力リスト!$K$4)=0,FALSE,IF(AND(入力シート!$J$16&lt;&gt;入力リスト!$K$5,入力シート!$J$18&lt;&gt;入力リスト!$K$5,入力シート!$J$20&lt;&gt;入力リスト!$K$5,入力シート!$J$22&lt;&gt;入力リスト!$K$5),FALSE,ISERROR(VLOOKUP(D308,入力シート!$AW$37:$AY$38,1,0))))</f>
        <v>0</v>
      </c>
      <c r="L308" s="237" t="b">
        <f>IF(COUNTIF(入力シート!$J$16:$S$23,入力リスト!$K$4)=0,FALSE,IF(入力シート!$J$20=入力リスト!$K$5,FALSE,IF(E308="",FALSE,ISERROR(VLOOKUP(E308,入力シート!$AH$37:$AK$62,1,0)))))</f>
        <v>0</v>
      </c>
      <c r="M308" s="238" t="str">
        <f t="shared" si="4"/>
        <v/>
      </c>
      <c r="N308" s="236" t="str">
        <f>IF(B308="","",VLOOKUP('従業員情報(給与以外)'!$B308,入力シート!$S$37:$Z$62,5,0))</f>
        <v/>
      </c>
      <c r="O308" s="182" t="str">
        <f>IF(ISNUMBER(C308)=FALSE,"",IF(C308&gt;入力シート!$J$24,"",_xlfn.DAYS(入力シート!$J$24,'従業員情報(給与以外)'!$C308)/365))</f>
        <v/>
      </c>
      <c r="P308" s="237" t="str">
        <f>IF(O308="","",VLOOKUP(_xlfn.DAYS(入力シート!$J$24,'従業員情報(給与以外)'!$C308)/365,入力リスト!$H$4:$I$12,2,2))</f>
        <v/>
      </c>
      <c r="Q308" s="236" t="str">
        <f>IF(D308="","",VLOOKUP('従業員情報(給与以外)'!$D308,入力シート!$AW$37:$BB$38,4,0))</f>
        <v/>
      </c>
      <c r="R308" s="236" t="str">
        <f>IF(A308="","",IF(E308="","非役職",VLOOKUP('従業員情報(給与以外)'!$E308,入力シート!$AH$37:$AO$62,5,0)))</f>
        <v/>
      </c>
      <c r="S308" s="116" t="str">
        <f>IF(OR(入力シート!$C$5&lt;&gt;入力リスト!$N$4,COUNTIF(入力シート!$J$16:$S$23,入力リスト!$K$4)=0),"",IF($A308="","",IF(ISERROR(AVERAGEIF(従業員の給与情報!$B:$B,$A308,従業員の給与情報!$C:$C)),0,IF(ISERROR(AVERAGEIF(従業員の給与情報!$B:$B,$A308,従業員の給与情報!$C:$C)),0,AVERAGEIF(従業員の給与情報!$B:$B,$A308,従業員の給与情報!$C:$C)))))</f>
        <v/>
      </c>
      <c r="T308" s="116" t="str">
        <f>IF(OR(入力シート!$C$5&lt;&gt;入力リスト!$N$4,COUNTIF(入力シート!$J$16:$S$23,入力リスト!$K$4)=0),"",IF(A308="","",IF(ISERROR(AVERAGEIF(従業員の給与情報!$B:$B,$A308,従業員の給与情報!$D:$D)),0,IF(ISERROR(AVERAGEIF(従業員の給与情報!$B:$B,$A308,従業員の給与情報!$D:$D)),0,AVERAGEIF(従業員の給与情報!$B:$B,$A308,従業員の給与情報!$D:$D)))))</f>
        <v/>
      </c>
      <c r="U308" s="116" t="str">
        <f>IF(OR(入力シート!$C$5&lt;&gt;入力リスト!$N$4,COUNTIF(入力シート!$J$16:$S$23,入力リスト!$K$4)=0),"",IF(A308="","",IF(ISERROR(AVERAGEIF(従業員の給与情報!$B:$B,$A308,従業員の給与情報!$E:$E)),0,IF(ISERROR(AVERAGEIF(従業員の給与情報!$B:$B,$A308,従業員の給与情報!$E:$E)),0,AVERAGEIF(従業員の給与情報!$B:$B,$A308,従業員の給与情報!$E:$E)))))</f>
        <v/>
      </c>
      <c r="V308" s="117" t="str">
        <f>IF(OR(入力シート!$C$5&lt;&gt;入力リスト!$N$4,COUNTIF(入力シート!$J$16:$S$23,入力リスト!$K$4)=0),"",IF(A308="","",IF(ISERROR(AVERAGEIF(従業員の給与情報!$B:$B,$A308,従業員の給与情報!$F:$F)),0,IF(ISERROR(AVERAGEIF(従業員の給与情報!$B:$B,$A308,従業員の給与情報!$F:$F)),0,AVERAGEIF(従業員の給与情報!$B:$B,$A308,従業員の給与情報!$F:$F)))))</f>
        <v/>
      </c>
      <c r="W308" s="182"/>
      <c r="X308" s="260"/>
    </row>
    <row r="309" spans="1:24">
      <c r="A309" s="368"/>
      <c r="B309" s="361"/>
      <c r="C309" s="362"/>
      <c r="D309" s="361"/>
      <c r="E309" s="361"/>
      <c r="F309" s="372" t="str">
        <f>IF(G309,"この従業員番号は、すでに他のセルで入力されています。",IF(入力シート!$C$5=入力リスト!$N$5,"",IF(AND(A309="",B309="",C309="",D309="",E309=""),"",IF(OR(A309="",B309="",C309="",D309=""),IF(A309="","従業員番号","")&amp;IF(AND(A309="",OR(B309="",C309="",D309="")),",","")&amp;IF(B309="","雇用形態","")&amp;IF(AND(B309="",OR(C309="",D309="")),",","")&amp;IF(OR(入力シート!$J$18=入力リスト!$K$4,入力シート!$J$22=入力リスト!$K$4),IF(C309="","入社年月日",""),"")&amp;IF(AND(C309="",D309=""),",","")&amp;IF(D309="","性別","")&amp;IF(IF(A309="","従業員番号","")&amp;IF(B309="","雇用形態","")&amp;IF(OR(入力シート!$J$18=入力リスト!$K$4,入力シート!$J$22=入力リスト!$K$4),IF(C309="","入社年月日",""),"")&amp;IF(D309="","性別","")="","","が空白です。"),IF(J309,"入社年月日に「基準日」の翌日以降の日付が入力されています。","")&amp;IF(I309,"入社年月日に数値以外（又は1900/1/1以前の日付）が入力されています。","")&amp;IF(H309,"雇用形態"&amp;IF(OR(K309,L309),",",""),"")&amp;IF(K309,"性別"&amp;IF(L309,",",""),"")&amp;IF(L309,"役職","")&amp;IF(OR(H309,K309,L309),"に、［入力シート］(4)「貴社」欄と異なる文言が入力されています。","")))))</f>
        <v/>
      </c>
      <c r="G309" s="236" t="b">
        <f>COUNTIF($A$4:A308,$A309)&gt;0</f>
        <v>0</v>
      </c>
      <c r="H309" s="237" t="b">
        <f>IF(COUNTIF(入力シート!$J$16:$S$23,入力リスト!$K$4)=0,FALSE,IF(入力シート!$J$16=入力リスト!$K$5,FALSE,ISERROR(VLOOKUP(B309,入力シート!$S$37:$V$62,1,0))))</f>
        <v>0</v>
      </c>
      <c r="I309" s="237" t="b">
        <f>IF(AND(OR(入力シート!$J$18=入力リスト!$K$4,入力シート!$J$22=入力リスト!$K$4),入力シート!$J$24&lt;&gt;""),IF(ISERROR(C309+1),TRUE,IF(ISNUMBER(C309),FALSE,TRUE)),FALSE)</f>
        <v>0</v>
      </c>
      <c r="J309" s="237" t="b">
        <f>IF(AND(入力シート!$J$18=入力リスト!$K$4,入力シート!$J$22=入力リスト!$K$4),FALSE,IF(I309=TRUE,FALSE,IF(ISERROR(C309+1),FALSE,C309&gt;入力シート!$J$24)))</f>
        <v>0</v>
      </c>
      <c r="K309" s="237" t="b">
        <f>IF(COUNTIF(入力シート!$J$16:$S$23,入力リスト!$K$4)=0,FALSE,IF(AND(入力シート!$J$16&lt;&gt;入力リスト!$K$5,入力シート!$J$18&lt;&gt;入力リスト!$K$5,入力シート!$J$20&lt;&gt;入力リスト!$K$5,入力シート!$J$22&lt;&gt;入力リスト!$K$5),FALSE,ISERROR(VLOOKUP(D309,入力シート!$AW$37:$AY$38,1,0))))</f>
        <v>0</v>
      </c>
      <c r="L309" s="237" t="b">
        <f>IF(COUNTIF(入力シート!$J$16:$S$23,入力リスト!$K$4)=0,FALSE,IF(入力シート!$J$20=入力リスト!$K$5,FALSE,IF(E309="",FALSE,ISERROR(VLOOKUP(E309,入力シート!$AH$37:$AK$62,1,0)))))</f>
        <v>0</v>
      </c>
      <c r="M309" s="238" t="str">
        <f t="shared" si="4"/>
        <v/>
      </c>
      <c r="N309" s="236" t="str">
        <f>IF(B309="","",VLOOKUP('従業員情報(給与以外)'!$B309,入力シート!$S$37:$Z$62,5,0))</f>
        <v/>
      </c>
      <c r="O309" s="182" t="str">
        <f>IF(ISNUMBER(C309)=FALSE,"",IF(C309&gt;入力シート!$J$24,"",_xlfn.DAYS(入力シート!$J$24,'従業員情報(給与以外)'!$C309)/365))</f>
        <v/>
      </c>
      <c r="P309" s="237" t="str">
        <f>IF(O309="","",VLOOKUP(_xlfn.DAYS(入力シート!$J$24,'従業員情報(給与以外)'!$C309)/365,入力リスト!$H$4:$I$12,2,2))</f>
        <v/>
      </c>
      <c r="Q309" s="236" t="str">
        <f>IF(D309="","",VLOOKUP('従業員情報(給与以外)'!$D309,入力シート!$AW$37:$BB$38,4,0))</f>
        <v/>
      </c>
      <c r="R309" s="236" t="str">
        <f>IF(A309="","",IF(E309="","非役職",VLOOKUP('従業員情報(給与以外)'!$E309,入力シート!$AH$37:$AO$62,5,0)))</f>
        <v/>
      </c>
      <c r="S309" s="116" t="str">
        <f>IF(OR(入力シート!$C$5&lt;&gt;入力リスト!$N$4,COUNTIF(入力シート!$J$16:$S$23,入力リスト!$K$4)=0),"",IF($A309="","",IF(ISERROR(AVERAGEIF(従業員の給与情報!$B:$B,$A309,従業員の給与情報!$C:$C)),0,IF(ISERROR(AVERAGEIF(従業員の給与情報!$B:$B,$A309,従業員の給与情報!$C:$C)),0,AVERAGEIF(従業員の給与情報!$B:$B,$A309,従業員の給与情報!$C:$C)))))</f>
        <v/>
      </c>
      <c r="T309" s="116" t="str">
        <f>IF(OR(入力シート!$C$5&lt;&gt;入力リスト!$N$4,COUNTIF(入力シート!$J$16:$S$23,入力リスト!$K$4)=0),"",IF(A309="","",IF(ISERROR(AVERAGEIF(従業員の給与情報!$B:$B,$A309,従業員の給与情報!$D:$D)),0,IF(ISERROR(AVERAGEIF(従業員の給与情報!$B:$B,$A309,従業員の給与情報!$D:$D)),0,AVERAGEIF(従業員の給与情報!$B:$B,$A309,従業員の給与情報!$D:$D)))))</f>
        <v/>
      </c>
      <c r="U309" s="116" t="str">
        <f>IF(OR(入力シート!$C$5&lt;&gt;入力リスト!$N$4,COUNTIF(入力シート!$J$16:$S$23,入力リスト!$K$4)=0),"",IF(A309="","",IF(ISERROR(AVERAGEIF(従業員の給与情報!$B:$B,$A309,従業員の給与情報!$E:$E)),0,IF(ISERROR(AVERAGEIF(従業員の給与情報!$B:$B,$A309,従業員の給与情報!$E:$E)),0,AVERAGEIF(従業員の給与情報!$B:$B,$A309,従業員の給与情報!$E:$E)))))</f>
        <v/>
      </c>
      <c r="V309" s="117" t="str">
        <f>IF(OR(入力シート!$C$5&lt;&gt;入力リスト!$N$4,COUNTIF(入力シート!$J$16:$S$23,入力リスト!$K$4)=0),"",IF(A309="","",IF(ISERROR(AVERAGEIF(従業員の給与情報!$B:$B,$A309,従業員の給与情報!$F:$F)),0,IF(ISERROR(AVERAGEIF(従業員の給与情報!$B:$B,$A309,従業員の給与情報!$F:$F)),0,AVERAGEIF(従業員の給与情報!$B:$B,$A309,従業員の給与情報!$F:$F)))))</f>
        <v/>
      </c>
      <c r="W309" s="182"/>
      <c r="X309" s="260"/>
    </row>
    <row r="310" spans="1:24">
      <c r="A310" s="368"/>
      <c r="B310" s="361"/>
      <c r="C310" s="362"/>
      <c r="D310" s="361"/>
      <c r="E310" s="361"/>
      <c r="F310" s="372" t="str">
        <f>IF(G310,"この従業員番号は、すでに他のセルで入力されています。",IF(入力シート!$C$5=入力リスト!$N$5,"",IF(AND(A310="",B310="",C310="",D310="",E310=""),"",IF(OR(A310="",B310="",C310="",D310=""),IF(A310="","従業員番号","")&amp;IF(AND(A310="",OR(B310="",C310="",D310="")),",","")&amp;IF(B310="","雇用形態","")&amp;IF(AND(B310="",OR(C310="",D310="")),",","")&amp;IF(OR(入力シート!$J$18=入力リスト!$K$4,入力シート!$J$22=入力リスト!$K$4),IF(C310="","入社年月日",""),"")&amp;IF(AND(C310="",D310=""),",","")&amp;IF(D310="","性別","")&amp;IF(IF(A310="","従業員番号","")&amp;IF(B310="","雇用形態","")&amp;IF(OR(入力シート!$J$18=入力リスト!$K$4,入力シート!$J$22=入力リスト!$K$4),IF(C310="","入社年月日",""),"")&amp;IF(D310="","性別","")="","","が空白です。"),IF(J310,"入社年月日に「基準日」の翌日以降の日付が入力されています。","")&amp;IF(I310,"入社年月日に数値以外（又は1900/1/1以前の日付）が入力されています。","")&amp;IF(H310,"雇用形態"&amp;IF(OR(K310,L310),",",""),"")&amp;IF(K310,"性別"&amp;IF(L310,",",""),"")&amp;IF(L310,"役職","")&amp;IF(OR(H310,K310,L310),"に、［入力シート］(4)「貴社」欄と異なる文言が入力されています。","")))))</f>
        <v/>
      </c>
      <c r="G310" s="236" t="b">
        <f>COUNTIF($A$4:A309,$A310)&gt;0</f>
        <v>0</v>
      </c>
      <c r="H310" s="237" t="b">
        <f>IF(COUNTIF(入力シート!$J$16:$S$23,入力リスト!$K$4)=0,FALSE,IF(入力シート!$J$16=入力リスト!$K$5,FALSE,ISERROR(VLOOKUP(B310,入力シート!$S$37:$V$62,1,0))))</f>
        <v>0</v>
      </c>
      <c r="I310" s="237" t="b">
        <f>IF(AND(OR(入力シート!$J$18=入力リスト!$K$4,入力シート!$J$22=入力リスト!$K$4),入力シート!$J$24&lt;&gt;""),IF(ISERROR(C310+1),TRUE,IF(ISNUMBER(C310),FALSE,TRUE)),FALSE)</f>
        <v>0</v>
      </c>
      <c r="J310" s="237" t="b">
        <f>IF(AND(入力シート!$J$18=入力リスト!$K$4,入力シート!$J$22=入力リスト!$K$4),FALSE,IF(I310=TRUE,FALSE,IF(ISERROR(C310+1),FALSE,C310&gt;入力シート!$J$24)))</f>
        <v>0</v>
      </c>
      <c r="K310" s="237" t="b">
        <f>IF(COUNTIF(入力シート!$J$16:$S$23,入力リスト!$K$4)=0,FALSE,IF(AND(入力シート!$J$16&lt;&gt;入力リスト!$K$5,入力シート!$J$18&lt;&gt;入力リスト!$K$5,入力シート!$J$20&lt;&gt;入力リスト!$K$5,入力シート!$J$22&lt;&gt;入力リスト!$K$5),FALSE,ISERROR(VLOOKUP(D310,入力シート!$AW$37:$AY$38,1,0))))</f>
        <v>0</v>
      </c>
      <c r="L310" s="237" t="b">
        <f>IF(COUNTIF(入力シート!$J$16:$S$23,入力リスト!$K$4)=0,FALSE,IF(入力シート!$J$20=入力リスト!$K$5,FALSE,IF(E310="",FALSE,ISERROR(VLOOKUP(E310,入力シート!$AH$37:$AK$62,1,0)))))</f>
        <v>0</v>
      </c>
      <c r="M310" s="238" t="str">
        <f t="shared" si="4"/>
        <v/>
      </c>
      <c r="N310" s="236" t="str">
        <f>IF(B310="","",VLOOKUP('従業員情報(給与以外)'!$B310,入力シート!$S$37:$Z$62,5,0))</f>
        <v/>
      </c>
      <c r="O310" s="182" t="str">
        <f>IF(ISNUMBER(C310)=FALSE,"",IF(C310&gt;入力シート!$J$24,"",_xlfn.DAYS(入力シート!$J$24,'従業員情報(給与以外)'!$C310)/365))</f>
        <v/>
      </c>
      <c r="P310" s="237" t="str">
        <f>IF(O310="","",VLOOKUP(_xlfn.DAYS(入力シート!$J$24,'従業員情報(給与以外)'!$C310)/365,入力リスト!$H$4:$I$12,2,2))</f>
        <v/>
      </c>
      <c r="Q310" s="236" t="str">
        <f>IF(D310="","",VLOOKUP('従業員情報(給与以外)'!$D310,入力シート!$AW$37:$BB$38,4,0))</f>
        <v/>
      </c>
      <c r="R310" s="236" t="str">
        <f>IF(A310="","",IF(E310="","非役職",VLOOKUP('従業員情報(給与以外)'!$E310,入力シート!$AH$37:$AO$62,5,0)))</f>
        <v/>
      </c>
      <c r="S310" s="116" t="str">
        <f>IF(OR(入力シート!$C$5&lt;&gt;入力リスト!$N$4,COUNTIF(入力シート!$J$16:$S$23,入力リスト!$K$4)=0),"",IF($A310="","",IF(ISERROR(AVERAGEIF(従業員の給与情報!$B:$B,$A310,従業員の給与情報!$C:$C)),0,IF(ISERROR(AVERAGEIF(従業員の給与情報!$B:$B,$A310,従業員の給与情報!$C:$C)),0,AVERAGEIF(従業員の給与情報!$B:$B,$A310,従業員の給与情報!$C:$C)))))</f>
        <v/>
      </c>
      <c r="T310" s="116" t="str">
        <f>IF(OR(入力シート!$C$5&lt;&gt;入力リスト!$N$4,COUNTIF(入力シート!$J$16:$S$23,入力リスト!$K$4)=0),"",IF(A310="","",IF(ISERROR(AVERAGEIF(従業員の給与情報!$B:$B,$A310,従業員の給与情報!$D:$D)),0,IF(ISERROR(AVERAGEIF(従業員の給与情報!$B:$B,$A310,従業員の給与情報!$D:$D)),0,AVERAGEIF(従業員の給与情報!$B:$B,$A310,従業員の給与情報!$D:$D)))))</f>
        <v/>
      </c>
      <c r="U310" s="116" t="str">
        <f>IF(OR(入力シート!$C$5&lt;&gt;入力リスト!$N$4,COUNTIF(入力シート!$J$16:$S$23,入力リスト!$K$4)=0),"",IF(A310="","",IF(ISERROR(AVERAGEIF(従業員の給与情報!$B:$B,$A310,従業員の給与情報!$E:$E)),0,IF(ISERROR(AVERAGEIF(従業員の給与情報!$B:$B,$A310,従業員の給与情報!$E:$E)),0,AVERAGEIF(従業員の給与情報!$B:$B,$A310,従業員の給与情報!$E:$E)))))</f>
        <v/>
      </c>
      <c r="V310" s="117" t="str">
        <f>IF(OR(入力シート!$C$5&lt;&gt;入力リスト!$N$4,COUNTIF(入力シート!$J$16:$S$23,入力リスト!$K$4)=0),"",IF(A310="","",IF(ISERROR(AVERAGEIF(従業員の給与情報!$B:$B,$A310,従業員の給与情報!$F:$F)),0,IF(ISERROR(AVERAGEIF(従業員の給与情報!$B:$B,$A310,従業員の給与情報!$F:$F)),0,AVERAGEIF(従業員の給与情報!$B:$B,$A310,従業員の給与情報!$F:$F)))))</f>
        <v/>
      </c>
      <c r="W310" s="182"/>
      <c r="X310" s="260"/>
    </row>
    <row r="311" spans="1:24">
      <c r="A311" s="368"/>
      <c r="B311" s="361"/>
      <c r="C311" s="362"/>
      <c r="D311" s="361"/>
      <c r="E311" s="361"/>
      <c r="F311" s="372" t="str">
        <f>IF(G311,"この従業員番号は、すでに他のセルで入力されています。",IF(入力シート!$C$5=入力リスト!$N$5,"",IF(AND(A311="",B311="",C311="",D311="",E311=""),"",IF(OR(A311="",B311="",C311="",D311=""),IF(A311="","従業員番号","")&amp;IF(AND(A311="",OR(B311="",C311="",D311="")),",","")&amp;IF(B311="","雇用形態","")&amp;IF(AND(B311="",OR(C311="",D311="")),",","")&amp;IF(OR(入力シート!$J$18=入力リスト!$K$4,入力シート!$J$22=入力リスト!$K$4),IF(C311="","入社年月日",""),"")&amp;IF(AND(C311="",D311=""),",","")&amp;IF(D311="","性別","")&amp;IF(IF(A311="","従業員番号","")&amp;IF(B311="","雇用形態","")&amp;IF(OR(入力シート!$J$18=入力リスト!$K$4,入力シート!$J$22=入力リスト!$K$4),IF(C311="","入社年月日",""),"")&amp;IF(D311="","性別","")="","","が空白です。"),IF(J311,"入社年月日に「基準日」の翌日以降の日付が入力されています。","")&amp;IF(I311,"入社年月日に数値以外（又は1900/1/1以前の日付）が入力されています。","")&amp;IF(H311,"雇用形態"&amp;IF(OR(K311,L311),",",""),"")&amp;IF(K311,"性別"&amp;IF(L311,",",""),"")&amp;IF(L311,"役職","")&amp;IF(OR(H311,K311,L311),"に、［入力シート］(4)「貴社」欄と異なる文言が入力されています。","")))))</f>
        <v/>
      </c>
      <c r="G311" s="236" t="b">
        <f>COUNTIF($A$4:A310,$A311)&gt;0</f>
        <v>0</v>
      </c>
      <c r="H311" s="237" t="b">
        <f>IF(COUNTIF(入力シート!$J$16:$S$23,入力リスト!$K$4)=0,FALSE,IF(入力シート!$J$16=入力リスト!$K$5,FALSE,ISERROR(VLOOKUP(B311,入力シート!$S$37:$V$62,1,0))))</f>
        <v>0</v>
      </c>
      <c r="I311" s="237" t="b">
        <f>IF(AND(OR(入力シート!$J$18=入力リスト!$K$4,入力シート!$J$22=入力リスト!$K$4),入力シート!$J$24&lt;&gt;""),IF(ISERROR(C311+1),TRUE,IF(ISNUMBER(C311),FALSE,TRUE)),FALSE)</f>
        <v>0</v>
      </c>
      <c r="J311" s="237" t="b">
        <f>IF(AND(入力シート!$J$18=入力リスト!$K$4,入力シート!$J$22=入力リスト!$K$4),FALSE,IF(I311=TRUE,FALSE,IF(ISERROR(C311+1),FALSE,C311&gt;入力シート!$J$24)))</f>
        <v>0</v>
      </c>
      <c r="K311" s="237" t="b">
        <f>IF(COUNTIF(入力シート!$J$16:$S$23,入力リスト!$K$4)=0,FALSE,IF(AND(入力シート!$J$16&lt;&gt;入力リスト!$K$5,入力シート!$J$18&lt;&gt;入力リスト!$K$5,入力シート!$J$20&lt;&gt;入力リスト!$K$5,入力シート!$J$22&lt;&gt;入力リスト!$K$5),FALSE,ISERROR(VLOOKUP(D311,入力シート!$AW$37:$AY$38,1,0))))</f>
        <v>0</v>
      </c>
      <c r="L311" s="237" t="b">
        <f>IF(COUNTIF(入力シート!$J$16:$S$23,入力リスト!$K$4)=0,FALSE,IF(入力シート!$J$20=入力リスト!$K$5,FALSE,IF(E311="",FALSE,ISERROR(VLOOKUP(E311,入力シート!$AH$37:$AK$62,1,0)))))</f>
        <v>0</v>
      </c>
      <c r="M311" s="238" t="str">
        <f t="shared" si="4"/>
        <v/>
      </c>
      <c r="N311" s="236" t="str">
        <f>IF(B311="","",VLOOKUP('従業員情報(給与以外)'!$B311,入力シート!$S$37:$Z$62,5,0))</f>
        <v/>
      </c>
      <c r="O311" s="182" t="str">
        <f>IF(ISNUMBER(C311)=FALSE,"",IF(C311&gt;入力シート!$J$24,"",_xlfn.DAYS(入力シート!$J$24,'従業員情報(給与以外)'!$C311)/365))</f>
        <v/>
      </c>
      <c r="P311" s="237" t="str">
        <f>IF(O311="","",VLOOKUP(_xlfn.DAYS(入力シート!$J$24,'従業員情報(給与以外)'!$C311)/365,入力リスト!$H$4:$I$12,2,2))</f>
        <v/>
      </c>
      <c r="Q311" s="236" t="str">
        <f>IF(D311="","",VLOOKUP('従業員情報(給与以外)'!$D311,入力シート!$AW$37:$BB$38,4,0))</f>
        <v/>
      </c>
      <c r="R311" s="236" t="str">
        <f>IF(A311="","",IF(E311="","非役職",VLOOKUP('従業員情報(給与以外)'!$E311,入力シート!$AH$37:$AO$62,5,0)))</f>
        <v/>
      </c>
      <c r="S311" s="116" t="str">
        <f>IF(OR(入力シート!$C$5&lt;&gt;入力リスト!$N$4,COUNTIF(入力シート!$J$16:$S$23,入力リスト!$K$4)=0),"",IF($A311="","",IF(ISERROR(AVERAGEIF(従業員の給与情報!$B:$B,$A311,従業員の給与情報!$C:$C)),0,IF(ISERROR(AVERAGEIF(従業員の給与情報!$B:$B,$A311,従業員の給与情報!$C:$C)),0,AVERAGEIF(従業員の給与情報!$B:$B,$A311,従業員の給与情報!$C:$C)))))</f>
        <v/>
      </c>
      <c r="T311" s="116" t="str">
        <f>IF(OR(入力シート!$C$5&lt;&gt;入力リスト!$N$4,COUNTIF(入力シート!$J$16:$S$23,入力リスト!$K$4)=0),"",IF(A311="","",IF(ISERROR(AVERAGEIF(従業員の給与情報!$B:$B,$A311,従業員の給与情報!$D:$D)),0,IF(ISERROR(AVERAGEIF(従業員の給与情報!$B:$B,$A311,従業員の給与情報!$D:$D)),0,AVERAGEIF(従業員の給与情報!$B:$B,$A311,従業員の給与情報!$D:$D)))))</f>
        <v/>
      </c>
      <c r="U311" s="116" t="str">
        <f>IF(OR(入力シート!$C$5&lt;&gt;入力リスト!$N$4,COUNTIF(入力シート!$J$16:$S$23,入力リスト!$K$4)=0),"",IF(A311="","",IF(ISERROR(AVERAGEIF(従業員の給与情報!$B:$B,$A311,従業員の給与情報!$E:$E)),0,IF(ISERROR(AVERAGEIF(従業員の給与情報!$B:$B,$A311,従業員の給与情報!$E:$E)),0,AVERAGEIF(従業員の給与情報!$B:$B,$A311,従業員の給与情報!$E:$E)))))</f>
        <v/>
      </c>
      <c r="V311" s="117" t="str">
        <f>IF(OR(入力シート!$C$5&lt;&gt;入力リスト!$N$4,COUNTIF(入力シート!$J$16:$S$23,入力リスト!$K$4)=0),"",IF(A311="","",IF(ISERROR(AVERAGEIF(従業員の給与情報!$B:$B,$A311,従業員の給与情報!$F:$F)),0,IF(ISERROR(AVERAGEIF(従業員の給与情報!$B:$B,$A311,従業員の給与情報!$F:$F)),0,AVERAGEIF(従業員の給与情報!$B:$B,$A311,従業員の給与情報!$F:$F)))))</f>
        <v/>
      </c>
      <c r="W311" s="182"/>
      <c r="X311" s="260"/>
    </row>
    <row r="312" spans="1:24">
      <c r="A312" s="368"/>
      <c r="B312" s="361"/>
      <c r="C312" s="362"/>
      <c r="D312" s="361"/>
      <c r="E312" s="361"/>
      <c r="F312" s="372" t="str">
        <f>IF(G312,"この従業員番号は、すでに他のセルで入力されています。",IF(入力シート!$C$5=入力リスト!$N$5,"",IF(AND(A312="",B312="",C312="",D312="",E312=""),"",IF(OR(A312="",B312="",C312="",D312=""),IF(A312="","従業員番号","")&amp;IF(AND(A312="",OR(B312="",C312="",D312="")),",","")&amp;IF(B312="","雇用形態","")&amp;IF(AND(B312="",OR(C312="",D312="")),",","")&amp;IF(OR(入力シート!$J$18=入力リスト!$K$4,入力シート!$J$22=入力リスト!$K$4),IF(C312="","入社年月日",""),"")&amp;IF(AND(C312="",D312=""),",","")&amp;IF(D312="","性別","")&amp;IF(IF(A312="","従業員番号","")&amp;IF(B312="","雇用形態","")&amp;IF(OR(入力シート!$J$18=入力リスト!$K$4,入力シート!$J$22=入力リスト!$K$4),IF(C312="","入社年月日",""),"")&amp;IF(D312="","性別","")="","","が空白です。"),IF(J312,"入社年月日に「基準日」の翌日以降の日付が入力されています。","")&amp;IF(I312,"入社年月日に数値以外（又は1900/1/1以前の日付）が入力されています。","")&amp;IF(H312,"雇用形態"&amp;IF(OR(K312,L312),",",""),"")&amp;IF(K312,"性別"&amp;IF(L312,",",""),"")&amp;IF(L312,"役職","")&amp;IF(OR(H312,K312,L312),"に、［入力シート］(4)「貴社」欄と異なる文言が入力されています。","")))))</f>
        <v/>
      </c>
      <c r="G312" s="236" t="b">
        <f>COUNTIF($A$4:A311,$A312)&gt;0</f>
        <v>0</v>
      </c>
      <c r="H312" s="237" t="b">
        <f>IF(COUNTIF(入力シート!$J$16:$S$23,入力リスト!$K$4)=0,FALSE,IF(入力シート!$J$16=入力リスト!$K$5,FALSE,ISERROR(VLOOKUP(B312,入力シート!$S$37:$V$62,1,0))))</f>
        <v>0</v>
      </c>
      <c r="I312" s="237" t="b">
        <f>IF(AND(OR(入力シート!$J$18=入力リスト!$K$4,入力シート!$J$22=入力リスト!$K$4),入力シート!$J$24&lt;&gt;""),IF(ISERROR(C312+1),TRUE,IF(ISNUMBER(C312),FALSE,TRUE)),FALSE)</f>
        <v>0</v>
      </c>
      <c r="J312" s="237" t="b">
        <f>IF(AND(入力シート!$J$18=入力リスト!$K$4,入力シート!$J$22=入力リスト!$K$4),FALSE,IF(I312=TRUE,FALSE,IF(ISERROR(C312+1),FALSE,C312&gt;入力シート!$J$24)))</f>
        <v>0</v>
      </c>
      <c r="K312" s="237" t="b">
        <f>IF(COUNTIF(入力シート!$J$16:$S$23,入力リスト!$K$4)=0,FALSE,IF(AND(入力シート!$J$16&lt;&gt;入力リスト!$K$5,入力シート!$J$18&lt;&gt;入力リスト!$K$5,入力シート!$J$20&lt;&gt;入力リスト!$K$5,入力シート!$J$22&lt;&gt;入力リスト!$K$5),FALSE,ISERROR(VLOOKUP(D312,入力シート!$AW$37:$AY$38,1,0))))</f>
        <v>0</v>
      </c>
      <c r="L312" s="237" t="b">
        <f>IF(COUNTIF(入力シート!$J$16:$S$23,入力リスト!$K$4)=0,FALSE,IF(入力シート!$J$20=入力リスト!$K$5,FALSE,IF(E312="",FALSE,ISERROR(VLOOKUP(E312,入力シート!$AH$37:$AK$62,1,0)))))</f>
        <v>0</v>
      </c>
      <c r="M312" s="238" t="str">
        <f t="shared" si="4"/>
        <v/>
      </c>
      <c r="N312" s="236" t="str">
        <f>IF(B312="","",VLOOKUP('従業員情報(給与以外)'!$B312,入力シート!$S$37:$Z$62,5,0))</f>
        <v/>
      </c>
      <c r="O312" s="182" t="str">
        <f>IF(ISNUMBER(C312)=FALSE,"",IF(C312&gt;入力シート!$J$24,"",_xlfn.DAYS(入力シート!$J$24,'従業員情報(給与以外)'!$C312)/365))</f>
        <v/>
      </c>
      <c r="P312" s="237" t="str">
        <f>IF(O312="","",VLOOKUP(_xlfn.DAYS(入力シート!$J$24,'従業員情報(給与以外)'!$C312)/365,入力リスト!$H$4:$I$12,2,2))</f>
        <v/>
      </c>
      <c r="Q312" s="236" t="str">
        <f>IF(D312="","",VLOOKUP('従業員情報(給与以外)'!$D312,入力シート!$AW$37:$BB$38,4,0))</f>
        <v/>
      </c>
      <c r="R312" s="236" t="str">
        <f>IF(A312="","",IF(E312="","非役職",VLOOKUP('従業員情報(給与以外)'!$E312,入力シート!$AH$37:$AO$62,5,0)))</f>
        <v/>
      </c>
      <c r="S312" s="116" t="str">
        <f>IF(OR(入力シート!$C$5&lt;&gt;入力リスト!$N$4,COUNTIF(入力シート!$J$16:$S$23,入力リスト!$K$4)=0),"",IF($A312="","",IF(ISERROR(AVERAGEIF(従業員の給与情報!$B:$B,$A312,従業員の給与情報!$C:$C)),0,IF(ISERROR(AVERAGEIF(従業員の給与情報!$B:$B,$A312,従業員の給与情報!$C:$C)),0,AVERAGEIF(従業員の給与情報!$B:$B,$A312,従業員の給与情報!$C:$C)))))</f>
        <v/>
      </c>
      <c r="T312" s="116" t="str">
        <f>IF(OR(入力シート!$C$5&lt;&gt;入力リスト!$N$4,COUNTIF(入力シート!$J$16:$S$23,入力リスト!$K$4)=0),"",IF(A312="","",IF(ISERROR(AVERAGEIF(従業員の給与情報!$B:$B,$A312,従業員の給与情報!$D:$D)),0,IF(ISERROR(AVERAGEIF(従業員の給与情報!$B:$B,$A312,従業員の給与情報!$D:$D)),0,AVERAGEIF(従業員の給与情報!$B:$B,$A312,従業員の給与情報!$D:$D)))))</f>
        <v/>
      </c>
      <c r="U312" s="116" t="str">
        <f>IF(OR(入力シート!$C$5&lt;&gt;入力リスト!$N$4,COUNTIF(入力シート!$J$16:$S$23,入力リスト!$K$4)=0),"",IF(A312="","",IF(ISERROR(AVERAGEIF(従業員の給与情報!$B:$B,$A312,従業員の給与情報!$E:$E)),0,IF(ISERROR(AVERAGEIF(従業員の給与情報!$B:$B,$A312,従業員の給与情報!$E:$E)),0,AVERAGEIF(従業員の給与情報!$B:$B,$A312,従業員の給与情報!$E:$E)))))</f>
        <v/>
      </c>
      <c r="V312" s="117" t="str">
        <f>IF(OR(入力シート!$C$5&lt;&gt;入力リスト!$N$4,COUNTIF(入力シート!$J$16:$S$23,入力リスト!$K$4)=0),"",IF(A312="","",IF(ISERROR(AVERAGEIF(従業員の給与情報!$B:$B,$A312,従業員の給与情報!$F:$F)),0,IF(ISERROR(AVERAGEIF(従業員の給与情報!$B:$B,$A312,従業員の給与情報!$F:$F)),0,AVERAGEIF(従業員の給与情報!$B:$B,$A312,従業員の給与情報!$F:$F)))))</f>
        <v/>
      </c>
      <c r="W312" s="182"/>
      <c r="X312" s="260"/>
    </row>
    <row r="313" spans="1:24">
      <c r="A313" s="368"/>
      <c r="B313" s="361"/>
      <c r="C313" s="362"/>
      <c r="D313" s="361"/>
      <c r="E313" s="361"/>
      <c r="F313" s="372" t="str">
        <f>IF(G313,"この従業員番号は、すでに他のセルで入力されています。",IF(入力シート!$C$5=入力リスト!$N$5,"",IF(AND(A313="",B313="",C313="",D313="",E313=""),"",IF(OR(A313="",B313="",C313="",D313=""),IF(A313="","従業員番号","")&amp;IF(AND(A313="",OR(B313="",C313="",D313="")),",","")&amp;IF(B313="","雇用形態","")&amp;IF(AND(B313="",OR(C313="",D313="")),",","")&amp;IF(OR(入力シート!$J$18=入力リスト!$K$4,入力シート!$J$22=入力リスト!$K$4),IF(C313="","入社年月日",""),"")&amp;IF(AND(C313="",D313=""),",","")&amp;IF(D313="","性別","")&amp;IF(IF(A313="","従業員番号","")&amp;IF(B313="","雇用形態","")&amp;IF(OR(入力シート!$J$18=入力リスト!$K$4,入力シート!$J$22=入力リスト!$K$4),IF(C313="","入社年月日",""),"")&amp;IF(D313="","性別","")="","","が空白です。"),IF(J313,"入社年月日に「基準日」の翌日以降の日付が入力されています。","")&amp;IF(I313,"入社年月日に数値以外（又は1900/1/1以前の日付）が入力されています。","")&amp;IF(H313,"雇用形態"&amp;IF(OR(K313,L313),",",""),"")&amp;IF(K313,"性別"&amp;IF(L313,",",""),"")&amp;IF(L313,"役職","")&amp;IF(OR(H313,K313,L313),"に、［入力シート］(4)「貴社」欄と異なる文言が入力されています。","")))))</f>
        <v/>
      </c>
      <c r="G313" s="236" t="b">
        <f>COUNTIF($A$4:A312,$A313)&gt;0</f>
        <v>0</v>
      </c>
      <c r="H313" s="237" t="b">
        <f>IF(COUNTIF(入力シート!$J$16:$S$23,入力リスト!$K$4)=0,FALSE,IF(入力シート!$J$16=入力リスト!$K$5,FALSE,ISERROR(VLOOKUP(B313,入力シート!$S$37:$V$62,1,0))))</f>
        <v>0</v>
      </c>
      <c r="I313" s="237" t="b">
        <f>IF(AND(OR(入力シート!$J$18=入力リスト!$K$4,入力シート!$J$22=入力リスト!$K$4),入力シート!$J$24&lt;&gt;""),IF(ISERROR(C313+1),TRUE,IF(ISNUMBER(C313),FALSE,TRUE)),FALSE)</f>
        <v>0</v>
      </c>
      <c r="J313" s="237" t="b">
        <f>IF(AND(入力シート!$J$18=入力リスト!$K$4,入力シート!$J$22=入力リスト!$K$4),FALSE,IF(I313=TRUE,FALSE,IF(ISERROR(C313+1),FALSE,C313&gt;入力シート!$J$24)))</f>
        <v>0</v>
      </c>
      <c r="K313" s="237" t="b">
        <f>IF(COUNTIF(入力シート!$J$16:$S$23,入力リスト!$K$4)=0,FALSE,IF(AND(入力シート!$J$16&lt;&gt;入力リスト!$K$5,入力シート!$J$18&lt;&gt;入力リスト!$K$5,入力シート!$J$20&lt;&gt;入力リスト!$K$5,入力シート!$J$22&lt;&gt;入力リスト!$K$5),FALSE,ISERROR(VLOOKUP(D313,入力シート!$AW$37:$AY$38,1,0))))</f>
        <v>0</v>
      </c>
      <c r="L313" s="237" t="b">
        <f>IF(COUNTIF(入力シート!$J$16:$S$23,入力リスト!$K$4)=0,FALSE,IF(入力シート!$J$20=入力リスト!$K$5,FALSE,IF(E313="",FALSE,ISERROR(VLOOKUP(E313,入力シート!$AH$37:$AK$62,1,0)))))</f>
        <v>0</v>
      </c>
      <c r="M313" s="238" t="str">
        <f t="shared" si="4"/>
        <v/>
      </c>
      <c r="N313" s="236" t="str">
        <f>IF(B313="","",VLOOKUP('従業員情報(給与以外)'!$B313,入力シート!$S$37:$Z$62,5,0))</f>
        <v/>
      </c>
      <c r="O313" s="182" t="str">
        <f>IF(ISNUMBER(C313)=FALSE,"",IF(C313&gt;入力シート!$J$24,"",_xlfn.DAYS(入力シート!$J$24,'従業員情報(給与以外)'!$C313)/365))</f>
        <v/>
      </c>
      <c r="P313" s="237" t="str">
        <f>IF(O313="","",VLOOKUP(_xlfn.DAYS(入力シート!$J$24,'従業員情報(給与以外)'!$C313)/365,入力リスト!$H$4:$I$12,2,2))</f>
        <v/>
      </c>
      <c r="Q313" s="236" t="str">
        <f>IF(D313="","",VLOOKUP('従業員情報(給与以外)'!$D313,入力シート!$AW$37:$BB$38,4,0))</f>
        <v/>
      </c>
      <c r="R313" s="236" t="str">
        <f>IF(A313="","",IF(E313="","非役職",VLOOKUP('従業員情報(給与以外)'!$E313,入力シート!$AH$37:$AO$62,5,0)))</f>
        <v/>
      </c>
      <c r="S313" s="116" t="str">
        <f>IF(OR(入力シート!$C$5&lt;&gt;入力リスト!$N$4,COUNTIF(入力シート!$J$16:$S$23,入力リスト!$K$4)=0),"",IF($A313="","",IF(ISERROR(AVERAGEIF(従業員の給与情報!$B:$B,$A313,従業員の給与情報!$C:$C)),0,IF(ISERROR(AVERAGEIF(従業員の給与情報!$B:$B,$A313,従業員の給与情報!$C:$C)),0,AVERAGEIF(従業員の給与情報!$B:$B,$A313,従業員の給与情報!$C:$C)))))</f>
        <v/>
      </c>
      <c r="T313" s="116" t="str">
        <f>IF(OR(入力シート!$C$5&lt;&gt;入力リスト!$N$4,COUNTIF(入力シート!$J$16:$S$23,入力リスト!$K$4)=0),"",IF(A313="","",IF(ISERROR(AVERAGEIF(従業員の給与情報!$B:$B,$A313,従業員の給与情報!$D:$D)),0,IF(ISERROR(AVERAGEIF(従業員の給与情報!$B:$B,$A313,従業員の給与情報!$D:$D)),0,AVERAGEIF(従業員の給与情報!$B:$B,$A313,従業員の給与情報!$D:$D)))))</f>
        <v/>
      </c>
      <c r="U313" s="116" t="str">
        <f>IF(OR(入力シート!$C$5&lt;&gt;入力リスト!$N$4,COUNTIF(入力シート!$J$16:$S$23,入力リスト!$K$4)=0),"",IF(A313="","",IF(ISERROR(AVERAGEIF(従業員の給与情報!$B:$B,$A313,従業員の給与情報!$E:$E)),0,IF(ISERROR(AVERAGEIF(従業員の給与情報!$B:$B,$A313,従業員の給与情報!$E:$E)),0,AVERAGEIF(従業員の給与情報!$B:$B,$A313,従業員の給与情報!$E:$E)))))</f>
        <v/>
      </c>
      <c r="V313" s="117" t="str">
        <f>IF(OR(入力シート!$C$5&lt;&gt;入力リスト!$N$4,COUNTIF(入力シート!$J$16:$S$23,入力リスト!$K$4)=0),"",IF(A313="","",IF(ISERROR(AVERAGEIF(従業員の給与情報!$B:$B,$A313,従業員の給与情報!$F:$F)),0,IF(ISERROR(AVERAGEIF(従業員の給与情報!$B:$B,$A313,従業員の給与情報!$F:$F)),0,AVERAGEIF(従業員の給与情報!$B:$B,$A313,従業員の給与情報!$F:$F)))))</f>
        <v/>
      </c>
      <c r="W313" s="182"/>
      <c r="X313" s="260"/>
    </row>
    <row r="314" spans="1:24">
      <c r="A314" s="368"/>
      <c r="B314" s="361"/>
      <c r="C314" s="362"/>
      <c r="D314" s="361"/>
      <c r="E314" s="361"/>
      <c r="F314" s="372" t="str">
        <f>IF(G314,"この従業員番号は、すでに他のセルで入力されています。",IF(入力シート!$C$5=入力リスト!$N$5,"",IF(AND(A314="",B314="",C314="",D314="",E314=""),"",IF(OR(A314="",B314="",C314="",D314=""),IF(A314="","従業員番号","")&amp;IF(AND(A314="",OR(B314="",C314="",D314="")),",","")&amp;IF(B314="","雇用形態","")&amp;IF(AND(B314="",OR(C314="",D314="")),",","")&amp;IF(OR(入力シート!$J$18=入力リスト!$K$4,入力シート!$J$22=入力リスト!$K$4),IF(C314="","入社年月日",""),"")&amp;IF(AND(C314="",D314=""),",","")&amp;IF(D314="","性別","")&amp;IF(IF(A314="","従業員番号","")&amp;IF(B314="","雇用形態","")&amp;IF(OR(入力シート!$J$18=入力リスト!$K$4,入力シート!$J$22=入力リスト!$K$4),IF(C314="","入社年月日",""),"")&amp;IF(D314="","性別","")="","","が空白です。"),IF(J314,"入社年月日に「基準日」の翌日以降の日付が入力されています。","")&amp;IF(I314,"入社年月日に数値以外（又は1900/1/1以前の日付）が入力されています。","")&amp;IF(H314,"雇用形態"&amp;IF(OR(K314,L314),",",""),"")&amp;IF(K314,"性別"&amp;IF(L314,",",""),"")&amp;IF(L314,"役職","")&amp;IF(OR(H314,K314,L314),"に、［入力シート］(4)「貴社」欄と異なる文言が入力されています。","")))))</f>
        <v/>
      </c>
      <c r="G314" s="236" t="b">
        <f>COUNTIF($A$4:A313,$A314)&gt;0</f>
        <v>0</v>
      </c>
      <c r="H314" s="237" t="b">
        <f>IF(COUNTIF(入力シート!$J$16:$S$23,入力リスト!$K$4)=0,FALSE,IF(入力シート!$J$16=入力リスト!$K$5,FALSE,ISERROR(VLOOKUP(B314,入力シート!$S$37:$V$62,1,0))))</f>
        <v>0</v>
      </c>
      <c r="I314" s="237" t="b">
        <f>IF(AND(OR(入力シート!$J$18=入力リスト!$K$4,入力シート!$J$22=入力リスト!$K$4),入力シート!$J$24&lt;&gt;""),IF(ISERROR(C314+1),TRUE,IF(ISNUMBER(C314),FALSE,TRUE)),FALSE)</f>
        <v>0</v>
      </c>
      <c r="J314" s="237" t="b">
        <f>IF(AND(入力シート!$J$18=入力リスト!$K$4,入力シート!$J$22=入力リスト!$K$4),FALSE,IF(I314=TRUE,FALSE,IF(ISERROR(C314+1),FALSE,C314&gt;入力シート!$J$24)))</f>
        <v>0</v>
      </c>
      <c r="K314" s="237" t="b">
        <f>IF(COUNTIF(入力シート!$J$16:$S$23,入力リスト!$K$4)=0,FALSE,IF(AND(入力シート!$J$16&lt;&gt;入力リスト!$K$5,入力シート!$J$18&lt;&gt;入力リスト!$K$5,入力シート!$J$20&lt;&gt;入力リスト!$K$5,入力シート!$J$22&lt;&gt;入力リスト!$K$5),FALSE,ISERROR(VLOOKUP(D314,入力シート!$AW$37:$AY$38,1,0))))</f>
        <v>0</v>
      </c>
      <c r="L314" s="237" t="b">
        <f>IF(COUNTIF(入力シート!$J$16:$S$23,入力リスト!$K$4)=0,FALSE,IF(入力シート!$J$20=入力リスト!$K$5,FALSE,IF(E314="",FALSE,ISERROR(VLOOKUP(E314,入力シート!$AH$37:$AK$62,1,0)))))</f>
        <v>0</v>
      </c>
      <c r="M314" s="238" t="str">
        <f t="shared" si="4"/>
        <v/>
      </c>
      <c r="N314" s="236" t="str">
        <f>IF(B314="","",VLOOKUP('従業員情報(給与以外)'!$B314,入力シート!$S$37:$Z$62,5,0))</f>
        <v/>
      </c>
      <c r="O314" s="182" t="str">
        <f>IF(ISNUMBER(C314)=FALSE,"",IF(C314&gt;入力シート!$J$24,"",_xlfn.DAYS(入力シート!$J$24,'従業員情報(給与以外)'!$C314)/365))</f>
        <v/>
      </c>
      <c r="P314" s="237" t="str">
        <f>IF(O314="","",VLOOKUP(_xlfn.DAYS(入力シート!$J$24,'従業員情報(給与以外)'!$C314)/365,入力リスト!$H$4:$I$12,2,2))</f>
        <v/>
      </c>
      <c r="Q314" s="236" t="str">
        <f>IF(D314="","",VLOOKUP('従業員情報(給与以外)'!$D314,入力シート!$AW$37:$BB$38,4,0))</f>
        <v/>
      </c>
      <c r="R314" s="236" t="str">
        <f>IF(A314="","",IF(E314="","非役職",VLOOKUP('従業員情報(給与以外)'!$E314,入力シート!$AH$37:$AO$62,5,0)))</f>
        <v/>
      </c>
      <c r="S314" s="116" t="str">
        <f>IF(OR(入力シート!$C$5&lt;&gt;入力リスト!$N$4,COUNTIF(入力シート!$J$16:$S$23,入力リスト!$K$4)=0),"",IF($A314="","",IF(ISERROR(AVERAGEIF(従業員の給与情報!$B:$B,$A314,従業員の給与情報!$C:$C)),0,IF(ISERROR(AVERAGEIF(従業員の給与情報!$B:$B,$A314,従業員の給与情報!$C:$C)),0,AVERAGEIF(従業員の給与情報!$B:$B,$A314,従業員の給与情報!$C:$C)))))</f>
        <v/>
      </c>
      <c r="T314" s="116" t="str">
        <f>IF(OR(入力シート!$C$5&lt;&gt;入力リスト!$N$4,COUNTIF(入力シート!$J$16:$S$23,入力リスト!$K$4)=0),"",IF(A314="","",IF(ISERROR(AVERAGEIF(従業員の給与情報!$B:$B,$A314,従業員の給与情報!$D:$D)),0,IF(ISERROR(AVERAGEIF(従業員の給与情報!$B:$B,$A314,従業員の給与情報!$D:$D)),0,AVERAGEIF(従業員の給与情報!$B:$B,$A314,従業員の給与情報!$D:$D)))))</f>
        <v/>
      </c>
      <c r="U314" s="116" t="str">
        <f>IF(OR(入力シート!$C$5&lt;&gt;入力リスト!$N$4,COUNTIF(入力シート!$J$16:$S$23,入力リスト!$K$4)=0),"",IF(A314="","",IF(ISERROR(AVERAGEIF(従業員の給与情報!$B:$B,$A314,従業員の給与情報!$E:$E)),0,IF(ISERROR(AVERAGEIF(従業員の給与情報!$B:$B,$A314,従業員の給与情報!$E:$E)),0,AVERAGEIF(従業員の給与情報!$B:$B,$A314,従業員の給与情報!$E:$E)))))</f>
        <v/>
      </c>
      <c r="V314" s="117" t="str">
        <f>IF(OR(入力シート!$C$5&lt;&gt;入力リスト!$N$4,COUNTIF(入力シート!$J$16:$S$23,入力リスト!$K$4)=0),"",IF(A314="","",IF(ISERROR(AVERAGEIF(従業員の給与情報!$B:$B,$A314,従業員の給与情報!$F:$F)),0,IF(ISERROR(AVERAGEIF(従業員の給与情報!$B:$B,$A314,従業員の給与情報!$F:$F)),0,AVERAGEIF(従業員の給与情報!$B:$B,$A314,従業員の給与情報!$F:$F)))))</f>
        <v/>
      </c>
      <c r="W314" s="182"/>
      <c r="X314" s="260"/>
    </row>
    <row r="315" spans="1:24">
      <c r="A315" s="368"/>
      <c r="B315" s="361"/>
      <c r="C315" s="362"/>
      <c r="D315" s="361"/>
      <c r="E315" s="361"/>
      <c r="F315" s="372" t="str">
        <f>IF(G315,"この従業員番号は、すでに他のセルで入力されています。",IF(入力シート!$C$5=入力リスト!$N$5,"",IF(AND(A315="",B315="",C315="",D315="",E315=""),"",IF(OR(A315="",B315="",C315="",D315=""),IF(A315="","従業員番号","")&amp;IF(AND(A315="",OR(B315="",C315="",D315="")),",","")&amp;IF(B315="","雇用形態","")&amp;IF(AND(B315="",OR(C315="",D315="")),",","")&amp;IF(OR(入力シート!$J$18=入力リスト!$K$4,入力シート!$J$22=入力リスト!$K$4),IF(C315="","入社年月日",""),"")&amp;IF(AND(C315="",D315=""),",","")&amp;IF(D315="","性別","")&amp;IF(IF(A315="","従業員番号","")&amp;IF(B315="","雇用形態","")&amp;IF(OR(入力シート!$J$18=入力リスト!$K$4,入力シート!$J$22=入力リスト!$K$4),IF(C315="","入社年月日",""),"")&amp;IF(D315="","性別","")="","","が空白です。"),IF(J315,"入社年月日に「基準日」の翌日以降の日付が入力されています。","")&amp;IF(I315,"入社年月日に数値以外（又は1900/1/1以前の日付）が入力されています。","")&amp;IF(H315,"雇用形態"&amp;IF(OR(K315,L315),",",""),"")&amp;IF(K315,"性別"&amp;IF(L315,",",""),"")&amp;IF(L315,"役職","")&amp;IF(OR(H315,K315,L315),"に、［入力シート］(4)「貴社」欄と異なる文言が入力されています。","")))))</f>
        <v/>
      </c>
      <c r="G315" s="236" t="b">
        <f>COUNTIF($A$4:A314,$A315)&gt;0</f>
        <v>0</v>
      </c>
      <c r="H315" s="237" t="b">
        <f>IF(COUNTIF(入力シート!$J$16:$S$23,入力リスト!$K$4)=0,FALSE,IF(入力シート!$J$16=入力リスト!$K$5,FALSE,ISERROR(VLOOKUP(B315,入力シート!$S$37:$V$62,1,0))))</f>
        <v>0</v>
      </c>
      <c r="I315" s="237" t="b">
        <f>IF(AND(OR(入力シート!$J$18=入力リスト!$K$4,入力シート!$J$22=入力リスト!$K$4),入力シート!$J$24&lt;&gt;""),IF(ISERROR(C315+1),TRUE,IF(ISNUMBER(C315),FALSE,TRUE)),FALSE)</f>
        <v>0</v>
      </c>
      <c r="J315" s="237" t="b">
        <f>IF(AND(入力シート!$J$18=入力リスト!$K$4,入力シート!$J$22=入力リスト!$K$4),FALSE,IF(I315=TRUE,FALSE,IF(ISERROR(C315+1),FALSE,C315&gt;入力シート!$J$24)))</f>
        <v>0</v>
      </c>
      <c r="K315" s="237" t="b">
        <f>IF(COUNTIF(入力シート!$J$16:$S$23,入力リスト!$K$4)=0,FALSE,IF(AND(入力シート!$J$16&lt;&gt;入力リスト!$K$5,入力シート!$J$18&lt;&gt;入力リスト!$K$5,入力シート!$J$20&lt;&gt;入力リスト!$K$5,入力シート!$J$22&lt;&gt;入力リスト!$K$5),FALSE,ISERROR(VLOOKUP(D315,入力シート!$AW$37:$AY$38,1,0))))</f>
        <v>0</v>
      </c>
      <c r="L315" s="237" t="b">
        <f>IF(COUNTIF(入力シート!$J$16:$S$23,入力リスト!$K$4)=0,FALSE,IF(入力シート!$J$20=入力リスト!$K$5,FALSE,IF(E315="",FALSE,ISERROR(VLOOKUP(E315,入力シート!$AH$37:$AK$62,1,0)))))</f>
        <v>0</v>
      </c>
      <c r="M315" s="238" t="str">
        <f t="shared" si="4"/>
        <v/>
      </c>
      <c r="N315" s="236" t="str">
        <f>IF(B315="","",VLOOKUP('従業員情報(給与以外)'!$B315,入力シート!$S$37:$Z$62,5,0))</f>
        <v/>
      </c>
      <c r="O315" s="182" t="str">
        <f>IF(ISNUMBER(C315)=FALSE,"",IF(C315&gt;入力シート!$J$24,"",_xlfn.DAYS(入力シート!$J$24,'従業員情報(給与以外)'!$C315)/365))</f>
        <v/>
      </c>
      <c r="P315" s="237" t="str">
        <f>IF(O315="","",VLOOKUP(_xlfn.DAYS(入力シート!$J$24,'従業員情報(給与以外)'!$C315)/365,入力リスト!$H$4:$I$12,2,2))</f>
        <v/>
      </c>
      <c r="Q315" s="236" t="str">
        <f>IF(D315="","",VLOOKUP('従業員情報(給与以外)'!$D315,入力シート!$AW$37:$BB$38,4,0))</f>
        <v/>
      </c>
      <c r="R315" s="236" t="str">
        <f>IF(A315="","",IF(E315="","非役職",VLOOKUP('従業員情報(給与以外)'!$E315,入力シート!$AH$37:$AO$62,5,0)))</f>
        <v/>
      </c>
      <c r="S315" s="116" t="str">
        <f>IF(OR(入力シート!$C$5&lt;&gt;入力リスト!$N$4,COUNTIF(入力シート!$J$16:$S$23,入力リスト!$K$4)=0),"",IF($A315="","",IF(ISERROR(AVERAGEIF(従業員の給与情報!$B:$B,$A315,従業員の給与情報!$C:$C)),0,IF(ISERROR(AVERAGEIF(従業員の給与情報!$B:$B,$A315,従業員の給与情報!$C:$C)),0,AVERAGEIF(従業員の給与情報!$B:$B,$A315,従業員の給与情報!$C:$C)))))</f>
        <v/>
      </c>
      <c r="T315" s="116" t="str">
        <f>IF(OR(入力シート!$C$5&lt;&gt;入力リスト!$N$4,COUNTIF(入力シート!$J$16:$S$23,入力リスト!$K$4)=0),"",IF(A315="","",IF(ISERROR(AVERAGEIF(従業員の給与情報!$B:$B,$A315,従業員の給与情報!$D:$D)),0,IF(ISERROR(AVERAGEIF(従業員の給与情報!$B:$B,$A315,従業員の給与情報!$D:$D)),0,AVERAGEIF(従業員の給与情報!$B:$B,$A315,従業員の給与情報!$D:$D)))))</f>
        <v/>
      </c>
      <c r="U315" s="116" t="str">
        <f>IF(OR(入力シート!$C$5&lt;&gt;入力リスト!$N$4,COUNTIF(入力シート!$J$16:$S$23,入力リスト!$K$4)=0),"",IF(A315="","",IF(ISERROR(AVERAGEIF(従業員の給与情報!$B:$B,$A315,従業員の給与情報!$E:$E)),0,IF(ISERROR(AVERAGEIF(従業員の給与情報!$B:$B,$A315,従業員の給与情報!$E:$E)),0,AVERAGEIF(従業員の給与情報!$B:$B,$A315,従業員の給与情報!$E:$E)))))</f>
        <v/>
      </c>
      <c r="V315" s="117" t="str">
        <f>IF(OR(入力シート!$C$5&lt;&gt;入力リスト!$N$4,COUNTIF(入力シート!$J$16:$S$23,入力リスト!$K$4)=0),"",IF(A315="","",IF(ISERROR(AVERAGEIF(従業員の給与情報!$B:$B,$A315,従業員の給与情報!$F:$F)),0,IF(ISERROR(AVERAGEIF(従業員の給与情報!$B:$B,$A315,従業員の給与情報!$F:$F)),0,AVERAGEIF(従業員の給与情報!$B:$B,$A315,従業員の給与情報!$F:$F)))))</f>
        <v/>
      </c>
      <c r="W315" s="182"/>
      <c r="X315" s="260"/>
    </row>
    <row r="316" spans="1:24">
      <c r="A316" s="368"/>
      <c r="B316" s="361"/>
      <c r="C316" s="362"/>
      <c r="D316" s="361"/>
      <c r="E316" s="361"/>
      <c r="F316" s="372" t="str">
        <f>IF(G316,"この従業員番号は、すでに他のセルで入力されています。",IF(入力シート!$C$5=入力リスト!$N$5,"",IF(AND(A316="",B316="",C316="",D316="",E316=""),"",IF(OR(A316="",B316="",C316="",D316=""),IF(A316="","従業員番号","")&amp;IF(AND(A316="",OR(B316="",C316="",D316="")),",","")&amp;IF(B316="","雇用形態","")&amp;IF(AND(B316="",OR(C316="",D316="")),",","")&amp;IF(OR(入力シート!$J$18=入力リスト!$K$4,入力シート!$J$22=入力リスト!$K$4),IF(C316="","入社年月日",""),"")&amp;IF(AND(C316="",D316=""),",","")&amp;IF(D316="","性別","")&amp;IF(IF(A316="","従業員番号","")&amp;IF(B316="","雇用形態","")&amp;IF(OR(入力シート!$J$18=入力リスト!$K$4,入力シート!$J$22=入力リスト!$K$4),IF(C316="","入社年月日",""),"")&amp;IF(D316="","性別","")="","","が空白です。"),IF(J316,"入社年月日に「基準日」の翌日以降の日付が入力されています。","")&amp;IF(I316,"入社年月日に数値以外（又は1900/1/1以前の日付）が入力されています。","")&amp;IF(H316,"雇用形態"&amp;IF(OR(K316,L316),",",""),"")&amp;IF(K316,"性別"&amp;IF(L316,",",""),"")&amp;IF(L316,"役職","")&amp;IF(OR(H316,K316,L316),"に、［入力シート］(4)「貴社」欄と異なる文言が入力されています。","")))))</f>
        <v/>
      </c>
      <c r="G316" s="236" t="b">
        <f>COUNTIF($A$4:A315,$A316)&gt;0</f>
        <v>0</v>
      </c>
      <c r="H316" s="237" t="b">
        <f>IF(COUNTIF(入力シート!$J$16:$S$23,入力リスト!$K$4)=0,FALSE,IF(入力シート!$J$16=入力リスト!$K$5,FALSE,ISERROR(VLOOKUP(B316,入力シート!$S$37:$V$62,1,0))))</f>
        <v>0</v>
      </c>
      <c r="I316" s="237" t="b">
        <f>IF(AND(OR(入力シート!$J$18=入力リスト!$K$4,入力シート!$J$22=入力リスト!$K$4),入力シート!$J$24&lt;&gt;""),IF(ISERROR(C316+1),TRUE,IF(ISNUMBER(C316),FALSE,TRUE)),FALSE)</f>
        <v>0</v>
      </c>
      <c r="J316" s="237" t="b">
        <f>IF(AND(入力シート!$J$18=入力リスト!$K$4,入力シート!$J$22=入力リスト!$K$4),FALSE,IF(I316=TRUE,FALSE,IF(ISERROR(C316+1),FALSE,C316&gt;入力シート!$J$24)))</f>
        <v>0</v>
      </c>
      <c r="K316" s="237" t="b">
        <f>IF(COUNTIF(入力シート!$J$16:$S$23,入力リスト!$K$4)=0,FALSE,IF(AND(入力シート!$J$16&lt;&gt;入力リスト!$K$5,入力シート!$J$18&lt;&gt;入力リスト!$K$5,入力シート!$J$20&lt;&gt;入力リスト!$K$5,入力シート!$J$22&lt;&gt;入力リスト!$K$5),FALSE,ISERROR(VLOOKUP(D316,入力シート!$AW$37:$AY$38,1,0))))</f>
        <v>0</v>
      </c>
      <c r="L316" s="237" t="b">
        <f>IF(COUNTIF(入力シート!$J$16:$S$23,入力リスト!$K$4)=0,FALSE,IF(入力シート!$J$20=入力リスト!$K$5,FALSE,IF(E316="",FALSE,ISERROR(VLOOKUP(E316,入力シート!$AH$37:$AK$62,1,0)))))</f>
        <v>0</v>
      </c>
      <c r="M316" s="238" t="str">
        <f t="shared" si="4"/>
        <v/>
      </c>
      <c r="N316" s="236" t="str">
        <f>IF(B316="","",VLOOKUP('従業員情報(給与以外)'!$B316,入力シート!$S$37:$Z$62,5,0))</f>
        <v/>
      </c>
      <c r="O316" s="182" t="str">
        <f>IF(ISNUMBER(C316)=FALSE,"",IF(C316&gt;入力シート!$J$24,"",_xlfn.DAYS(入力シート!$J$24,'従業員情報(給与以外)'!$C316)/365))</f>
        <v/>
      </c>
      <c r="P316" s="237" t="str">
        <f>IF(O316="","",VLOOKUP(_xlfn.DAYS(入力シート!$J$24,'従業員情報(給与以外)'!$C316)/365,入力リスト!$H$4:$I$12,2,2))</f>
        <v/>
      </c>
      <c r="Q316" s="236" t="str">
        <f>IF(D316="","",VLOOKUP('従業員情報(給与以外)'!$D316,入力シート!$AW$37:$BB$38,4,0))</f>
        <v/>
      </c>
      <c r="R316" s="236" t="str">
        <f>IF(A316="","",IF(E316="","非役職",VLOOKUP('従業員情報(給与以外)'!$E316,入力シート!$AH$37:$AO$62,5,0)))</f>
        <v/>
      </c>
      <c r="S316" s="116" t="str">
        <f>IF(OR(入力シート!$C$5&lt;&gt;入力リスト!$N$4,COUNTIF(入力シート!$J$16:$S$23,入力リスト!$K$4)=0),"",IF($A316="","",IF(ISERROR(AVERAGEIF(従業員の給与情報!$B:$B,$A316,従業員の給与情報!$C:$C)),0,IF(ISERROR(AVERAGEIF(従業員の給与情報!$B:$B,$A316,従業員の給与情報!$C:$C)),0,AVERAGEIF(従業員の給与情報!$B:$B,$A316,従業員の給与情報!$C:$C)))))</f>
        <v/>
      </c>
      <c r="T316" s="116" t="str">
        <f>IF(OR(入力シート!$C$5&lt;&gt;入力リスト!$N$4,COUNTIF(入力シート!$J$16:$S$23,入力リスト!$K$4)=0),"",IF(A316="","",IF(ISERROR(AVERAGEIF(従業員の給与情報!$B:$B,$A316,従業員の給与情報!$D:$D)),0,IF(ISERROR(AVERAGEIF(従業員の給与情報!$B:$B,$A316,従業員の給与情報!$D:$D)),0,AVERAGEIF(従業員の給与情報!$B:$B,$A316,従業員の給与情報!$D:$D)))))</f>
        <v/>
      </c>
      <c r="U316" s="116" t="str">
        <f>IF(OR(入力シート!$C$5&lt;&gt;入力リスト!$N$4,COUNTIF(入力シート!$J$16:$S$23,入力リスト!$K$4)=0),"",IF(A316="","",IF(ISERROR(AVERAGEIF(従業員の給与情報!$B:$B,$A316,従業員の給与情報!$E:$E)),0,IF(ISERROR(AVERAGEIF(従業員の給与情報!$B:$B,$A316,従業員の給与情報!$E:$E)),0,AVERAGEIF(従業員の給与情報!$B:$B,$A316,従業員の給与情報!$E:$E)))))</f>
        <v/>
      </c>
      <c r="V316" s="117" t="str">
        <f>IF(OR(入力シート!$C$5&lt;&gt;入力リスト!$N$4,COUNTIF(入力シート!$J$16:$S$23,入力リスト!$K$4)=0),"",IF(A316="","",IF(ISERROR(AVERAGEIF(従業員の給与情報!$B:$B,$A316,従業員の給与情報!$F:$F)),0,IF(ISERROR(AVERAGEIF(従業員の給与情報!$B:$B,$A316,従業員の給与情報!$F:$F)),0,AVERAGEIF(従業員の給与情報!$B:$B,$A316,従業員の給与情報!$F:$F)))))</f>
        <v/>
      </c>
      <c r="W316" s="182"/>
      <c r="X316" s="260"/>
    </row>
    <row r="317" spans="1:24">
      <c r="A317" s="368"/>
      <c r="B317" s="361"/>
      <c r="C317" s="362"/>
      <c r="D317" s="361"/>
      <c r="E317" s="361"/>
      <c r="F317" s="372" t="str">
        <f>IF(G317,"この従業員番号は、すでに他のセルで入力されています。",IF(入力シート!$C$5=入力リスト!$N$5,"",IF(AND(A317="",B317="",C317="",D317="",E317=""),"",IF(OR(A317="",B317="",C317="",D317=""),IF(A317="","従業員番号","")&amp;IF(AND(A317="",OR(B317="",C317="",D317="")),",","")&amp;IF(B317="","雇用形態","")&amp;IF(AND(B317="",OR(C317="",D317="")),",","")&amp;IF(OR(入力シート!$J$18=入力リスト!$K$4,入力シート!$J$22=入力リスト!$K$4),IF(C317="","入社年月日",""),"")&amp;IF(AND(C317="",D317=""),",","")&amp;IF(D317="","性別","")&amp;IF(IF(A317="","従業員番号","")&amp;IF(B317="","雇用形態","")&amp;IF(OR(入力シート!$J$18=入力リスト!$K$4,入力シート!$J$22=入力リスト!$K$4),IF(C317="","入社年月日",""),"")&amp;IF(D317="","性別","")="","","が空白です。"),IF(J317,"入社年月日に「基準日」の翌日以降の日付が入力されています。","")&amp;IF(I317,"入社年月日に数値以外（又は1900/1/1以前の日付）が入力されています。","")&amp;IF(H317,"雇用形態"&amp;IF(OR(K317,L317),",",""),"")&amp;IF(K317,"性別"&amp;IF(L317,",",""),"")&amp;IF(L317,"役職","")&amp;IF(OR(H317,K317,L317),"に、［入力シート］(4)「貴社」欄と異なる文言が入力されています。","")))))</f>
        <v/>
      </c>
      <c r="G317" s="236" t="b">
        <f>COUNTIF($A$4:A316,$A317)&gt;0</f>
        <v>0</v>
      </c>
      <c r="H317" s="237" t="b">
        <f>IF(COUNTIF(入力シート!$J$16:$S$23,入力リスト!$K$4)=0,FALSE,IF(入力シート!$J$16=入力リスト!$K$5,FALSE,ISERROR(VLOOKUP(B317,入力シート!$S$37:$V$62,1,0))))</f>
        <v>0</v>
      </c>
      <c r="I317" s="237" t="b">
        <f>IF(AND(OR(入力シート!$J$18=入力リスト!$K$4,入力シート!$J$22=入力リスト!$K$4),入力シート!$J$24&lt;&gt;""),IF(ISERROR(C317+1),TRUE,IF(ISNUMBER(C317),FALSE,TRUE)),FALSE)</f>
        <v>0</v>
      </c>
      <c r="J317" s="237" t="b">
        <f>IF(AND(入力シート!$J$18=入力リスト!$K$4,入力シート!$J$22=入力リスト!$K$4),FALSE,IF(I317=TRUE,FALSE,IF(ISERROR(C317+1),FALSE,C317&gt;入力シート!$J$24)))</f>
        <v>0</v>
      </c>
      <c r="K317" s="237" t="b">
        <f>IF(COUNTIF(入力シート!$J$16:$S$23,入力リスト!$K$4)=0,FALSE,IF(AND(入力シート!$J$16&lt;&gt;入力リスト!$K$5,入力シート!$J$18&lt;&gt;入力リスト!$K$5,入力シート!$J$20&lt;&gt;入力リスト!$K$5,入力シート!$J$22&lt;&gt;入力リスト!$K$5),FALSE,ISERROR(VLOOKUP(D317,入力シート!$AW$37:$AY$38,1,0))))</f>
        <v>0</v>
      </c>
      <c r="L317" s="237" t="b">
        <f>IF(COUNTIF(入力シート!$J$16:$S$23,入力リスト!$K$4)=0,FALSE,IF(入力シート!$J$20=入力リスト!$K$5,FALSE,IF(E317="",FALSE,ISERROR(VLOOKUP(E317,入力シート!$AH$37:$AK$62,1,0)))))</f>
        <v>0</v>
      </c>
      <c r="M317" s="238" t="str">
        <f t="shared" si="4"/>
        <v/>
      </c>
      <c r="N317" s="236" t="str">
        <f>IF(B317="","",VLOOKUP('従業員情報(給与以外)'!$B317,入力シート!$S$37:$Z$62,5,0))</f>
        <v/>
      </c>
      <c r="O317" s="182" t="str">
        <f>IF(ISNUMBER(C317)=FALSE,"",IF(C317&gt;入力シート!$J$24,"",_xlfn.DAYS(入力シート!$J$24,'従業員情報(給与以外)'!$C317)/365))</f>
        <v/>
      </c>
      <c r="P317" s="237" t="str">
        <f>IF(O317="","",VLOOKUP(_xlfn.DAYS(入力シート!$J$24,'従業員情報(給与以外)'!$C317)/365,入力リスト!$H$4:$I$12,2,2))</f>
        <v/>
      </c>
      <c r="Q317" s="236" t="str">
        <f>IF(D317="","",VLOOKUP('従業員情報(給与以外)'!$D317,入力シート!$AW$37:$BB$38,4,0))</f>
        <v/>
      </c>
      <c r="R317" s="236" t="str">
        <f>IF(A317="","",IF(E317="","非役職",VLOOKUP('従業員情報(給与以外)'!$E317,入力シート!$AH$37:$AO$62,5,0)))</f>
        <v/>
      </c>
      <c r="S317" s="116" t="str">
        <f>IF(OR(入力シート!$C$5&lt;&gt;入力リスト!$N$4,COUNTIF(入力シート!$J$16:$S$23,入力リスト!$K$4)=0),"",IF($A317="","",IF(ISERROR(AVERAGEIF(従業員の給与情報!$B:$B,$A317,従業員の給与情報!$C:$C)),0,IF(ISERROR(AVERAGEIF(従業員の給与情報!$B:$B,$A317,従業員の給与情報!$C:$C)),0,AVERAGEIF(従業員の給与情報!$B:$B,$A317,従業員の給与情報!$C:$C)))))</f>
        <v/>
      </c>
      <c r="T317" s="116" t="str">
        <f>IF(OR(入力シート!$C$5&lt;&gt;入力リスト!$N$4,COUNTIF(入力シート!$J$16:$S$23,入力リスト!$K$4)=0),"",IF(A317="","",IF(ISERROR(AVERAGEIF(従業員の給与情報!$B:$B,$A317,従業員の給与情報!$D:$D)),0,IF(ISERROR(AVERAGEIF(従業員の給与情報!$B:$B,$A317,従業員の給与情報!$D:$D)),0,AVERAGEIF(従業員の給与情報!$B:$B,$A317,従業員の給与情報!$D:$D)))))</f>
        <v/>
      </c>
      <c r="U317" s="116" t="str">
        <f>IF(OR(入力シート!$C$5&lt;&gt;入力リスト!$N$4,COUNTIF(入力シート!$J$16:$S$23,入力リスト!$K$4)=0),"",IF(A317="","",IF(ISERROR(AVERAGEIF(従業員の給与情報!$B:$B,$A317,従業員の給与情報!$E:$E)),0,IF(ISERROR(AVERAGEIF(従業員の給与情報!$B:$B,$A317,従業員の給与情報!$E:$E)),0,AVERAGEIF(従業員の給与情報!$B:$B,$A317,従業員の給与情報!$E:$E)))))</f>
        <v/>
      </c>
      <c r="V317" s="117" t="str">
        <f>IF(OR(入力シート!$C$5&lt;&gt;入力リスト!$N$4,COUNTIF(入力シート!$J$16:$S$23,入力リスト!$K$4)=0),"",IF(A317="","",IF(ISERROR(AVERAGEIF(従業員の給与情報!$B:$B,$A317,従業員の給与情報!$F:$F)),0,IF(ISERROR(AVERAGEIF(従業員の給与情報!$B:$B,$A317,従業員の給与情報!$F:$F)),0,AVERAGEIF(従業員の給与情報!$B:$B,$A317,従業員の給与情報!$F:$F)))))</f>
        <v/>
      </c>
      <c r="W317" s="182"/>
      <c r="X317" s="260"/>
    </row>
    <row r="318" spans="1:24">
      <c r="A318" s="368"/>
      <c r="B318" s="361"/>
      <c r="C318" s="362"/>
      <c r="D318" s="361"/>
      <c r="E318" s="361"/>
      <c r="F318" s="372" t="str">
        <f>IF(G318,"この従業員番号は、すでに他のセルで入力されています。",IF(入力シート!$C$5=入力リスト!$N$5,"",IF(AND(A318="",B318="",C318="",D318="",E318=""),"",IF(OR(A318="",B318="",C318="",D318=""),IF(A318="","従業員番号","")&amp;IF(AND(A318="",OR(B318="",C318="",D318="")),",","")&amp;IF(B318="","雇用形態","")&amp;IF(AND(B318="",OR(C318="",D318="")),",","")&amp;IF(OR(入力シート!$J$18=入力リスト!$K$4,入力シート!$J$22=入力リスト!$K$4),IF(C318="","入社年月日",""),"")&amp;IF(AND(C318="",D318=""),",","")&amp;IF(D318="","性別","")&amp;IF(IF(A318="","従業員番号","")&amp;IF(B318="","雇用形態","")&amp;IF(OR(入力シート!$J$18=入力リスト!$K$4,入力シート!$J$22=入力リスト!$K$4),IF(C318="","入社年月日",""),"")&amp;IF(D318="","性別","")="","","が空白です。"),IF(J318,"入社年月日に「基準日」の翌日以降の日付が入力されています。","")&amp;IF(I318,"入社年月日に数値以外（又は1900/1/1以前の日付）が入力されています。","")&amp;IF(H318,"雇用形態"&amp;IF(OR(K318,L318),",",""),"")&amp;IF(K318,"性別"&amp;IF(L318,",",""),"")&amp;IF(L318,"役職","")&amp;IF(OR(H318,K318,L318),"に、［入力シート］(4)「貴社」欄と異なる文言が入力されています。","")))))</f>
        <v/>
      </c>
      <c r="G318" s="236" t="b">
        <f>COUNTIF($A$4:A317,$A318)&gt;0</f>
        <v>0</v>
      </c>
      <c r="H318" s="237" t="b">
        <f>IF(COUNTIF(入力シート!$J$16:$S$23,入力リスト!$K$4)=0,FALSE,IF(入力シート!$J$16=入力リスト!$K$5,FALSE,ISERROR(VLOOKUP(B318,入力シート!$S$37:$V$62,1,0))))</f>
        <v>0</v>
      </c>
      <c r="I318" s="237" t="b">
        <f>IF(AND(OR(入力シート!$J$18=入力リスト!$K$4,入力シート!$J$22=入力リスト!$K$4),入力シート!$J$24&lt;&gt;""),IF(ISERROR(C318+1),TRUE,IF(ISNUMBER(C318),FALSE,TRUE)),FALSE)</f>
        <v>0</v>
      </c>
      <c r="J318" s="237" t="b">
        <f>IF(AND(入力シート!$J$18=入力リスト!$K$4,入力シート!$J$22=入力リスト!$K$4),FALSE,IF(I318=TRUE,FALSE,IF(ISERROR(C318+1),FALSE,C318&gt;入力シート!$J$24)))</f>
        <v>0</v>
      </c>
      <c r="K318" s="237" t="b">
        <f>IF(COUNTIF(入力シート!$J$16:$S$23,入力リスト!$K$4)=0,FALSE,IF(AND(入力シート!$J$16&lt;&gt;入力リスト!$K$5,入力シート!$J$18&lt;&gt;入力リスト!$K$5,入力シート!$J$20&lt;&gt;入力リスト!$K$5,入力シート!$J$22&lt;&gt;入力リスト!$K$5),FALSE,ISERROR(VLOOKUP(D318,入力シート!$AW$37:$AY$38,1,0))))</f>
        <v>0</v>
      </c>
      <c r="L318" s="237" t="b">
        <f>IF(COUNTIF(入力シート!$J$16:$S$23,入力リスト!$K$4)=0,FALSE,IF(入力シート!$J$20=入力リスト!$K$5,FALSE,IF(E318="",FALSE,ISERROR(VLOOKUP(E318,入力シート!$AH$37:$AK$62,1,0)))))</f>
        <v>0</v>
      </c>
      <c r="M318" s="238" t="str">
        <f t="shared" si="4"/>
        <v/>
      </c>
      <c r="N318" s="236" t="str">
        <f>IF(B318="","",VLOOKUP('従業員情報(給与以外)'!$B318,入力シート!$S$37:$Z$62,5,0))</f>
        <v/>
      </c>
      <c r="O318" s="182" t="str">
        <f>IF(ISNUMBER(C318)=FALSE,"",IF(C318&gt;入力シート!$J$24,"",_xlfn.DAYS(入力シート!$J$24,'従業員情報(給与以外)'!$C318)/365))</f>
        <v/>
      </c>
      <c r="P318" s="237" t="str">
        <f>IF(O318="","",VLOOKUP(_xlfn.DAYS(入力シート!$J$24,'従業員情報(給与以外)'!$C318)/365,入力リスト!$H$4:$I$12,2,2))</f>
        <v/>
      </c>
      <c r="Q318" s="236" t="str">
        <f>IF(D318="","",VLOOKUP('従業員情報(給与以外)'!$D318,入力シート!$AW$37:$BB$38,4,0))</f>
        <v/>
      </c>
      <c r="R318" s="236" t="str">
        <f>IF(A318="","",IF(E318="","非役職",VLOOKUP('従業員情報(給与以外)'!$E318,入力シート!$AH$37:$AO$62,5,0)))</f>
        <v/>
      </c>
      <c r="S318" s="116" t="str">
        <f>IF(OR(入力シート!$C$5&lt;&gt;入力リスト!$N$4,COUNTIF(入力シート!$J$16:$S$23,入力リスト!$K$4)=0),"",IF($A318="","",IF(ISERROR(AVERAGEIF(従業員の給与情報!$B:$B,$A318,従業員の給与情報!$C:$C)),0,IF(ISERROR(AVERAGEIF(従業員の給与情報!$B:$B,$A318,従業員の給与情報!$C:$C)),0,AVERAGEIF(従業員の給与情報!$B:$B,$A318,従業員の給与情報!$C:$C)))))</f>
        <v/>
      </c>
      <c r="T318" s="116" t="str">
        <f>IF(OR(入力シート!$C$5&lt;&gt;入力リスト!$N$4,COUNTIF(入力シート!$J$16:$S$23,入力リスト!$K$4)=0),"",IF(A318="","",IF(ISERROR(AVERAGEIF(従業員の給与情報!$B:$B,$A318,従業員の給与情報!$D:$D)),0,IF(ISERROR(AVERAGEIF(従業員の給与情報!$B:$B,$A318,従業員の給与情報!$D:$D)),0,AVERAGEIF(従業員の給与情報!$B:$B,$A318,従業員の給与情報!$D:$D)))))</f>
        <v/>
      </c>
      <c r="U318" s="116" t="str">
        <f>IF(OR(入力シート!$C$5&lt;&gt;入力リスト!$N$4,COUNTIF(入力シート!$J$16:$S$23,入力リスト!$K$4)=0),"",IF(A318="","",IF(ISERROR(AVERAGEIF(従業員の給与情報!$B:$B,$A318,従業員の給与情報!$E:$E)),0,IF(ISERROR(AVERAGEIF(従業員の給与情報!$B:$B,$A318,従業員の給与情報!$E:$E)),0,AVERAGEIF(従業員の給与情報!$B:$B,$A318,従業員の給与情報!$E:$E)))))</f>
        <v/>
      </c>
      <c r="V318" s="117" t="str">
        <f>IF(OR(入力シート!$C$5&lt;&gt;入力リスト!$N$4,COUNTIF(入力シート!$J$16:$S$23,入力リスト!$K$4)=0),"",IF(A318="","",IF(ISERROR(AVERAGEIF(従業員の給与情報!$B:$B,$A318,従業員の給与情報!$F:$F)),0,IF(ISERROR(AVERAGEIF(従業員の給与情報!$B:$B,$A318,従業員の給与情報!$F:$F)),0,AVERAGEIF(従業員の給与情報!$B:$B,$A318,従業員の給与情報!$F:$F)))))</f>
        <v/>
      </c>
      <c r="W318" s="182"/>
      <c r="X318" s="260"/>
    </row>
    <row r="319" spans="1:24">
      <c r="A319" s="368"/>
      <c r="B319" s="361"/>
      <c r="C319" s="362"/>
      <c r="D319" s="361"/>
      <c r="E319" s="361"/>
      <c r="F319" s="372" t="str">
        <f>IF(G319,"この従業員番号は、すでに他のセルで入力されています。",IF(入力シート!$C$5=入力リスト!$N$5,"",IF(AND(A319="",B319="",C319="",D319="",E319=""),"",IF(OR(A319="",B319="",C319="",D319=""),IF(A319="","従業員番号","")&amp;IF(AND(A319="",OR(B319="",C319="",D319="")),",","")&amp;IF(B319="","雇用形態","")&amp;IF(AND(B319="",OR(C319="",D319="")),",","")&amp;IF(OR(入力シート!$J$18=入力リスト!$K$4,入力シート!$J$22=入力リスト!$K$4),IF(C319="","入社年月日",""),"")&amp;IF(AND(C319="",D319=""),",","")&amp;IF(D319="","性別","")&amp;IF(IF(A319="","従業員番号","")&amp;IF(B319="","雇用形態","")&amp;IF(OR(入力シート!$J$18=入力リスト!$K$4,入力シート!$J$22=入力リスト!$K$4),IF(C319="","入社年月日",""),"")&amp;IF(D319="","性別","")="","","が空白です。"),IF(J319,"入社年月日に「基準日」の翌日以降の日付が入力されています。","")&amp;IF(I319,"入社年月日に数値以外（又は1900/1/1以前の日付）が入力されています。","")&amp;IF(H319,"雇用形態"&amp;IF(OR(K319,L319),",",""),"")&amp;IF(K319,"性別"&amp;IF(L319,",",""),"")&amp;IF(L319,"役職","")&amp;IF(OR(H319,K319,L319),"に、［入力シート］(4)「貴社」欄と異なる文言が入力されています。","")))))</f>
        <v/>
      </c>
      <c r="G319" s="236" t="b">
        <f>COUNTIF($A$4:A318,$A319)&gt;0</f>
        <v>0</v>
      </c>
      <c r="H319" s="237" t="b">
        <f>IF(COUNTIF(入力シート!$J$16:$S$23,入力リスト!$K$4)=0,FALSE,IF(入力シート!$J$16=入力リスト!$K$5,FALSE,ISERROR(VLOOKUP(B319,入力シート!$S$37:$V$62,1,0))))</f>
        <v>0</v>
      </c>
      <c r="I319" s="237" t="b">
        <f>IF(AND(OR(入力シート!$J$18=入力リスト!$K$4,入力シート!$J$22=入力リスト!$K$4),入力シート!$J$24&lt;&gt;""),IF(ISERROR(C319+1),TRUE,IF(ISNUMBER(C319),FALSE,TRUE)),FALSE)</f>
        <v>0</v>
      </c>
      <c r="J319" s="237" t="b">
        <f>IF(AND(入力シート!$J$18=入力リスト!$K$4,入力シート!$J$22=入力リスト!$K$4),FALSE,IF(I319=TRUE,FALSE,IF(ISERROR(C319+1),FALSE,C319&gt;入力シート!$J$24)))</f>
        <v>0</v>
      </c>
      <c r="K319" s="237" t="b">
        <f>IF(COUNTIF(入力シート!$J$16:$S$23,入力リスト!$K$4)=0,FALSE,IF(AND(入力シート!$J$16&lt;&gt;入力リスト!$K$5,入力シート!$J$18&lt;&gt;入力リスト!$K$5,入力シート!$J$20&lt;&gt;入力リスト!$K$5,入力シート!$J$22&lt;&gt;入力リスト!$K$5),FALSE,ISERROR(VLOOKUP(D319,入力シート!$AW$37:$AY$38,1,0))))</f>
        <v>0</v>
      </c>
      <c r="L319" s="237" t="b">
        <f>IF(COUNTIF(入力シート!$J$16:$S$23,入力リスト!$K$4)=0,FALSE,IF(入力シート!$J$20=入力リスト!$K$5,FALSE,IF(E319="",FALSE,ISERROR(VLOOKUP(E319,入力シート!$AH$37:$AK$62,1,0)))))</f>
        <v>0</v>
      </c>
      <c r="M319" s="238" t="str">
        <f t="shared" si="4"/>
        <v/>
      </c>
      <c r="N319" s="236" t="str">
        <f>IF(B319="","",VLOOKUP('従業員情報(給与以外)'!$B319,入力シート!$S$37:$Z$62,5,0))</f>
        <v/>
      </c>
      <c r="O319" s="182" t="str">
        <f>IF(ISNUMBER(C319)=FALSE,"",IF(C319&gt;入力シート!$J$24,"",_xlfn.DAYS(入力シート!$J$24,'従業員情報(給与以外)'!$C319)/365))</f>
        <v/>
      </c>
      <c r="P319" s="237" t="str">
        <f>IF(O319="","",VLOOKUP(_xlfn.DAYS(入力シート!$J$24,'従業員情報(給与以外)'!$C319)/365,入力リスト!$H$4:$I$12,2,2))</f>
        <v/>
      </c>
      <c r="Q319" s="236" t="str">
        <f>IF(D319="","",VLOOKUP('従業員情報(給与以外)'!$D319,入力シート!$AW$37:$BB$38,4,0))</f>
        <v/>
      </c>
      <c r="R319" s="236" t="str">
        <f>IF(A319="","",IF(E319="","非役職",VLOOKUP('従業員情報(給与以外)'!$E319,入力シート!$AH$37:$AO$62,5,0)))</f>
        <v/>
      </c>
      <c r="S319" s="116" t="str">
        <f>IF(OR(入力シート!$C$5&lt;&gt;入力リスト!$N$4,COUNTIF(入力シート!$J$16:$S$23,入力リスト!$K$4)=0),"",IF($A319="","",IF(ISERROR(AVERAGEIF(従業員の給与情報!$B:$B,$A319,従業員の給与情報!$C:$C)),0,IF(ISERROR(AVERAGEIF(従業員の給与情報!$B:$B,$A319,従業員の給与情報!$C:$C)),0,AVERAGEIF(従業員の給与情報!$B:$B,$A319,従業員の給与情報!$C:$C)))))</f>
        <v/>
      </c>
      <c r="T319" s="116" t="str">
        <f>IF(OR(入力シート!$C$5&lt;&gt;入力リスト!$N$4,COUNTIF(入力シート!$J$16:$S$23,入力リスト!$K$4)=0),"",IF(A319="","",IF(ISERROR(AVERAGEIF(従業員の給与情報!$B:$B,$A319,従業員の給与情報!$D:$D)),0,IF(ISERROR(AVERAGEIF(従業員の給与情報!$B:$B,$A319,従業員の給与情報!$D:$D)),0,AVERAGEIF(従業員の給与情報!$B:$B,$A319,従業員の給与情報!$D:$D)))))</f>
        <v/>
      </c>
      <c r="U319" s="116" t="str">
        <f>IF(OR(入力シート!$C$5&lt;&gt;入力リスト!$N$4,COUNTIF(入力シート!$J$16:$S$23,入力リスト!$K$4)=0),"",IF(A319="","",IF(ISERROR(AVERAGEIF(従業員の給与情報!$B:$B,$A319,従業員の給与情報!$E:$E)),0,IF(ISERROR(AVERAGEIF(従業員の給与情報!$B:$B,$A319,従業員の給与情報!$E:$E)),0,AVERAGEIF(従業員の給与情報!$B:$B,$A319,従業員の給与情報!$E:$E)))))</f>
        <v/>
      </c>
      <c r="V319" s="117" t="str">
        <f>IF(OR(入力シート!$C$5&lt;&gt;入力リスト!$N$4,COUNTIF(入力シート!$J$16:$S$23,入力リスト!$K$4)=0),"",IF(A319="","",IF(ISERROR(AVERAGEIF(従業員の給与情報!$B:$B,$A319,従業員の給与情報!$F:$F)),0,IF(ISERROR(AVERAGEIF(従業員の給与情報!$B:$B,$A319,従業員の給与情報!$F:$F)),0,AVERAGEIF(従業員の給与情報!$B:$B,$A319,従業員の給与情報!$F:$F)))))</f>
        <v/>
      </c>
      <c r="W319" s="182"/>
      <c r="X319" s="260"/>
    </row>
    <row r="320" spans="1:24">
      <c r="A320" s="368"/>
      <c r="B320" s="361"/>
      <c r="C320" s="362"/>
      <c r="D320" s="361"/>
      <c r="E320" s="361"/>
      <c r="F320" s="372" t="str">
        <f>IF(G320,"この従業員番号は、すでに他のセルで入力されています。",IF(入力シート!$C$5=入力リスト!$N$5,"",IF(AND(A320="",B320="",C320="",D320="",E320=""),"",IF(OR(A320="",B320="",C320="",D320=""),IF(A320="","従業員番号","")&amp;IF(AND(A320="",OR(B320="",C320="",D320="")),",","")&amp;IF(B320="","雇用形態","")&amp;IF(AND(B320="",OR(C320="",D320="")),",","")&amp;IF(OR(入力シート!$J$18=入力リスト!$K$4,入力シート!$J$22=入力リスト!$K$4),IF(C320="","入社年月日",""),"")&amp;IF(AND(C320="",D320=""),",","")&amp;IF(D320="","性別","")&amp;IF(IF(A320="","従業員番号","")&amp;IF(B320="","雇用形態","")&amp;IF(OR(入力シート!$J$18=入力リスト!$K$4,入力シート!$J$22=入力リスト!$K$4),IF(C320="","入社年月日",""),"")&amp;IF(D320="","性別","")="","","が空白です。"),IF(J320,"入社年月日に「基準日」の翌日以降の日付が入力されています。","")&amp;IF(I320,"入社年月日に数値以外（又は1900/1/1以前の日付）が入力されています。","")&amp;IF(H320,"雇用形態"&amp;IF(OR(K320,L320),",",""),"")&amp;IF(K320,"性別"&amp;IF(L320,",",""),"")&amp;IF(L320,"役職","")&amp;IF(OR(H320,K320,L320),"に、［入力シート］(4)「貴社」欄と異なる文言が入力されています。","")))))</f>
        <v/>
      </c>
      <c r="G320" s="236" t="b">
        <f>COUNTIF($A$4:A319,$A320)&gt;0</f>
        <v>0</v>
      </c>
      <c r="H320" s="237" t="b">
        <f>IF(COUNTIF(入力シート!$J$16:$S$23,入力リスト!$K$4)=0,FALSE,IF(入力シート!$J$16=入力リスト!$K$5,FALSE,ISERROR(VLOOKUP(B320,入力シート!$S$37:$V$62,1,0))))</f>
        <v>0</v>
      </c>
      <c r="I320" s="237" t="b">
        <f>IF(AND(OR(入力シート!$J$18=入力リスト!$K$4,入力シート!$J$22=入力リスト!$K$4),入力シート!$J$24&lt;&gt;""),IF(ISERROR(C320+1),TRUE,IF(ISNUMBER(C320),FALSE,TRUE)),FALSE)</f>
        <v>0</v>
      </c>
      <c r="J320" s="237" t="b">
        <f>IF(AND(入力シート!$J$18=入力リスト!$K$4,入力シート!$J$22=入力リスト!$K$4),FALSE,IF(I320=TRUE,FALSE,IF(ISERROR(C320+1),FALSE,C320&gt;入力シート!$J$24)))</f>
        <v>0</v>
      </c>
      <c r="K320" s="237" t="b">
        <f>IF(COUNTIF(入力シート!$J$16:$S$23,入力リスト!$K$4)=0,FALSE,IF(AND(入力シート!$J$16&lt;&gt;入力リスト!$K$5,入力シート!$J$18&lt;&gt;入力リスト!$K$5,入力シート!$J$20&lt;&gt;入力リスト!$K$5,入力シート!$J$22&lt;&gt;入力リスト!$K$5),FALSE,ISERROR(VLOOKUP(D320,入力シート!$AW$37:$AY$38,1,0))))</f>
        <v>0</v>
      </c>
      <c r="L320" s="237" t="b">
        <f>IF(COUNTIF(入力シート!$J$16:$S$23,入力リスト!$K$4)=0,FALSE,IF(入力シート!$J$20=入力リスト!$K$5,FALSE,IF(E320="",FALSE,ISERROR(VLOOKUP(E320,入力シート!$AH$37:$AK$62,1,0)))))</f>
        <v>0</v>
      </c>
      <c r="M320" s="238" t="str">
        <f t="shared" si="4"/>
        <v/>
      </c>
      <c r="N320" s="236" t="str">
        <f>IF(B320="","",VLOOKUP('従業員情報(給与以外)'!$B320,入力シート!$S$37:$Z$62,5,0))</f>
        <v/>
      </c>
      <c r="O320" s="182" t="str">
        <f>IF(ISNUMBER(C320)=FALSE,"",IF(C320&gt;入力シート!$J$24,"",_xlfn.DAYS(入力シート!$J$24,'従業員情報(給与以外)'!$C320)/365))</f>
        <v/>
      </c>
      <c r="P320" s="237" t="str">
        <f>IF(O320="","",VLOOKUP(_xlfn.DAYS(入力シート!$J$24,'従業員情報(給与以外)'!$C320)/365,入力リスト!$H$4:$I$12,2,2))</f>
        <v/>
      </c>
      <c r="Q320" s="236" t="str">
        <f>IF(D320="","",VLOOKUP('従業員情報(給与以外)'!$D320,入力シート!$AW$37:$BB$38,4,0))</f>
        <v/>
      </c>
      <c r="R320" s="236" t="str">
        <f>IF(A320="","",IF(E320="","非役職",VLOOKUP('従業員情報(給与以外)'!$E320,入力シート!$AH$37:$AO$62,5,0)))</f>
        <v/>
      </c>
      <c r="S320" s="116" t="str">
        <f>IF(OR(入力シート!$C$5&lt;&gt;入力リスト!$N$4,COUNTIF(入力シート!$J$16:$S$23,入力リスト!$K$4)=0),"",IF($A320="","",IF(ISERROR(AVERAGEIF(従業員の給与情報!$B:$B,$A320,従業員の給与情報!$C:$C)),0,IF(ISERROR(AVERAGEIF(従業員の給与情報!$B:$B,$A320,従業員の給与情報!$C:$C)),0,AVERAGEIF(従業員の給与情報!$B:$B,$A320,従業員の給与情報!$C:$C)))))</f>
        <v/>
      </c>
      <c r="T320" s="116" t="str">
        <f>IF(OR(入力シート!$C$5&lt;&gt;入力リスト!$N$4,COUNTIF(入力シート!$J$16:$S$23,入力リスト!$K$4)=0),"",IF(A320="","",IF(ISERROR(AVERAGEIF(従業員の給与情報!$B:$B,$A320,従業員の給与情報!$D:$D)),0,IF(ISERROR(AVERAGEIF(従業員の給与情報!$B:$B,$A320,従業員の給与情報!$D:$D)),0,AVERAGEIF(従業員の給与情報!$B:$B,$A320,従業員の給与情報!$D:$D)))))</f>
        <v/>
      </c>
      <c r="U320" s="116" t="str">
        <f>IF(OR(入力シート!$C$5&lt;&gt;入力リスト!$N$4,COUNTIF(入力シート!$J$16:$S$23,入力リスト!$K$4)=0),"",IF(A320="","",IF(ISERROR(AVERAGEIF(従業員の給与情報!$B:$B,$A320,従業員の給与情報!$E:$E)),0,IF(ISERROR(AVERAGEIF(従業員の給与情報!$B:$B,$A320,従業員の給与情報!$E:$E)),0,AVERAGEIF(従業員の給与情報!$B:$B,$A320,従業員の給与情報!$E:$E)))))</f>
        <v/>
      </c>
      <c r="V320" s="117" t="str">
        <f>IF(OR(入力シート!$C$5&lt;&gt;入力リスト!$N$4,COUNTIF(入力シート!$J$16:$S$23,入力リスト!$K$4)=0),"",IF(A320="","",IF(ISERROR(AVERAGEIF(従業員の給与情報!$B:$B,$A320,従業員の給与情報!$F:$F)),0,IF(ISERROR(AVERAGEIF(従業員の給与情報!$B:$B,$A320,従業員の給与情報!$F:$F)),0,AVERAGEIF(従業員の給与情報!$B:$B,$A320,従業員の給与情報!$F:$F)))))</f>
        <v/>
      </c>
      <c r="W320" s="182"/>
      <c r="X320" s="260"/>
    </row>
    <row r="321" spans="1:24">
      <c r="A321" s="368"/>
      <c r="B321" s="361"/>
      <c r="C321" s="362"/>
      <c r="D321" s="361"/>
      <c r="E321" s="361"/>
      <c r="F321" s="372" t="str">
        <f>IF(G321,"この従業員番号は、すでに他のセルで入力されています。",IF(入力シート!$C$5=入力リスト!$N$5,"",IF(AND(A321="",B321="",C321="",D321="",E321=""),"",IF(OR(A321="",B321="",C321="",D321=""),IF(A321="","従業員番号","")&amp;IF(AND(A321="",OR(B321="",C321="",D321="")),",","")&amp;IF(B321="","雇用形態","")&amp;IF(AND(B321="",OR(C321="",D321="")),",","")&amp;IF(OR(入力シート!$J$18=入力リスト!$K$4,入力シート!$J$22=入力リスト!$K$4),IF(C321="","入社年月日",""),"")&amp;IF(AND(C321="",D321=""),",","")&amp;IF(D321="","性別","")&amp;IF(IF(A321="","従業員番号","")&amp;IF(B321="","雇用形態","")&amp;IF(OR(入力シート!$J$18=入力リスト!$K$4,入力シート!$J$22=入力リスト!$K$4),IF(C321="","入社年月日",""),"")&amp;IF(D321="","性別","")="","","が空白です。"),IF(J321,"入社年月日に「基準日」の翌日以降の日付が入力されています。","")&amp;IF(I321,"入社年月日に数値以外（又は1900/1/1以前の日付）が入力されています。","")&amp;IF(H321,"雇用形態"&amp;IF(OR(K321,L321),",",""),"")&amp;IF(K321,"性別"&amp;IF(L321,",",""),"")&amp;IF(L321,"役職","")&amp;IF(OR(H321,K321,L321),"に、［入力シート］(4)「貴社」欄と異なる文言が入力されています。","")))))</f>
        <v/>
      </c>
      <c r="G321" s="236" t="b">
        <f>COUNTIF($A$4:A320,$A321)&gt;0</f>
        <v>0</v>
      </c>
      <c r="H321" s="237" t="b">
        <f>IF(COUNTIF(入力シート!$J$16:$S$23,入力リスト!$K$4)=0,FALSE,IF(入力シート!$J$16=入力リスト!$K$5,FALSE,ISERROR(VLOOKUP(B321,入力シート!$S$37:$V$62,1,0))))</f>
        <v>0</v>
      </c>
      <c r="I321" s="237" t="b">
        <f>IF(AND(OR(入力シート!$J$18=入力リスト!$K$4,入力シート!$J$22=入力リスト!$K$4),入力シート!$J$24&lt;&gt;""),IF(ISERROR(C321+1),TRUE,IF(ISNUMBER(C321),FALSE,TRUE)),FALSE)</f>
        <v>0</v>
      </c>
      <c r="J321" s="237" t="b">
        <f>IF(AND(入力シート!$J$18=入力リスト!$K$4,入力シート!$J$22=入力リスト!$K$4),FALSE,IF(I321=TRUE,FALSE,IF(ISERROR(C321+1),FALSE,C321&gt;入力シート!$J$24)))</f>
        <v>0</v>
      </c>
      <c r="K321" s="237" t="b">
        <f>IF(COUNTIF(入力シート!$J$16:$S$23,入力リスト!$K$4)=0,FALSE,IF(AND(入力シート!$J$16&lt;&gt;入力リスト!$K$5,入力シート!$J$18&lt;&gt;入力リスト!$K$5,入力シート!$J$20&lt;&gt;入力リスト!$K$5,入力シート!$J$22&lt;&gt;入力リスト!$K$5),FALSE,ISERROR(VLOOKUP(D321,入力シート!$AW$37:$AY$38,1,0))))</f>
        <v>0</v>
      </c>
      <c r="L321" s="237" t="b">
        <f>IF(COUNTIF(入力シート!$J$16:$S$23,入力リスト!$K$4)=0,FALSE,IF(入力シート!$J$20=入力リスト!$K$5,FALSE,IF(E321="",FALSE,ISERROR(VLOOKUP(E321,入力シート!$AH$37:$AK$62,1,0)))))</f>
        <v>0</v>
      </c>
      <c r="M321" s="238" t="str">
        <f t="shared" si="4"/>
        <v/>
      </c>
      <c r="N321" s="236" t="str">
        <f>IF(B321="","",VLOOKUP('従業員情報(給与以外)'!$B321,入力シート!$S$37:$Z$62,5,0))</f>
        <v/>
      </c>
      <c r="O321" s="182" t="str">
        <f>IF(ISNUMBER(C321)=FALSE,"",IF(C321&gt;入力シート!$J$24,"",_xlfn.DAYS(入力シート!$J$24,'従業員情報(給与以外)'!$C321)/365))</f>
        <v/>
      </c>
      <c r="P321" s="237" t="str">
        <f>IF(O321="","",VLOOKUP(_xlfn.DAYS(入力シート!$J$24,'従業員情報(給与以外)'!$C321)/365,入力リスト!$H$4:$I$12,2,2))</f>
        <v/>
      </c>
      <c r="Q321" s="236" t="str">
        <f>IF(D321="","",VLOOKUP('従業員情報(給与以外)'!$D321,入力シート!$AW$37:$BB$38,4,0))</f>
        <v/>
      </c>
      <c r="R321" s="236" t="str">
        <f>IF(A321="","",IF(E321="","非役職",VLOOKUP('従業員情報(給与以外)'!$E321,入力シート!$AH$37:$AO$62,5,0)))</f>
        <v/>
      </c>
      <c r="S321" s="116" t="str">
        <f>IF(OR(入力シート!$C$5&lt;&gt;入力リスト!$N$4,COUNTIF(入力シート!$J$16:$S$23,入力リスト!$K$4)=0),"",IF($A321="","",IF(ISERROR(AVERAGEIF(従業員の給与情報!$B:$B,$A321,従業員の給与情報!$C:$C)),0,IF(ISERROR(AVERAGEIF(従業員の給与情報!$B:$B,$A321,従業員の給与情報!$C:$C)),0,AVERAGEIF(従業員の給与情報!$B:$B,$A321,従業員の給与情報!$C:$C)))))</f>
        <v/>
      </c>
      <c r="T321" s="116" t="str">
        <f>IF(OR(入力シート!$C$5&lt;&gt;入力リスト!$N$4,COUNTIF(入力シート!$J$16:$S$23,入力リスト!$K$4)=0),"",IF(A321="","",IF(ISERROR(AVERAGEIF(従業員の給与情報!$B:$B,$A321,従業員の給与情報!$D:$D)),0,IF(ISERROR(AVERAGEIF(従業員の給与情報!$B:$B,$A321,従業員の給与情報!$D:$D)),0,AVERAGEIF(従業員の給与情報!$B:$B,$A321,従業員の給与情報!$D:$D)))))</f>
        <v/>
      </c>
      <c r="U321" s="116" t="str">
        <f>IF(OR(入力シート!$C$5&lt;&gt;入力リスト!$N$4,COUNTIF(入力シート!$J$16:$S$23,入力リスト!$K$4)=0),"",IF(A321="","",IF(ISERROR(AVERAGEIF(従業員の給与情報!$B:$B,$A321,従業員の給与情報!$E:$E)),0,IF(ISERROR(AVERAGEIF(従業員の給与情報!$B:$B,$A321,従業員の給与情報!$E:$E)),0,AVERAGEIF(従業員の給与情報!$B:$B,$A321,従業員の給与情報!$E:$E)))))</f>
        <v/>
      </c>
      <c r="V321" s="117" t="str">
        <f>IF(OR(入力シート!$C$5&lt;&gt;入力リスト!$N$4,COUNTIF(入力シート!$J$16:$S$23,入力リスト!$K$4)=0),"",IF(A321="","",IF(ISERROR(AVERAGEIF(従業員の給与情報!$B:$B,$A321,従業員の給与情報!$F:$F)),0,IF(ISERROR(AVERAGEIF(従業員の給与情報!$B:$B,$A321,従業員の給与情報!$F:$F)),0,AVERAGEIF(従業員の給与情報!$B:$B,$A321,従業員の給与情報!$F:$F)))))</f>
        <v/>
      </c>
      <c r="W321" s="182"/>
      <c r="X321" s="260"/>
    </row>
    <row r="322" spans="1:24">
      <c r="A322" s="368"/>
      <c r="B322" s="361"/>
      <c r="C322" s="362"/>
      <c r="D322" s="361"/>
      <c r="E322" s="361"/>
      <c r="F322" s="372" t="str">
        <f>IF(G322,"この従業員番号は、すでに他のセルで入力されています。",IF(入力シート!$C$5=入力リスト!$N$5,"",IF(AND(A322="",B322="",C322="",D322="",E322=""),"",IF(OR(A322="",B322="",C322="",D322=""),IF(A322="","従業員番号","")&amp;IF(AND(A322="",OR(B322="",C322="",D322="")),",","")&amp;IF(B322="","雇用形態","")&amp;IF(AND(B322="",OR(C322="",D322="")),",","")&amp;IF(OR(入力シート!$J$18=入力リスト!$K$4,入力シート!$J$22=入力リスト!$K$4),IF(C322="","入社年月日",""),"")&amp;IF(AND(C322="",D322=""),",","")&amp;IF(D322="","性別","")&amp;IF(IF(A322="","従業員番号","")&amp;IF(B322="","雇用形態","")&amp;IF(OR(入力シート!$J$18=入力リスト!$K$4,入力シート!$J$22=入力リスト!$K$4),IF(C322="","入社年月日",""),"")&amp;IF(D322="","性別","")="","","が空白です。"),IF(J322,"入社年月日に「基準日」の翌日以降の日付が入力されています。","")&amp;IF(I322,"入社年月日に数値以外（又は1900/1/1以前の日付）が入力されています。","")&amp;IF(H322,"雇用形態"&amp;IF(OR(K322,L322),",",""),"")&amp;IF(K322,"性別"&amp;IF(L322,",",""),"")&amp;IF(L322,"役職","")&amp;IF(OR(H322,K322,L322),"に、［入力シート］(4)「貴社」欄と異なる文言が入力されています。","")))))</f>
        <v/>
      </c>
      <c r="G322" s="236" t="b">
        <f>COUNTIF($A$4:A321,$A322)&gt;0</f>
        <v>0</v>
      </c>
      <c r="H322" s="237" t="b">
        <f>IF(COUNTIF(入力シート!$J$16:$S$23,入力リスト!$K$4)=0,FALSE,IF(入力シート!$J$16=入力リスト!$K$5,FALSE,ISERROR(VLOOKUP(B322,入力シート!$S$37:$V$62,1,0))))</f>
        <v>0</v>
      </c>
      <c r="I322" s="237" t="b">
        <f>IF(AND(OR(入力シート!$J$18=入力リスト!$K$4,入力シート!$J$22=入力リスト!$K$4),入力シート!$J$24&lt;&gt;""),IF(ISERROR(C322+1),TRUE,IF(ISNUMBER(C322),FALSE,TRUE)),FALSE)</f>
        <v>0</v>
      </c>
      <c r="J322" s="237" t="b">
        <f>IF(AND(入力シート!$J$18=入力リスト!$K$4,入力シート!$J$22=入力リスト!$K$4),FALSE,IF(I322=TRUE,FALSE,IF(ISERROR(C322+1),FALSE,C322&gt;入力シート!$J$24)))</f>
        <v>0</v>
      </c>
      <c r="K322" s="237" t="b">
        <f>IF(COUNTIF(入力シート!$J$16:$S$23,入力リスト!$K$4)=0,FALSE,IF(AND(入力シート!$J$16&lt;&gt;入力リスト!$K$5,入力シート!$J$18&lt;&gt;入力リスト!$K$5,入力シート!$J$20&lt;&gt;入力リスト!$K$5,入力シート!$J$22&lt;&gt;入力リスト!$K$5),FALSE,ISERROR(VLOOKUP(D322,入力シート!$AW$37:$AY$38,1,0))))</f>
        <v>0</v>
      </c>
      <c r="L322" s="237" t="b">
        <f>IF(COUNTIF(入力シート!$J$16:$S$23,入力リスト!$K$4)=0,FALSE,IF(入力シート!$J$20=入力リスト!$K$5,FALSE,IF(E322="",FALSE,ISERROR(VLOOKUP(E322,入力シート!$AH$37:$AK$62,1,0)))))</f>
        <v>0</v>
      </c>
      <c r="M322" s="238" t="str">
        <f t="shared" si="4"/>
        <v/>
      </c>
      <c r="N322" s="236" t="str">
        <f>IF(B322="","",VLOOKUP('従業員情報(給与以外)'!$B322,入力シート!$S$37:$Z$62,5,0))</f>
        <v/>
      </c>
      <c r="O322" s="182" t="str">
        <f>IF(ISNUMBER(C322)=FALSE,"",IF(C322&gt;入力シート!$J$24,"",_xlfn.DAYS(入力シート!$J$24,'従業員情報(給与以外)'!$C322)/365))</f>
        <v/>
      </c>
      <c r="P322" s="237" t="str">
        <f>IF(O322="","",VLOOKUP(_xlfn.DAYS(入力シート!$J$24,'従業員情報(給与以外)'!$C322)/365,入力リスト!$H$4:$I$12,2,2))</f>
        <v/>
      </c>
      <c r="Q322" s="236" t="str">
        <f>IF(D322="","",VLOOKUP('従業員情報(給与以外)'!$D322,入力シート!$AW$37:$BB$38,4,0))</f>
        <v/>
      </c>
      <c r="R322" s="236" t="str">
        <f>IF(A322="","",IF(E322="","非役職",VLOOKUP('従業員情報(給与以外)'!$E322,入力シート!$AH$37:$AO$62,5,0)))</f>
        <v/>
      </c>
      <c r="S322" s="116" t="str">
        <f>IF(OR(入力シート!$C$5&lt;&gt;入力リスト!$N$4,COUNTIF(入力シート!$J$16:$S$23,入力リスト!$K$4)=0),"",IF($A322="","",IF(ISERROR(AVERAGEIF(従業員の給与情報!$B:$B,$A322,従業員の給与情報!$C:$C)),0,IF(ISERROR(AVERAGEIF(従業員の給与情報!$B:$B,$A322,従業員の給与情報!$C:$C)),0,AVERAGEIF(従業員の給与情報!$B:$B,$A322,従業員の給与情報!$C:$C)))))</f>
        <v/>
      </c>
      <c r="T322" s="116" t="str">
        <f>IF(OR(入力シート!$C$5&lt;&gt;入力リスト!$N$4,COUNTIF(入力シート!$J$16:$S$23,入力リスト!$K$4)=0),"",IF(A322="","",IF(ISERROR(AVERAGEIF(従業員の給与情報!$B:$B,$A322,従業員の給与情報!$D:$D)),0,IF(ISERROR(AVERAGEIF(従業員の給与情報!$B:$B,$A322,従業員の給与情報!$D:$D)),0,AVERAGEIF(従業員の給与情報!$B:$B,$A322,従業員の給与情報!$D:$D)))))</f>
        <v/>
      </c>
      <c r="U322" s="116" t="str">
        <f>IF(OR(入力シート!$C$5&lt;&gt;入力リスト!$N$4,COUNTIF(入力シート!$J$16:$S$23,入力リスト!$K$4)=0),"",IF(A322="","",IF(ISERROR(AVERAGEIF(従業員の給与情報!$B:$B,$A322,従業員の給与情報!$E:$E)),0,IF(ISERROR(AVERAGEIF(従業員の給与情報!$B:$B,$A322,従業員の給与情報!$E:$E)),0,AVERAGEIF(従業員の給与情報!$B:$B,$A322,従業員の給与情報!$E:$E)))))</f>
        <v/>
      </c>
      <c r="V322" s="117" t="str">
        <f>IF(OR(入力シート!$C$5&lt;&gt;入力リスト!$N$4,COUNTIF(入力シート!$J$16:$S$23,入力リスト!$K$4)=0),"",IF(A322="","",IF(ISERROR(AVERAGEIF(従業員の給与情報!$B:$B,$A322,従業員の給与情報!$F:$F)),0,IF(ISERROR(AVERAGEIF(従業員の給与情報!$B:$B,$A322,従業員の給与情報!$F:$F)),0,AVERAGEIF(従業員の給与情報!$B:$B,$A322,従業員の給与情報!$F:$F)))))</f>
        <v/>
      </c>
      <c r="W322" s="182"/>
      <c r="X322" s="260"/>
    </row>
    <row r="323" spans="1:24">
      <c r="A323" s="368"/>
      <c r="B323" s="361"/>
      <c r="C323" s="362"/>
      <c r="D323" s="361"/>
      <c r="E323" s="361"/>
      <c r="F323" s="372" t="str">
        <f>IF(G323,"この従業員番号は、すでに他のセルで入力されています。",IF(入力シート!$C$5=入力リスト!$N$5,"",IF(AND(A323="",B323="",C323="",D323="",E323=""),"",IF(OR(A323="",B323="",C323="",D323=""),IF(A323="","従業員番号","")&amp;IF(AND(A323="",OR(B323="",C323="",D323="")),",","")&amp;IF(B323="","雇用形態","")&amp;IF(AND(B323="",OR(C323="",D323="")),",","")&amp;IF(OR(入力シート!$J$18=入力リスト!$K$4,入力シート!$J$22=入力リスト!$K$4),IF(C323="","入社年月日",""),"")&amp;IF(AND(C323="",D323=""),",","")&amp;IF(D323="","性別","")&amp;IF(IF(A323="","従業員番号","")&amp;IF(B323="","雇用形態","")&amp;IF(OR(入力シート!$J$18=入力リスト!$K$4,入力シート!$J$22=入力リスト!$K$4),IF(C323="","入社年月日",""),"")&amp;IF(D323="","性別","")="","","が空白です。"),IF(J323,"入社年月日に「基準日」の翌日以降の日付が入力されています。","")&amp;IF(I323,"入社年月日に数値以外（又は1900/1/1以前の日付）が入力されています。","")&amp;IF(H323,"雇用形態"&amp;IF(OR(K323,L323),",",""),"")&amp;IF(K323,"性別"&amp;IF(L323,",",""),"")&amp;IF(L323,"役職","")&amp;IF(OR(H323,K323,L323),"に、［入力シート］(4)「貴社」欄と異なる文言が入力されています。","")))))</f>
        <v/>
      </c>
      <c r="G323" s="236" t="b">
        <f>COUNTIF($A$4:A322,$A323)&gt;0</f>
        <v>0</v>
      </c>
      <c r="H323" s="237" t="b">
        <f>IF(COUNTIF(入力シート!$J$16:$S$23,入力リスト!$K$4)=0,FALSE,IF(入力シート!$J$16=入力リスト!$K$5,FALSE,ISERROR(VLOOKUP(B323,入力シート!$S$37:$V$62,1,0))))</f>
        <v>0</v>
      </c>
      <c r="I323" s="237" t="b">
        <f>IF(AND(OR(入力シート!$J$18=入力リスト!$K$4,入力シート!$J$22=入力リスト!$K$4),入力シート!$J$24&lt;&gt;""),IF(ISERROR(C323+1),TRUE,IF(ISNUMBER(C323),FALSE,TRUE)),FALSE)</f>
        <v>0</v>
      </c>
      <c r="J323" s="237" t="b">
        <f>IF(AND(入力シート!$J$18=入力リスト!$K$4,入力シート!$J$22=入力リスト!$K$4),FALSE,IF(I323=TRUE,FALSE,IF(ISERROR(C323+1),FALSE,C323&gt;入力シート!$J$24)))</f>
        <v>0</v>
      </c>
      <c r="K323" s="237" t="b">
        <f>IF(COUNTIF(入力シート!$J$16:$S$23,入力リスト!$K$4)=0,FALSE,IF(AND(入力シート!$J$16&lt;&gt;入力リスト!$K$5,入力シート!$J$18&lt;&gt;入力リスト!$K$5,入力シート!$J$20&lt;&gt;入力リスト!$K$5,入力シート!$J$22&lt;&gt;入力リスト!$K$5),FALSE,ISERROR(VLOOKUP(D323,入力シート!$AW$37:$AY$38,1,0))))</f>
        <v>0</v>
      </c>
      <c r="L323" s="237" t="b">
        <f>IF(COUNTIF(入力シート!$J$16:$S$23,入力リスト!$K$4)=0,FALSE,IF(入力シート!$J$20=入力リスト!$K$5,FALSE,IF(E323="",FALSE,ISERROR(VLOOKUP(E323,入力シート!$AH$37:$AK$62,1,0)))))</f>
        <v>0</v>
      </c>
      <c r="M323" s="238" t="str">
        <f t="shared" si="4"/>
        <v/>
      </c>
      <c r="N323" s="236" t="str">
        <f>IF(B323="","",VLOOKUP('従業員情報(給与以外)'!$B323,入力シート!$S$37:$Z$62,5,0))</f>
        <v/>
      </c>
      <c r="O323" s="182" t="str">
        <f>IF(ISNUMBER(C323)=FALSE,"",IF(C323&gt;入力シート!$J$24,"",_xlfn.DAYS(入力シート!$J$24,'従業員情報(給与以外)'!$C323)/365))</f>
        <v/>
      </c>
      <c r="P323" s="237" t="str">
        <f>IF(O323="","",VLOOKUP(_xlfn.DAYS(入力シート!$J$24,'従業員情報(給与以外)'!$C323)/365,入力リスト!$H$4:$I$12,2,2))</f>
        <v/>
      </c>
      <c r="Q323" s="236" t="str">
        <f>IF(D323="","",VLOOKUP('従業員情報(給与以外)'!$D323,入力シート!$AW$37:$BB$38,4,0))</f>
        <v/>
      </c>
      <c r="R323" s="236" t="str">
        <f>IF(A323="","",IF(E323="","非役職",VLOOKUP('従業員情報(給与以外)'!$E323,入力シート!$AH$37:$AO$62,5,0)))</f>
        <v/>
      </c>
      <c r="S323" s="116" t="str">
        <f>IF(OR(入力シート!$C$5&lt;&gt;入力リスト!$N$4,COUNTIF(入力シート!$J$16:$S$23,入力リスト!$K$4)=0),"",IF($A323="","",IF(ISERROR(AVERAGEIF(従業員の給与情報!$B:$B,$A323,従業員の給与情報!$C:$C)),0,IF(ISERROR(AVERAGEIF(従業員の給与情報!$B:$B,$A323,従業員の給与情報!$C:$C)),0,AVERAGEIF(従業員の給与情報!$B:$B,$A323,従業員の給与情報!$C:$C)))))</f>
        <v/>
      </c>
      <c r="T323" s="116" t="str">
        <f>IF(OR(入力シート!$C$5&lt;&gt;入力リスト!$N$4,COUNTIF(入力シート!$J$16:$S$23,入力リスト!$K$4)=0),"",IF(A323="","",IF(ISERROR(AVERAGEIF(従業員の給与情報!$B:$B,$A323,従業員の給与情報!$D:$D)),0,IF(ISERROR(AVERAGEIF(従業員の給与情報!$B:$B,$A323,従業員の給与情報!$D:$D)),0,AVERAGEIF(従業員の給与情報!$B:$B,$A323,従業員の給与情報!$D:$D)))))</f>
        <v/>
      </c>
      <c r="U323" s="116" t="str">
        <f>IF(OR(入力シート!$C$5&lt;&gt;入力リスト!$N$4,COUNTIF(入力シート!$J$16:$S$23,入力リスト!$K$4)=0),"",IF(A323="","",IF(ISERROR(AVERAGEIF(従業員の給与情報!$B:$B,$A323,従業員の給与情報!$E:$E)),0,IF(ISERROR(AVERAGEIF(従業員の給与情報!$B:$B,$A323,従業員の給与情報!$E:$E)),0,AVERAGEIF(従業員の給与情報!$B:$B,$A323,従業員の給与情報!$E:$E)))))</f>
        <v/>
      </c>
      <c r="V323" s="117" t="str">
        <f>IF(OR(入力シート!$C$5&lt;&gt;入力リスト!$N$4,COUNTIF(入力シート!$J$16:$S$23,入力リスト!$K$4)=0),"",IF(A323="","",IF(ISERROR(AVERAGEIF(従業員の給与情報!$B:$B,$A323,従業員の給与情報!$F:$F)),0,IF(ISERROR(AVERAGEIF(従業員の給与情報!$B:$B,$A323,従業員の給与情報!$F:$F)),0,AVERAGEIF(従業員の給与情報!$B:$B,$A323,従業員の給与情報!$F:$F)))))</f>
        <v/>
      </c>
      <c r="W323" s="182"/>
      <c r="X323" s="260"/>
    </row>
    <row r="324" spans="1:24">
      <c r="A324" s="368"/>
      <c r="B324" s="361"/>
      <c r="C324" s="362"/>
      <c r="D324" s="361"/>
      <c r="E324" s="361"/>
      <c r="F324" s="372" t="str">
        <f>IF(G324,"この従業員番号は、すでに他のセルで入力されています。",IF(入力シート!$C$5=入力リスト!$N$5,"",IF(AND(A324="",B324="",C324="",D324="",E324=""),"",IF(OR(A324="",B324="",C324="",D324=""),IF(A324="","従業員番号","")&amp;IF(AND(A324="",OR(B324="",C324="",D324="")),",","")&amp;IF(B324="","雇用形態","")&amp;IF(AND(B324="",OR(C324="",D324="")),",","")&amp;IF(OR(入力シート!$J$18=入力リスト!$K$4,入力シート!$J$22=入力リスト!$K$4),IF(C324="","入社年月日",""),"")&amp;IF(AND(C324="",D324=""),",","")&amp;IF(D324="","性別","")&amp;IF(IF(A324="","従業員番号","")&amp;IF(B324="","雇用形態","")&amp;IF(OR(入力シート!$J$18=入力リスト!$K$4,入力シート!$J$22=入力リスト!$K$4),IF(C324="","入社年月日",""),"")&amp;IF(D324="","性別","")="","","が空白です。"),IF(J324,"入社年月日に「基準日」の翌日以降の日付が入力されています。","")&amp;IF(I324,"入社年月日に数値以外（又は1900/1/1以前の日付）が入力されています。","")&amp;IF(H324,"雇用形態"&amp;IF(OR(K324,L324),",",""),"")&amp;IF(K324,"性別"&amp;IF(L324,",",""),"")&amp;IF(L324,"役職","")&amp;IF(OR(H324,K324,L324),"に、［入力シート］(4)「貴社」欄と異なる文言が入力されています。","")))))</f>
        <v/>
      </c>
      <c r="G324" s="236" t="b">
        <f>COUNTIF($A$4:A323,$A324)&gt;0</f>
        <v>0</v>
      </c>
      <c r="H324" s="237" t="b">
        <f>IF(COUNTIF(入力シート!$J$16:$S$23,入力リスト!$K$4)=0,FALSE,IF(入力シート!$J$16=入力リスト!$K$5,FALSE,ISERROR(VLOOKUP(B324,入力シート!$S$37:$V$62,1,0))))</f>
        <v>0</v>
      </c>
      <c r="I324" s="237" t="b">
        <f>IF(AND(OR(入力シート!$J$18=入力リスト!$K$4,入力シート!$J$22=入力リスト!$K$4),入力シート!$J$24&lt;&gt;""),IF(ISERROR(C324+1),TRUE,IF(ISNUMBER(C324),FALSE,TRUE)),FALSE)</f>
        <v>0</v>
      </c>
      <c r="J324" s="237" t="b">
        <f>IF(AND(入力シート!$J$18=入力リスト!$K$4,入力シート!$J$22=入力リスト!$K$4),FALSE,IF(I324=TRUE,FALSE,IF(ISERROR(C324+1),FALSE,C324&gt;入力シート!$J$24)))</f>
        <v>0</v>
      </c>
      <c r="K324" s="237" t="b">
        <f>IF(COUNTIF(入力シート!$J$16:$S$23,入力リスト!$K$4)=0,FALSE,IF(AND(入力シート!$J$16&lt;&gt;入力リスト!$K$5,入力シート!$J$18&lt;&gt;入力リスト!$K$5,入力シート!$J$20&lt;&gt;入力リスト!$K$5,入力シート!$J$22&lt;&gt;入力リスト!$K$5),FALSE,ISERROR(VLOOKUP(D324,入力シート!$AW$37:$AY$38,1,0))))</f>
        <v>0</v>
      </c>
      <c r="L324" s="237" t="b">
        <f>IF(COUNTIF(入力シート!$J$16:$S$23,入力リスト!$K$4)=0,FALSE,IF(入力シート!$J$20=入力リスト!$K$5,FALSE,IF(E324="",FALSE,ISERROR(VLOOKUP(E324,入力シート!$AH$37:$AK$62,1,0)))))</f>
        <v>0</v>
      </c>
      <c r="M324" s="238" t="str">
        <f t="shared" ref="M324:M387" si="5">IF(COUNTIF(F324,"*入社年月日に数値以外*"),"※1900/0/0以前は数値として認識されません。","")</f>
        <v/>
      </c>
      <c r="N324" s="236" t="str">
        <f>IF(B324="","",VLOOKUP('従業員情報(給与以外)'!$B324,入力シート!$S$37:$Z$62,5,0))</f>
        <v/>
      </c>
      <c r="O324" s="182" t="str">
        <f>IF(ISNUMBER(C324)=FALSE,"",IF(C324&gt;入力シート!$J$24,"",_xlfn.DAYS(入力シート!$J$24,'従業員情報(給与以外)'!$C324)/365))</f>
        <v/>
      </c>
      <c r="P324" s="237" t="str">
        <f>IF(O324="","",VLOOKUP(_xlfn.DAYS(入力シート!$J$24,'従業員情報(給与以外)'!$C324)/365,入力リスト!$H$4:$I$12,2,2))</f>
        <v/>
      </c>
      <c r="Q324" s="236" t="str">
        <f>IF(D324="","",VLOOKUP('従業員情報(給与以外)'!$D324,入力シート!$AW$37:$BB$38,4,0))</f>
        <v/>
      </c>
      <c r="R324" s="236" t="str">
        <f>IF(A324="","",IF(E324="","非役職",VLOOKUP('従業員情報(給与以外)'!$E324,入力シート!$AH$37:$AO$62,5,0)))</f>
        <v/>
      </c>
      <c r="S324" s="116" t="str">
        <f>IF(OR(入力シート!$C$5&lt;&gt;入力リスト!$N$4,COUNTIF(入力シート!$J$16:$S$23,入力リスト!$K$4)=0),"",IF($A324="","",IF(ISERROR(AVERAGEIF(従業員の給与情報!$B:$B,$A324,従業員の給与情報!$C:$C)),0,IF(ISERROR(AVERAGEIF(従業員の給与情報!$B:$B,$A324,従業員の給与情報!$C:$C)),0,AVERAGEIF(従業員の給与情報!$B:$B,$A324,従業員の給与情報!$C:$C)))))</f>
        <v/>
      </c>
      <c r="T324" s="116" t="str">
        <f>IF(OR(入力シート!$C$5&lt;&gt;入力リスト!$N$4,COUNTIF(入力シート!$J$16:$S$23,入力リスト!$K$4)=0),"",IF(A324="","",IF(ISERROR(AVERAGEIF(従業員の給与情報!$B:$B,$A324,従業員の給与情報!$D:$D)),0,IF(ISERROR(AVERAGEIF(従業員の給与情報!$B:$B,$A324,従業員の給与情報!$D:$D)),0,AVERAGEIF(従業員の給与情報!$B:$B,$A324,従業員の給与情報!$D:$D)))))</f>
        <v/>
      </c>
      <c r="U324" s="116" t="str">
        <f>IF(OR(入力シート!$C$5&lt;&gt;入力リスト!$N$4,COUNTIF(入力シート!$J$16:$S$23,入力リスト!$K$4)=0),"",IF(A324="","",IF(ISERROR(AVERAGEIF(従業員の給与情報!$B:$B,$A324,従業員の給与情報!$E:$E)),0,IF(ISERROR(AVERAGEIF(従業員の給与情報!$B:$B,$A324,従業員の給与情報!$E:$E)),0,AVERAGEIF(従業員の給与情報!$B:$B,$A324,従業員の給与情報!$E:$E)))))</f>
        <v/>
      </c>
      <c r="V324" s="117" t="str">
        <f>IF(OR(入力シート!$C$5&lt;&gt;入力リスト!$N$4,COUNTIF(入力シート!$J$16:$S$23,入力リスト!$K$4)=0),"",IF(A324="","",IF(ISERROR(AVERAGEIF(従業員の給与情報!$B:$B,$A324,従業員の給与情報!$F:$F)),0,IF(ISERROR(AVERAGEIF(従業員の給与情報!$B:$B,$A324,従業員の給与情報!$F:$F)),0,AVERAGEIF(従業員の給与情報!$B:$B,$A324,従業員の給与情報!$F:$F)))))</f>
        <v/>
      </c>
      <c r="W324" s="182"/>
      <c r="X324" s="260"/>
    </row>
    <row r="325" spans="1:24">
      <c r="A325" s="368"/>
      <c r="B325" s="361"/>
      <c r="C325" s="362"/>
      <c r="D325" s="361"/>
      <c r="E325" s="361"/>
      <c r="F325" s="372" t="str">
        <f>IF(G325,"この従業員番号は、すでに他のセルで入力されています。",IF(入力シート!$C$5=入力リスト!$N$5,"",IF(AND(A325="",B325="",C325="",D325="",E325=""),"",IF(OR(A325="",B325="",C325="",D325=""),IF(A325="","従業員番号","")&amp;IF(AND(A325="",OR(B325="",C325="",D325="")),",","")&amp;IF(B325="","雇用形態","")&amp;IF(AND(B325="",OR(C325="",D325="")),",","")&amp;IF(OR(入力シート!$J$18=入力リスト!$K$4,入力シート!$J$22=入力リスト!$K$4),IF(C325="","入社年月日",""),"")&amp;IF(AND(C325="",D325=""),",","")&amp;IF(D325="","性別","")&amp;IF(IF(A325="","従業員番号","")&amp;IF(B325="","雇用形態","")&amp;IF(OR(入力シート!$J$18=入力リスト!$K$4,入力シート!$J$22=入力リスト!$K$4),IF(C325="","入社年月日",""),"")&amp;IF(D325="","性別","")="","","が空白です。"),IF(J325,"入社年月日に「基準日」の翌日以降の日付が入力されています。","")&amp;IF(I325,"入社年月日に数値以外（又は1900/1/1以前の日付）が入力されています。","")&amp;IF(H325,"雇用形態"&amp;IF(OR(K325,L325),",",""),"")&amp;IF(K325,"性別"&amp;IF(L325,",",""),"")&amp;IF(L325,"役職","")&amp;IF(OR(H325,K325,L325),"に、［入力シート］(4)「貴社」欄と異なる文言が入力されています。","")))))</f>
        <v/>
      </c>
      <c r="G325" s="236" t="b">
        <f>COUNTIF($A$4:A324,$A325)&gt;0</f>
        <v>0</v>
      </c>
      <c r="H325" s="237" t="b">
        <f>IF(COUNTIF(入力シート!$J$16:$S$23,入力リスト!$K$4)=0,FALSE,IF(入力シート!$J$16=入力リスト!$K$5,FALSE,ISERROR(VLOOKUP(B325,入力シート!$S$37:$V$62,1,0))))</f>
        <v>0</v>
      </c>
      <c r="I325" s="237" t="b">
        <f>IF(AND(OR(入力シート!$J$18=入力リスト!$K$4,入力シート!$J$22=入力リスト!$K$4),入力シート!$J$24&lt;&gt;""),IF(ISERROR(C325+1),TRUE,IF(ISNUMBER(C325),FALSE,TRUE)),FALSE)</f>
        <v>0</v>
      </c>
      <c r="J325" s="237" t="b">
        <f>IF(AND(入力シート!$J$18=入力リスト!$K$4,入力シート!$J$22=入力リスト!$K$4),FALSE,IF(I325=TRUE,FALSE,IF(ISERROR(C325+1),FALSE,C325&gt;入力シート!$J$24)))</f>
        <v>0</v>
      </c>
      <c r="K325" s="237" t="b">
        <f>IF(COUNTIF(入力シート!$J$16:$S$23,入力リスト!$K$4)=0,FALSE,IF(AND(入力シート!$J$16&lt;&gt;入力リスト!$K$5,入力シート!$J$18&lt;&gt;入力リスト!$K$5,入力シート!$J$20&lt;&gt;入力リスト!$K$5,入力シート!$J$22&lt;&gt;入力リスト!$K$5),FALSE,ISERROR(VLOOKUP(D325,入力シート!$AW$37:$AY$38,1,0))))</f>
        <v>0</v>
      </c>
      <c r="L325" s="237" t="b">
        <f>IF(COUNTIF(入力シート!$J$16:$S$23,入力リスト!$K$4)=0,FALSE,IF(入力シート!$J$20=入力リスト!$K$5,FALSE,IF(E325="",FALSE,ISERROR(VLOOKUP(E325,入力シート!$AH$37:$AK$62,1,0)))))</f>
        <v>0</v>
      </c>
      <c r="M325" s="238" t="str">
        <f t="shared" si="5"/>
        <v/>
      </c>
      <c r="N325" s="236" t="str">
        <f>IF(B325="","",VLOOKUP('従業員情報(給与以外)'!$B325,入力シート!$S$37:$Z$62,5,0))</f>
        <v/>
      </c>
      <c r="O325" s="182" t="str">
        <f>IF(ISNUMBER(C325)=FALSE,"",IF(C325&gt;入力シート!$J$24,"",_xlfn.DAYS(入力シート!$J$24,'従業員情報(給与以外)'!$C325)/365))</f>
        <v/>
      </c>
      <c r="P325" s="237" t="str">
        <f>IF(O325="","",VLOOKUP(_xlfn.DAYS(入力シート!$J$24,'従業員情報(給与以外)'!$C325)/365,入力リスト!$H$4:$I$12,2,2))</f>
        <v/>
      </c>
      <c r="Q325" s="236" t="str">
        <f>IF(D325="","",VLOOKUP('従業員情報(給与以外)'!$D325,入力シート!$AW$37:$BB$38,4,0))</f>
        <v/>
      </c>
      <c r="R325" s="236" t="str">
        <f>IF(A325="","",IF(E325="","非役職",VLOOKUP('従業員情報(給与以外)'!$E325,入力シート!$AH$37:$AO$62,5,0)))</f>
        <v/>
      </c>
      <c r="S325" s="116" t="str">
        <f>IF(OR(入力シート!$C$5&lt;&gt;入力リスト!$N$4,COUNTIF(入力シート!$J$16:$S$23,入力リスト!$K$4)=0),"",IF($A325="","",IF(ISERROR(AVERAGEIF(従業員の給与情報!$B:$B,$A325,従業員の給与情報!$C:$C)),0,IF(ISERROR(AVERAGEIF(従業員の給与情報!$B:$B,$A325,従業員の給与情報!$C:$C)),0,AVERAGEIF(従業員の給与情報!$B:$B,$A325,従業員の給与情報!$C:$C)))))</f>
        <v/>
      </c>
      <c r="T325" s="116" t="str">
        <f>IF(OR(入力シート!$C$5&lt;&gt;入力リスト!$N$4,COUNTIF(入力シート!$J$16:$S$23,入力リスト!$K$4)=0),"",IF(A325="","",IF(ISERROR(AVERAGEIF(従業員の給与情報!$B:$B,$A325,従業員の給与情報!$D:$D)),0,IF(ISERROR(AVERAGEIF(従業員の給与情報!$B:$B,$A325,従業員の給与情報!$D:$D)),0,AVERAGEIF(従業員の給与情報!$B:$B,$A325,従業員の給与情報!$D:$D)))))</f>
        <v/>
      </c>
      <c r="U325" s="116" t="str">
        <f>IF(OR(入力シート!$C$5&lt;&gt;入力リスト!$N$4,COUNTIF(入力シート!$J$16:$S$23,入力リスト!$K$4)=0),"",IF(A325="","",IF(ISERROR(AVERAGEIF(従業員の給与情報!$B:$B,$A325,従業員の給与情報!$E:$E)),0,IF(ISERROR(AVERAGEIF(従業員の給与情報!$B:$B,$A325,従業員の給与情報!$E:$E)),0,AVERAGEIF(従業員の給与情報!$B:$B,$A325,従業員の給与情報!$E:$E)))))</f>
        <v/>
      </c>
      <c r="V325" s="117" t="str">
        <f>IF(OR(入力シート!$C$5&lt;&gt;入力リスト!$N$4,COUNTIF(入力シート!$J$16:$S$23,入力リスト!$K$4)=0),"",IF(A325="","",IF(ISERROR(AVERAGEIF(従業員の給与情報!$B:$B,$A325,従業員の給与情報!$F:$F)),0,IF(ISERROR(AVERAGEIF(従業員の給与情報!$B:$B,$A325,従業員の給与情報!$F:$F)),0,AVERAGEIF(従業員の給与情報!$B:$B,$A325,従業員の給与情報!$F:$F)))))</f>
        <v/>
      </c>
      <c r="W325" s="182"/>
      <c r="X325" s="260"/>
    </row>
    <row r="326" spans="1:24">
      <c r="A326" s="368"/>
      <c r="B326" s="361"/>
      <c r="C326" s="362"/>
      <c r="D326" s="361"/>
      <c r="E326" s="361"/>
      <c r="F326" s="372" t="str">
        <f>IF(G326,"この従業員番号は、すでに他のセルで入力されています。",IF(入力シート!$C$5=入力リスト!$N$5,"",IF(AND(A326="",B326="",C326="",D326="",E326=""),"",IF(OR(A326="",B326="",C326="",D326=""),IF(A326="","従業員番号","")&amp;IF(AND(A326="",OR(B326="",C326="",D326="")),",","")&amp;IF(B326="","雇用形態","")&amp;IF(AND(B326="",OR(C326="",D326="")),",","")&amp;IF(OR(入力シート!$J$18=入力リスト!$K$4,入力シート!$J$22=入力リスト!$K$4),IF(C326="","入社年月日",""),"")&amp;IF(AND(C326="",D326=""),",","")&amp;IF(D326="","性別","")&amp;IF(IF(A326="","従業員番号","")&amp;IF(B326="","雇用形態","")&amp;IF(OR(入力シート!$J$18=入力リスト!$K$4,入力シート!$J$22=入力リスト!$K$4),IF(C326="","入社年月日",""),"")&amp;IF(D326="","性別","")="","","が空白です。"),IF(J326,"入社年月日に「基準日」の翌日以降の日付が入力されています。","")&amp;IF(I326,"入社年月日に数値以外（又は1900/1/1以前の日付）が入力されています。","")&amp;IF(H326,"雇用形態"&amp;IF(OR(K326,L326),",",""),"")&amp;IF(K326,"性別"&amp;IF(L326,",",""),"")&amp;IF(L326,"役職","")&amp;IF(OR(H326,K326,L326),"に、［入力シート］(4)「貴社」欄と異なる文言が入力されています。","")))))</f>
        <v/>
      </c>
      <c r="G326" s="236" t="b">
        <f>COUNTIF($A$4:A325,$A326)&gt;0</f>
        <v>0</v>
      </c>
      <c r="H326" s="237" t="b">
        <f>IF(COUNTIF(入力シート!$J$16:$S$23,入力リスト!$K$4)=0,FALSE,IF(入力シート!$J$16=入力リスト!$K$5,FALSE,ISERROR(VLOOKUP(B326,入力シート!$S$37:$V$62,1,0))))</f>
        <v>0</v>
      </c>
      <c r="I326" s="237" t="b">
        <f>IF(AND(OR(入力シート!$J$18=入力リスト!$K$4,入力シート!$J$22=入力リスト!$K$4),入力シート!$J$24&lt;&gt;""),IF(ISERROR(C326+1),TRUE,IF(ISNUMBER(C326),FALSE,TRUE)),FALSE)</f>
        <v>0</v>
      </c>
      <c r="J326" s="237" t="b">
        <f>IF(AND(入力シート!$J$18=入力リスト!$K$4,入力シート!$J$22=入力リスト!$K$4),FALSE,IF(I326=TRUE,FALSE,IF(ISERROR(C326+1),FALSE,C326&gt;入力シート!$J$24)))</f>
        <v>0</v>
      </c>
      <c r="K326" s="237" t="b">
        <f>IF(COUNTIF(入力シート!$J$16:$S$23,入力リスト!$K$4)=0,FALSE,IF(AND(入力シート!$J$16&lt;&gt;入力リスト!$K$5,入力シート!$J$18&lt;&gt;入力リスト!$K$5,入力シート!$J$20&lt;&gt;入力リスト!$K$5,入力シート!$J$22&lt;&gt;入力リスト!$K$5),FALSE,ISERROR(VLOOKUP(D326,入力シート!$AW$37:$AY$38,1,0))))</f>
        <v>0</v>
      </c>
      <c r="L326" s="237" t="b">
        <f>IF(COUNTIF(入力シート!$J$16:$S$23,入力リスト!$K$4)=0,FALSE,IF(入力シート!$J$20=入力リスト!$K$5,FALSE,IF(E326="",FALSE,ISERROR(VLOOKUP(E326,入力シート!$AH$37:$AK$62,1,0)))))</f>
        <v>0</v>
      </c>
      <c r="M326" s="238" t="str">
        <f t="shared" si="5"/>
        <v/>
      </c>
      <c r="N326" s="236" t="str">
        <f>IF(B326="","",VLOOKUP('従業員情報(給与以外)'!$B326,入力シート!$S$37:$Z$62,5,0))</f>
        <v/>
      </c>
      <c r="O326" s="182" t="str">
        <f>IF(ISNUMBER(C326)=FALSE,"",IF(C326&gt;入力シート!$J$24,"",_xlfn.DAYS(入力シート!$J$24,'従業員情報(給与以外)'!$C326)/365))</f>
        <v/>
      </c>
      <c r="P326" s="237" t="str">
        <f>IF(O326="","",VLOOKUP(_xlfn.DAYS(入力シート!$J$24,'従業員情報(給与以外)'!$C326)/365,入力リスト!$H$4:$I$12,2,2))</f>
        <v/>
      </c>
      <c r="Q326" s="236" t="str">
        <f>IF(D326="","",VLOOKUP('従業員情報(給与以外)'!$D326,入力シート!$AW$37:$BB$38,4,0))</f>
        <v/>
      </c>
      <c r="R326" s="236" t="str">
        <f>IF(A326="","",IF(E326="","非役職",VLOOKUP('従業員情報(給与以外)'!$E326,入力シート!$AH$37:$AO$62,5,0)))</f>
        <v/>
      </c>
      <c r="S326" s="116" t="str">
        <f>IF(OR(入力シート!$C$5&lt;&gt;入力リスト!$N$4,COUNTIF(入力シート!$J$16:$S$23,入力リスト!$K$4)=0),"",IF($A326="","",IF(ISERROR(AVERAGEIF(従業員の給与情報!$B:$B,$A326,従業員の給与情報!$C:$C)),0,IF(ISERROR(AVERAGEIF(従業員の給与情報!$B:$B,$A326,従業員の給与情報!$C:$C)),0,AVERAGEIF(従業員の給与情報!$B:$B,$A326,従業員の給与情報!$C:$C)))))</f>
        <v/>
      </c>
      <c r="T326" s="116" t="str">
        <f>IF(OR(入力シート!$C$5&lt;&gt;入力リスト!$N$4,COUNTIF(入力シート!$J$16:$S$23,入力リスト!$K$4)=0),"",IF(A326="","",IF(ISERROR(AVERAGEIF(従業員の給与情報!$B:$B,$A326,従業員の給与情報!$D:$D)),0,IF(ISERROR(AVERAGEIF(従業員の給与情報!$B:$B,$A326,従業員の給与情報!$D:$D)),0,AVERAGEIF(従業員の給与情報!$B:$B,$A326,従業員の給与情報!$D:$D)))))</f>
        <v/>
      </c>
      <c r="U326" s="116" t="str">
        <f>IF(OR(入力シート!$C$5&lt;&gt;入力リスト!$N$4,COUNTIF(入力シート!$J$16:$S$23,入力リスト!$K$4)=0),"",IF(A326="","",IF(ISERROR(AVERAGEIF(従業員の給与情報!$B:$B,$A326,従業員の給与情報!$E:$E)),0,IF(ISERROR(AVERAGEIF(従業員の給与情報!$B:$B,$A326,従業員の給与情報!$E:$E)),0,AVERAGEIF(従業員の給与情報!$B:$B,$A326,従業員の給与情報!$E:$E)))))</f>
        <v/>
      </c>
      <c r="V326" s="117" t="str">
        <f>IF(OR(入力シート!$C$5&lt;&gt;入力リスト!$N$4,COUNTIF(入力シート!$J$16:$S$23,入力リスト!$K$4)=0),"",IF(A326="","",IF(ISERROR(AVERAGEIF(従業員の給与情報!$B:$B,$A326,従業員の給与情報!$F:$F)),0,IF(ISERROR(AVERAGEIF(従業員の給与情報!$B:$B,$A326,従業員の給与情報!$F:$F)),0,AVERAGEIF(従業員の給与情報!$B:$B,$A326,従業員の給与情報!$F:$F)))))</f>
        <v/>
      </c>
      <c r="W326" s="182"/>
      <c r="X326" s="260"/>
    </row>
    <row r="327" spans="1:24">
      <c r="A327" s="368"/>
      <c r="B327" s="361"/>
      <c r="C327" s="362"/>
      <c r="D327" s="361"/>
      <c r="E327" s="361"/>
      <c r="F327" s="372" t="str">
        <f>IF(G327,"この従業員番号は、すでに他のセルで入力されています。",IF(入力シート!$C$5=入力リスト!$N$5,"",IF(AND(A327="",B327="",C327="",D327="",E327=""),"",IF(OR(A327="",B327="",C327="",D327=""),IF(A327="","従業員番号","")&amp;IF(AND(A327="",OR(B327="",C327="",D327="")),",","")&amp;IF(B327="","雇用形態","")&amp;IF(AND(B327="",OR(C327="",D327="")),",","")&amp;IF(OR(入力シート!$J$18=入力リスト!$K$4,入力シート!$J$22=入力リスト!$K$4),IF(C327="","入社年月日",""),"")&amp;IF(AND(C327="",D327=""),",","")&amp;IF(D327="","性別","")&amp;IF(IF(A327="","従業員番号","")&amp;IF(B327="","雇用形態","")&amp;IF(OR(入力シート!$J$18=入力リスト!$K$4,入力シート!$J$22=入力リスト!$K$4),IF(C327="","入社年月日",""),"")&amp;IF(D327="","性別","")="","","が空白です。"),IF(J327,"入社年月日に「基準日」の翌日以降の日付が入力されています。","")&amp;IF(I327,"入社年月日に数値以外（又は1900/1/1以前の日付）が入力されています。","")&amp;IF(H327,"雇用形態"&amp;IF(OR(K327,L327),",",""),"")&amp;IF(K327,"性別"&amp;IF(L327,",",""),"")&amp;IF(L327,"役職","")&amp;IF(OR(H327,K327,L327),"に、［入力シート］(4)「貴社」欄と異なる文言が入力されています。","")))))</f>
        <v/>
      </c>
      <c r="G327" s="236" t="b">
        <f>COUNTIF($A$4:A326,$A327)&gt;0</f>
        <v>0</v>
      </c>
      <c r="H327" s="237" t="b">
        <f>IF(COUNTIF(入力シート!$J$16:$S$23,入力リスト!$K$4)=0,FALSE,IF(入力シート!$J$16=入力リスト!$K$5,FALSE,ISERROR(VLOOKUP(B327,入力シート!$S$37:$V$62,1,0))))</f>
        <v>0</v>
      </c>
      <c r="I327" s="237" t="b">
        <f>IF(AND(OR(入力シート!$J$18=入力リスト!$K$4,入力シート!$J$22=入力リスト!$K$4),入力シート!$J$24&lt;&gt;""),IF(ISERROR(C327+1),TRUE,IF(ISNUMBER(C327),FALSE,TRUE)),FALSE)</f>
        <v>0</v>
      </c>
      <c r="J327" s="237" t="b">
        <f>IF(AND(入力シート!$J$18=入力リスト!$K$4,入力シート!$J$22=入力リスト!$K$4),FALSE,IF(I327=TRUE,FALSE,IF(ISERROR(C327+1),FALSE,C327&gt;入力シート!$J$24)))</f>
        <v>0</v>
      </c>
      <c r="K327" s="237" t="b">
        <f>IF(COUNTIF(入力シート!$J$16:$S$23,入力リスト!$K$4)=0,FALSE,IF(AND(入力シート!$J$16&lt;&gt;入力リスト!$K$5,入力シート!$J$18&lt;&gt;入力リスト!$K$5,入力シート!$J$20&lt;&gt;入力リスト!$K$5,入力シート!$J$22&lt;&gt;入力リスト!$K$5),FALSE,ISERROR(VLOOKUP(D327,入力シート!$AW$37:$AY$38,1,0))))</f>
        <v>0</v>
      </c>
      <c r="L327" s="237" t="b">
        <f>IF(COUNTIF(入力シート!$J$16:$S$23,入力リスト!$K$4)=0,FALSE,IF(入力シート!$J$20=入力リスト!$K$5,FALSE,IF(E327="",FALSE,ISERROR(VLOOKUP(E327,入力シート!$AH$37:$AK$62,1,0)))))</f>
        <v>0</v>
      </c>
      <c r="M327" s="238" t="str">
        <f t="shared" si="5"/>
        <v/>
      </c>
      <c r="N327" s="236" t="str">
        <f>IF(B327="","",VLOOKUP('従業員情報(給与以外)'!$B327,入力シート!$S$37:$Z$62,5,0))</f>
        <v/>
      </c>
      <c r="O327" s="182" t="str">
        <f>IF(ISNUMBER(C327)=FALSE,"",IF(C327&gt;入力シート!$J$24,"",_xlfn.DAYS(入力シート!$J$24,'従業員情報(給与以外)'!$C327)/365))</f>
        <v/>
      </c>
      <c r="P327" s="237" t="str">
        <f>IF(O327="","",VLOOKUP(_xlfn.DAYS(入力シート!$J$24,'従業員情報(給与以外)'!$C327)/365,入力リスト!$H$4:$I$12,2,2))</f>
        <v/>
      </c>
      <c r="Q327" s="236" t="str">
        <f>IF(D327="","",VLOOKUP('従業員情報(給与以外)'!$D327,入力シート!$AW$37:$BB$38,4,0))</f>
        <v/>
      </c>
      <c r="R327" s="236" t="str">
        <f>IF(A327="","",IF(E327="","非役職",VLOOKUP('従業員情報(給与以外)'!$E327,入力シート!$AH$37:$AO$62,5,0)))</f>
        <v/>
      </c>
      <c r="S327" s="116" t="str">
        <f>IF(OR(入力シート!$C$5&lt;&gt;入力リスト!$N$4,COUNTIF(入力シート!$J$16:$S$23,入力リスト!$K$4)=0),"",IF($A327="","",IF(ISERROR(AVERAGEIF(従業員の給与情報!$B:$B,$A327,従業員の給与情報!$C:$C)),0,IF(ISERROR(AVERAGEIF(従業員の給与情報!$B:$B,$A327,従業員の給与情報!$C:$C)),0,AVERAGEIF(従業員の給与情報!$B:$B,$A327,従業員の給与情報!$C:$C)))))</f>
        <v/>
      </c>
      <c r="T327" s="116" t="str">
        <f>IF(OR(入力シート!$C$5&lt;&gt;入力リスト!$N$4,COUNTIF(入力シート!$J$16:$S$23,入力リスト!$K$4)=0),"",IF(A327="","",IF(ISERROR(AVERAGEIF(従業員の給与情報!$B:$B,$A327,従業員の給与情報!$D:$D)),0,IF(ISERROR(AVERAGEIF(従業員の給与情報!$B:$B,$A327,従業員の給与情報!$D:$D)),0,AVERAGEIF(従業員の給与情報!$B:$B,$A327,従業員の給与情報!$D:$D)))))</f>
        <v/>
      </c>
      <c r="U327" s="116" t="str">
        <f>IF(OR(入力シート!$C$5&lt;&gt;入力リスト!$N$4,COUNTIF(入力シート!$J$16:$S$23,入力リスト!$K$4)=0),"",IF(A327="","",IF(ISERROR(AVERAGEIF(従業員の給与情報!$B:$B,$A327,従業員の給与情報!$E:$E)),0,IF(ISERROR(AVERAGEIF(従業員の給与情報!$B:$B,$A327,従業員の給与情報!$E:$E)),0,AVERAGEIF(従業員の給与情報!$B:$B,$A327,従業員の給与情報!$E:$E)))))</f>
        <v/>
      </c>
      <c r="V327" s="117" t="str">
        <f>IF(OR(入力シート!$C$5&lt;&gt;入力リスト!$N$4,COUNTIF(入力シート!$J$16:$S$23,入力リスト!$K$4)=0),"",IF(A327="","",IF(ISERROR(AVERAGEIF(従業員の給与情報!$B:$B,$A327,従業員の給与情報!$F:$F)),0,IF(ISERROR(AVERAGEIF(従業員の給与情報!$B:$B,$A327,従業員の給与情報!$F:$F)),0,AVERAGEIF(従業員の給与情報!$B:$B,$A327,従業員の給与情報!$F:$F)))))</f>
        <v/>
      </c>
      <c r="W327" s="182"/>
      <c r="X327" s="260"/>
    </row>
    <row r="328" spans="1:24">
      <c r="A328" s="368"/>
      <c r="B328" s="361"/>
      <c r="C328" s="362"/>
      <c r="D328" s="361"/>
      <c r="E328" s="361"/>
      <c r="F328" s="372" t="str">
        <f>IF(G328,"この従業員番号は、すでに他のセルで入力されています。",IF(入力シート!$C$5=入力リスト!$N$5,"",IF(AND(A328="",B328="",C328="",D328="",E328=""),"",IF(OR(A328="",B328="",C328="",D328=""),IF(A328="","従業員番号","")&amp;IF(AND(A328="",OR(B328="",C328="",D328="")),",","")&amp;IF(B328="","雇用形態","")&amp;IF(AND(B328="",OR(C328="",D328="")),",","")&amp;IF(OR(入力シート!$J$18=入力リスト!$K$4,入力シート!$J$22=入力リスト!$K$4),IF(C328="","入社年月日",""),"")&amp;IF(AND(C328="",D328=""),",","")&amp;IF(D328="","性別","")&amp;IF(IF(A328="","従業員番号","")&amp;IF(B328="","雇用形態","")&amp;IF(OR(入力シート!$J$18=入力リスト!$K$4,入力シート!$J$22=入力リスト!$K$4),IF(C328="","入社年月日",""),"")&amp;IF(D328="","性別","")="","","が空白です。"),IF(J328,"入社年月日に「基準日」の翌日以降の日付が入力されています。","")&amp;IF(I328,"入社年月日に数値以外（又は1900/1/1以前の日付）が入力されています。","")&amp;IF(H328,"雇用形態"&amp;IF(OR(K328,L328),",",""),"")&amp;IF(K328,"性別"&amp;IF(L328,",",""),"")&amp;IF(L328,"役職","")&amp;IF(OR(H328,K328,L328),"に、［入力シート］(4)「貴社」欄と異なる文言が入力されています。","")))))</f>
        <v/>
      </c>
      <c r="G328" s="236" t="b">
        <f>COUNTIF($A$4:A327,$A328)&gt;0</f>
        <v>0</v>
      </c>
      <c r="H328" s="237" t="b">
        <f>IF(COUNTIF(入力シート!$J$16:$S$23,入力リスト!$K$4)=0,FALSE,IF(入力シート!$J$16=入力リスト!$K$5,FALSE,ISERROR(VLOOKUP(B328,入力シート!$S$37:$V$62,1,0))))</f>
        <v>0</v>
      </c>
      <c r="I328" s="237" t="b">
        <f>IF(AND(OR(入力シート!$J$18=入力リスト!$K$4,入力シート!$J$22=入力リスト!$K$4),入力シート!$J$24&lt;&gt;""),IF(ISERROR(C328+1),TRUE,IF(ISNUMBER(C328),FALSE,TRUE)),FALSE)</f>
        <v>0</v>
      </c>
      <c r="J328" s="237" t="b">
        <f>IF(AND(入力シート!$J$18=入力リスト!$K$4,入力シート!$J$22=入力リスト!$K$4),FALSE,IF(I328=TRUE,FALSE,IF(ISERROR(C328+1),FALSE,C328&gt;入力シート!$J$24)))</f>
        <v>0</v>
      </c>
      <c r="K328" s="237" t="b">
        <f>IF(COUNTIF(入力シート!$J$16:$S$23,入力リスト!$K$4)=0,FALSE,IF(AND(入力シート!$J$16&lt;&gt;入力リスト!$K$5,入力シート!$J$18&lt;&gt;入力リスト!$K$5,入力シート!$J$20&lt;&gt;入力リスト!$K$5,入力シート!$J$22&lt;&gt;入力リスト!$K$5),FALSE,ISERROR(VLOOKUP(D328,入力シート!$AW$37:$AY$38,1,0))))</f>
        <v>0</v>
      </c>
      <c r="L328" s="237" t="b">
        <f>IF(COUNTIF(入力シート!$J$16:$S$23,入力リスト!$K$4)=0,FALSE,IF(入力シート!$J$20=入力リスト!$K$5,FALSE,IF(E328="",FALSE,ISERROR(VLOOKUP(E328,入力シート!$AH$37:$AK$62,1,0)))))</f>
        <v>0</v>
      </c>
      <c r="M328" s="238" t="str">
        <f t="shared" si="5"/>
        <v/>
      </c>
      <c r="N328" s="236" t="str">
        <f>IF(B328="","",VLOOKUP('従業員情報(給与以外)'!$B328,入力シート!$S$37:$Z$62,5,0))</f>
        <v/>
      </c>
      <c r="O328" s="182" t="str">
        <f>IF(ISNUMBER(C328)=FALSE,"",IF(C328&gt;入力シート!$J$24,"",_xlfn.DAYS(入力シート!$J$24,'従業員情報(給与以外)'!$C328)/365))</f>
        <v/>
      </c>
      <c r="P328" s="237" t="str">
        <f>IF(O328="","",VLOOKUP(_xlfn.DAYS(入力シート!$J$24,'従業員情報(給与以外)'!$C328)/365,入力リスト!$H$4:$I$12,2,2))</f>
        <v/>
      </c>
      <c r="Q328" s="236" t="str">
        <f>IF(D328="","",VLOOKUP('従業員情報(給与以外)'!$D328,入力シート!$AW$37:$BB$38,4,0))</f>
        <v/>
      </c>
      <c r="R328" s="236" t="str">
        <f>IF(A328="","",IF(E328="","非役職",VLOOKUP('従業員情報(給与以外)'!$E328,入力シート!$AH$37:$AO$62,5,0)))</f>
        <v/>
      </c>
      <c r="S328" s="116" t="str">
        <f>IF(OR(入力シート!$C$5&lt;&gt;入力リスト!$N$4,COUNTIF(入力シート!$J$16:$S$23,入力リスト!$K$4)=0),"",IF($A328="","",IF(ISERROR(AVERAGEIF(従業員の給与情報!$B:$B,$A328,従業員の給与情報!$C:$C)),0,IF(ISERROR(AVERAGEIF(従業員の給与情報!$B:$B,$A328,従業員の給与情報!$C:$C)),0,AVERAGEIF(従業員の給与情報!$B:$B,$A328,従業員の給与情報!$C:$C)))))</f>
        <v/>
      </c>
      <c r="T328" s="116" t="str">
        <f>IF(OR(入力シート!$C$5&lt;&gt;入力リスト!$N$4,COUNTIF(入力シート!$J$16:$S$23,入力リスト!$K$4)=0),"",IF(A328="","",IF(ISERROR(AVERAGEIF(従業員の給与情報!$B:$B,$A328,従業員の給与情報!$D:$D)),0,IF(ISERROR(AVERAGEIF(従業員の給与情報!$B:$B,$A328,従業員の給与情報!$D:$D)),0,AVERAGEIF(従業員の給与情報!$B:$B,$A328,従業員の給与情報!$D:$D)))))</f>
        <v/>
      </c>
      <c r="U328" s="116" t="str">
        <f>IF(OR(入力シート!$C$5&lt;&gt;入力リスト!$N$4,COUNTIF(入力シート!$J$16:$S$23,入力リスト!$K$4)=0),"",IF(A328="","",IF(ISERROR(AVERAGEIF(従業員の給与情報!$B:$B,$A328,従業員の給与情報!$E:$E)),0,IF(ISERROR(AVERAGEIF(従業員の給与情報!$B:$B,$A328,従業員の給与情報!$E:$E)),0,AVERAGEIF(従業員の給与情報!$B:$B,$A328,従業員の給与情報!$E:$E)))))</f>
        <v/>
      </c>
      <c r="V328" s="117" t="str">
        <f>IF(OR(入力シート!$C$5&lt;&gt;入力リスト!$N$4,COUNTIF(入力シート!$J$16:$S$23,入力リスト!$K$4)=0),"",IF(A328="","",IF(ISERROR(AVERAGEIF(従業員の給与情報!$B:$B,$A328,従業員の給与情報!$F:$F)),0,IF(ISERROR(AVERAGEIF(従業員の給与情報!$B:$B,$A328,従業員の給与情報!$F:$F)),0,AVERAGEIF(従業員の給与情報!$B:$B,$A328,従業員の給与情報!$F:$F)))))</f>
        <v/>
      </c>
      <c r="W328" s="182"/>
      <c r="X328" s="260"/>
    </row>
    <row r="329" spans="1:24">
      <c r="A329" s="368"/>
      <c r="B329" s="361"/>
      <c r="C329" s="362"/>
      <c r="D329" s="361"/>
      <c r="E329" s="361"/>
      <c r="F329" s="372" t="str">
        <f>IF(G329,"この従業員番号は、すでに他のセルで入力されています。",IF(入力シート!$C$5=入力リスト!$N$5,"",IF(AND(A329="",B329="",C329="",D329="",E329=""),"",IF(OR(A329="",B329="",C329="",D329=""),IF(A329="","従業員番号","")&amp;IF(AND(A329="",OR(B329="",C329="",D329="")),",","")&amp;IF(B329="","雇用形態","")&amp;IF(AND(B329="",OR(C329="",D329="")),",","")&amp;IF(OR(入力シート!$J$18=入力リスト!$K$4,入力シート!$J$22=入力リスト!$K$4),IF(C329="","入社年月日",""),"")&amp;IF(AND(C329="",D329=""),",","")&amp;IF(D329="","性別","")&amp;IF(IF(A329="","従業員番号","")&amp;IF(B329="","雇用形態","")&amp;IF(OR(入力シート!$J$18=入力リスト!$K$4,入力シート!$J$22=入力リスト!$K$4),IF(C329="","入社年月日",""),"")&amp;IF(D329="","性別","")="","","が空白です。"),IF(J329,"入社年月日に「基準日」の翌日以降の日付が入力されています。","")&amp;IF(I329,"入社年月日に数値以外（又は1900/1/1以前の日付）が入力されています。","")&amp;IF(H329,"雇用形態"&amp;IF(OR(K329,L329),",",""),"")&amp;IF(K329,"性別"&amp;IF(L329,",",""),"")&amp;IF(L329,"役職","")&amp;IF(OR(H329,K329,L329),"に、［入力シート］(4)「貴社」欄と異なる文言が入力されています。","")))))</f>
        <v/>
      </c>
      <c r="G329" s="236" t="b">
        <f>COUNTIF($A$4:A328,$A329)&gt;0</f>
        <v>0</v>
      </c>
      <c r="H329" s="237" t="b">
        <f>IF(COUNTIF(入力シート!$J$16:$S$23,入力リスト!$K$4)=0,FALSE,IF(入力シート!$J$16=入力リスト!$K$5,FALSE,ISERROR(VLOOKUP(B329,入力シート!$S$37:$V$62,1,0))))</f>
        <v>0</v>
      </c>
      <c r="I329" s="237" t="b">
        <f>IF(AND(OR(入力シート!$J$18=入力リスト!$K$4,入力シート!$J$22=入力リスト!$K$4),入力シート!$J$24&lt;&gt;""),IF(ISERROR(C329+1),TRUE,IF(ISNUMBER(C329),FALSE,TRUE)),FALSE)</f>
        <v>0</v>
      </c>
      <c r="J329" s="237" t="b">
        <f>IF(AND(入力シート!$J$18=入力リスト!$K$4,入力シート!$J$22=入力リスト!$K$4),FALSE,IF(I329=TRUE,FALSE,IF(ISERROR(C329+1),FALSE,C329&gt;入力シート!$J$24)))</f>
        <v>0</v>
      </c>
      <c r="K329" s="237" t="b">
        <f>IF(COUNTIF(入力シート!$J$16:$S$23,入力リスト!$K$4)=0,FALSE,IF(AND(入力シート!$J$16&lt;&gt;入力リスト!$K$5,入力シート!$J$18&lt;&gt;入力リスト!$K$5,入力シート!$J$20&lt;&gt;入力リスト!$K$5,入力シート!$J$22&lt;&gt;入力リスト!$K$5),FALSE,ISERROR(VLOOKUP(D329,入力シート!$AW$37:$AY$38,1,0))))</f>
        <v>0</v>
      </c>
      <c r="L329" s="237" t="b">
        <f>IF(COUNTIF(入力シート!$J$16:$S$23,入力リスト!$K$4)=0,FALSE,IF(入力シート!$J$20=入力リスト!$K$5,FALSE,IF(E329="",FALSE,ISERROR(VLOOKUP(E329,入力シート!$AH$37:$AK$62,1,0)))))</f>
        <v>0</v>
      </c>
      <c r="M329" s="238" t="str">
        <f t="shared" si="5"/>
        <v/>
      </c>
      <c r="N329" s="236" t="str">
        <f>IF(B329="","",VLOOKUP('従業員情報(給与以外)'!$B329,入力シート!$S$37:$Z$62,5,0))</f>
        <v/>
      </c>
      <c r="O329" s="182" t="str">
        <f>IF(ISNUMBER(C329)=FALSE,"",IF(C329&gt;入力シート!$J$24,"",_xlfn.DAYS(入力シート!$J$24,'従業員情報(給与以外)'!$C329)/365))</f>
        <v/>
      </c>
      <c r="P329" s="237" t="str">
        <f>IF(O329="","",VLOOKUP(_xlfn.DAYS(入力シート!$J$24,'従業員情報(給与以外)'!$C329)/365,入力リスト!$H$4:$I$12,2,2))</f>
        <v/>
      </c>
      <c r="Q329" s="236" t="str">
        <f>IF(D329="","",VLOOKUP('従業員情報(給与以外)'!$D329,入力シート!$AW$37:$BB$38,4,0))</f>
        <v/>
      </c>
      <c r="R329" s="236" t="str">
        <f>IF(A329="","",IF(E329="","非役職",VLOOKUP('従業員情報(給与以外)'!$E329,入力シート!$AH$37:$AO$62,5,0)))</f>
        <v/>
      </c>
      <c r="S329" s="116" t="str">
        <f>IF(OR(入力シート!$C$5&lt;&gt;入力リスト!$N$4,COUNTIF(入力シート!$J$16:$S$23,入力リスト!$K$4)=0),"",IF($A329="","",IF(ISERROR(AVERAGEIF(従業員の給与情報!$B:$B,$A329,従業員の給与情報!$C:$C)),0,IF(ISERROR(AVERAGEIF(従業員の給与情報!$B:$B,$A329,従業員の給与情報!$C:$C)),0,AVERAGEIF(従業員の給与情報!$B:$B,$A329,従業員の給与情報!$C:$C)))))</f>
        <v/>
      </c>
      <c r="T329" s="116" t="str">
        <f>IF(OR(入力シート!$C$5&lt;&gt;入力リスト!$N$4,COUNTIF(入力シート!$J$16:$S$23,入力リスト!$K$4)=0),"",IF(A329="","",IF(ISERROR(AVERAGEIF(従業員の給与情報!$B:$B,$A329,従業員の給与情報!$D:$D)),0,IF(ISERROR(AVERAGEIF(従業員の給与情報!$B:$B,$A329,従業員の給与情報!$D:$D)),0,AVERAGEIF(従業員の給与情報!$B:$B,$A329,従業員の給与情報!$D:$D)))))</f>
        <v/>
      </c>
      <c r="U329" s="116" t="str">
        <f>IF(OR(入力シート!$C$5&lt;&gt;入力リスト!$N$4,COUNTIF(入力シート!$J$16:$S$23,入力リスト!$K$4)=0),"",IF(A329="","",IF(ISERROR(AVERAGEIF(従業員の給与情報!$B:$B,$A329,従業員の給与情報!$E:$E)),0,IF(ISERROR(AVERAGEIF(従業員の給与情報!$B:$B,$A329,従業員の給与情報!$E:$E)),0,AVERAGEIF(従業員の給与情報!$B:$B,$A329,従業員の給与情報!$E:$E)))))</f>
        <v/>
      </c>
      <c r="V329" s="117" t="str">
        <f>IF(OR(入力シート!$C$5&lt;&gt;入力リスト!$N$4,COUNTIF(入力シート!$J$16:$S$23,入力リスト!$K$4)=0),"",IF(A329="","",IF(ISERROR(AVERAGEIF(従業員の給与情報!$B:$B,$A329,従業員の給与情報!$F:$F)),0,IF(ISERROR(AVERAGEIF(従業員の給与情報!$B:$B,$A329,従業員の給与情報!$F:$F)),0,AVERAGEIF(従業員の給与情報!$B:$B,$A329,従業員の給与情報!$F:$F)))))</f>
        <v/>
      </c>
      <c r="W329" s="182"/>
      <c r="X329" s="260"/>
    </row>
    <row r="330" spans="1:24">
      <c r="A330" s="368"/>
      <c r="B330" s="361"/>
      <c r="C330" s="362"/>
      <c r="D330" s="361"/>
      <c r="E330" s="361"/>
      <c r="F330" s="372" t="str">
        <f>IF(G330,"この従業員番号は、すでに他のセルで入力されています。",IF(入力シート!$C$5=入力リスト!$N$5,"",IF(AND(A330="",B330="",C330="",D330="",E330=""),"",IF(OR(A330="",B330="",C330="",D330=""),IF(A330="","従業員番号","")&amp;IF(AND(A330="",OR(B330="",C330="",D330="")),",","")&amp;IF(B330="","雇用形態","")&amp;IF(AND(B330="",OR(C330="",D330="")),",","")&amp;IF(OR(入力シート!$J$18=入力リスト!$K$4,入力シート!$J$22=入力リスト!$K$4),IF(C330="","入社年月日",""),"")&amp;IF(AND(C330="",D330=""),",","")&amp;IF(D330="","性別","")&amp;IF(IF(A330="","従業員番号","")&amp;IF(B330="","雇用形態","")&amp;IF(OR(入力シート!$J$18=入力リスト!$K$4,入力シート!$J$22=入力リスト!$K$4),IF(C330="","入社年月日",""),"")&amp;IF(D330="","性別","")="","","が空白です。"),IF(J330,"入社年月日に「基準日」の翌日以降の日付が入力されています。","")&amp;IF(I330,"入社年月日に数値以外（又は1900/1/1以前の日付）が入力されています。","")&amp;IF(H330,"雇用形態"&amp;IF(OR(K330,L330),",",""),"")&amp;IF(K330,"性別"&amp;IF(L330,",",""),"")&amp;IF(L330,"役職","")&amp;IF(OR(H330,K330,L330),"に、［入力シート］(4)「貴社」欄と異なる文言が入力されています。","")))))</f>
        <v/>
      </c>
      <c r="G330" s="236" t="b">
        <f>COUNTIF($A$4:A329,$A330)&gt;0</f>
        <v>0</v>
      </c>
      <c r="H330" s="237" t="b">
        <f>IF(COUNTIF(入力シート!$J$16:$S$23,入力リスト!$K$4)=0,FALSE,IF(入力シート!$J$16=入力リスト!$K$5,FALSE,ISERROR(VLOOKUP(B330,入力シート!$S$37:$V$62,1,0))))</f>
        <v>0</v>
      </c>
      <c r="I330" s="237" t="b">
        <f>IF(AND(OR(入力シート!$J$18=入力リスト!$K$4,入力シート!$J$22=入力リスト!$K$4),入力シート!$J$24&lt;&gt;""),IF(ISERROR(C330+1),TRUE,IF(ISNUMBER(C330),FALSE,TRUE)),FALSE)</f>
        <v>0</v>
      </c>
      <c r="J330" s="237" t="b">
        <f>IF(AND(入力シート!$J$18=入力リスト!$K$4,入力シート!$J$22=入力リスト!$K$4),FALSE,IF(I330=TRUE,FALSE,IF(ISERROR(C330+1),FALSE,C330&gt;入力シート!$J$24)))</f>
        <v>0</v>
      </c>
      <c r="K330" s="237" t="b">
        <f>IF(COUNTIF(入力シート!$J$16:$S$23,入力リスト!$K$4)=0,FALSE,IF(AND(入力シート!$J$16&lt;&gt;入力リスト!$K$5,入力シート!$J$18&lt;&gt;入力リスト!$K$5,入力シート!$J$20&lt;&gt;入力リスト!$K$5,入力シート!$J$22&lt;&gt;入力リスト!$K$5),FALSE,ISERROR(VLOOKUP(D330,入力シート!$AW$37:$AY$38,1,0))))</f>
        <v>0</v>
      </c>
      <c r="L330" s="237" t="b">
        <f>IF(COUNTIF(入力シート!$J$16:$S$23,入力リスト!$K$4)=0,FALSE,IF(入力シート!$J$20=入力リスト!$K$5,FALSE,IF(E330="",FALSE,ISERROR(VLOOKUP(E330,入力シート!$AH$37:$AK$62,1,0)))))</f>
        <v>0</v>
      </c>
      <c r="M330" s="238" t="str">
        <f t="shared" si="5"/>
        <v/>
      </c>
      <c r="N330" s="236" t="str">
        <f>IF(B330="","",VLOOKUP('従業員情報(給与以外)'!$B330,入力シート!$S$37:$Z$62,5,0))</f>
        <v/>
      </c>
      <c r="O330" s="182" t="str">
        <f>IF(ISNUMBER(C330)=FALSE,"",IF(C330&gt;入力シート!$J$24,"",_xlfn.DAYS(入力シート!$J$24,'従業員情報(給与以外)'!$C330)/365))</f>
        <v/>
      </c>
      <c r="P330" s="237" t="str">
        <f>IF(O330="","",VLOOKUP(_xlfn.DAYS(入力シート!$J$24,'従業員情報(給与以外)'!$C330)/365,入力リスト!$H$4:$I$12,2,2))</f>
        <v/>
      </c>
      <c r="Q330" s="236" t="str">
        <f>IF(D330="","",VLOOKUP('従業員情報(給与以外)'!$D330,入力シート!$AW$37:$BB$38,4,0))</f>
        <v/>
      </c>
      <c r="R330" s="236" t="str">
        <f>IF(A330="","",IF(E330="","非役職",VLOOKUP('従業員情報(給与以外)'!$E330,入力シート!$AH$37:$AO$62,5,0)))</f>
        <v/>
      </c>
      <c r="S330" s="116" t="str">
        <f>IF(OR(入力シート!$C$5&lt;&gt;入力リスト!$N$4,COUNTIF(入力シート!$J$16:$S$23,入力リスト!$K$4)=0),"",IF($A330="","",IF(ISERROR(AVERAGEIF(従業員の給与情報!$B:$B,$A330,従業員の給与情報!$C:$C)),0,IF(ISERROR(AVERAGEIF(従業員の給与情報!$B:$B,$A330,従業員の給与情報!$C:$C)),0,AVERAGEIF(従業員の給与情報!$B:$B,$A330,従業員の給与情報!$C:$C)))))</f>
        <v/>
      </c>
      <c r="T330" s="116" t="str">
        <f>IF(OR(入力シート!$C$5&lt;&gt;入力リスト!$N$4,COUNTIF(入力シート!$J$16:$S$23,入力リスト!$K$4)=0),"",IF(A330="","",IF(ISERROR(AVERAGEIF(従業員の給与情報!$B:$B,$A330,従業員の給与情報!$D:$D)),0,IF(ISERROR(AVERAGEIF(従業員の給与情報!$B:$B,$A330,従業員の給与情報!$D:$D)),0,AVERAGEIF(従業員の給与情報!$B:$B,$A330,従業員の給与情報!$D:$D)))))</f>
        <v/>
      </c>
      <c r="U330" s="116" t="str">
        <f>IF(OR(入力シート!$C$5&lt;&gt;入力リスト!$N$4,COUNTIF(入力シート!$J$16:$S$23,入力リスト!$K$4)=0),"",IF(A330="","",IF(ISERROR(AVERAGEIF(従業員の給与情報!$B:$B,$A330,従業員の給与情報!$E:$E)),0,IF(ISERROR(AVERAGEIF(従業員の給与情報!$B:$B,$A330,従業員の給与情報!$E:$E)),0,AVERAGEIF(従業員の給与情報!$B:$B,$A330,従業員の給与情報!$E:$E)))))</f>
        <v/>
      </c>
      <c r="V330" s="117" t="str">
        <f>IF(OR(入力シート!$C$5&lt;&gt;入力リスト!$N$4,COUNTIF(入力シート!$J$16:$S$23,入力リスト!$K$4)=0),"",IF(A330="","",IF(ISERROR(AVERAGEIF(従業員の給与情報!$B:$B,$A330,従業員の給与情報!$F:$F)),0,IF(ISERROR(AVERAGEIF(従業員の給与情報!$B:$B,$A330,従業員の給与情報!$F:$F)),0,AVERAGEIF(従業員の給与情報!$B:$B,$A330,従業員の給与情報!$F:$F)))))</f>
        <v/>
      </c>
      <c r="W330" s="182"/>
      <c r="X330" s="260"/>
    </row>
    <row r="331" spans="1:24">
      <c r="A331" s="368"/>
      <c r="B331" s="361"/>
      <c r="C331" s="362"/>
      <c r="D331" s="361"/>
      <c r="E331" s="361"/>
      <c r="F331" s="372" t="str">
        <f>IF(G331,"この従業員番号は、すでに他のセルで入力されています。",IF(入力シート!$C$5=入力リスト!$N$5,"",IF(AND(A331="",B331="",C331="",D331="",E331=""),"",IF(OR(A331="",B331="",C331="",D331=""),IF(A331="","従業員番号","")&amp;IF(AND(A331="",OR(B331="",C331="",D331="")),",","")&amp;IF(B331="","雇用形態","")&amp;IF(AND(B331="",OR(C331="",D331="")),",","")&amp;IF(OR(入力シート!$J$18=入力リスト!$K$4,入力シート!$J$22=入力リスト!$K$4),IF(C331="","入社年月日",""),"")&amp;IF(AND(C331="",D331=""),",","")&amp;IF(D331="","性別","")&amp;IF(IF(A331="","従業員番号","")&amp;IF(B331="","雇用形態","")&amp;IF(OR(入力シート!$J$18=入力リスト!$K$4,入力シート!$J$22=入力リスト!$K$4),IF(C331="","入社年月日",""),"")&amp;IF(D331="","性別","")="","","が空白です。"),IF(J331,"入社年月日に「基準日」の翌日以降の日付が入力されています。","")&amp;IF(I331,"入社年月日に数値以外（又は1900/1/1以前の日付）が入力されています。","")&amp;IF(H331,"雇用形態"&amp;IF(OR(K331,L331),",",""),"")&amp;IF(K331,"性別"&amp;IF(L331,",",""),"")&amp;IF(L331,"役職","")&amp;IF(OR(H331,K331,L331),"に、［入力シート］(4)「貴社」欄と異なる文言が入力されています。","")))))</f>
        <v/>
      </c>
      <c r="G331" s="236" t="b">
        <f>COUNTIF($A$4:A330,$A331)&gt;0</f>
        <v>0</v>
      </c>
      <c r="H331" s="237" t="b">
        <f>IF(COUNTIF(入力シート!$J$16:$S$23,入力リスト!$K$4)=0,FALSE,IF(入力シート!$J$16=入力リスト!$K$5,FALSE,ISERROR(VLOOKUP(B331,入力シート!$S$37:$V$62,1,0))))</f>
        <v>0</v>
      </c>
      <c r="I331" s="237" t="b">
        <f>IF(AND(OR(入力シート!$J$18=入力リスト!$K$4,入力シート!$J$22=入力リスト!$K$4),入力シート!$J$24&lt;&gt;""),IF(ISERROR(C331+1),TRUE,IF(ISNUMBER(C331),FALSE,TRUE)),FALSE)</f>
        <v>0</v>
      </c>
      <c r="J331" s="237" t="b">
        <f>IF(AND(入力シート!$J$18=入力リスト!$K$4,入力シート!$J$22=入力リスト!$K$4),FALSE,IF(I331=TRUE,FALSE,IF(ISERROR(C331+1),FALSE,C331&gt;入力シート!$J$24)))</f>
        <v>0</v>
      </c>
      <c r="K331" s="237" t="b">
        <f>IF(COUNTIF(入力シート!$J$16:$S$23,入力リスト!$K$4)=0,FALSE,IF(AND(入力シート!$J$16&lt;&gt;入力リスト!$K$5,入力シート!$J$18&lt;&gt;入力リスト!$K$5,入力シート!$J$20&lt;&gt;入力リスト!$K$5,入力シート!$J$22&lt;&gt;入力リスト!$K$5),FALSE,ISERROR(VLOOKUP(D331,入力シート!$AW$37:$AY$38,1,0))))</f>
        <v>0</v>
      </c>
      <c r="L331" s="237" t="b">
        <f>IF(COUNTIF(入力シート!$J$16:$S$23,入力リスト!$K$4)=0,FALSE,IF(入力シート!$J$20=入力リスト!$K$5,FALSE,IF(E331="",FALSE,ISERROR(VLOOKUP(E331,入力シート!$AH$37:$AK$62,1,0)))))</f>
        <v>0</v>
      </c>
      <c r="M331" s="238" t="str">
        <f t="shared" si="5"/>
        <v/>
      </c>
      <c r="N331" s="236" t="str">
        <f>IF(B331="","",VLOOKUP('従業員情報(給与以外)'!$B331,入力シート!$S$37:$Z$62,5,0))</f>
        <v/>
      </c>
      <c r="O331" s="182" t="str">
        <f>IF(ISNUMBER(C331)=FALSE,"",IF(C331&gt;入力シート!$J$24,"",_xlfn.DAYS(入力シート!$J$24,'従業員情報(給与以外)'!$C331)/365))</f>
        <v/>
      </c>
      <c r="P331" s="237" t="str">
        <f>IF(O331="","",VLOOKUP(_xlfn.DAYS(入力シート!$J$24,'従業員情報(給与以外)'!$C331)/365,入力リスト!$H$4:$I$12,2,2))</f>
        <v/>
      </c>
      <c r="Q331" s="236" t="str">
        <f>IF(D331="","",VLOOKUP('従業員情報(給与以外)'!$D331,入力シート!$AW$37:$BB$38,4,0))</f>
        <v/>
      </c>
      <c r="R331" s="236" t="str">
        <f>IF(A331="","",IF(E331="","非役職",VLOOKUP('従業員情報(給与以外)'!$E331,入力シート!$AH$37:$AO$62,5,0)))</f>
        <v/>
      </c>
      <c r="S331" s="116" t="str">
        <f>IF(OR(入力シート!$C$5&lt;&gt;入力リスト!$N$4,COUNTIF(入力シート!$J$16:$S$23,入力リスト!$K$4)=0),"",IF($A331="","",IF(ISERROR(AVERAGEIF(従業員の給与情報!$B:$B,$A331,従業員の給与情報!$C:$C)),0,IF(ISERROR(AVERAGEIF(従業員の給与情報!$B:$B,$A331,従業員の給与情報!$C:$C)),0,AVERAGEIF(従業員の給与情報!$B:$B,$A331,従業員の給与情報!$C:$C)))))</f>
        <v/>
      </c>
      <c r="T331" s="116" t="str">
        <f>IF(OR(入力シート!$C$5&lt;&gt;入力リスト!$N$4,COUNTIF(入力シート!$J$16:$S$23,入力リスト!$K$4)=0),"",IF(A331="","",IF(ISERROR(AVERAGEIF(従業員の給与情報!$B:$B,$A331,従業員の給与情報!$D:$D)),0,IF(ISERROR(AVERAGEIF(従業員の給与情報!$B:$B,$A331,従業員の給与情報!$D:$D)),0,AVERAGEIF(従業員の給与情報!$B:$B,$A331,従業員の給与情報!$D:$D)))))</f>
        <v/>
      </c>
      <c r="U331" s="116" t="str">
        <f>IF(OR(入力シート!$C$5&lt;&gt;入力リスト!$N$4,COUNTIF(入力シート!$J$16:$S$23,入力リスト!$K$4)=0),"",IF(A331="","",IF(ISERROR(AVERAGEIF(従業員の給与情報!$B:$B,$A331,従業員の給与情報!$E:$E)),0,IF(ISERROR(AVERAGEIF(従業員の給与情報!$B:$B,$A331,従業員の給与情報!$E:$E)),0,AVERAGEIF(従業員の給与情報!$B:$B,$A331,従業員の給与情報!$E:$E)))))</f>
        <v/>
      </c>
      <c r="V331" s="117" t="str">
        <f>IF(OR(入力シート!$C$5&lt;&gt;入力リスト!$N$4,COUNTIF(入力シート!$J$16:$S$23,入力リスト!$K$4)=0),"",IF(A331="","",IF(ISERROR(AVERAGEIF(従業員の給与情報!$B:$B,$A331,従業員の給与情報!$F:$F)),0,IF(ISERROR(AVERAGEIF(従業員の給与情報!$B:$B,$A331,従業員の給与情報!$F:$F)),0,AVERAGEIF(従業員の給与情報!$B:$B,$A331,従業員の給与情報!$F:$F)))))</f>
        <v/>
      </c>
      <c r="W331" s="182"/>
      <c r="X331" s="260"/>
    </row>
    <row r="332" spans="1:24">
      <c r="A332" s="368"/>
      <c r="B332" s="361"/>
      <c r="C332" s="362"/>
      <c r="D332" s="361"/>
      <c r="E332" s="361"/>
      <c r="F332" s="372" t="str">
        <f>IF(G332,"この従業員番号は、すでに他のセルで入力されています。",IF(入力シート!$C$5=入力リスト!$N$5,"",IF(AND(A332="",B332="",C332="",D332="",E332=""),"",IF(OR(A332="",B332="",C332="",D332=""),IF(A332="","従業員番号","")&amp;IF(AND(A332="",OR(B332="",C332="",D332="")),",","")&amp;IF(B332="","雇用形態","")&amp;IF(AND(B332="",OR(C332="",D332="")),",","")&amp;IF(OR(入力シート!$J$18=入力リスト!$K$4,入力シート!$J$22=入力リスト!$K$4),IF(C332="","入社年月日",""),"")&amp;IF(AND(C332="",D332=""),",","")&amp;IF(D332="","性別","")&amp;IF(IF(A332="","従業員番号","")&amp;IF(B332="","雇用形態","")&amp;IF(OR(入力シート!$J$18=入力リスト!$K$4,入力シート!$J$22=入力リスト!$K$4),IF(C332="","入社年月日",""),"")&amp;IF(D332="","性別","")="","","が空白です。"),IF(J332,"入社年月日に「基準日」の翌日以降の日付が入力されています。","")&amp;IF(I332,"入社年月日に数値以外（又は1900/1/1以前の日付）が入力されています。","")&amp;IF(H332,"雇用形態"&amp;IF(OR(K332,L332),",",""),"")&amp;IF(K332,"性別"&amp;IF(L332,",",""),"")&amp;IF(L332,"役職","")&amp;IF(OR(H332,K332,L332),"に、［入力シート］(4)「貴社」欄と異なる文言が入力されています。","")))))</f>
        <v/>
      </c>
      <c r="G332" s="236" t="b">
        <f>COUNTIF($A$4:A331,$A332)&gt;0</f>
        <v>0</v>
      </c>
      <c r="H332" s="237" t="b">
        <f>IF(COUNTIF(入力シート!$J$16:$S$23,入力リスト!$K$4)=0,FALSE,IF(入力シート!$J$16=入力リスト!$K$5,FALSE,ISERROR(VLOOKUP(B332,入力シート!$S$37:$V$62,1,0))))</f>
        <v>0</v>
      </c>
      <c r="I332" s="237" t="b">
        <f>IF(AND(OR(入力シート!$J$18=入力リスト!$K$4,入力シート!$J$22=入力リスト!$K$4),入力シート!$J$24&lt;&gt;""),IF(ISERROR(C332+1),TRUE,IF(ISNUMBER(C332),FALSE,TRUE)),FALSE)</f>
        <v>0</v>
      </c>
      <c r="J332" s="237" t="b">
        <f>IF(AND(入力シート!$J$18=入力リスト!$K$4,入力シート!$J$22=入力リスト!$K$4),FALSE,IF(I332=TRUE,FALSE,IF(ISERROR(C332+1),FALSE,C332&gt;入力シート!$J$24)))</f>
        <v>0</v>
      </c>
      <c r="K332" s="237" t="b">
        <f>IF(COUNTIF(入力シート!$J$16:$S$23,入力リスト!$K$4)=0,FALSE,IF(AND(入力シート!$J$16&lt;&gt;入力リスト!$K$5,入力シート!$J$18&lt;&gt;入力リスト!$K$5,入力シート!$J$20&lt;&gt;入力リスト!$K$5,入力シート!$J$22&lt;&gt;入力リスト!$K$5),FALSE,ISERROR(VLOOKUP(D332,入力シート!$AW$37:$AY$38,1,0))))</f>
        <v>0</v>
      </c>
      <c r="L332" s="237" t="b">
        <f>IF(COUNTIF(入力シート!$J$16:$S$23,入力リスト!$K$4)=0,FALSE,IF(入力シート!$J$20=入力リスト!$K$5,FALSE,IF(E332="",FALSE,ISERROR(VLOOKUP(E332,入力シート!$AH$37:$AK$62,1,0)))))</f>
        <v>0</v>
      </c>
      <c r="M332" s="238" t="str">
        <f t="shared" si="5"/>
        <v/>
      </c>
      <c r="N332" s="236" t="str">
        <f>IF(B332="","",VLOOKUP('従業員情報(給与以外)'!$B332,入力シート!$S$37:$Z$62,5,0))</f>
        <v/>
      </c>
      <c r="O332" s="182" t="str">
        <f>IF(ISNUMBER(C332)=FALSE,"",IF(C332&gt;入力シート!$J$24,"",_xlfn.DAYS(入力シート!$J$24,'従業員情報(給与以外)'!$C332)/365))</f>
        <v/>
      </c>
      <c r="P332" s="237" t="str">
        <f>IF(O332="","",VLOOKUP(_xlfn.DAYS(入力シート!$J$24,'従業員情報(給与以外)'!$C332)/365,入力リスト!$H$4:$I$12,2,2))</f>
        <v/>
      </c>
      <c r="Q332" s="236" t="str">
        <f>IF(D332="","",VLOOKUP('従業員情報(給与以外)'!$D332,入力シート!$AW$37:$BB$38,4,0))</f>
        <v/>
      </c>
      <c r="R332" s="236" t="str">
        <f>IF(A332="","",IF(E332="","非役職",VLOOKUP('従業員情報(給与以外)'!$E332,入力シート!$AH$37:$AO$62,5,0)))</f>
        <v/>
      </c>
      <c r="S332" s="116" t="str">
        <f>IF(OR(入力シート!$C$5&lt;&gt;入力リスト!$N$4,COUNTIF(入力シート!$J$16:$S$23,入力リスト!$K$4)=0),"",IF($A332="","",IF(ISERROR(AVERAGEIF(従業員の給与情報!$B:$B,$A332,従業員の給与情報!$C:$C)),0,IF(ISERROR(AVERAGEIF(従業員の給与情報!$B:$B,$A332,従業員の給与情報!$C:$C)),0,AVERAGEIF(従業員の給与情報!$B:$B,$A332,従業員の給与情報!$C:$C)))))</f>
        <v/>
      </c>
      <c r="T332" s="116" t="str">
        <f>IF(OR(入力シート!$C$5&lt;&gt;入力リスト!$N$4,COUNTIF(入力シート!$J$16:$S$23,入力リスト!$K$4)=0),"",IF(A332="","",IF(ISERROR(AVERAGEIF(従業員の給与情報!$B:$B,$A332,従業員の給与情報!$D:$D)),0,IF(ISERROR(AVERAGEIF(従業員の給与情報!$B:$B,$A332,従業員の給与情報!$D:$D)),0,AVERAGEIF(従業員の給与情報!$B:$B,$A332,従業員の給与情報!$D:$D)))))</f>
        <v/>
      </c>
      <c r="U332" s="116" t="str">
        <f>IF(OR(入力シート!$C$5&lt;&gt;入力リスト!$N$4,COUNTIF(入力シート!$J$16:$S$23,入力リスト!$K$4)=0),"",IF(A332="","",IF(ISERROR(AVERAGEIF(従業員の給与情報!$B:$B,$A332,従業員の給与情報!$E:$E)),0,IF(ISERROR(AVERAGEIF(従業員の給与情報!$B:$B,$A332,従業員の給与情報!$E:$E)),0,AVERAGEIF(従業員の給与情報!$B:$B,$A332,従業員の給与情報!$E:$E)))))</f>
        <v/>
      </c>
      <c r="V332" s="117" t="str">
        <f>IF(OR(入力シート!$C$5&lt;&gt;入力リスト!$N$4,COUNTIF(入力シート!$J$16:$S$23,入力リスト!$K$4)=0),"",IF(A332="","",IF(ISERROR(AVERAGEIF(従業員の給与情報!$B:$B,$A332,従業員の給与情報!$F:$F)),0,IF(ISERROR(AVERAGEIF(従業員の給与情報!$B:$B,$A332,従業員の給与情報!$F:$F)),0,AVERAGEIF(従業員の給与情報!$B:$B,$A332,従業員の給与情報!$F:$F)))))</f>
        <v/>
      </c>
      <c r="W332" s="182"/>
      <c r="X332" s="260"/>
    </row>
    <row r="333" spans="1:24">
      <c r="A333" s="368"/>
      <c r="B333" s="361"/>
      <c r="C333" s="362"/>
      <c r="D333" s="361"/>
      <c r="E333" s="361"/>
      <c r="F333" s="372" t="str">
        <f>IF(G333,"この従業員番号は、すでに他のセルで入力されています。",IF(入力シート!$C$5=入力リスト!$N$5,"",IF(AND(A333="",B333="",C333="",D333="",E333=""),"",IF(OR(A333="",B333="",C333="",D333=""),IF(A333="","従業員番号","")&amp;IF(AND(A333="",OR(B333="",C333="",D333="")),",","")&amp;IF(B333="","雇用形態","")&amp;IF(AND(B333="",OR(C333="",D333="")),",","")&amp;IF(OR(入力シート!$J$18=入力リスト!$K$4,入力シート!$J$22=入力リスト!$K$4),IF(C333="","入社年月日",""),"")&amp;IF(AND(C333="",D333=""),",","")&amp;IF(D333="","性別","")&amp;IF(IF(A333="","従業員番号","")&amp;IF(B333="","雇用形態","")&amp;IF(OR(入力シート!$J$18=入力リスト!$K$4,入力シート!$J$22=入力リスト!$K$4),IF(C333="","入社年月日",""),"")&amp;IF(D333="","性別","")="","","が空白です。"),IF(J333,"入社年月日に「基準日」の翌日以降の日付が入力されています。","")&amp;IF(I333,"入社年月日に数値以外（又は1900/1/1以前の日付）が入力されています。","")&amp;IF(H333,"雇用形態"&amp;IF(OR(K333,L333),",",""),"")&amp;IF(K333,"性別"&amp;IF(L333,",",""),"")&amp;IF(L333,"役職","")&amp;IF(OR(H333,K333,L333),"に、［入力シート］(4)「貴社」欄と異なる文言が入力されています。","")))))</f>
        <v/>
      </c>
      <c r="G333" s="236" t="b">
        <f>COUNTIF($A$4:A332,$A333)&gt;0</f>
        <v>0</v>
      </c>
      <c r="H333" s="237" t="b">
        <f>IF(COUNTIF(入力シート!$J$16:$S$23,入力リスト!$K$4)=0,FALSE,IF(入力シート!$J$16=入力リスト!$K$5,FALSE,ISERROR(VLOOKUP(B333,入力シート!$S$37:$V$62,1,0))))</f>
        <v>0</v>
      </c>
      <c r="I333" s="237" t="b">
        <f>IF(AND(OR(入力シート!$J$18=入力リスト!$K$4,入力シート!$J$22=入力リスト!$K$4),入力シート!$J$24&lt;&gt;""),IF(ISERROR(C333+1),TRUE,IF(ISNUMBER(C333),FALSE,TRUE)),FALSE)</f>
        <v>0</v>
      </c>
      <c r="J333" s="237" t="b">
        <f>IF(AND(入力シート!$J$18=入力リスト!$K$4,入力シート!$J$22=入力リスト!$K$4),FALSE,IF(I333=TRUE,FALSE,IF(ISERROR(C333+1),FALSE,C333&gt;入力シート!$J$24)))</f>
        <v>0</v>
      </c>
      <c r="K333" s="237" t="b">
        <f>IF(COUNTIF(入力シート!$J$16:$S$23,入力リスト!$K$4)=0,FALSE,IF(AND(入力シート!$J$16&lt;&gt;入力リスト!$K$5,入力シート!$J$18&lt;&gt;入力リスト!$K$5,入力シート!$J$20&lt;&gt;入力リスト!$K$5,入力シート!$J$22&lt;&gt;入力リスト!$K$5),FALSE,ISERROR(VLOOKUP(D333,入力シート!$AW$37:$AY$38,1,0))))</f>
        <v>0</v>
      </c>
      <c r="L333" s="237" t="b">
        <f>IF(COUNTIF(入力シート!$J$16:$S$23,入力リスト!$K$4)=0,FALSE,IF(入力シート!$J$20=入力リスト!$K$5,FALSE,IF(E333="",FALSE,ISERROR(VLOOKUP(E333,入力シート!$AH$37:$AK$62,1,0)))))</f>
        <v>0</v>
      </c>
      <c r="M333" s="238" t="str">
        <f t="shared" si="5"/>
        <v/>
      </c>
      <c r="N333" s="236" t="str">
        <f>IF(B333="","",VLOOKUP('従業員情報(給与以外)'!$B333,入力シート!$S$37:$Z$62,5,0))</f>
        <v/>
      </c>
      <c r="O333" s="182" t="str">
        <f>IF(ISNUMBER(C333)=FALSE,"",IF(C333&gt;入力シート!$J$24,"",_xlfn.DAYS(入力シート!$J$24,'従業員情報(給与以外)'!$C333)/365))</f>
        <v/>
      </c>
      <c r="P333" s="237" t="str">
        <f>IF(O333="","",VLOOKUP(_xlfn.DAYS(入力シート!$J$24,'従業員情報(給与以外)'!$C333)/365,入力リスト!$H$4:$I$12,2,2))</f>
        <v/>
      </c>
      <c r="Q333" s="236" t="str">
        <f>IF(D333="","",VLOOKUP('従業員情報(給与以外)'!$D333,入力シート!$AW$37:$BB$38,4,0))</f>
        <v/>
      </c>
      <c r="R333" s="236" t="str">
        <f>IF(A333="","",IF(E333="","非役職",VLOOKUP('従業員情報(給与以外)'!$E333,入力シート!$AH$37:$AO$62,5,0)))</f>
        <v/>
      </c>
      <c r="S333" s="116" t="str">
        <f>IF(OR(入力シート!$C$5&lt;&gt;入力リスト!$N$4,COUNTIF(入力シート!$J$16:$S$23,入力リスト!$K$4)=0),"",IF($A333="","",IF(ISERROR(AVERAGEIF(従業員の給与情報!$B:$B,$A333,従業員の給与情報!$C:$C)),0,IF(ISERROR(AVERAGEIF(従業員の給与情報!$B:$B,$A333,従業員の給与情報!$C:$C)),0,AVERAGEIF(従業員の給与情報!$B:$B,$A333,従業員の給与情報!$C:$C)))))</f>
        <v/>
      </c>
      <c r="T333" s="116" t="str">
        <f>IF(OR(入力シート!$C$5&lt;&gt;入力リスト!$N$4,COUNTIF(入力シート!$J$16:$S$23,入力リスト!$K$4)=0),"",IF(A333="","",IF(ISERROR(AVERAGEIF(従業員の給与情報!$B:$B,$A333,従業員の給与情報!$D:$D)),0,IF(ISERROR(AVERAGEIF(従業員の給与情報!$B:$B,$A333,従業員の給与情報!$D:$D)),0,AVERAGEIF(従業員の給与情報!$B:$B,$A333,従業員の給与情報!$D:$D)))))</f>
        <v/>
      </c>
      <c r="U333" s="116" t="str">
        <f>IF(OR(入力シート!$C$5&lt;&gt;入力リスト!$N$4,COUNTIF(入力シート!$J$16:$S$23,入力リスト!$K$4)=0),"",IF(A333="","",IF(ISERROR(AVERAGEIF(従業員の給与情報!$B:$B,$A333,従業員の給与情報!$E:$E)),0,IF(ISERROR(AVERAGEIF(従業員の給与情報!$B:$B,$A333,従業員の給与情報!$E:$E)),0,AVERAGEIF(従業員の給与情報!$B:$B,$A333,従業員の給与情報!$E:$E)))))</f>
        <v/>
      </c>
      <c r="V333" s="117" t="str">
        <f>IF(OR(入力シート!$C$5&lt;&gt;入力リスト!$N$4,COUNTIF(入力シート!$J$16:$S$23,入力リスト!$K$4)=0),"",IF(A333="","",IF(ISERROR(AVERAGEIF(従業員の給与情報!$B:$B,$A333,従業員の給与情報!$F:$F)),0,IF(ISERROR(AVERAGEIF(従業員の給与情報!$B:$B,$A333,従業員の給与情報!$F:$F)),0,AVERAGEIF(従業員の給与情報!$B:$B,$A333,従業員の給与情報!$F:$F)))))</f>
        <v/>
      </c>
      <c r="W333" s="182"/>
      <c r="X333" s="260"/>
    </row>
    <row r="334" spans="1:24">
      <c r="A334" s="368"/>
      <c r="B334" s="361"/>
      <c r="C334" s="362"/>
      <c r="D334" s="361"/>
      <c r="E334" s="361"/>
      <c r="F334" s="372" t="str">
        <f>IF(G334,"この従業員番号は、すでに他のセルで入力されています。",IF(入力シート!$C$5=入力リスト!$N$5,"",IF(AND(A334="",B334="",C334="",D334="",E334=""),"",IF(OR(A334="",B334="",C334="",D334=""),IF(A334="","従業員番号","")&amp;IF(AND(A334="",OR(B334="",C334="",D334="")),",","")&amp;IF(B334="","雇用形態","")&amp;IF(AND(B334="",OR(C334="",D334="")),",","")&amp;IF(OR(入力シート!$J$18=入力リスト!$K$4,入力シート!$J$22=入力リスト!$K$4),IF(C334="","入社年月日",""),"")&amp;IF(AND(C334="",D334=""),",","")&amp;IF(D334="","性別","")&amp;IF(IF(A334="","従業員番号","")&amp;IF(B334="","雇用形態","")&amp;IF(OR(入力シート!$J$18=入力リスト!$K$4,入力シート!$J$22=入力リスト!$K$4),IF(C334="","入社年月日",""),"")&amp;IF(D334="","性別","")="","","が空白です。"),IF(J334,"入社年月日に「基準日」の翌日以降の日付が入力されています。","")&amp;IF(I334,"入社年月日に数値以外（又は1900/1/1以前の日付）が入力されています。","")&amp;IF(H334,"雇用形態"&amp;IF(OR(K334,L334),",",""),"")&amp;IF(K334,"性別"&amp;IF(L334,",",""),"")&amp;IF(L334,"役職","")&amp;IF(OR(H334,K334,L334),"に、［入力シート］(4)「貴社」欄と異なる文言が入力されています。","")))))</f>
        <v/>
      </c>
      <c r="G334" s="236" t="b">
        <f>COUNTIF($A$4:A333,$A334)&gt;0</f>
        <v>0</v>
      </c>
      <c r="H334" s="237" t="b">
        <f>IF(COUNTIF(入力シート!$J$16:$S$23,入力リスト!$K$4)=0,FALSE,IF(入力シート!$J$16=入力リスト!$K$5,FALSE,ISERROR(VLOOKUP(B334,入力シート!$S$37:$V$62,1,0))))</f>
        <v>0</v>
      </c>
      <c r="I334" s="237" t="b">
        <f>IF(AND(OR(入力シート!$J$18=入力リスト!$K$4,入力シート!$J$22=入力リスト!$K$4),入力シート!$J$24&lt;&gt;""),IF(ISERROR(C334+1),TRUE,IF(ISNUMBER(C334),FALSE,TRUE)),FALSE)</f>
        <v>0</v>
      </c>
      <c r="J334" s="237" t="b">
        <f>IF(AND(入力シート!$J$18=入力リスト!$K$4,入力シート!$J$22=入力リスト!$K$4),FALSE,IF(I334=TRUE,FALSE,IF(ISERROR(C334+1),FALSE,C334&gt;入力シート!$J$24)))</f>
        <v>0</v>
      </c>
      <c r="K334" s="237" t="b">
        <f>IF(COUNTIF(入力シート!$J$16:$S$23,入力リスト!$K$4)=0,FALSE,IF(AND(入力シート!$J$16&lt;&gt;入力リスト!$K$5,入力シート!$J$18&lt;&gt;入力リスト!$K$5,入力シート!$J$20&lt;&gt;入力リスト!$K$5,入力シート!$J$22&lt;&gt;入力リスト!$K$5),FALSE,ISERROR(VLOOKUP(D334,入力シート!$AW$37:$AY$38,1,0))))</f>
        <v>0</v>
      </c>
      <c r="L334" s="237" t="b">
        <f>IF(COUNTIF(入力シート!$J$16:$S$23,入力リスト!$K$4)=0,FALSE,IF(入力シート!$J$20=入力リスト!$K$5,FALSE,IF(E334="",FALSE,ISERROR(VLOOKUP(E334,入力シート!$AH$37:$AK$62,1,0)))))</f>
        <v>0</v>
      </c>
      <c r="M334" s="238" t="str">
        <f t="shared" si="5"/>
        <v/>
      </c>
      <c r="N334" s="236" t="str">
        <f>IF(B334="","",VLOOKUP('従業員情報(給与以外)'!$B334,入力シート!$S$37:$Z$62,5,0))</f>
        <v/>
      </c>
      <c r="O334" s="182" t="str">
        <f>IF(ISNUMBER(C334)=FALSE,"",IF(C334&gt;入力シート!$J$24,"",_xlfn.DAYS(入力シート!$J$24,'従業員情報(給与以外)'!$C334)/365))</f>
        <v/>
      </c>
      <c r="P334" s="237" t="str">
        <f>IF(O334="","",VLOOKUP(_xlfn.DAYS(入力シート!$J$24,'従業員情報(給与以外)'!$C334)/365,入力リスト!$H$4:$I$12,2,2))</f>
        <v/>
      </c>
      <c r="Q334" s="236" t="str">
        <f>IF(D334="","",VLOOKUP('従業員情報(給与以外)'!$D334,入力シート!$AW$37:$BB$38,4,0))</f>
        <v/>
      </c>
      <c r="R334" s="236" t="str">
        <f>IF(A334="","",IF(E334="","非役職",VLOOKUP('従業員情報(給与以外)'!$E334,入力シート!$AH$37:$AO$62,5,0)))</f>
        <v/>
      </c>
      <c r="S334" s="116" t="str">
        <f>IF(OR(入力シート!$C$5&lt;&gt;入力リスト!$N$4,COUNTIF(入力シート!$J$16:$S$23,入力リスト!$K$4)=0),"",IF($A334="","",IF(ISERROR(AVERAGEIF(従業員の給与情報!$B:$B,$A334,従業員の給与情報!$C:$C)),0,IF(ISERROR(AVERAGEIF(従業員の給与情報!$B:$B,$A334,従業員の給与情報!$C:$C)),0,AVERAGEIF(従業員の給与情報!$B:$B,$A334,従業員の給与情報!$C:$C)))))</f>
        <v/>
      </c>
      <c r="T334" s="116" t="str">
        <f>IF(OR(入力シート!$C$5&lt;&gt;入力リスト!$N$4,COUNTIF(入力シート!$J$16:$S$23,入力リスト!$K$4)=0),"",IF(A334="","",IF(ISERROR(AVERAGEIF(従業員の給与情報!$B:$B,$A334,従業員の給与情報!$D:$D)),0,IF(ISERROR(AVERAGEIF(従業員の給与情報!$B:$B,$A334,従業員の給与情報!$D:$D)),0,AVERAGEIF(従業員の給与情報!$B:$B,$A334,従業員の給与情報!$D:$D)))))</f>
        <v/>
      </c>
      <c r="U334" s="116" t="str">
        <f>IF(OR(入力シート!$C$5&lt;&gt;入力リスト!$N$4,COUNTIF(入力シート!$J$16:$S$23,入力リスト!$K$4)=0),"",IF(A334="","",IF(ISERROR(AVERAGEIF(従業員の給与情報!$B:$B,$A334,従業員の給与情報!$E:$E)),0,IF(ISERROR(AVERAGEIF(従業員の給与情報!$B:$B,$A334,従業員の給与情報!$E:$E)),0,AVERAGEIF(従業員の給与情報!$B:$B,$A334,従業員の給与情報!$E:$E)))))</f>
        <v/>
      </c>
      <c r="V334" s="117" t="str">
        <f>IF(OR(入力シート!$C$5&lt;&gt;入力リスト!$N$4,COUNTIF(入力シート!$J$16:$S$23,入力リスト!$K$4)=0),"",IF(A334="","",IF(ISERROR(AVERAGEIF(従業員の給与情報!$B:$B,$A334,従業員の給与情報!$F:$F)),0,IF(ISERROR(AVERAGEIF(従業員の給与情報!$B:$B,$A334,従業員の給与情報!$F:$F)),0,AVERAGEIF(従業員の給与情報!$B:$B,$A334,従業員の給与情報!$F:$F)))))</f>
        <v/>
      </c>
      <c r="W334" s="182"/>
      <c r="X334" s="260"/>
    </row>
    <row r="335" spans="1:24">
      <c r="A335" s="368"/>
      <c r="B335" s="361"/>
      <c r="C335" s="362"/>
      <c r="D335" s="361"/>
      <c r="E335" s="361"/>
      <c r="F335" s="372" t="str">
        <f>IF(G335,"この従業員番号は、すでに他のセルで入力されています。",IF(入力シート!$C$5=入力リスト!$N$5,"",IF(AND(A335="",B335="",C335="",D335="",E335=""),"",IF(OR(A335="",B335="",C335="",D335=""),IF(A335="","従業員番号","")&amp;IF(AND(A335="",OR(B335="",C335="",D335="")),",","")&amp;IF(B335="","雇用形態","")&amp;IF(AND(B335="",OR(C335="",D335="")),",","")&amp;IF(OR(入力シート!$J$18=入力リスト!$K$4,入力シート!$J$22=入力リスト!$K$4),IF(C335="","入社年月日",""),"")&amp;IF(AND(C335="",D335=""),",","")&amp;IF(D335="","性別","")&amp;IF(IF(A335="","従業員番号","")&amp;IF(B335="","雇用形態","")&amp;IF(OR(入力シート!$J$18=入力リスト!$K$4,入力シート!$J$22=入力リスト!$K$4),IF(C335="","入社年月日",""),"")&amp;IF(D335="","性別","")="","","が空白です。"),IF(J335,"入社年月日に「基準日」の翌日以降の日付が入力されています。","")&amp;IF(I335,"入社年月日に数値以外（又は1900/1/1以前の日付）が入力されています。","")&amp;IF(H335,"雇用形態"&amp;IF(OR(K335,L335),",",""),"")&amp;IF(K335,"性別"&amp;IF(L335,",",""),"")&amp;IF(L335,"役職","")&amp;IF(OR(H335,K335,L335),"に、［入力シート］(4)「貴社」欄と異なる文言が入力されています。","")))))</f>
        <v/>
      </c>
      <c r="G335" s="236" t="b">
        <f>COUNTIF($A$4:A334,$A335)&gt;0</f>
        <v>0</v>
      </c>
      <c r="H335" s="237" t="b">
        <f>IF(COUNTIF(入力シート!$J$16:$S$23,入力リスト!$K$4)=0,FALSE,IF(入力シート!$J$16=入力リスト!$K$5,FALSE,ISERROR(VLOOKUP(B335,入力シート!$S$37:$V$62,1,0))))</f>
        <v>0</v>
      </c>
      <c r="I335" s="237" t="b">
        <f>IF(AND(OR(入力シート!$J$18=入力リスト!$K$4,入力シート!$J$22=入力リスト!$K$4),入力シート!$J$24&lt;&gt;""),IF(ISERROR(C335+1),TRUE,IF(ISNUMBER(C335),FALSE,TRUE)),FALSE)</f>
        <v>0</v>
      </c>
      <c r="J335" s="237" t="b">
        <f>IF(AND(入力シート!$J$18=入力リスト!$K$4,入力シート!$J$22=入力リスト!$K$4),FALSE,IF(I335=TRUE,FALSE,IF(ISERROR(C335+1),FALSE,C335&gt;入力シート!$J$24)))</f>
        <v>0</v>
      </c>
      <c r="K335" s="237" t="b">
        <f>IF(COUNTIF(入力シート!$J$16:$S$23,入力リスト!$K$4)=0,FALSE,IF(AND(入力シート!$J$16&lt;&gt;入力リスト!$K$5,入力シート!$J$18&lt;&gt;入力リスト!$K$5,入力シート!$J$20&lt;&gt;入力リスト!$K$5,入力シート!$J$22&lt;&gt;入力リスト!$K$5),FALSE,ISERROR(VLOOKUP(D335,入力シート!$AW$37:$AY$38,1,0))))</f>
        <v>0</v>
      </c>
      <c r="L335" s="237" t="b">
        <f>IF(COUNTIF(入力シート!$J$16:$S$23,入力リスト!$K$4)=0,FALSE,IF(入力シート!$J$20=入力リスト!$K$5,FALSE,IF(E335="",FALSE,ISERROR(VLOOKUP(E335,入力シート!$AH$37:$AK$62,1,0)))))</f>
        <v>0</v>
      </c>
      <c r="M335" s="238" t="str">
        <f t="shared" si="5"/>
        <v/>
      </c>
      <c r="N335" s="236" t="str">
        <f>IF(B335="","",VLOOKUP('従業員情報(給与以外)'!$B335,入力シート!$S$37:$Z$62,5,0))</f>
        <v/>
      </c>
      <c r="O335" s="182" t="str">
        <f>IF(ISNUMBER(C335)=FALSE,"",IF(C335&gt;入力シート!$J$24,"",_xlfn.DAYS(入力シート!$J$24,'従業員情報(給与以外)'!$C335)/365))</f>
        <v/>
      </c>
      <c r="P335" s="237" t="str">
        <f>IF(O335="","",VLOOKUP(_xlfn.DAYS(入力シート!$J$24,'従業員情報(給与以外)'!$C335)/365,入力リスト!$H$4:$I$12,2,2))</f>
        <v/>
      </c>
      <c r="Q335" s="236" t="str">
        <f>IF(D335="","",VLOOKUP('従業員情報(給与以外)'!$D335,入力シート!$AW$37:$BB$38,4,0))</f>
        <v/>
      </c>
      <c r="R335" s="236" t="str">
        <f>IF(A335="","",IF(E335="","非役職",VLOOKUP('従業員情報(給与以外)'!$E335,入力シート!$AH$37:$AO$62,5,0)))</f>
        <v/>
      </c>
      <c r="S335" s="116" t="str">
        <f>IF(OR(入力シート!$C$5&lt;&gt;入力リスト!$N$4,COUNTIF(入力シート!$J$16:$S$23,入力リスト!$K$4)=0),"",IF($A335="","",IF(ISERROR(AVERAGEIF(従業員の給与情報!$B:$B,$A335,従業員の給与情報!$C:$C)),0,IF(ISERROR(AVERAGEIF(従業員の給与情報!$B:$B,$A335,従業員の給与情報!$C:$C)),0,AVERAGEIF(従業員の給与情報!$B:$B,$A335,従業員の給与情報!$C:$C)))))</f>
        <v/>
      </c>
      <c r="T335" s="116" t="str">
        <f>IF(OR(入力シート!$C$5&lt;&gt;入力リスト!$N$4,COUNTIF(入力シート!$J$16:$S$23,入力リスト!$K$4)=0),"",IF(A335="","",IF(ISERROR(AVERAGEIF(従業員の給与情報!$B:$B,$A335,従業員の給与情報!$D:$D)),0,IF(ISERROR(AVERAGEIF(従業員の給与情報!$B:$B,$A335,従業員の給与情報!$D:$D)),0,AVERAGEIF(従業員の給与情報!$B:$B,$A335,従業員の給与情報!$D:$D)))))</f>
        <v/>
      </c>
      <c r="U335" s="116" t="str">
        <f>IF(OR(入力シート!$C$5&lt;&gt;入力リスト!$N$4,COUNTIF(入力シート!$J$16:$S$23,入力リスト!$K$4)=0),"",IF(A335="","",IF(ISERROR(AVERAGEIF(従業員の給与情報!$B:$B,$A335,従業員の給与情報!$E:$E)),0,IF(ISERROR(AVERAGEIF(従業員の給与情報!$B:$B,$A335,従業員の給与情報!$E:$E)),0,AVERAGEIF(従業員の給与情報!$B:$B,$A335,従業員の給与情報!$E:$E)))))</f>
        <v/>
      </c>
      <c r="V335" s="117" t="str">
        <f>IF(OR(入力シート!$C$5&lt;&gt;入力リスト!$N$4,COUNTIF(入力シート!$J$16:$S$23,入力リスト!$K$4)=0),"",IF(A335="","",IF(ISERROR(AVERAGEIF(従業員の給与情報!$B:$B,$A335,従業員の給与情報!$F:$F)),0,IF(ISERROR(AVERAGEIF(従業員の給与情報!$B:$B,$A335,従業員の給与情報!$F:$F)),0,AVERAGEIF(従業員の給与情報!$B:$B,$A335,従業員の給与情報!$F:$F)))))</f>
        <v/>
      </c>
      <c r="W335" s="182"/>
      <c r="X335" s="260"/>
    </row>
    <row r="336" spans="1:24">
      <c r="A336" s="368"/>
      <c r="B336" s="361"/>
      <c r="C336" s="362"/>
      <c r="D336" s="361"/>
      <c r="E336" s="361"/>
      <c r="F336" s="372" t="str">
        <f>IF(G336,"この従業員番号は、すでに他のセルで入力されています。",IF(入力シート!$C$5=入力リスト!$N$5,"",IF(AND(A336="",B336="",C336="",D336="",E336=""),"",IF(OR(A336="",B336="",C336="",D336=""),IF(A336="","従業員番号","")&amp;IF(AND(A336="",OR(B336="",C336="",D336="")),",","")&amp;IF(B336="","雇用形態","")&amp;IF(AND(B336="",OR(C336="",D336="")),",","")&amp;IF(OR(入力シート!$J$18=入力リスト!$K$4,入力シート!$J$22=入力リスト!$K$4),IF(C336="","入社年月日",""),"")&amp;IF(AND(C336="",D336=""),",","")&amp;IF(D336="","性別","")&amp;IF(IF(A336="","従業員番号","")&amp;IF(B336="","雇用形態","")&amp;IF(OR(入力シート!$J$18=入力リスト!$K$4,入力シート!$J$22=入力リスト!$K$4),IF(C336="","入社年月日",""),"")&amp;IF(D336="","性別","")="","","が空白です。"),IF(J336,"入社年月日に「基準日」の翌日以降の日付が入力されています。","")&amp;IF(I336,"入社年月日に数値以外（又は1900/1/1以前の日付）が入力されています。","")&amp;IF(H336,"雇用形態"&amp;IF(OR(K336,L336),",",""),"")&amp;IF(K336,"性別"&amp;IF(L336,",",""),"")&amp;IF(L336,"役職","")&amp;IF(OR(H336,K336,L336),"に、［入力シート］(4)「貴社」欄と異なる文言が入力されています。","")))))</f>
        <v/>
      </c>
      <c r="G336" s="236" t="b">
        <f>COUNTIF($A$4:A335,$A336)&gt;0</f>
        <v>0</v>
      </c>
      <c r="H336" s="237" t="b">
        <f>IF(COUNTIF(入力シート!$J$16:$S$23,入力リスト!$K$4)=0,FALSE,IF(入力シート!$J$16=入力リスト!$K$5,FALSE,ISERROR(VLOOKUP(B336,入力シート!$S$37:$V$62,1,0))))</f>
        <v>0</v>
      </c>
      <c r="I336" s="237" t="b">
        <f>IF(AND(OR(入力シート!$J$18=入力リスト!$K$4,入力シート!$J$22=入力リスト!$K$4),入力シート!$J$24&lt;&gt;""),IF(ISERROR(C336+1),TRUE,IF(ISNUMBER(C336),FALSE,TRUE)),FALSE)</f>
        <v>0</v>
      </c>
      <c r="J336" s="237" t="b">
        <f>IF(AND(入力シート!$J$18=入力リスト!$K$4,入力シート!$J$22=入力リスト!$K$4),FALSE,IF(I336=TRUE,FALSE,IF(ISERROR(C336+1),FALSE,C336&gt;入力シート!$J$24)))</f>
        <v>0</v>
      </c>
      <c r="K336" s="237" t="b">
        <f>IF(COUNTIF(入力シート!$J$16:$S$23,入力リスト!$K$4)=0,FALSE,IF(AND(入力シート!$J$16&lt;&gt;入力リスト!$K$5,入力シート!$J$18&lt;&gt;入力リスト!$K$5,入力シート!$J$20&lt;&gt;入力リスト!$K$5,入力シート!$J$22&lt;&gt;入力リスト!$K$5),FALSE,ISERROR(VLOOKUP(D336,入力シート!$AW$37:$AY$38,1,0))))</f>
        <v>0</v>
      </c>
      <c r="L336" s="237" t="b">
        <f>IF(COUNTIF(入力シート!$J$16:$S$23,入力リスト!$K$4)=0,FALSE,IF(入力シート!$J$20=入力リスト!$K$5,FALSE,IF(E336="",FALSE,ISERROR(VLOOKUP(E336,入力シート!$AH$37:$AK$62,1,0)))))</f>
        <v>0</v>
      </c>
      <c r="M336" s="238" t="str">
        <f t="shared" si="5"/>
        <v/>
      </c>
      <c r="N336" s="236" t="str">
        <f>IF(B336="","",VLOOKUP('従業員情報(給与以外)'!$B336,入力シート!$S$37:$Z$62,5,0))</f>
        <v/>
      </c>
      <c r="O336" s="182" t="str">
        <f>IF(ISNUMBER(C336)=FALSE,"",IF(C336&gt;入力シート!$J$24,"",_xlfn.DAYS(入力シート!$J$24,'従業員情報(給与以外)'!$C336)/365))</f>
        <v/>
      </c>
      <c r="P336" s="237" t="str">
        <f>IF(O336="","",VLOOKUP(_xlfn.DAYS(入力シート!$J$24,'従業員情報(給与以外)'!$C336)/365,入力リスト!$H$4:$I$12,2,2))</f>
        <v/>
      </c>
      <c r="Q336" s="236" t="str">
        <f>IF(D336="","",VLOOKUP('従業員情報(給与以外)'!$D336,入力シート!$AW$37:$BB$38,4,0))</f>
        <v/>
      </c>
      <c r="R336" s="236" t="str">
        <f>IF(A336="","",IF(E336="","非役職",VLOOKUP('従業員情報(給与以外)'!$E336,入力シート!$AH$37:$AO$62,5,0)))</f>
        <v/>
      </c>
      <c r="S336" s="116" t="str">
        <f>IF(OR(入力シート!$C$5&lt;&gt;入力リスト!$N$4,COUNTIF(入力シート!$J$16:$S$23,入力リスト!$K$4)=0),"",IF($A336="","",IF(ISERROR(AVERAGEIF(従業員の給与情報!$B:$B,$A336,従業員の給与情報!$C:$C)),0,IF(ISERROR(AVERAGEIF(従業員の給与情報!$B:$B,$A336,従業員の給与情報!$C:$C)),0,AVERAGEIF(従業員の給与情報!$B:$B,$A336,従業員の給与情報!$C:$C)))))</f>
        <v/>
      </c>
      <c r="T336" s="116" t="str">
        <f>IF(OR(入力シート!$C$5&lt;&gt;入力リスト!$N$4,COUNTIF(入力シート!$J$16:$S$23,入力リスト!$K$4)=0),"",IF(A336="","",IF(ISERROR(AVERAGEIF(従業員の給与情報!$B:$B,$A336,従業員の給与情報!$D:$D)),0,IF(ISERROR(AVERAGEIF(従業員の給与情報!$B:$B,$A336,従業員の給与情報!$D:$D)),0,AVERAGEIF(従業員の給与情報!$B:$B,$A336,従業員の給与情報!$D:$D)))))</f>
        <v/>
      </c>
      <c r="U336" s="116" t="str">
        <f>IF(OR(入力シート!$C$5&lt;&gt;入力リスト!$N$4,COUNTIF(入力シート!$J$16:$S$23,入力リスト!$K$4)=0),"",IF(A336="","",IF(ISERROR(AVERAGEIF(従業員の給与情報!$B:$B,$A336,従業員の給与情報!$E:$E)),0,IF(ISERROR(AVERAGEIF(従業員の給与情報!$B:$B,$A336,従業員の給与情報!$E:$E)),0,AVERAGEIF(従業員の給与情報!$B:$B,$A336,従業員の給与情報!$E:$E)))))</f>
        <v/>
      </c>
      <c r="V336" s="117" t="str">
        <f>IF(OR(入力シート!$C$5&lt;&gt;入力リスト!$N$4,COUNTIF(入力シート!$J$16:$S$23,入力リスト!$K$4)=0),"",IF(A336="","",IF(ISERROR(AVERAGEIF(従業員の給与情報!$B:$B,$A336,従業員の給与情報!$F:$F)),0,IF(ISERROR(AVERAGEIF(従業員の給与情報!$B:$B,$A336,従業員の給与情報!$F:$F)),0,AVERAGEIF(従業員の給与情報!$B:$B,$A336,従業員の給与情報!$F:$F)))))</f>
        <v/>
      </c>
      <c r="W336" s="182"/>
      <c r="X336" s="260"/>
    </row>
    <row r="337" spans="1:24">
      <c r="A337" s="368"/>
      <c r="B337" s="361"/>
      <c r="C337" s="362"/>
      <c r="D337" s="361"/>
      <c r="E337" s="361"/>
      <c r="F337" s="372" t="str">
        <f>IF(G337,"この従業員番号は、すでに他のセルで入力されています。",IF(入力シート!$C$5=入力リスト!$N$5,"",IF(AND(A337="",B337="",C337="",D337="",E337=""),"",IF(OR(A337="",B337="",C337="",D337=""),IF(A337="","従業員番号","")&amp;IF(AND(A337="",OR(B337="",C337="",D337="")),",","")&amp;IF(B337="","雇用形態","")&amp;IF(AND(B337="",OR(C337="",D337="")),",","")&amp;IF(OR(入力シート!$J$18=入力リスト!$K$4,入力シート!$J$22=入力リスト!$K$4),IF(C337="","入社年月日",""),"")&amp;IF(AND(C337="",D337=""),",","")&amp;IF(D337="","性別","")&amp;IF(IF(A337="","従業員番号","")&amp;IF(B337="","雇用形態","")&amp;IF(OR(入力シート!$J$18=入力リスト!$K$4,入力シート!$J$22=入力リスト!$K$4),IF(C337="","入社年月日",""),"")&amp;IF(D337="","性別","")="","","が空白です。"),IF(J337,"入社年月日に「基準日」の翌日以降の日付が入力されています。","")&amp;IF(I337,"入社年月日に数値以外（又は1900/1/1以前の日付）が入力されています。","")&amp;IF(H337,"雇用形態"&amp;IF(OR(K337,L337),",",""),"")&amp;IF(K337,"性別"&amp;IF(L337,",",""),"")&amp;IF(L337,"役職","")&amp;IF(OR(H337,K337,L337),"に、［入力シート］(4)「貴社」欄と異なる文言が入力されています。","")))))</f>
        <v/>
      </c>
      <c r="G337" s="236" t="b">
        <f>COUNTIF($A$4:A336,$A337)&gt;0</f>
        <v>0</v>
      </c>
      <c r="H337" s="237" t="b">
        <f>IF(COUNTIF(入力シート!$J$16:$S$23,入力リスト!$K$4)=0,FALSE,IF(入力シート!$J$16=入力リスト!$K$5,FALSE,ISERROR(VLOOKUP(B337,入力シート!$S$37:$V$62,1,0))))</f>
        <v>0</v>
      </c>
      <c r="I337" s="237" t="b">
        <f>IF(AND(OR(入力シート!$J$18=入力リスト!$K$4,入力シート!$J$22=入力リスト!$K$4),入力シート!$J$24&lt;&gt;""),IF(ISERROR(C337+1),TRUE,IF(ISNUMBER(C337),FALSE,TRUE)),FALSE)</f>
        <v>0</v>
      </c>
      <c r="J337" s="237" t="b">
        <f>IF(AND(入力シート!$J$18=入力リスト!$K$4,入力シート!$J$22=入力リスト!$K$4),FALSE,IF(I337=TRUE,FALSE,IF(ISERROR(C337+1),FALSE,C337&gt;入力シート!$J$24)))</f>
        <v>0</v>
      </c>
      <c r="K337" s="237" t="b">
        <f>IF(COUNTIF(入力シート!$J$16:$S$23,入力リスト!$K$4)=0,FALSE,IF(AND(入力シート!$J$16&lt;&gt;入力リスト!$K$5,入力シート!$J$18&lt;&gt;入力リスト!$K$5,入力シート!$J$20&lt;&gt;入力リスト!$K$5,入力シート!$J$22&lt;&gt;入力リスト!$K$5),FALSE,ISERROR(VLOOKUP(D337,入力シート!$AW$37:$AY$38,1,0))))</f>
        <v>0</v>
      </c>
      <c r="L337" s="237" t="b">
        <f>IF(COUNTIF(入力シート!$J$16:$S$23,入力リスト!$K$4)=0,FALSE,IF(入力シート!$J$20=入力リスト!$K$5,FALSE,IF(E337="",FALSE,ISERROR(VLOOKUP(E337,入力シート!$AH$37:$AK$62,1,0)))))</f>
        <v>0</v>
      </c>
      <c r="M337" s="238" t="str">
        <f t="shared" si="5"/>
        <v/>
      </c>
      <c r="N337" s="236" t="str">
        <f>IF(B337="","",VLOOKUP('従業員情報(給与以外)'!$B337,入力シート!$S$37:$Z$62,5,0))</f>
        <v/>
      </c>
      <c r="O337" s="182" t="str">
        <f>IF(ISNUMBER(C337)=FALSE,"",IF(C337&gt;入力シート!$J$24,"",_xlfn.DAYS(入力シート!$J$24,'従業員情報(給与以外)'!$C337)/365))</f>
        <v/>
      </c>
      <c r="P337" s="237" t="str">
        <f>IF(O337="","",VLOOKUP(_xlfn.DAYS(入力シート!$J$24,'従業員情報(給与以外)'!$C337)/365,入力リスト!$H$4:$I$12,2,2))</f>
        <v/>
      </c>
      <c r="Q337" s="236" t="str">
        <f>IF(D337="","",VLOOKUP('従業員情報(給与以外)'!$D337,入力シート!$AW$37:$BB$38,4,0))</f>
        <v/>
      </c>
      <c r="R337" s="236" t="str">
        <f>IF(A337="","",IF(E337="","非役職",VLOOKUP('従業員情報(給与以外)'!$E337,入力シート!$AH$37:$AO$62,5,0)))</f>
        <v/>
      </c>
      <c r="S337" s="116" t="str">
        <f>IF(OR(入力シート!$C$5&lt;&gt;入力リスト!$N$4,COUNTIF(入力シート!$J$16:$S$23,入力リスト!$K$4)=0),"",IF($A337="","",IF(ISERROR(AVERAGEIF(従業員の給与情報!$B:$B,$A337,従業員の給与情報!$C:$C)),0,IF(ISERROR(AVERAGEIF(従業員の給与情報!$B:$B,$A337,従業員の給与情報!$C:$C)),0,AVERAGEIF(従業員の給与情報!$B:$B,$A337,従業員の給与情報!$C:$C)))))</f>
        <v/>
      </c>
      <c r="T337" s="116" t="str">
        <f>IF(OR(入力シート!$C$5&lt;&gt;入力リスト!$N$4,COUNTIF(入力シート!$J$16:$S$23,入力リスト!$K$4)=0),"",IF(A337="","",IF(ISERROR(AVERAGEIF(従業員の給与情報!$B:$B,$A337,従業員の給与情報!$D:$D)),0,IF(ISERROR(AVERAGEIF(従業員の給与情報!$B:$B,$A337,従業員の給与情報!$D:$D)),0,AVERAGEIF(従業員の給与情報!$B:$B,$A337,従業員の給与情報!$D:$D)))))</f>
        <v/>
      </c>
      <c r="U337" s="116" t="str">
        <f>IF(OR(入力シート!$C$5&lt;&gt;入力リスト!$N$4,COUNTIF(入力シート!$J$16:$S$23,入力リスト!$K$4)=0),"",IF(A337="","",IF(ISERROR(AVERAGEIF(従業員の給与情報!$B:$B,$A337,従業員の給与情報!$E:$E)),0,IF(ISERROR(AVERAGEIF(従業員の給与情報!$B:$B,$A337,従業員の給与情報!$E:$E)),0,AVERAGEIF(従業員の給与情報!$B:$B,$A337,従業員の給与情報!$E:$E)))))</f>
        <v/>
      </c>
      <c r="V337" s="117" t="str">
        <f>IF(OR(入力シート!$C$5&lt;&gt;入力リスト!$N$4,COUNTIF(入力シート!$J$16:$S$23,入力リスト!$K$4)=0),"",IF(A337="","",IF(ISERROR(AVERAGEIF(従業員の給与情報!$B:$B,$A337,従業員の給与情報!$F:$F)),0,IF(ISERROR(AVERAGEIF(従業員の給与情報!$B:$B,$A337,従業員の給与情報!$F:$F)),0,AVERAGEIF(従業員の給与情報!$B:$B,$A337,従業員の給与情報!$F:$F)))))</f>
        <v/>
      </c>
      <c r="W337" s="182"/>
      <c r="X337" s="260"/>
    </row>
    <row r="338" spans="1:24">
      <c r="A338" s="368"/>
      <c r="B338" s="361"/>
      <c r="C338" s="362"/>
      <c r="D338" s="361"/>
      <c r="E338" s="361"/>
      <c r="F338" s="372" t="str">
        <f>IF(G338,"この従業員番号は、すでに他のセルで入力されています。",IF(入力シート!$C$5=入力リスト!$N$5,"",IF(AND(A338="",B338="",C338="",D338="",E338=""),"",IF(OR(A338="",B338="",C338="",D338=""),IF(A338="","従業員番号","")&amp;IF(AND(A338="",OR(B338="",C338="",D338="")),",","")&amp;IF(B338="","雇用形態","")&amp;IF(AND(B338="",OR(C338="",D338="")),",","")&amp;IF(OR(入力シート!$J$18=入力リスト!$K$4,入力シート!$J$22=入力リスト!$K$4),IF(C338="","入社年月日",""),"")&amp;IF(AND(C338="",D338=""),",","")&amp;IF(D338="","性別","")&amp;IF(IF(A338="","従業員番号","")&amp;IF(B338="","雇用形態","")&amp;IF(OR(入力シート!$J$18=入力リスト!$K$4,入力シート!$J$22=入力リスト!$K$4),IF(C338="","入社年月日",""),"")&amp;IF(D338="","性別","")="","","が空白です。"),IF(J338,"入社年月日に「基準日」の翌日以降の日付が入力されています。","")&amp;IF(I338,"入社年月日に数値以外（又は1900/1/1以前の日付）が入力されています。","")&amp;IF(H338,"雇用形態"&amp;IF(OR(K338,L338),",",""),"")&amp;IF(K338,"性別"&amp;IF(L338,",",""),"")&amp;IF(L338,"役職","")&amp;IF(OR(H338,K338,L338),"に、［入力シート］(4)「貴社」欄と異なる文言が入力されています。","")))))</f>
        <v/>
      </c>
      <c r="G338" s="236" t="b">
        <f>COUNTIF($A$4:A337,$A338)&gt;0</f>
        <v>0</v>
      </c>
      <c r="H338" s="237" t="b">
        <f>IF(COUNTIF(入力シート!$J$16:$S$23,入力リスト!$K$4)=0,FALSE,IF(入力シート!$J$16=入力リスト!$K$5,FALSE,ISERROR(VLOOKUP(B338,入力シート!$S$37:$V$62,1,0))))</f>
        <v>0</v>
      </c>
      <c r="I338" s="237" t="b">
        <f>IF(AND(OR(入力シート!$J$18=入力リスト!$K$4,入力シート!$J$22=入力リスト!$K$4),入力シート!$J$24&lt;&gt;""),IF(ISERROR(C338+1),TRUE,IF(ISNUMBER(C338),FALSE,TRUE)),FALSE)</f>
        <v>0</v>
      </c>
      <c r="J338" s="237" t="b">
        <f>IF(AND(入力シート!$J$18=入力リスト!$K$4,入力シート!$J$22=入力リスト!$K$4),FALSE,IF(I338=TRUE,FALSE,IF(ISERROR(C338+1),FALSE,C338&gt;入力シート!$J$24)))</f>
        <v>0</v>
      </c>
      <c r="K338" s="237" t="b">
        <f>IF(COUNTIF(入力シート!$J$16:$S$23,入力リスト!$K$4)=0,FALSE,IF(AND(入力シート!$J$16&lt;&gt;入力リスト!$K$5,入力シート!$J$18&lt;&gt;入力リスト!$K$5,入力シート!$J$20&lt;&gt;入力リスト!$K$5,入力シート!$J$22&lt;&gt;入力リスト!$K$5),FALSE,ISERROR(VLOOKUP(D338,入力シート!$AW$37:$AY$38,1,0))))</f>
        <v>0</v>
      </c>
      <c r="L338" s="237" t="b">
        <f>IF(COUNTIF(入力シート!$J$16:$S$23,入力リスト!$K$4)=0,FALSE,IF(入力シート!$J$20=入力リスト!$K$5,FALSE,IF(E338="",FALSE,ISERROR(VLOOKUP(E338,入力シート!$AH$37:$AK$62,1,0)))))</f>
        <v>0</v>
      </c>
      <c r="M338" s="238" t="str">
        <f t="shared" si="5"/>
        <v/>
      </c>
      <c r="N338" s="236" t="str">
        <f>IF(B338="","",VLOOKUP('従業員情報(給与以外)'!$B338,入力シート!$S$37:$Z$62,5,0))</f>
        <v/>
      </c>
      <c r="O338" s="182" t="str">
        <f>IF(ISNUMBER(C338)=FALSE,"",IF(C338&gt;入力シート!$J$24,"",_xlfn.DAYS(入力シート!$J$24,'従業員情報(給与以外)'!$C338)/365))</f>
        <v/>
      </c>
      <c r="P338" s="237" t="str">
        <f>IF(O338="","",VLOOKUP(_xlfn.DAYS(入力シート!$J$24,'従業員情報(給与以外)'!$C338)/365,入力リスト!$H$4:$I$12,2,2))</f>
        <v/>
      </c>
      <c r="Q338" s="236" t="str">
        <f>IF(D338="","",VLOOKUP('従業員情報(給与以外)'!$D338,入力シート!$AW$37:$BB$38,4,0))</f>
        <v/>
      </c>
      <c r="R338" s="236" t="str">
        <f>IF(A338="","",IF(E338="","非役職",VLOOKUP('従業員情報(給与以外)'!$E338,入力シート!$AH$37:$AO$62,5,0)))</f>
        <v/>
      </c>
      <c r="S338" s="116" t="str">
        <f>IF(OR(入力シート!$C$5&lt;&gt;入力リスト!$N$4,COUNTIF(入力シート!$J$16:$S$23,入力リスト!$K$4)=0),"",IF($A338="","",IF(ISERROR(AVERAGEIF(従業員の給与情報!$B:$B,$A338,従業員の給与情報!$C:$C)),0,IF(ISERROR(AVERAGEIF(従業員の給与情報!$B:$B,$A338,従業員の給与情報!$C:$C)),0,AVERAGEIF(従業員の給与情報!$B:$B,$A338,従業員の給与情報!$C:$C)))))</f>
        <v/>
      </c>
      <c r="T338" s="116" t="str">
        <f>IF(OR(入力シート!$C$5&lt;&gt;入力リスト!$N$4,COUNTIF(入力シート!$J$16:$S$23,入力リスト!$K$4)=0),"",IF(A338="","",IF(ISERROR(AVERAGEIF(従業員の給与情報!$B:$B,$A338,従業員の給与情報!$D:$D)),0,IF(ISERROR(AVERAGEIF(従業員の給与情報!$B:$B,$A338,従業員の給与情報!$D:$D)),0,AVERAGEIF(従業員の給与情報!$B:$B,$A338,従業員の給与情報!$D:$D)))))</f>
        <v/>
      </c>
      <c r="U338" s="116" t="str">
        <f>IF(OR(入力シート!$C$5&lt;&gt;入力リスト!$N$4,COUNTIF(入力シート!$J$16:$S$23,入力リスト!$K$4)=0),"",IF(A338="","",IF(ISERROR(AVERAGEIF(従業員の給与情報!$B:$B,$A338,従業員の給与情報!$E:$E)),0,IF(ISERROR(AVERAGEIF(従業員の給与情報!$B:$B,$A338,従業員の給与情報!$E:$E)),0,AVERAGEIF(従業員の給与情報!$B:$B,$A338,従業員の給与情報!$E:$E)))))</f>
        <v/>
      </c>
      <c r="V338" s="117" t="str">
        <f>IF(OR(入力シート!$C$5&lt;&gt;入力リスト!$N$4,COUNTIF(入力シート!$J$16:$S$23,入力リスト!$K$4)=0),"",IF(A338="","",IF(ISERROR(AVERAGEIF(従業員の給与情報!$B:$B,$A338,従業員の給与情報!$F:$F)),0,IF(ISERROR(AVERAGEIF(従業員の給与情報!$B:$B,$A338,従業員の給与情報!$F:$F)),0,AVERAGEIF(従業員の給与情報!$B:$B,$A338,従業員の給与情報!$F:$F)))))</f>
        <v/>
      </c>
      <c r="W338" s="182"/>
      <c r="X338" s="260"/>
    </row>
    <row r="339" spans="1:24">
      <c r="A339" s="368"/>
      <c r="B339" s="361"/>
      <c r="C339" s="362"/>
      <c r="D339" s="361"/>
      <c r="E339" s="361"/>
      <c r="F339" s="372" t="str">
        <f>IF(G339,"この従業員番号は、すでに他のセルで入力されています。",IF(入力シート!$C$5=入力リスト!$N$5,"",IF(AND(A339="",B339="",C339="",D339="",E339=""),"",IF(OR(A339="",B339="",C339="",D339=""),IF(A339="","従業員番号","")&amp;IF(AND(A339="",OR(B339="",C339="",D339="")),",","")&amp;IF(B339="","雇用形態","")&amp;IF(AND(B339="",OR(C339="",D339="")),",","")&amp;IF(OR(入力シート!$J$18=入力リスト!$K$4,入力シート!$J$22=入力リスト!$K$4),IF(C339="","入社年月日",""),"")&amp;IF(AND(C339="",D339=""),",","")&amp;IF(D339="","性別","")&amp;IF(IF(A339="","従業員番号","")&amp;IF(B339="","雇用形態","")&amp;IF(OR(入力シート!$J$18=入力リスト!$K$4,入力シート!$J$22=入力リスト!$K$4),IF(C339="","入社年月日",""),"")&amp;IF(D339="","性別","")="","","が空白です。"),IF(J339,"入社年月日に「基準日」の翌日以降の日付が入力されています。","")&amp;IF(I339,"入社年月日に数値以外（又は1900/1/1以前の日付）が入力されています。","")&amp;IF(H339,"雇用形態"&amp;IF(OR(K339,L339),",",""),"")&amp;IF(K339,"性別"&amp;IF(L339,",",""),"")&amp;IF(L339,"役職","")&amp;IF(OR(H339,K339,L339),"に、［入力シート］(4)「貴社」欄と異なる文言が入力されています。","")))))</f>
        <v/>
      </c>
      <c r="G339" s="236" t="b">
        <f>COUNTIF($A$4:A338,$A339)&gt;0</f>
        <v>0</v>
      </c>
      <c r="H339" s="237" t="b">
        <f>IF(COUNTIF(入力シート!$J$16:$S$23,入力リスト!$K$4)=0,FALSE,IF(入力シート!$J$16=入力リスト!$K$5,FALSE,ISERROR(VLOOKUP(B339,入力シート!$S$37:$V$62,1,0))))</f>
        <v>0</v>
      </c>
      <c r="I339" s="237" t="b">
        <f>IF(AND(OR(入力シート!$J$18=入力リスト!$K$4,入力シート!$J$22=入力リスト!$K$4),入力シート!$J$24&lt;&gt;""),IF(ISERROR(C339+1),TRUE,IF(ISNUMBER(C339),FALSE,TRUE)),FALSE)</f>
        <v>0</v>
      </c>
      <c r="J339" s="237" t="b">
        <f>IF(AND(入力シート!$J$18=入力リスト!$K$4,入力シート!$J$22=入力リスト!$K$4),FALSE,IF(I339=TRUE,FALSE,IF(ISERROR(C339+1),FALSE,C339&gt;入力シート!$J$24)))</f>
        <v>0</v>
      </c>
      <c r="K339" s="237" t="b">
        <f>IF(COUNTIF(入力シート!$J$16:$S$23,入力リスト!$K$4)=0,FALSE,IF(AND(入力シート!$J$16&lt;&gt;入力リスト!$K$5,入力シート!$J$18&lt;&gt;入力リスト!$K$5,入力シート!$J$20&lt;&gt;入力リスト!$K$5,入力シート!$J$22&lt;&gt;入力リスト!$K$5),FALSE,ISERROR(VLOOKUP(D339,入力シート!$AW$37:$AY$38,1,0))))</f>
        <v>0</v>
      </c>
      <c r="L339" s="237" t="b">
        <f>IF(COUNTIF(入力シート!$J$16:$S$23,入力リスト!$K$4)=0,FALSE,IF(入力シート!$J$20=入力リスト!$K$5,FALSE,IF(E339="",FALSE,ISERROR(VLOOKUP(E339,入力シート!$AH$37:$AK$62,1,0)))))</f>
        <v>0</v>
      </c>
      <c r="M339" s="238" t="str">
        <f t="shared" si="5"/>
        <v/>
      </c>
      <c r="N339" s="236" t="str">
        <f>IF(B339="","",VLOOKUP('従業員情報(給与以外)'!$B339,入力シート!$S$37:$Z$62,5,0))</f>
        <v/>
      </c>
      <c r="O339" s="182" t="str">
        <f>IF(ISNUMBER(C339)=FALSE,"",IF(C339&gt;入力シート!$J$24,"",_xlfn.DAYS(入力シート!$J$24,'従業員情報(給与以外)'!$C339)/365))</f>
        <v/>
      </c>
      <c r="P339" s="237" t="str">
        <f>IF(O339="","",VLOOKUP(_xlfn.DAYS(入力シート!$J$24,'従業員情報(給与以外)'!$C339)/365,入力リスト!$H$4:$I$12,2,2))</f>
        <v/>
      </c>
      <c r="Q339" s="236" t="str">
        <f>IF(D339="","",VLOOKUP('従業員情報(給与以外)'!$D339,入力シート!$AW$37:$BB$38,4,0))</f>
        <v/>
      </c>
      <c r="R339" s="236" t="str">
        <f>IF(A339="","",IF(E339="","非役職",VLOOKUP('従業員情報(給与以外)'!$E339,入力シート!$AH$37:$AO$62,5,0)))</f>
        <v/>
      </c>
      <c r="S339" s="116" t="str">
        <f>IF(OR(入力シート!$C$5&lt;&gt;入力リスト!$N$4,COUNTIF(入力シート!$J$16:$S$23,入力リスト!$K$4)=0),"",IF($A339="","",IF(ISERROR(AVERAGEIF(従業員の給与情報!$B:$B,$A339,従業員の給与情報!$C:$C)),0,IF(ISERROR(AVERAGEIF(従業員の給与情報!$B:$B,$A339,従業員の給与情報!$C:$C)),0,AVERAGEIF(従業員の給与情報!$B:$B,$A339,従業員の給与情報!$C:$C)))))</f>
        <v/>
      </c>
      <c r="T339" s="116" t="str">
        <f>IF(OR(入力シート!$C$5&lt;&gt;入力リスト!$N$4,COUNTIF(入力シート!$J$16:$S$23,入力リスト!$K$4)=0),"",IF(A339="","",IF(ISERROR(AVERAGEIF(従業員の給与情報!$B:$B,$A339,従業員の給与情報!$D:$D)),0,IF(ISERROR(AVERAGEIF(従業員の給与情報!$B:$B,$A339,従業員の給与情報!$D:$D)),0,AVERAGEIF(従業員の給与情報!$B:$B,$A339,従業員の給与情報!$D:$D)))))</f>
        <v/>
      </c>
      <c r="U339" s="116" t="str">
        <f>IF(OR(入力シート!$C$5&lt;&gt;入力リスト!$N$4,COUNTIF(入力シート!$J$16:$S$23,入力リスト!$K$4)=0),"",IF(A339="","",IF(ISERROR(AVERAGEIF(従業員の給与情報!$B:$B,$A339,従業員の給与情報!$E:$E)),0,IF(ISERROR(AVERAGEIF(従業員の給与情報!$B:$B,$A339,従業員の給与情報!$E:$E)),0,AVERAGEIF(従業員の給与情報!$B:$B,$A339,従業員の給与情報!$E:$E)))))</f>
        <v/>
      </c>
      <c r="V339" s="117" t="str">
        <f>IF(OR(入力シート!$C$5&lt;&gt;入力リスト!$N$4,COUNTIF(入力シート!$J$16:$S$23,入力リスト!$K$4)=0),"",IF(A339="","",IF(ISERROR(AVERAGEIF(従業員の給与情報!$B:$B,$A339,従業員の給与情報!$F:$F)),0,IF(ISERROR(AVERAGEIF(従業員の給与情報!$B:$B,$A339,従業員の給与情報!$F:$F)),0,AVERAGEIF(従業員の給与情報!$B:$B,$A339,従業員の給与情報!$F:$F)))))</f>
        <v/>
      </c>
      <c r="W339" s="182"/>
      <c r="X339" s="260"/>
    </row>
    <row r="340" spans="1:24">
      <c r="A340" s="368"/>
      <c r="B340" s="361"/>
      <c r="C340" s="362"/>
      <c r="D340" s="361"/>
      <c r="E340" s="361"/>
      <c r="F340" s="372" t="str">
        <f>IF(G340,"この従業員番号は、すでに他のセルで入力されています。",IF(入力シート!$C$5=入力リスト!$N$5,"",IF(AND(A340="",B340="",C340="",D340="",E340=""),"",IF(OR(A340="",B340="",C340="",D340=""),IF(A340="","従業員番号","")&amp;IF(AND(A340="",OR(B340="",C340="",D340="")),",","")&amp;IF(B340="","雇用形態","")&amp;IF(AND(B340="",OR(C340="",D340="")),",","")&amp;IF(OR(入力シート!$J$18=入力リスト!$K$4,入力シート!$J$22=入力リスト!$K$4),IF(C340="","入社年月日",""),"")&amp;IF(AND(C340="",D340=""),",","")&amp;IF(D340="","性別","")&amp;IF(IF(A340="","従業員番号","")&amp;IF(B340="","雇用形態","")&amp;IF(OR(入力シート!$J$18=入力リスト!$K$4,入力シート!$J$22=入力リスト!$K$4),IF(C340="","入社年月日",""),"")&amp;IF(D340="","性別","")="","","が空白です。"),IF(J340,"入社年月日に「基準日」の翌日以降の日付が入力されています。","")&amp;IF(I340,"入社年月日に数値以外（又は1900/1/1以前の日付）が入力されています。","")&amp;IF(H340,"雇用形態"&amp;IF(OR(K340,L340),",",""),"")&amp;IF(K340,"性別"&amp;IF(L340,",",""),"")&amp;IF(L340,"役職","")&amp;IF(OR(H340,K340,L340),"に、［入力シート］(4)「貴社」欄と異なる文言が入力されています。","")))))</f>
        <v/>
      </c>
      <c r="G340" s="236" t="b">
        <f>COUNTIF($A$4:A339,$A340)&gt;0</f>
        <v>0</v>
      </c>
      <c r="H340" s="237" t="b">
        <f>IF(COUNTIF(入力シート!$J$16:$S$23,入力リスト!$K$4)=0,FALSE,IF(入力シート!$J$16=入力リスト!$K$5,FALSE,ISERROR(VLOOKUP(B340,入力シート!$S$37:$V$62,1,0))))</f>
        <v>0</v>
      </c>
      <c r="I340" s="237" t="b">
        <f>IF(AND(OR(入力シート!$J$18=入力リスト!$K$4,入力シート!$J$22=入力リスト!$K$4),入力シート!$J$24&lt;&gt;""),IF(ISERROR(C340+1),TRUE,IF(ISNUMBER(C340),FALSE,TRUE)),FALSE)</f>
        <v>0</v>
      </c>
      <c r="J340" s="237" t="b">
        <f>IF(AND(入力シート!$J$18=入力リスト!$K$4,入力シート!$J$22=入力リスト!$K$4),FALSE,IF(I340=TRUE,FALSE,IF(ISERROR(C340+1),FALSE,C340&gt;入力シート!$J$24)))</f>
        <v>0</v>
      </c>
      <c r="K340" s="237" t="b">
        <f>IF(COUNTIF(入力シート!$J$16:$S$23,入力リスト!$K$4)=0,FALSE,IF(AND(入力シート!$J$16&lt;&gt;入力リスト!$K$5,入力シート!$J$18&lt;&gt;入力リスト!$K$5,入力シート!$J$20&lt;&gt;入力リスト!$K$5,入力シート!$J$22&lt;&gt;入力リスト!$K$5),FALSE,ISERROR(VLOOKUP(D340,入力シート!$AW$37:$AY$38,1,0))))</f>
        <v>0</v>
      </c>
      <c r="L340" s="237" t="b">
        <f>IF(COUNTIF(入力シート!$J$16:$S$23,入力リスト!$K$4)=0,FALSE,IF(入力シート!$J$20=入力リスト!$K$5,FALSE,IF(E340="",FALSE,ISERROR(VLOOKUP(E340,入力シート!$AH$37:$AK$62,1,0)))))</f>
        <v>0</v>
      </c>
      <c r="M340" s="238" t="str">
        <f t="shared" si="5"/>
        <v/>
      </c>
      <c r="N340" s="236" t="str">
        <f>IF(B340="","",VLOOKUP('従業員情報(給与以外)'!$B340,入力シート!$S$37:$Z$62,5,0))</f>
        <v/>
      </c>
      <c r="O340" s="182" t="str">
        <f>IF(ISNUMBER(C340)=FALSE,"",IF(C340&gt;入力シート!$J$24,"",_xlfn.DAYS(入力シート!$J$24,'従業員情報(給与以外)'!$C340)/365))</f>
        <v/>
      </c>
      <c r="P340" s="237" t="str">
        <f>IF(O340="","",VLOOKUP(_xlfn.DAYS(入力シート!$J$24,'従業員情報(給与以外)'!$C340)/365,入力リスト!$H$4:$I$12,2,2))</f>
        <v/>
      </c>
      <c r="Q340" s="236" t="str">
        <f>IF(D340="","",VLOOKUP('従業員情報(給与以外)'!$D340,入力シート!$AW$37:$BB$38,4,0))</f>
        <v/>
      </c>
      <c r="R340" s="236" t="str">
        <f>IF(A340="","",IF(E340="","非役職",VLOOKUP('従業員情報(給与以外)'!$E340,入力シート!$AH$37:$AO$62,5,0)))</f>
        <v/>
      </c>
      <c r="S340" s="116" t="str">
        <f>IF(OR(入力シート!$C$5&lt;&gt;入力リスト!$N$4,COUNTIF(入力シート!$J$16:$S$23,入力リスト!$K$4)=0),"",IF($A340="","",IF(ISERROR(AVERAGEIF(従業員の給与情報!$B:$B,$A340,従業員の給与情報!$C:$C)),0,IF(ISERROR(AVERAGEIF(従業員の給与情報!$B:$B,$A340,従業員の給与情報!$C:$C)),0,AVERAGEIF(従業員の給与情報!$B:$B,$A340,従業員の給与情報!$C:$C)))))</f>
        <v/>
      </c>
      <c r="T340" s="116" t="str">
        <f>IF(OR(入力シート!$C$5&lt;&gt;入力リスト!$N$4,COUNTIF(入力シート!$J$16:$S$23,入力リスト!$K$4)=0),"",IF(A340="","",IF(ISERROR(AVERAGEIF(従業員の給与情報!$B:$B,$A340,従業員の給与情報!$D:$D)),0,IF(ISERROR(AVERAGEIF(従業員の給与情報!$B:$B,$A340,従業員の給与情報!$D:$D)),0,AVERAGEIF(従業員の給与情報!$B:$B,$A340,従業員の給与情報!$D:$D)))))</f>
        <v/>
      </c>
      <c r="U340" s="116" t="str">
        <f>IF(OR(入力シート!$C$5&lt;&gt;入力リスト!$N$4,COUNTIF(入力シート!$J$16:$S$23,入力リスト!$K$4)=0),"",IF(A340="","",IF(ISERROR(AVERAGEIF(従業員の給与情報!$B:$B,$A340,従業員の給与情報!$E:$E)),0,IF(ISERROR(AVERAGEIF(従業員の給与情報!$B:$B,$A340,従業員の給与情報!$E:$E)),0,AVERAGEIF(従業員の給与情報!$B:$B,$A340,従業員の給与情報!$E:$E)))))</f>
        <v/>
      </c>
      <c r="V340" s="117" t="str">
        <f>IF(OR(入力シート!$C$5&lt;&gt;入力リスト!$N$4,COUNTIF(入力シート!$J$16:$S$23,入力リスト!$K$4)=0),"",IF(A340="","",IF(ISERROR(AVERAGEIF(従業員の給与情報!$B:$B,$A340,従業員の給与情報!$F:$F)),0,IF(ISERROR(AVERAGEIF(従業員の給与情報!$B:$B,$A340,従業員の給与情報!$F:$F)),0,AVERAGEIF(従業員の給与情報!$B:$B,$A340,従業員の給与情報!$F:$F)))))</f>
        <v/>
      </c>
      <c r="W340" s="182"/>
      <c r="X340" s="260"/>
    </row>
    <row r="341" spans="1:24">
      <c r="A341" s="368"/>
      <c r="B341" s="361"/>
      <c r="C341" s="362"/>
      <c r="D341" s="361"/>
      <c r="E341" s="361"/>
      <c r="F341" s="372" t="str">
        <f>IF(G341,"この従業員番号は、すでに他のセルで入力されています。",IF(入力シート!$C$5=入力リスト!$N$5,"",IF(AND(A341="",B341="",C341="",D341="",E341=""),"",IF(OR(A341="",B341="",C341="",D341=""),IF(A341="","従業員番号","")&amp;IF(AND(A341="",OR(B341="",C341="",D341="")),",","")&amp;IF(B341="","雇用形態","")&amp;IF(AND(B341="",OR(C341="",D341="")),",","")&amp;IF(OR(入力シート!$J$18=入力リスト!$K$4,入力シート!$J$22=入力リスト!$K$4),IF(C341="","入社年月日",""),"")&amp;IF(AND(C341="",D341=""),",","")&amp;IF(D341="","性別","")&amp;IF(IF(A341="","従業員番号","")&amp;IF(B341="","雇用形態","")&amp;IF(OR(入力シート!$J$18=入力リスト!$K$4,入力シート!$J$22=入力リスト!$K$4),IF(C341="","入社年月日",""),"")&amp;IF(D341="","性別","")="","","が空白です。"),IF(J341,"入社年月日に「基準日」の翌日以降の日付が入力されています。","")&amp;IF(I341,"入社年月日に数値以外（又は1900/1/1以前の日付）が入力されています。","")&amp;IF(H341,"雇用形態"&amp;IF(OR(K341,L341),",",""),"")&amp;IF(K341,"性別"&amp;IF(L341,",",""),"")&amp;IF(L341,"役職","")&amp;IF(OR(H341,K341,L341),"に、［入力シート］(4)「貴社」欄と異なる文言が入力されています。","")))))</f>
        <v/>
      </c>
      <c r="G341" s="236" t="b">
        <f>COUNTIF($A$4:A340,$A341)&gt;0</f>
        <v>0</v>
      </c>
      <c r="H341" s="237" t="b">
        <f>IF(COUNTIF(入力シート!$J$16:$S$23,入力リスト!$K$4)=0,FALSE,IF(入力シート!$J$16=入力リスト!$K$5,FALSE,ISERROR(VLOOKUP(B341,入力シート!$S$37:$V$62,1,0))))</f>
        <v>0</v>
      </c>
      <c r="I341" s="237" t="b">
        <f>IF(AND(OR(入力シート!$J$18=入力リスト!$K$4,入力シート!$J$22=入力リスト!$K$4),入力シート!$J$24&lt;&gt;""),IF(ISERROR(C341+1),TRUE,IF(ISNUMBER(C341),FALSE,TRUE)),FALSE)</f>
        <v>0</v>
      </c>
      <c r="J341" s="237" t="b">
        <f>IF(AND(入力シート!$J$18=入力リスト!$K$4,入力シート!$J$22=入力リスト!$K$4),FALSE,IF(I341=TRUE,FALSE,IF(ISERROR(C341+1),FALSE,C341&gt;入力シート!$J$24)))</f>
        <v>0</v>
      </c>
      <c r="K341" s="237" t="b">
        <f>IF(COUNTIF(入力シート!$J$16:$S$23,入力リスト!$K$4)=0,FALSE,IF(AND(入力シート!$J$16&lt;&gt;入力リスト!$K$5,入力シート!$J$18&lt;&gt;入力リスト!$K$5,入力シート!$J$20&lt;&gt;入力リスト!$K$5,入力シート!$J$22&lt;&gt;入力リスト!$K$5),FALSE,ISERROR(VLOOKUP(D341,入力シート!$AW$37:$AY$38,1,0))))</f>
        <v>0</v>
      </c>
      <c r="L341" s="237" t="b">
        <f>IF(COUNTIF(入力シート!$J$16:$S$23,入力リスト!$K$4)=0,FALSE,IF(入力シート!$J$20=入力リスト!$K$5,FALSE,IF(E341="",FALSE,ISERROR(VLOOKUP(E341,入力シート!$AH$37:$AK$62,1,0)))))</f>
        <v>0</v>
      </c>
      <c r="M341" s="238" t="str">
        <f t="shared" si="5"/>
        <v/>
      </c>
      <c r="N341" s="236" t="str">
        <f>IF(B341="","",VLOOKUP('従業員情報(給与以外)'!$B341,入力シート!$S$37:$Z$62,5,0))</f>
        <v/>
      </c>
      <c r="O341" s="182" t="str">
        <f>IF(ISNUMBER(C341)=FALSE,"",IF(C341&gt;入力シート!$J$24,"",_xlfn.DAYS(入力シート!$J$24,'従業員情報(給与以外)'!$C341)/365))</f>
        <v/>
      </c>
      <c r="P341" s="237" t="str">
        <f>IF(O341="","",VLOOKUP(_xlfn.DAYS(入力シート!$J$24,'従業員情報(給与以外)'!$C341)/365,入力リスト!$H$4:$I$12,2,2))</f>
        <v/>
      </c>
      <c r="Q341" s="236" t="str">
        <f>IF(D341="","",VLOOKUP('従業員情報(給与以外)'!$D341,入力シート!$AW$37:$BB$38,4,0))</f>
        <v/>
      </c>
      <c r="R341" s="236" t="str">
        <f>IF(A341="","",IF(E341="","非役職",VLOOKUP('従業員情報(給与以外)'!$E341,入力シート!$AH$37:$AO$62,5,0)))</f>
        <v/>
      </c>
      <c r="S341" s="116" t="str">
        <f>IF(OR(入力シート!$C$5&lt;&gt;入力リスト!$N$4,COUNTIF(入力シート!$J$16:$S$23,入力リスト!$K$4)=0),"",IF($A341="","",IF(ISERROR(AVERAGEIF(従業員の給与情報!$B:$B,$A341,従業員の給与情報!$C:$C)),0,IF(ISERROR(AVERAGEIF(従業員の給与情報!$B:$B,$A341,従業員の給与情報!$C:$C)),0,AVERAGEIF(従業員の給与情報!$B:$B,$A341,従業員の給与情報!$C:$C)))))</f>
        <v/>
      </c>
      <c r="T341" s="116" t="str">
        <f>IF(OR(入力シート!$C$5&lt;&gt;入力リスト!$N$4,COUNTIF(入力シート!$J$16:$S$23,入力リスト!$K$4)=0),"",IF(A341="","",IF(ISERROR(AVERAGEIF(従業員の給与情報!$B:$B,$A341,従業員の給与情報!$D:$D)),0,IF(ISERROR(AVERAGEIF(従業員の給与情報!$B:$B,$A341,従業員の給与情報!$D:$D)),0,AVERAGEIF(従業員の給与情報!$B:$B,$A341,従業員の給与情報!$D:$D)))))</f>
        <v/>
      </c>
      <c r="U341" s="116" t="str">
        <f>IF(OR(入力シート!$C$5&lt;&gt;入力リスト!$N$4,COUNTIF(入力シート!$J$16:$S$23,入力リスト!$K$4)=0),"",IF(A341="","",IF(ISERROR(AVERAGEIF(従業員の給与情報!$B:$B,$A341,従業員の給与情報!$E:$E)),0,IF(ISERROR(AVERAGEIF(従業員の給与情報!$B:$B,$A341,従業員の給与情報!$E:$E)),0,AVERAGEIF(従業員の給与情報!$B:$B,$A341,従業員の給与情報!$E:$E)))))</f>
        <v/>
      </c>
      <c r="V341" s="117" t="str">
        <f>IF(OR(入力シート!$C$5&lt;&gt;入力リスト!$N$4,COUNTIF(入力シート!$J$16:$S$23,入力リスト!$K$4)=0),"",IF(A341="","",IF(ISERROR(AVERAGEIF(従業員の給与情報!$B:$B,$A341,従業員の給与情報!$F:$F)),0,IF(ISERROR(AVERAGEIF(従業員の給与情報!$B:$B,$A341,従業員の給与情報!$F:$F)),0,AVERAGEIF(従業員の給与情報!$B:$B,$A341,従業員の給与情報!$F:$F)))))</f>
        <v/>
      </c>
      <c r="W341" s="182"/>
      <c r="X341" s="260"/>
    </row>
    <row r="342" spans="1:24">
      <c r="A342" s="368"/>
      <c r="B342" s="361"/>
      <c r="C342" s="362"/>
      <c r="D342" s="361"/>
      <c r="E342" s="361"/>
      <c r="F342" s="372" t="str">
        <f>IF(G342,"この従業員番号は、すでに他のセルで入力されています。",IF(入力シート!$C$5=入力リスト!$N$5,"",IF(AND(A342="",B342="",C342="",D342="",E342=""),"",IF(OR(A342="",B342="",C342="",D342=""),IF(A342="","従業員番号","")&amp;IF(AND(A342="",OR(B342="",C342="",D342="")),",","")&amp;IF(B342="","雇用形態","")&amp;IF(AND(B342="",OR(C342="",D342="")),",","")&amp;IF(OR(入力シート!$J$18=入力リスト!$K$4,入力シート!$J$22=入力リスト!$K$4),IF(C342="","入社年月日",""),"")&amp;IF(AND(C342="",D342=""),",","")&amp;IF(D342="","性別","")&amp;IF(IF(A342="","従業員番号","")&amp;IF(B342="","雇用形態","")&amp;IF(OR(入力シート!$J$18=入力リスト!$K$4,入力シート!$J$22=入力リスト!$K$4),IF(C342="","入社年月日",""),"")&amp;IF(D342="","性別","")="","","が空白です。"),IF(J342,"入社年月日に「基準日」の翌日以降の日付が入力されています。","")&amp;IF(I342,"入社年月日に数値以外（又は1900/1/1以前の日付）が入力されています。","")&amp;IF(H342,"雇用形態"&amp;IF(OR(K342,L342),",",""),"")&amp;IF(K342,"性別"&amp;IF(L342,",",""),"")&amp;IF(L342,"役職","")&amp;IF(OR(H342,K342,L342),"に、［入力シート］(4)「貴社」欄と異なる文言が入力されています。","")))))</f>
        <v/>
      </c>
      <c r="G342" s="236" t="b">
        <f>COUNTIF($A$4:A341,$A342)&gt;0</f>
        <v>0</v>
      </c>
      <c r="H342" s="237" t="b">
        <f>IF(COUNTIF(入力シート!$J$16:$S$23,入力リスト!$K$4)=0,FALSE,IF(入力シート!$J$16=入力リスト!$K$5,FALSE,ISERROR(VLOOKUP(B342,入力シート!$S$37:$V$62,1,0))))</f>
        <v>0</v>
      </c>
      <c r="I342" s="237" t="b">
        <f>IF(AND(OR(入力シート!$J$18=入力リスト!$K$4,入力シート!$J$22=入力リスト!$K$4),入力シート!$J$24&lt;&gt;""),IF(ISERROR(C342+1),TRUE,IF(ISNUMBER(C342),FALSE,TRUE)),FALSE)</f>
        <v>0</v>
      </c>
      <c r="J342" s="237" t="b">
        <f>IF(AND(入力シート!$J$18=入力リスト!$K$4,入力シート!$J$22=入力リスト!$K$4),FALSE,IF(I342=TRUE,FALSE,IF(ISERROR(C342+1),FALSE,C342&gt;入力シート!$J$24)))</f>
        <v>0</v>
      </c>
      <c r="K342" s="237" t="b">
        <f>IF(COUNTIF(入力シート!$J$16:$S$23,入力リスト!$K$4)=0,FALSE,IF(AND(入力シート!$J$16&lt;&gt;入力リスト!$K$5,入力シート!$J$18&lt;&gt;入力リスト!$K$5,入力シート!$J$20&lt;&gt;入力リスト!$K$5,入力シート!$J$22&lt;&gt;入力リスト!$K$5),FALSE,ISERROR(VLOOKUP(D342,入力シート!$AW$37:$AY$38,1,0))))</f>
        <v>0</v>
      </c>
      <c r="L342" s="237" t="b">
        <f>IF(COUNTIF(入力シート!$J$16:$S$23,入力リスト!$K$4)=0,FALSE,IF(入力シート!$J$20=入力リスト!$K$5,FALSE,IF(E342="",FALSE,ISERROR(VLOOKUP(E342,入力シート!$AH$37:$AK$62,1,0)))))</f>
        <v>0</v>
      </c>
      <c r="M342" s="238" t="str">
        <f t="shared" si="5"/>
        <v/>
      </c>
      <c r="N342" s="236" t="str">
        <f>IF(B342="","",VLOOKUP('従業員情報(給与以外)'!$B342,入力シート!$S$37:$Z$62,5,0))</f>
        <v/>
      </c>
      <c r="O342" s="182" t="str">
        <f>IF(ISNUMBER(C342)=FALSE,"",IF(C342&gt;入力シート!$J$24,"",_xlfn.DAYS(入力シート!$J$24,'従業員情報(給与以外)'!$C342)/365))</f>
        <v/>
      </c>
      <c r="P342" s="237" t="str">
        <f>IF(O342="","",VLOOKUP(_xlfn.DAYS(入力シート!$J$24,'従業員情報(給与以外)'!$C342)/365,入力リスト!$H$4:$I$12,2,2))</f>
        <v/>
      </c>
      <c r="Q342" s="236" t="str">
        <f>IF(D342="","",VLOOKUP('従業員情報(給与以外)'!$D342,入力シート!$AW$37:$BB$38,4,0))</f>
        <v/>
      </c>
      <c r="R342" s="236" t="str">
        <f>IF(A342="","",IF(E342="","非役職",VLOOKUP('従業員情報(給与以外)'!$E342,入力シート!$AH$37:$AO$62,5,0)))</f>
        <v/>
      </c>
      <c r="S342" s="116" t="str">
        <f>IF(OR(入力シート!$C$5&lt;&gt;入力リスト!$N$4,COUNTIF(入力シート!$J$16:$S$23,入力リスト!$K$4)=0),"",IF($A342="","",IF(ISERROR(AVERAGEIF(従業員の給与情報!$B:$B,$A342,従業員の給与情報!$C:$C)),0,IF(ISERROR(AVERAGEIF(従業員の給与情報!$B:$B,$A342,従業員の給与情報!$C:$C)),0,AVERAGEIF(従業員の給与情報!$B:$B,$A342,従業員の給与情報!$C:$C)))))</f>
        <v/>
      </c>
      <c r="T342" s="116" t="str">
        <f>IF(OR(入力シート!$C$5&lt;&gt;入力リスト!$N$4,COUNTIF(入力シート!$J$16:$S$23,入力リスト!$K$4)=0),"",IF(A342="","",IF(ISERROR(AVERAGEIF(従業員の給与情報!$B:$B,$A342,従業員の給与情報!$D:$D)),0,IF(ISERROR(AVERAGEIF(従業員の給与情報!$B:$B,$A342,従業員の給与情報!$D:$D)),0,AVERAGEIF(従業員の給与情報!$B:$B,$A342,従業員の給与情報!$D:$D)))))</f>
        <v/>
      </c>
      <c r="U342" s="116" t="str">
        <f>IF(OR(入力シート!$C$5&lt;&gt;入力リスト!$N$4,COUNTIF(入力シート!$J$16:$S$23,入力リスト!$K$4)=0),"",IF(A342="","",IF(ISERROR(AVERAGEIF(従業員の給与情報!$B:$B,$A342,従業員の給与情報!$E:$E)),0,IF(ISERROR(AVERAGEIF(従業員の給与情報!$B:$B,$A342,従業員の給与情報!$E:$E)),0,AVERAGEIF(従業員の給与情報!$B:$B,$A342,従業員の給与情報!$E:$E)))))</f>
        <v/>
      </c>
      <c r="V342" s="117" t="str">
        <f>IF(OR(入力シート!$C$5&lt;&gt;入力リスト!$N$4,COUNTIF(入力シート!$J$16:$S$23,入力リスト!$K$4)=0),"",IF(A342="","",IF(ISERROR(AVERAGEIF(従業員の給与情報!$B:$B,$A342,従業員の給与情報!$F:$F)),0,IF(ISERROR(AVERAGEIF(従業員の給与情報!$B:$B,$A342,従業員の給与情報!$F:$F)),0,AVERAGEIF(従業員の給与情報!$B:$B,$A342,従業員の給与情報!$F:$F)))))</f>
        <v/>
      </c>
      <c r="W342" s="182"/>
      <c r="X342" s="260"/>
    </row>
    <row r="343" spans="1:24">
      <c r="A343" s="368"/>
      <c r="B343" s="361"/>
      <c r="C343" s="362"/>
      <c r="D343" s="361"/>
      <c r="E343" s="361"/>
      <c r="F343" s="372" t="str">
        <f>IF(G343,"この従業員番号は、すでに他のセルで入力されています。",IF(入力シート!$C$5=入力リスト!$N$5,"",IF(AND(A343="",B343="",C343="",D343="",E343=""),"",IF(OR(A343="",B343="",C343="",D343=""),IF(A343="","従業員番号","")&amp;IF(AND(A343="",OR(B343="",C343="",D343="")),",","")&amp;IF(B343="","雇用形態","")&amp;IF(AND(B343="",OR(C343="",D343="")),",","")&amp;IF(OR(入力シート!$J$18=入力リスト!$K$4,入力シート!$J$22=入力リスト!$K$4),IF(C343="","入社年月日",""),"")&amp;IF(AND(C343="",D343=""),",","")&amp;IF(D343="","性別","")&amp;IF(IF(A343="","従業員番号","")&amp;IF(B343="","雇用形態","")&amp;IF(OR(入力シート!$J$18=入力リスト!$K$4,入力シート!$J$22=入力リスト!$K$4),IF(C343="","入社年月日",""),"")&amp;IF(D343="","性別","")="","","が空白です。"),IF(J343,"入社年月日に「基準日」の翌日以降の日付が入力されています。","")&amp;IF(I343,"入社年月日に数値以外（又は1900/1/1以前の日付）が入力されています。","")&amp;IF(H343,"雇用形態"&amp;IF(OR(K343,L343),",",""),"")&amp;IF(K343,"性別"&amp;IF(L343,",",""),"")&amp;IF(L343,"役職","")&amp;IF(OR(H343,K343,L343),"に、［入力シート］(4)「貴社」欄と異なる文言が入力されています。","")))))</f>
        <v/>
      </c>
      <c r="G343" s="236" t="b">
        <f>COUNTIF($A$4:A342,$A343)&gt;0</f>
        <v>0</v>
      </c>
      <c r="H343" s="237" t="b">
        <f>IF(COUNTIF(入力シート!$J$16:$S$23,入力リスト!$K$4)=0,FALSE,IF(入力シート!$J$16=入力リスト!$K$5,FALSE,ISERROR(VLOOKUP(B343,入力シート!$S$37:$V$62,1,0))))</f>
        <v>0</v>
      </c>
      <c r="I343" s="237" t="b">
        <f>IF(AND(OR(入力シート!$J$18=入力リスト!$K$4,入力シート!$J$22=入力リスト!$K$4),入力シート!$J$24&lt;&gt;""),IF(ISERROR(C343+1),TRUE,IF(ISNUMBER(C343),FALSE,TRUE)),FALSE)</f>
        <v>0</v>
      </c>
      <c r="J343" s="237" t="b">
        <f>IF(AND(入力シート!$J$18=入力リスト!$K$4,入力シート!$J$22=入力リスト!$K$4),FALSE,IF(I343=TRUE,FALSE,IF(ISERROR(C343+1),FALSE,C343&gt;入力シート!$J$24)))</f>
        <v>0</v>
      </c>
      <c r="K343" s="237" t="b">
        <f>IF(COUNTIF(入力シート!$J$16:$S$23,入力リスト!$K$4)=0,FALSE,IF(AND(入力シート!$J$16&lt;&gt;入力リスト!$K$5,入力シート!$J$18&lt;&gt;入力リスト!$K$5,入力シート!$J$20&lt;&gt;入力リスト!$K$5,入力シート!$J$22&lt;&gt;入力リスト!$K$5),FALSE,ISERROR(VLOOKUP(D343,入力シート!$AW$37:$AY$38,1,0))))</f>
        <v>0</v>
      </c>
      <c r="L343" s="237" t="b">
        <f>IF(COUNTIF(入力シート!$J$16:$S$23,入力リスト!$K$4)=0,FALSE,IF(入力シート!$J$20=入力リスト!$K$5,FALSE,IF(E343="",FALSE,ISERROR(VLOOKUP(E343,入力シート!$AH$37:$AK$62,1,0)))))</f>
        <v>0</v>
      </c>
      <c r="M343" s="238" t="str">
        <f t="shared" si="5"/>
        <v/>
      </c>
      <c r="N343" s="236" t="str">
        <f>IF(B343="","",VLOOKUP('従業員情報(給与以外)'!$B343,入力シート!$S$37:$Z$62,5,0))</f>
        <v/>
      </c>
      <c r="O343" s="182" t="str">
        <f>IF(ISNUMBER(C343)=FALSE,"",IF(C343&gt;入力シート!$J$24,"",_xlfn.DAYS(入力シート!$J$24,'従業員情報(給与以外)'!$C343)/365))</f>
        <v/>
      </c>
      <c r="P343" s="237" t="str">
        <f>IF(O343="","",VLOOKUP(_xlfn.DAYS(入力シート!$J$24,'従業員情報(給与以外)'!$C343)/365,入力リスト!$H$4:$I$12,2,2))</f>
        <v/>
      </c>
      <c r="Q343" s="236" t="str">
        <f>IF(D343="","",VLOOKUP('従業員情報(給与以外)'!$D343,入力シート!$AW$37:$BB$38,4,0))</f>
        <v/>
      </c>
      <c r="R343" s="236" t="str">
        <f>IF(A343="","",IF(E343="","非役職",VLOOKUP('従業員情報(給与以外)'!$E343,入力シート!$AH$37:$AO$62,5,0)))</f>
        <v/>
      </c>
      <c r="S343" s="116" t="str">
        <f>IF(OR(入力シート!$C$5&lt;&gt;入力リスト!$N$4,COUNTIF(入力シート!$J$16:$S$23,入力リスト!$K$4)=0),"",IF($A343="","",IF(ISERROR(AVERAGEIF(従業員の給与情報!$B:$B,$A343,従業員の給与情報!$C:$C)),0,IF(ISERROR(AVERAGEIF(従業員の給与情報!$B:$B,$A343,従業員の給与情報!$C:$C)),0,AVERAGEIF(従業員の給与情報!$B:$B,$A343,従業員の給与情報!$C:$C)))))</f>
        <v/>
      </c>
      <c r="T343" s="116" t="str">
        <f>IF(OR(入力シート!$C$5&lt;&gt;入力リスト!$N$4,COUNTIF(入力シート!$J$16:$S$23,入力リスト!$K$4)=0),"",IF(A343="","",IF(ISERROR(AVERAGEIF(従業員の給与情報!$B:$B,$A343,従業員の給与情報!$D:$D)),0,IF(ISERROR(AVERAGEIF(従業員の給与情報!$B:$B,$A343,従業員の給与情報!$D:$D)),0,AVERAGEIF(従業員の給与情報!$B:$B,$A343,従業員の給与情報!$D:$D)))))</f>
        <v/>
      </c>
      <c r="U343" s="116" t="str">
        <f>IF(OR(入力シート!$C$5&lt;&gt;入力リスト!$N$4,COUNTIF(入力シート!$J$16:$S$23,入力リスト!$K$4)=0),"",IF(A343="","",IF(ISERROR(AVERAGEIF(従業員の給与情報!$B:$B,$A343,従業員の給与情報!$E:$E)),0,IF(ISERROR(AVERAGEIF(従業員の給与情報!$B:$B,$A343,従業員の給与情報!$E:$E)),0,AVERAGEIF(従業員の給与情報!$B:$B,$A343,従業員の給与情報!$E:$E)))))</f>
        <v/>
      </c>
      <c r="V343" s="117" t="str">
        <f>IF(OR(入力シート!$C$5&lt;&gt;入力リスト!$N$4,COUNTIF(入力シート!$J$16:$S$23,入力リスト!$K$4)=0),"",IF(A343="","",IF(ISERROR(AVERAGEIF(従業員の給与情報!$B:$B,$A343,従業員の給与情報!$F:$F)),0,IF(ISERROR(AVERAGEIF(従業員の給与情報!$B:$B,$A343,従業員の給与情報!$F:$F)),0,AVERAGEIF(従業員の給与情報!$B:$B,$A343,従業員の給与情報!$F:$F)))))</f>
        <v/>
      </c>
      <c r="W343" s="182"/>
      <c r="X343" s="260"/>
    </row>
    <row r="344" spans="1:24">
      <c r="A344" s="368"/>
      <c r="B344" s="361"/>
      <c r="C344" s="362"/>
      <c r="D344" s="361"/>
      <c r="E344" s="361"/>
      <c r="F344" s="372" t="str">
        <f>IF(G344,"この従業員番号は、すでに他のセルで入力されています。",IF(入力シート!$C$5=入力リスト!$N$5,"",IF(AND(A344="",B344="",C344="",D344="",E344=""),"",IF(OR(A344="",B344="",C344="",D344=""),IF(A344="","従業員番号","")&amp;IF(AND(A344="",OR(B344="",C344="",D344="")),",","")&amp;IF(B344="","雇用形態","")&amp;IF(AND(B344="",OR(C344="",D344="")),",","")&amp;IF(OR(入力シート!$J$18=入力リスト!$K$4,入力シート!$J$22=入力リスト!$K$4),IF(C344="","入社年月日",""),"")&amp;IF(AND(C344="",D344=""),",","")&amp;IF(D344="","性別","")&amp;IF(IF(A344="","従業員番号","")&amp;IF(B344="","雇用形態","")&amp;IF(OR(入力シート!$J$18=入力リスト!$K$4,入力シート!$J$22=入力リスト!$K$4),IF(C344="","入社年月日",""),"")&amp;IF(D344="","性別","")="","","が空白です。"),IF(J344,"入社年月日に「基準日」の翌日以降の日付が入力されています。","")&amp;IF(I344,"入社年月日に数値以外（又は1900/1/1以前の日付）が入力されています。","")&amp;IF(H344,"雇用形態"&amp;IF(OR(K344,L344),",",""),"")&amp;IF(K344,"性別"&amp;IF(L344,",",""),"")&amp;IF(L344,"役職","")&amp;IF(OR(H344,K344,L344),"に、［入力シート］(4)「貴社」欄と異なる文言が入力されています。","")))))</f>
        <v/>
      </c>
      <c r="G344" s="236" t="b">
        <f>COUNTIF($A$4:A343,$A344)&gt;0</f>
        <v>0</v>
      </c>
      <c r="H344" s="237" t="b">
        <f>IF(COUNTIF(入力シート!$J$16:$S$23,入力リスト!$K$4)=0,FALSE,IF(入力シート!$J$16=入力リスト!$K$5,FALSE,ISERROR(VLOOKUP(B344,入力シート!$S$37:$V$62,1,0))))</f>
        <v>0</v>
      </c>
      <c r="I344" s="237" t="b">
        <f>IF(AND(OR(入力シート!$J$18=入力リスト!$K$4,入力シート!$J$22=入力リスト!$K$4),入力シート!$J$24&lt;&gt;""),IF(ISERROR(C344+1),TRUE,IF(ISNUMBER(C344),FALSE,TRUE)),FALSE)</f>
        <v>0</v>
      </c>
      <c r="J344" s="237" t="b">
        <f>IF(AND(入力シート!$J$18=入力リスト!$K$4,入力シート!$J$22=入力リスト!$K$4),FALSE,IF(I344=TRUE,FALSE,IF(ISERROR(C344+1),FALSE,C344&gt;入力シート!$J$24)))</f>
        <v>0</v>
      </c>
      <c r="K344" s="237" t="b">
        <f>IF(COUNTIF(入力シート!$J$16:$S$23,入力リスト!$K$4)=0,FALSE,IF(AND(入力シート!$J$16&lt;&gt;入力リスト!$K$5,入力シート!$J$18&lt;&gt;入力リスト!$K$5,入力シート!$J$20&lt;&gt;入力リスト!$K$5,入力シート!$J$22&lt;&gt;入力リスト!$K$5),FALSE,ISERROR(VLOOKUP(D344,入力シート!$AW$37:$AY$38,1,0))))</f>
        <v>0</v>
      </c>
      <c r="L344" s="237" t="b">
        <f>IF(COUNTIF(入力シート!$J$16:$S$23,入力リスト!$K$4)=0,FALSE,IF(入力シート!$J$20=入力リスト!$K$5,FALSE,IF(E344="",FALSE,ISERROR(VLOOKUP(E344,入力シート!$AH$37:$AK$62,1,0)))))</f>
        <v>0</v>
      </c>
      <c r="M344" s="238" t="str">
        <f t="shared" si="5"/>
        <v/>
      </c>
      <c r="N344" s="236" t="str">
        <f>IF(B344="","",VLOOKUP('従業員情報(給与以外)'!$B344,入力シート!$S$37:$Z$62,5,0))</f>
        <v/>
      </c>
      <c r="O344" s="182" t="str">
        <f>IF(ISNUMBER(C344)=FALSE,"",IF(C344&gt;入力シート!$J$24,"",_xlfn.DAYS(入力シート!$J$24,'従業員情報(給与以外)'!$C344)/365))</f>
        <v/>
      </c>
      <c r="P344" s="237" t="str">
        <f>IF(O344="","",VLOOKUP(_xlfn.DAYS(入力シート!$J$24,'従業員情報(給与以外)'!$C344)/365,入力リスト!$H$4:$I$12,2,2))</f>
        <v/>
      </c>
      <c r="Q344" s="236" t="str">
        <f>IF(D344="","",VLOOKUP('従業員情報(給与以外)'!$D344,入力シート!$AW$37:$BB$38,4,0))</f>
        <v/>
      </c>
      <c r="R344" s="236" t="str">
        <f>IF(A344="","",IF(E344="","非役職",VLOOKUP('従業員情報(給与以外)'!$E344,入力シート!$AH$37:$AO$62,5,0)))</f>
        <v/>
      </c>
      <c r="S344" s="116" t="str">
        <f>IF(OR(入力シート!$C$5&lt;&gt;入力リスト!$N$4,COUNTIF(入力シート!$J$16:$S$23,入力リスト!$K$4)=0),"",IF($A344="","",IF(ISERROR(AVERAGEIF(従業員の給与情報!$B:$B,$A344,従業員の給与情報!$C:$C)),0,IF(ISERROR(AVERAGEIF(従業員の給与情報!$B:$B,$A344,従業員の給与情報!$C:$C)),0,AVERAGEIF(従業員の給与情報!$B:$B,$A344,従業員の給与情報!$C:$C)))))</f>
        <v/>
      </c>
      <c r="T344" s="116" t="str">
        <f>IF(OR(入力シート!$C$5&lt;&gt;入力リスト!$N$4,COUNTIF(入力シート!$J$16:$S$23,入力リスト!$K$4)=0),"",IF(A344="","",IF(ISERROR(AVERAGEIF(従業員の給与情報!$B:$B,$A344,従業員の給与情報!$D:$D)),0,IF(ISERROR(AVERAGEIF(従業員の給与情報!$B:$B,$A344,従業員の給与情報!$D:$D)),0,AVERAGEIF(従業員の給与情報!$B:$B,$A344,従業員の給与情報!$D:$D)))))</f>
        <v/>
      </c>
      <c r="U344" s="116" t="str">
        <f>IF(OR(入力シート!$C$5&lt;&gt;入力リスト!$N$4,COUNTIF(入力シート!$J$16:$S$23,入力リスト!$K$4)=0),"",IF(A344="","",IF(ISERROR(AVERAGEIF(従業員の給与情報!$B:$B,$A344,従業員の給与情報!$E:$E)),0,IF(ISERROR(AVERAGEIF(従業員の給与情報!$B:$B,$A344,従業員の給与情報!$E:$E)),0,AVERAGEIF(従業員の給与情報!$B:$B,$A344,従業員の給与情報!$E:$E)))))</f>
        <v/>
      </c>
      <c r="V344" s="117" t="str">
        <f>IF(OR(入力シート!$C$5&lt;&gt;入力リスト!$N$4,COUNTIF(入力シート!$J$16:$S$23,入力リスト!$K$4)=0),"",IF(A344="","",IF(ISERROR(AVERAGEIF(従業員の給与情報!$B:$B,$A344,従業員の給与情報!$F:$F)),0,IF(ISERROR(AVERAGEIF(従業員の給与情報!$B:$B,$A344,従業員の給与情報!$F:$F)),0,AVERAGEIF(従業員の給与情報!$B:$B,$A344,従業員の給与情報!$F:$F)))))</f>
        <v/>
      </c>
      <c r="W344" s="182"/>
      <c r="X344" s="260"/>
    </row>
    <row r="345" spans="1:24">
      <c r="A345" s="368"/>
      <c r="B345" s="361"/>
      <c r="C345" s="362"/>
      <c r="D345" s="361"/>
      <c r="E345" s="361"/>
      <c r="F345" s="372" t="str">
        <f>IF(G345,"この従業員番号は、すでに他のセルで入力されています。",IF(入力シート!$C$5=入力リスト!$N$5,"",IF(AND(A345="",B345="",C345="",D345="",E345=""),"",IF(OR(A345="",B345="",C345="",D345=""),IF(A345="","従業員番号","")&amp;IF(AND(A345="",OR(B345="",C345="",D345="")),",","")&amp;IF(B345="","雇用形態","")&amp;IF(AND(B345="",OR(C345="",D345="")),",","")&amp;IF(OR(入力シート!$J$18=入力リスト!$K$4,入力シート!$J$22=入力リスト!$K$4),IF(C345="","入社年月日",""),"")&amp;IF(AND(C345="",D345=""),",","")&amp;IF(D345="","性別","")&amp;IF(IF(A345="","従業員番号","")&amp;IF(B345="","雇用形態","")&amp;IF(OR(入力シート!$J$18=入力リスト!$K$4,入力シート!$J$22=入力リスト!$K$4),IF(C345="","入社年月日",""),"")&amp;IF(D345="","性別","")="","","が空白です。"),IF(J345,"入社年月日に「基準日」の翌日以降の日付が入力されています。","")&amp;IF(I345,"入社年月日に数値以外（又は1900/1/1以前の日付）が入力されています。","")&amp;IF(H345,"雇用形態"&amp;IF(OR(K345,L345),",",""),"")&amp;IF(K345,"性別"&amp;IF(L345,",",""),"")&amp;IF(L345,"役職","")&amp;IF(OR(H345,K345,L345),"に、［入力シート］(4)「貴社」欄と異なる文言が入力されています。","")))))</f>
        <v/>
      </c>
      <c r="G345" s="236" t="b">
        <f>COUNTIF($A$4:A344,$A345)&gt;0</f>
        <v>0</v>
      </c>
      <c r="H345" s="237" t="b">
        <f>IF(COUNTIF(入力シート!$J$16:$S$23,入力リスト!$K$4)=0,FALSE,IF(入力シート!$J$16=入力リスト!$K$5,FALSE,ISERROR(VLOOKUP(B345,入力シート!$S$37:$V$62,1,0))))</f>
        <v>0</v>
      </c>
      <c r="I345" s="237" t="b">
        <f>IF(AND(OR(入力シート!$J$18=入力リスト!$K$4,入力シート!$J$22=入力リスト!$K$4),入力シート!$J$24&lt;&gt;""),IF(ISERROR(C345+1),TRUE,IF(ISNUMBER(C345),FALSE,TRUE)),FALSE)</f>
        <v>0</v>
      </c>
      <c r="J345" s="237" t="b">
        <f>IF(AND(入力シート!$J$18=入力リスト!$K$4,入力シート!$J$22=入力リスト!$K$4),FALSE,IF(I345=TRUE,FALSE,IF(ISERROR(C345+1),FALSE,C345&gt;入力シート!$J$24)))</f>
        <v>0</v>
      </c>
      <c r="K345" s="237" t="b">
        <f>IF(COUNTIF(入力シート!$J$16:$S$23,入力リスト!$K$4)=0,FALSE,IF(AND(入力シート!$J$16&lt;&gt;入力リスト!$K$5,入力シート!$J$18&lt;&gt;入力リスト!$K$5,入力シート!$J$20&lt;&gt;入力リスト!$K$5,入力シート!$J$22&lt;&gt;入力リスト!$K$5),FALSE,ISERROR(VLOOKUP(D345,入力シート!$AW$37:$AY$38,1,0))))</f>
        <v>0</v>
      </c>
      <c r="L345" s="237" t="b">
        <f>IF(COUNTIF(入力シート!$J$16:$S$23,入力リスト!$K$4)=0,FALSE,IF(入力シート!$J$20=入力リスト!$K$5,FALSE,IF(E345="",FALSE,ISERROR(VLOOKUP(E345,入力シート!$AH$37:$AK$62,1,0)))))</f>
        <v>0</v>
      </c>
      <c r="M345" s="238" t="str">
        <f t="shared" si="5"/>
        <v/>
      </c>
      <c r="N345" s="236" t="str">
        <f>IF(B345="","",VLOOKUP('従業員情報(給与以外)'!$B345,入力シート!$S$37:$Z$62,5,0))</f>
        <v/>
      </c>
      <c r="O345" s="182" t="str">
        <f>IF(ISNUMBER(C345)=FALSE,"",IF(C345&gt;入力シート!$J$24,"",_xlfn.DAYS(入力シート!$J$24,'従業員情報(給与以外)'!$C345)/365))</f>
        <v/>
      </c>
      <c r="P345" s="237" t="str">
        <f>IF(O345="","",VLOOKUP(_xlfn.DAYS(入力シート!$J$24,'従業員情報(給与以外)'!$C345)/365,入力リスト!$H$4:$I$12,2,2))</f>
        <v/>
      </c>
      <c r="Q345" s="236" t="str">
        <f>IF(D345="","",VLOOKUP('従業員情報(給与以外)'!$D345,入力シート!$AW$37:$BB$38,4,0))</f>
        <v/>
      </c>
      <c r="R345" s="236" t="str">
        <f>IF(A345="","",IF(E345="","非役職",VLOOKUP('従業員情報(給与以外)'!$E345,入力シート!$AH$37:$AO$62,5,0)))</f>
        <v/>
      </c>
      <c r="S345" s="116" t="str">
        <f>IF(OR(入力シート!$C$5&lt;&gt;入力リスト!$N$4,COUNTIF(入力シート!$J$16:$S$23,入力リスト!$K$4)=0),"",IF($A345="","",IF(ISERROR(AVERAGEIF(従業員の給与情報!$B:$B,$A345,従業員の給与情報!$C:$C)),0,IF(ISERROR(AVERAGEIF(従業員の給与情報!$B:$B,$A345,従業員の給与情報!$C:$C)),0,AVERAGEIF(従業員の給与情報!$B:$B,$A345,従業員の給与情報!$C:$C)))))</f>
        <v/>
      </c>
      <c r="T345" s="116" t="str">
        <f>IF(OR(入力シート!$C$5&lt;&gt;入力リスト!$N$4,COUNTIF(入力シート!$J$16:$S$23,入力リスト!$K$4)=0),"",IF(A345="","",IF(ISERROR(AVERAGEIF(従業員の給与情報!$B:$B,$A345,従業員の給与情報!$D:$D)),0,IF(ISERROR(AVERAGEIF(従業員の給与情報!$B:$B,$A345,従業員の給与情報!$D:$D)),0,AVERAGEIF(従業員の給与情報!$B:$B,$A345,従業員の給与情報!$D:$D)))))</f>
        <v/>
      </c>
      <c r="U345" s="116" t="str">
        <f>IF(OR(入力シート!$C$5&lt;&gt;入力リスト!$N$4,COUNTIF(入力シート!$J$16:$S$23,入力リスト!$K$4)=0),"",IF(A345="","",IF(ISERROR(AVERAGEIF(従業員の給与情報!$B:$B,$A345,従業員の給与情報!$E:$E)),0,IF(ISERROR(AVERAGEIF(従業員の給与情報!$B:$B,$A345,従業員の給与情報!$E:$E)),0,AVERAGEIF(従業員の給与情報!$B:$B,$A345,従業員の給与情報!$E:$E)))))</f>
        <v/>
      </c>
      <c r="V345" s="117" t="str">
        <f>IF(OR(入力シート!$C$5&lt;&gt;入力リスト!$N$4,COUNTIF(入力シート!$J$16:$S$23,入力リスト!$K$4)=0),"",IF(A345="","",IF(ISERROR(AVERAGEIF(従業員の給与情報!$B:$B,$A345,従業員の給与情報!$F:$F)),0,IF(ISERROR(AVERAGEIF(従業員の給与情報!$B:$B,$A345,従業員の給与情報!$F:$F)),0,AVERAGEIF(従業員の給与情報!$B:$B,$A345,従業員の給与情報!$F:$F)))))</f>
        <v/>
      </c>
      <c r="W345" s="182"/>
      <c r="X345" s="260"/>
    </row>
    <row r="346" spans="1:24">
      <c r="A346" s="368"/>
      <c r="B346" s="361"/>
      <c r="C346" s="362"/>
      <c r="D346" s="361"/>
      <c r="E346" s="361"/>
      <c r="F346" s="372" t="str">
        <f>IF(G346,"この従業員番号は、すでに他のセルで入力されています。",IF(入力シート!$C$5=入力リスト!$N$5,"",IF(AND(A346="",B346="",C346="",D346="",E346=""),"",IF(OR(A346="",B346="",C346="",D346=""),IF(A346="","従業員番号","")&amp;IF(AND(A346="",OR(B346="",C346="",D346="")),",","")&amp;IF(B346="","雇用形態","")&amp;IF(AND(B346="",OR(C346="",D346="")),",","")&amp;IF(OR(入力シート!$J$18=入力リスト!$K$4,入力シート!$J$22=入力リスト!$K$4),IF(C346="","入社年月日",""),"")&amp;IF(AND(C346="",D346=""),",","")&amp;IF(D346="","性別","")&amp;IF(IF(A346="","従業員番号","")&amp;IF(B346="","雇用形態","")&amp;IF(OR(入力シート!$J$18=入力リスト!$K$4,入力シート!$J$22=入力リスト!$K$4),IF(C346="","入社年月日",""),"")&amp;IF(D346="","性別","")="","","が空白です。"),IF(J346,"入社年月日に「基準日」の翌日以降の日付が入力されています。","")&amp;IF(I346,"入社年月日に数値以外（又は1900/1/1以前の日付）が入力されています。","")&amp;IF(H346,"雇用形態"&amp;IF(OR(K346,L346),",",""),"")&amp;IF(K346,"性別"&amp;IF(L346,",",""),"")&amp;IF(L346,"役職","")&amp;IF(OR(H346,K346,L346),"に、［入力シート］(4)「貴社」欄と異なる文言が入力されています。","")))))</f>
        <v/>
      </c>
      <c r="G346" s="236" t="b">
        <f>COUNTIF($A$4:A345,$A346)&gt;0</f>
        <v>0</v>
      </c>
      <c r="H346" s="237" t="b">
        <f>IF(COUNTIF(入力シート!$J$16:$S$23,入力リスト!$K$4)=0,FALSE,IF(入力シート!$J$16=入力リスト!$K$5,FALSE,ISERROR(VLOOKUP(B346,入力シート!$S$37:$V$62,1,0))))</f>
        <v>0</v>
      </c>
      <c r="I346" s="237" t="b">
        <f>IF(AND(OR(入力シート!$J$18=入力リスト!$K$4,入力シート!$J$22=入力リスト!$K$4),入力シート!$J$24&lt;&gt;""),IF(ISERROR(C346+1),TRUE,IF(ISNUMBER(C346),FALSE,TRUE)),FALSE)</f>
        <v>0</v>
      </c>
      <c r="J346" s="237" t="b">
        <f>IF(AND(入力シート!$J$18=入力リスト!$K$4,入力シート!$J$22=入力リスト!$K$4),FALSE,IF(I346=TRUE,FALSE,IF(ISERROR(C346+1),FALSE,C346&gt;入力シート!$J$24)))</f>
        <v>0</v>
      </c>
      <c r="K346" s="237" t="b">
        <f>IF(COUNTIF(入力シート!$J$16:$S$23,入力リスト!$K$4)=0,FALSE,IF(AND(入力シート!$J$16&lt;&gt;入力リスト!$K$5,入力シート!$J$18&lt;&gt;入力リスト!$K$5,入力シート!$J$20&lt;&gt;入力リスト!$K$5,入力シート!$J$22&lt;&gt;入力リスト!$K$5),FALSE,ISERROR(VLOOKUP(D346,入力シート!$AW$37:$AY$38,1,0))))</f>
        <v>0</v>
      </c>
      <c r="L346" s="237" t="b">
        <f>IF(COUNTIF(入力シート!$J$16:$S$23,入力リスト!$K$4)=0,FALSE,IF(入力シート!$J$20=入力リスト!$K$5,FALSE,IF(E346="",FALSE,ISERROR(VLOOKUP(E346,入力シート!$AH$37:$AK$62,1,0)))))</f>
        <v>0</v>
      </c>
      <c r="M346" s="238" t="str">
        <f t="shared" si="5"/>
        <v/>
      </c>
      <c r="N346" s="236" t="str">
        <f>IF(B346="","",VLOOKUP('従業員情報(給与以外)'!$B346,入力シート!$S$37:$Z$62,5,0))</f>
        <v/>
      </c>
      <c r="O346" s="182" t="str">
        <f>IF(ISNUMBER(C346)=FALSE,"",IF(C346&gt;入力シート!$J$24,"",_xlfn.DAYS(入力シート!$J$24,'従業員情報(給与以外)'!$C346)/365))</f>
        <v/>
      </c>
      <c r="P346" s="237" t="str">
        <f>IF(O346="","",VLOOKUP(_xlfn.DAYS(入力シート!$J$24,'従業員情報(給与以外)'!$C346)/365,入力リスト!$H$4:$I$12,2,2))</f>
        <v/>
      </c>
      <c r="Q346" s="236" t="str">
        <f>IF(D346="","",VLOOKUP('従業員情報(給与以外)'!$D346,入力シート!$AW$37:$BB$38,4,0))</f>
        <v/>
      </c>
      <c r="R346" s="236" t="str">
        <f>IF(A346="","",IF(E346="","非役職",VLOOKUP('従業員情報(給与以外)'!$E346,入力シート!$AH$37:$AO$62,5,0)))</f>
        <v/>
      </c>
      <c r="S346" s="116" t="str">
        <f>IF(OR(入力シート!$C$5&lt;&gt;入力リスト!$N$4,COUNTIF(入力シート!$J$16:$S$23,入力リスト!$K$4)=0),"",IF($A346="","",IF(ISERROR(AVERAGEIF(従業員の給与情報!$B:$B,$A346,従業員の給与情報!$C:$C)),0,IF(ISERROR(AVERAGEIF(従業員の給与情報!$B:$B,$A346,従業員の給与情報!$C:$C)),0,AVERAGEIF(従業員の給与情報!$B:$B,$A346,従業員の給与情報!$C:$C)))))</f>
        <v/>
      </c>
      <c r="T346" s="116" t="str">
        <f>IF(OR(入力シート!$C$5&lt;&gt;入力リスト!$N$4,COUNTIF(入力シート!$J$16:$S$23,入力リスト!$K$4)=0),"",IF(A346="","",IF(ISERROR(AVERAGEIF(従業員の給与情報!$B:$B,$A346,従業員の給与情報!$D:$D)),0,IF(ISERROR(AVERAGEIF(従業員の給与情報!$B:$B,$A346,従業員の給与情報!$D:$D)),0,AVERAGEIF(従業員の給与情報!$B:$B,$A346,従業員の給与情報!$D:$D)))))</f>
        <v/>
      </c>
      <c r="U346" s="116" t="str">
        <f>IF(OR(入力シート!$C$5&lt;&gt;入力リスト!$N$4,COUNTIF(入力シート!$J$16:$S$23,入力リスト!$K$4)=0),"",IF(A346="","",IF(ISERROR(AVERAGEIF(従業員の給与情報!$B:$B,$A346,従業員の給与情報!$E:$E)),0,IF(ISERROR(AVERAGEIF(従業員の給与情報!$B:$B,$A346,従業員の給与情報!$E:$E)),0,AVERAGEIF(従業員の給与情報!$B:$B,$A346,従業員の給与情報!$E:$E)))))</f>
        <v/>
      </c>
      <c r="V346" s="117" t="str">
        <f>IF(OR(入力シート!$C$5&lt;&gt;入力リスト!$N$4,COUNTIF(入力シート!$J$16:$S$23,入力リスト!$K$4)=0),"",IF(A346="","",IF(ISERROR(AVERAGEIF(従業員の給与情報!$B:$B,$A346,従業員の給与情報!$F:$F)),0,IF(ISERROR(AVERAGEIF(従業員の給与情報!$B:$B,$A346,従業員の給与情報!$F:$F)),0,AVERAGEIF(従業員の給与情報!$B:$B,$A346,従業員の給与情報!$F:$F)))))</f>
        <v/>
      </c>
      <c r="W346" s="182"/>
      <c r="X346" s="260"/>
    </row>
    <row r="347" spans="1:24">
      <c r="A347" s="368"/>
      <c r="B347" s="361"/>
      <c r="C347" s="362"/>
      <c r="D347" s="361"/>
      <c r="E347" s="361"/>
      <c r="F347" s="372" t="str">
        <f>IF(G347,"この従業員番号は、すでに他のセルで入力されています。",IF(入力シート!$C$5=入力リスト!$N$5,"",IF(AND(A347="",B347="",C347="",D347="",E347=""),"",IF(OR(A347="",B347="",C347="",D347=""),IF(A347="","従業員番号","")&amp;IF(AND(A347="",OR(B347="",C347="",D347="")),",","")&amp;IF(B347="","雇用形態","")&amp;IF(AND(B347="",OR(C347="",D347="")),",","")&amp;IF(OR(入力シート!$J$18=入力リスト!$K$4,入力シート!$J$22=入力リスト!$K$4),IF(C347="","入社年月日",""),"")&amp;IF(AND(C347="",D347=""),",","")&amp;IF(D347="","性別","")&amp;IF(IF(A347="","従業員番号","")&amp;IF(B347="","雇用形態","")&amp;IF(OR(入力シート!$J$18=入力リスト!$K$4,入力シート!$J$22=入力リスト!$K$4),IF(C347="","入社年月日",""),"")&amp;IF(D347="","性別","")="","","が空白です。"),IF(J347,"入社年月日に「基準日」の翌日以降の日付が入力されています。","")&amp;IF(I347,"入社年月日に数値以外（又は1900/1/1以前の日付）が入力されています。","")&amp;IF(H347,"雇用形態"&amp;IF(OR(K347,L347),",",""),"")&amp;IF(K347,"性別"&amp;IF(L347,",",""),"")&amp;IF(L347,"役職","")&amp;IF(OR(H347,K347,L347),"に、［入力シート］(4)「貴社」欄と異なる文言が入力されています。","")))))</f>
        <v/>
      </c>
      <c r="G347" s="236" t="b">
        <f>COUNTIF($A$4:A346,$A347)&gt;0</f>
        <v>0</v>
      </c>
      <c r="H347" s="237" t="b">
        <f>IF(COUNTIF(入力シート!$J$16:$S$23,入力リスト!$K$4)=0,FALSE,IF(入力シート!$J$16=入力リスト!$K$5,FALSE,ISERROR(VLOOKUP(B347,入力シート!$S$37:$V$62,1,0))))</f>
        <v>0</v>
      </c>
      <c r="I347" s="237" t="b">
        <f>IF(AND(OR(入力シート!$J$18=入力リスト!$K$4,入力シート!$J$22=入力リスト!$K$4),入力シート!$J$24&lt;&gt;""),IF(ISERROR(C347+1),TRUE,IF(ISNUMBER(C347),FALSE,TRUE)),FALSE)</f>
        <v>0</v>
      </c>
      <c r="J347" s="237" t="b">
        <f>IF(AND(入力シート!$J$18=入力リスト!$K$4,入力シート!$J$22=入力リスト!$K$4),FALSE,IF(I347=TRUE,FALSE,IF(ISERROR(C347+1),FALSE,C347&gt;入力シート!$J$24)))</f>
        <v>0</v>
      </c>
      <c r="K347" s="237" t="b">
        <f>IF(COUNTIF(入力シート!$J$16:$S$23,入力リスト!$K$4)=0,FALSE,IF(AND(入力シート!$J$16&lt;&gt;入力リスト!$K$5,入力シート!$J$18&lt;&gt;入力リスト!$K$5,入力シート!$J$20&lt;&gt;入力リスト!$K$5,入力シート!$J$22&lt;&gt;入力リスト!$K$5),FALSE,ISERROR(VLOOKUP(D347,入力シート!$AW$37:$AY$38,1,0))))</f>
        <v>0</v>
      </c>
      <c r="L347" s="237" t="b">
        <f>IF(COUNTIF(入力シート!$J$16:$S$23,入力リスト!$K$4)=0,FALSE,IF(入力シート!$J$20=入力リスト!$K$5,FALSE,IF(E347="",FALSE,ISERROR(VLOOKUP(E347,入力シート!$AH$37:$AK$62,1,0)))))</f>
        <v>0</v>
      </c>
      <c r="M347" s="238" t="str">
        <f t="shared" si="5"/>
        <v/>
      </c>
      <c r="N347" s="236" t="str">
        <f>IF(B347="","",VLOOKUP('従業員情報(給与以外)'!$B347,入力シート!$S$37:$Z$62,5,0))</f>
        <v/>
      </c>
      <c r="O347" s="182" t="str">
        <f>IF(ISNUMBER(C347)=FALSE,"",IF(C347&gt;入力シート!$J$24,"",_xlfn.DAYS(入力シート!$J$24,'従業員情報(給与以外)'!$C347)/365))</f>
        <v/>
      </c>
      <c r="P347" s="237" t="str">
        <f>IF(O347="","",VLOOKUP(_xlfn.DAYS(入力シート!$J$24,'従業員情報(給与以外)'!$C347)/365,入力リスト!$H$4:$I$12,2,2))</f>
        <v/>
      </c>
      <c r="Q347" s="236" t="str">
        <f>IF(D347="","",VLOOKUP('従業員情報(給与以外)'!$D347,入力シート!$AW$37:$BB$38,4,0))</f>
        <v/>
      </c>
      <c r="R347" s="236" t="str">
        <f>IF(A347="","",IF(E347="","非役職",VLOOKUP('従業員情報(給与以外)'!$E347,入力シート!$AH$37:$AO$62,5,0)))</f>
        <v/>
      </c>
      <c r="S347" s="116" t="str">
        <f>IF(OR(入力シート!$C$5&lt;&gt;入力リスト!$N$4,COUNTIF(入力シート!$J$16:$S$23,入力リスト!$K$4)=0),"",IF($A347="","",IF(ISERROR(AVERAGEIF(従業員の給与情報!$B:$B,$A347,従業員の給与情報!$C:$C)),0,IF(ISERROR(AVERAGEIF(従業員の給与情報!$B:$B,$A347,従業員の給与情報!$C:$C)),0,AVERAGEIF(従業員の給与情報!$B:$B,$A347,従業員の給与情報!$C:$C)))))</f>
        <v/>
      </c>
      <c r="T347" s="116" t="str">
        <f>IF(OR(入力シート!$C$5&lt;&gt;入力リスト!$N$4,COUNTIF(入力シート!$J$16:$S$23,入力リスト!$K$4)=0),"",IF(A347="","",IF(ISERROR(AVERAGEIF(従業員の給与情報!$B:$B,$A347,従業員の給与情報!$D:$D)),0,IF(ISERROR(AVERAGEIF(従業員の給与情報!$B:$B,$A347,従業員の給与情報!$D:$D)),0,AVERAGEIF(従業員の給与情報!$B:$B,$A347,従業員の給与情報!$D:$D)))))</f>
        <v/>
      </c>
      <c r="U347" s="116" t="str">
        <f>IF(OR(入力シート!$C$5&lt;&gt;入力リスト!$N$4,COUNTIF(入力シート!$J$16:$S$23,入力リスト!$K$4)=0),"",IF(A347="","",IF(ISERROR(AVERAGEIF(従業員の給与情報!$B:$B,$A347,従業員の給与情報!$E:$E)),0,IF(ISERROR(AVERAGEIF(従業員の給与情報!$B:$B,$A347,従業員の給与情報!$E:$E)),0,AVERAGEIF(従業員の給与情報!$B:$B,$A347,従業員の給与情報!$E:$E)))))</f>
        <v/>
      </c>
      <c r="V347" s="117" t="str">
        <f>IF(OR(入力シート!$C$5&lt;&gt;入力リスト!$N$4,COUNTIF(入力シート!$J$16:$S$23,入力リスト!$K$4)=0),"",IF(A347="","",IF(ISERROR(AVERAGEIF(従業員の給与情報!$B:$B,$A347,従業員の給与情報!$F:$F)),0,IF(ISERROR(AVERAGEIF(従業員の給与情報!$B:$B,$A347,従業員の給与情報!$F:$F)),0,AVERAGEIF(従業員の給与情報!$B:$B,$A347,従業員の給与情報!$F:$F)))))</f>
        <v/>
      </c>
      <c r="W347" s="182"/>
      <c r="X347" s="260"/>
    </row>
    <row r="348" spans="1:24">
      <c r="A348" s="368"/>
      <c r="B348" s="361"/>
      <c r="C348" s="362"/>
      <c r="D348" s="361"/>
      <c r="E348" s="361"/>
      <c r="F348" s="372" t="str">
        <f>IF(G348,"この従業員番号は、すでに他のセルで入力されています。",IF(入力シート!$C$5=入力リスト!$N$5,"",IF(AND(A348="",B348="",C348="",D348="",E348=""),"",IF(OR(A348="",B348="",C348="",D348=""),IF(A348="","従業員番号","")&amp;IF(AND(A348="",OR(B348="",C348="",D348="")),",","")&amp;IF(B348="","雇用形態","")&amp;IF(AND(B348="",OR(C348="",D348="")),",","")&amp;IF(OR(入力シート!$J$18=入力リスト!$K$4,入力シート!$J$22=入力リスト!$K$4),IF(C348="","入社年月日",""),"")&amp;IF(AND(C348="",D348=""),",","")&amp;IF(D348="","性別","")&amp;IF(IF(A348="","従業員番号","")&amp;IF(B348="","雇用形態","")&amp;IF(OR(入力シート!$J$18=入力リスト!$K$4,入力シート!$J$22=入力リスト!$K$4),IF(C348="","入社年月日",""),"")&amp;IF(D348="","性別","")="","","が空白です。"),IF(J348,"入社年月日に「基準日」の翌日以降の日付が入力されています。","")&amp;IF(I348,"入社年月日に数値以外（又は1900/1/1以前の日付）が入力されています。","")&amp;IF(H348,"雇用形態"&amp;IF(OR(K348,L348),",",""),"")&amp;IF(K348,"性別"&amp;IF(L348,",",""),"")&amp;IF(L348,"役職","")&amp;IF(OR(H348,K348,L348),"に、［入力シート］(4)「貴社」欄と異なる文言が入力されています。","")))))</f>
        <v/>
      </c>
      <c r="G348" s="236" t="b">
        <f>COUNTIF($A$4:A347,$A348)&gt;0</f>
        <v>0</v>
      </c>
      <c r="H348" s="237" t="b">
        <f>IF(COUNTIF(入力シート!$J$16:$S$23,入力リスト!$K$4)=0,FALSE,IF(入力シート!$J$16=入力リスト!$K$5,FALSE,ISERROR(VLOOKUP(B348,入力シート!$S$37:$V$62,1,0))))</f>
        <v>0</v>
      </c>
      <c r="I348" s="237" t="b">
        <f>IF(AND(OR(入力シート!$J$18=入力リスト!$K$4,入力シート!$J$22=入力リスト!$K$4),入力シート!$J$24&lt;&gt;""),IF(ISERROR(C348+1),TRUE,IF(ISNUMBER(C348),FALSE,TRUE)),FALSE)</f>
        <v>0</v>
      </c>
      <c r="J348" s="237" t="b">
        <f>IF(AND(入力シート!$J$18=入力リスト!$K$4,入力シート!$J$22=入力リスト!$K$4),FALSE,IF(I348=TRUE,FALSE,IF(ISERROR(C348+1),FALSE,C348&gt;入力シート!$J$24)))</f>
        <v>0</v>
      </c>
      <c r="K348" s="237" t="b">
        <f>IF(COUNTIF(入力シート!$J$16:$S$23,入力リスト!$K$4)=0,FALSE,IF(AND(入力シート!$J$16&lt;&gt;入力リスト!$K$5,入力シート!$J$18&lt;&gt;入力リスト!$K$5,入力シート!$J$20&lt;&gt;入力リスト!$K$5,入力シート!$J$22&lt;&gt;入力リスト!$K$5),FALSE,ISERROR(VLOOKUP(D348,入力シート!$AW$37:$AY$38,1,0))))</f>
        <v>0</v>
      </c>
      <c r="L348" s="237" t="b">
        <f>IF(COUNTIF(入力シート!$J$16:$S$23,入力リスト!$K$4)=0,FALSE,IF(入力シート!$J$20=入力リスト!$K$5,FALSE,IF(E348="",FALSE,ISERROR(VLOOKUP(E348,入力シート!$AH$37:$AK$62,1,0)))))</f>
        <v>0</v>
      </c>
      <c r="M348" s="238" t="str">
        <f t="shared" si="5"/>
        <v/>
      </c>
      <c r="N348" s="236" t="str">
        <f>IF(B348="","",VLOOKUP('従業員情報(給与以外)'!$B348,入力シート!$S$37:$Z$62,5,0))</f>
        <v/>
      </c>
      <c r="O348" s="182" t="str">
        <f>IF(ISNUMBER(C348)=FALSE,"",IF(C348&gt;入力シート!$J$24,"",_xlfn.DAYS(入力シート!$J$24,'従業員情報(給与以外)'!$C348)/365))</f>
        <v/>
      </c>
      <c r="P348" s="237" t="str">
        <f>IF(O348="","",VLOOKUP(_xlfn.DAYS(入力シート!$J$24,'従業員情報(給与以外)'!$C348)/365,入力リスト!$H$4:$I$12,2,2))</f>
        <v/>
      </c>
      <c r="Q348" s="236" t="str">
        <f>IF(D348="","",VLOOKUP('従業員情報(給与以外)'!$D348,入力シート!$AW$37:$BB$38,4,0))</f>
        <v/>
      </c>
      <c r="R348" s="236" t="str">
        <f>IF(A348="","",IF(E348="","非役職",VLOOKUP('従業員情報(給与以外)'!$E348,入力シート!$AH$37:$AO$62,5,0)))</f>
        <v/>
      </c>
      <c r="S348" s="116" t="str">
        <f>IF(OR(入力シート!$C$5&lt;&gt;入力リスト!$N$4,COUNTIF(入力シート!$J$16:$S$23,入力リスト!$K$4)=0),"",IF($A348="","",IF(ISERROR(AVERAGEIF(従業員の給与情報!$B:$B,$A348,従業員の給与情報!$C:$C)),0,IF(ISERROR(AVERAGEIF(従業員の給与情報!$B:$B,$A348,従業員の給与情報!$C:$C)),0,AVERAGEIF(従業員の給与情報!$B:$B,$A348,従業員の給与情報!$C:$C)))))</f>
        <v/>
      </c>
      <c r="T348" s="116" t="str">
        <f>IF(OR(入力シート!$C$5&lt;&gt;入力リスト!$N$4,COUNTIF(入力シート!$J$16:$S$23,入力リスト!$K$4)=0),"",IF(A348="","",IF(ISERROR(AVERAGEIF(従業員の給与情報!$B:$B,$A348,従業員の給与情報!$D:$D)),0,IF(ISERROR(AVERAGEIF(従業員の給与情報!$B:$B,$A348,従業員の給与情報!$D:$D)),0,AVERAGEIF(従業員の給与情報!$B:$B,$A348,従業員の給与情報!$D:$D)))))</f>
        <v/>
      </c>
      <c r="U348" s="116" t="str">
        <f>IF(OR(入力シート!$C$5&lt;&gt;入力リスト!$N$4,COUNTIF(入力シート!$J$16:$S$23,入力リスト!$K$4)=0),"",IF(A348="","",IF(ISERROR(AVERAGEIF(従業員の給与情報!$B:$B,$A348,従業員の給与情報!$E:$E)),0,IF(ISERROR(AVERAGEIF(従業員の給与情報!$B:$B,$A348,従業員の給与情報!$E:$E)),0,AVERAGEIF(従業員の給与情報!$B:$B,$A348,従業員の給与情報!$E:$E)))))</f>
        <v/>
      </c>
      <c r="V348" s="117" t="str">
        <f>IF(OR(入力シート!$C$5&lt;&gt;入力リスト!$N$4,COUNTIF(入力シート!$J$16:$S$23,入力リスト!$K$4)=0),"",IF(A348="","",IF(ISERROR(AVERAGEIF(従業員の給与情報!$B:$B,$A348,従業員の給与情報!$F:$F)),0,IF(ISERROR(AVERAGEIF(従業員の給与情報!$B:$B,$A348,従業員の給与情報!$F:$F)),0,AVERAGEIF(従業員の給与情報!$B:$B,$A348,従業員の給与情報!$F:$F)))))</f>
        <v/>
      </c>
      <c r="W348" s="182"/>
      <c r="X348" s="260"/>
    </row>
    <row r="349" spans="1:24">
      <c r="A349" s="368"/>
      <c r="B349" s="361"/>
      <c r="C349" s="362"/>
      <c r="D349" s="361"/>
      <c r="E349" s="361"/>
      <c r="F349" s="372" t="str">
        <f>IF(G349,"この従業員番号は、すでに他のセルで入力されています。",IF(入力シート!$C$5=入力リスト!$N$5,"",IF(AND(A349="",B349="",C349="",D349="",E349=""),"",IF(OR(A349="",B349="",C349="",D349=""),IF(A349="","従業員番号","")&amp;IF(AND(A349="",OR(B349="",C349="",D349="")),",","")&amp;IF(B349="","雇用形態","")&amp;IF(AND(B349="",OR(C349="",D349="")),",","")&amp;IF(OR(入力シート!$J$18=入力リスト!$K$4,入力シート!$J$22=入力リスト!$K$4),IF(C349="","入社年月日",""),"")&amp;IF(AND(C349="",D349=""),",","")&amp;IF(D349="","性別","")&amp;IF(IF(A349="","従業員番号","")&amp;IF(B349="","雇用形態","")&amp;IF(OR(入力シート!$J$18=入力リスト!$K$4,入力シート!$J$22=入力リスト!$K$4),IF(C349="","入社年月日",""),"")&amp;IF(D349="","性別","")="","","が空白です。"),IF(J349,"入社年月日に「基準日」の翌日以降の日付が入力されています。","")&amp;IF(I349,"入社年月日に数値以外（又は1900/1/1以前の日付）が入力されています。","")&amp;IF(H349,"雇用形態"&amp;IF(OR(K349,L349),",",""),"")&amp;IF(K349,"性別"&amp;IF(L349,",",""),"")&amp;IF(L349,"役職","")&amp;IF(OR(H349,K349,L349),"に、［入力シート］(4)「貴社」欄と異なる文言が入力されています。","")))))</f>
        <v/>
      </c>
      <c r="G349" s="236" t="b">
        <f>COUNTIF($A$4:A348,$A349)&gt;0</f>
        <v>0</v>
      </c>
      <c r="H349" s="237" t="b">
        <f>IF(COUNTIF(入力シート!$J$16:$S$23,入力リスト!$K$4)=0,FALSE,IF(入力シート!$J$16=入力リスト!$K$5,FALSE,ISERROR(VLOOKUP(B349,入力シート!$S$37:$V$62,1,0))))</f>
        <v>0</v>
      </c>
      <c r="I349" s="237" t="b">
        <f>IF(AND(OR(入力シート!$J$18=入力リスト!$K$4,入力シート!$J$22=入力リスト!$K$4),入力シート!$J$24&lt;&gt;""),IF(ISERROR(C349+1),TRUE,IF(ISNUMBER(C349),FALSE,TRUE)),FALSE)</f>
        <v>0</v>
      </c>
      <c r="J349" s="237" t="b">
        <f>IF(AND(入力シート!$J$18=入力リスト!$K$4,入力シート!$J$22=入力リスト!$K$4),FALSE,IF(I349=TRUE,FALSE,IF(ISERROR(C349+1),FALSE,C349&gt;入力シート!$J$24)))</f>
        <v>0</v>
      </c>
      <c r="K349" s="237" t="b">
        <f>IF(COUNTIF(入力シート!$J$16:$S$23,入力リスト!$K$4)=0,FALSE,IF(AND(入力シート!$J$16&lt;&gt;入力リスト!$K$5,入力シート!$J$18&lt;&gt;入力リスト!$K$5,入力シート!$J$20&lt;&gt;入力リスト!$K$5,入力シート!$J$22&lt;&gt;入力リスト!$K$5),FALSE,ISERROR(VLOOKUP(D349,入力シート!$AW$37:$AY$38,1,0))))</f>
        <v>0</v>
      </c>
      <c r="L349" s="237" t="b">
        <f>IF(COUNTIF(入力シート!$J$16:$S$23,入力リスト!$K$4)=0,FALSE,IF(入力シート!$J$20=入力リスト!$K$5,FALSE,IF(E349="",FALSE,ISERROR(VLOOKUP(E349,入力シート!$AH$37:$AK$62,1,0)))))</f>
        <v>0</v>
      </c>
      <c r="M349" s="238" t="str">
        <f t="shared" si="5"/>
        <v/>
      </c>
      <c r="N349" s="236" t="str">
        <f>IF(B349="","",VLOOKUP('従業員情報(給与以外)'!$B349,入力シート!$S$37:$Z$62,5,0))</f>
        <v/>
      </c>
      <c r="O349" s="182" t="str">
        <f>IF(ISNUMBER(C349)=FALSE,"",IF(C349&gt;入力シート!$J$24,"",_xlfn.DAYS(入力シート!$J$24,'従業員情報(給与以外)'!$C349)/365))</f>
        <v/>
      </c>
      <c r="P349" s="237" t="str">
        <f>IF(O349="","",VLOOKUP(_xlfn.DAYS(入力シート!$J$24,'従業員情報(給与以外)'!$C349)/365,入力リスト!$H$4:$I$12,2,2))</f>
        <v/>
      </c>
      <c r="Q349" s="236" t="str">
        <f>IF(D349="","",VLOOKUP('従業員情報(給与以外)'!$D349,入力シート!$AW$37:$BB$38,4,0))</f>
        <v/>
      </c>
      <c r="R349" s="236" t="str">
        <f>IF(A349="","",IF(E349="","非役職",VLOOKUP('従業員情報(給与以外)'!$E349,入力シート!$AH$37:$AO$62,5,0)))</f>
        <v/>
      </c>
      <c r="S349" s="116" t="str">
        <f>IF(OR(入力シート!$C$5&lt;&gt;入力リスト!$N$4,COUNTIF(入力シート!$J$16:$S$23,入力リスト!$K$4)=0),"",IF($A349="","",IF(ISERROR(AVERAGEIF(従業員の給与情報!$B:$B,$A349,従業員の給与情報!$C:$C)),0,IF(ISERROR(AVERAGEIF(従業員の給与情報!$B:$B,$A349,従業員の給与情報!$C:$C)),0,AVERAGEIF(従業員の給与情報!$B:$B,$A349,従業員の給与情報!$C:$C)))))</f>
        <v/>
      </c>
      <c r="T349" s="116" t="str">
        <f>IF(OR(入力シート!$C$5&lt;&gt;入力リスト!$N$4,COUNTIF(入力シート!$J$16:$S$23,入力リスト!$K$4)=0),"",IF(A349="","",IF(ISERROR(AVERAGEIF(従業員の給与情報!$B:$B,$A349,従業員の給与情報!$D:$D)),0,IF(ISERROR(AVERAGEIF(従業員の給与情報!$B:$B,$A349,従業員の給与情報!$D:$D)),0,AVERAGEIF(従業員の給与情報!$B:$B,$A349,従業員の給与情報!$D:$D)))))</f>
        <v/>
      </c>
      <c r="U349" s="116" t="str">
        <f>IF(OR(入力シート!$C$5&lt;&gt;入力リスト!$N$4,COUNTIF(入力シート!$J$16:$S$23,入力リスト!$K$4)=0),"",IF(A349="","",IF(ISERROR(AVERAGEIF(従業員の給与情報!$B:$B,$A349,従業員の給与情報!$E:$E)),0,IF(ISERROR(AVERAGEIF(従業員の給与情報!$B:$B,$A349,従業員の給与情報!$E:$E)),0,AVERAGEIF(従業員の給与情報!$B:$B,$A349,従業員の給与情報!$E:$E)))))</f>
        <v/>
      </c>
      <c r="V349" s="117" t="str">
        <f>IF(OR(入力シート!$C$5&lt;&gt;入力リスト!$N$4,COUNTIF(入力シート!$J$16:$S$23,入力リスト!$K$4)=0),"",IF(A349="","",IF(ISERROR(AVERAGEIF(従業員の給与情報!$B:$B,$A349,従業員の給与情報!$F:$F)),0,IF(ISERROR(AVERAGEIF(従業員の給与情報!$B:$B,$A349,従業員の給与情報!$F:$F)),0,AVERAGEIF(従業員の給与情報!$B:$B,$A349,従業員の給与情報!$F:$F)))))</f>
        <v/>
      </c>
      <c r="W349" s="182"/>
      <c r="X349" s="260"/>
    </row>
    <row r="350" spans="1:24">
      <c r="A350" s="368"/>
      <c r="B350" s="361"/>
      <c r="C350" s="362"/>
      <c r="D350" s="361"/>
      <c r="E350" s="361"/>
      <c r="F350" s="372" t="str">
        <f>IF(G350,"この従業員番号は、すでに他のセルで入力されています。",IF(入力シート!$C$5=入力リスト!$N$5,"",IF(AND(A350="",B350="",C350="",D350="",E350=""),"",IF(OR(A350="",B350="",C350="",D350=""),IF(A350="","従業員番号","")&amp;IF(AND(A350="",OR(B350="",C350="",D350="")),",","")&amp;IF(B350="","雇用形態","")&amp;IF(AND(B350="",OR(C350="",D350="")),",","")&amp;IF(OR(入力シート!$J$18=入力リスト!$K$4,入力シート!$J$22=入力リスト!$K$4),IF(C350="","入社年月日",""),"")&amp;IF(AND(C350="",D350=""),",","")&amp;IF(D350="","性別","")&amp;IF(IF(A350="","従業員番号","")&amp;IF(B350="","雇用形態","")&amp;IF(OR(入力シート!$J$18=入力リスト!$K$4,入力シート!$J$22=入力リスト!$K$4),IF(C350="","入社年月日",""),"")&amp;IF(D350="","性別","")="","","が空白です。"),IF(J350,"入社年月日に「基準日」の翌日以降の日付が入力されています。","")&amp;IF(I350,"入社年月日に数値以外（又は1900/1/1以前の日付）が入力されています。","")&amp;IF(H350,"雇用形態"&amp;IF(OR(K350,L350),",",""),"")&amp;IF(K350,"性別"&amp;IF(L350,",",""),"")&amp;IF(L350,"役職","")&amp;IF(OR(H350,K350,L350),"に、［入力シート］(4)「貴社」欄と異なる文言が入力されています。","")))))</f>
        <v/>
      </c>
      <c r="G350" s="236" t="b">
        <f>COUNTIF($A$4:A349,$A350)&gt;0</f>
        <v>0</v>
      </c>
      <c r="H350" s="237" t="b">
        <f>IF(COUNTIF(入力シート!$J$16:$S$23,入力リスト!$K$4)=0,FALSE,IF(入力シート!$J$16=入力リスト!$K$5,FALSE,ISERROR(VLOOKUP(B350,入力シート!$S$37:$V$62,1,0))))</f>
        <v>0</v>
      </c>
      <c r="I350" s="237" t="b">
        <f>IF(AND(OR(入力シート!$J$18=入力リスト!$K$4,入力シート!$J$22=入力リスト!$K$4),入力シート!$J$24&lt;&gt;""),IF(ISERROR(C350+1),TRUE,IF(ISNUMBER(C350),FALSE,TRUE)),FALSE)</f>
        <v>0</v>
      </c>
      <c r="J350" s="237" t="b">
        <f>IF(AND(入力シート!$J$18=入力リスト!$K$4,入力シート!$J$22=入力リスト!$K$4),FALSE,IF(I350=TRUE,FALSE,IF(ISERROR(C350+1),FALSE,C350&gt;入力シート!$J$24)))</f>
        <v>0</v>
      </c>
      <c r="K350" s="237" t="b">
        <f>IF(COUNTIF(入力シート!$J$16:$S$23,入力リスト!$K$4)=0,FALSE,IF(AND(入力シート!$J$16&lt;&gt;入力リスト!$K$5,入力シート!$J$18&lt;&gt;入力リスト!$K$5,入力シート!$J$20&lt;&gt;入力リスト!$K$5,入力シート!$J$22&lt;&gt;入力リスト!$K$5),FALSE,ISERROR(VLOOKUP(D350,入力シート!$AW$37:$AY$38,1,0))))</f>
        <v>0</v>
      </c>
      <c r="L350" s="237" t="b">
        <f>IF(COUNTIF(入力シート!$J$16:$S$23,入力リスト!$K$4)=0,FALSE,IF(入力シート!$J$20=入力リスト!$K$5,FALSE,IF(E350="",FALSE,ISERROR(VLOOKUP(E350,入力シート!$AH$37:$AK$62,1,0)))))</f>
        <v>0</v>
      </c>
      <c r="M350" s="238" t="str">
        <f t="shared" si="5"/>
        <v/>
      </c>
      <c r="N350" s="236" t="str">
        <f>IF(B350="","",VLOOKUP('従業員情報(給与以外)'!$B350,入力シート!$S$37:$Z$62,5,0))</f>
        <v/>
      </c>
      <c r="O350" s="182" t="str">
        <f>IF(ISNUMBER(C350)=FALSE,"",IF(C350&gt;入力シート!$J$24,"",_xlfn.DAYS(入力シート!$J$24,'従業員情報(給与以外)'!$C350)/365))</f>
        <v/>
      </c>
      <c r="P350" s="237" t="str">
        <f>IF(O350="","",VLOOKUP(_xlfn.DAYS(入力シート!$J$24,'従業員情報(給与以外)'!$C350)/365,入力リスト!$H$4:$I$12,2,2))</f>
        <v/>
      </c>
      <c r="Q350" s="236" t="str">
        <f>IF(D350="","",VLOOKUP('従業員情報(給与以外)'!$D350,入力シート!$AW$37:$BB$38,4,0))</f>
        <v/>
      </c>
      <c r="R350" s="236" t="str">
        <f>IF(A350="","",IF(E350="","非役職",VLOOKUP('従業員情報(給与以外)'!$E350,入力シート!$AH$37:$AO$62,5,0)))</f>
        <v/>
      </c>
      <c r="S350" s="116" t="str">
        <f>IF(OR(入力シート!$C$5&lt;&gt;入力リスト!$N$4,COUNTIF(入力シート!$J$16:$S$23,入力リスト!$K$4)=0),"",IF($A350="","",IF(ISERROR(AVERAGEIF(従業員の給与情報!$B:$B,$A350,従業員の給与情報!$C:$C)),0,IF(ISERROR(AVERAGEIF(従業員の給与情報!$B:$B,$A350,従業員の給与情報!$C:$C)),0,AVERAGEIF(従業員の給与情報!$B:$B,$A350,従業員の給与情報!$C:$C)))))</f>
        <v/>
      </c>
      <c r="T350" s="116" t="str">
        <f>IF(OR(入力シート!$C$5&lt;&gt;入力リスト!$N$4,COUNTIF(入力シート!$J$16:$S$23,入力リスト!$K$4)=0),"",IF(A350="","",IF(ISERROR(AVERAGEIF(従業員の給与情報!$B:$B,$A350,従業員の給与情報!$D:$D)),0,IF(ISERROR(AVERAGEIF(従業員の給与情報!$B:$B,$A350,従業員の給与情報!$D:$D)),0,AVERAGEIF(従業員の給与情報!$B:$B,$A350,従業員の給与情報!$D:$D)))))</f>
        <v/>
      </c>
      <c r="U350" s="116" t="str">
        <f>IF(OR(入力シート!$C$5&lt;&gt;入力リスト!$N$4,COUNTIF(入力シート!$J$16:$S$23,入力リスト!$K$4)=0),"",IF(A350="","",IF(ISERROR(AVERAGEIF(従業員の給与情報!$B:$B,$A350,従業員の給与情報!$E:$E)),0,IF(ISERROR(AVERAGEIF(従業員の給与情報!$B:$B,$A350,従業員の給与情報!$E:$E)),0,AVERAGEIF(従業員の給与情報!$B:$B,$A350,従業員の給与情報!$E:$E)))))</f>
        <v/>
      </c>
      <c r="V350" s="117" t="str">
        <f>IF(OR(入力シート!$C$5&lt;&gt;入力リスト!$N$4,COUNTIF(入力シート!$J$16:$S$23,入力リスト!$K$4)=0),"",IF(A350="","",IF(ISERROR(AVERAGEIF(従業員の給与情報!$B:$B,$A350,従業員の給与情報!$F:$F)),0,IF(ISERROR(AVERAGEIF(従業員の給与情報!$B:$B,$A350,従業員の給与情報!$F:$F)),0,AVERAGEIF(従業員の給与情報!$B:$B,$A350,従業員の給与情報!$F:$F)))))</f>
        <v/>
      </c>
      <c r="W350" s="182"/>
      <c r="X350" s="260"/>
    </row>
    <row r="351" spans="1:24">
      <c r="A351" s="368"/>
      <c r="B351" s="361"/>
      <c r="C351" s="362"/>
      <c r="D351" s="361"/>
      <c r="E351" s="361"/>
      <c r="F351" s="372" t="str">
        <f>IF(G351,"この従業員番号は、すでに他のセルで入力されています。",IF(入力シート!$C$5=入力リスト!$N$5,"",IF(AND(A351="",B351="",C351="",D351="",E351=""),"",IF(OR(A351="",B351="",C351="",D351=""),IF(A351="","従業員番号","")&amp;IF(AND(A351="",OR(B351="",C351="",D351="")),",","")&amp;IF(B351="","雇用形態","")&amp;IF(AND(B351="",OR(C351="",D351="")),",","")&amp;IF(OR(入力シート!$J$18=入力リスト!$K$4,入力シート!$J$22=入力リスト!$K$4),IF(C351="","入社年月日",""),"")&amp;IF(AND(C351="",D351=""),",","")&amp;IF(D351="","性別","")&amp;IF(IF(A351="","従業員番号","")&amp;IF(B351="","雇用形態","")&amp;IF(OR(入力シート!$J$18=入力リスト!$K$4,入力シート!$J$22=入力リスト!$K$4),IF(C351="","入社年月日",""),"")&amp;IF(D351="","性別","")="","","が空白です。"),IF(J351,"入社年月日に「基準日」の翌日以降の日付が入力されています。","")&amp;IF(I351,"入社年月日に数値以外（又は1900/1/1以前の日付）が入力されています。","")&amp;IF(H351,"雇用形態"&amp;IF(OR(K351,L351),",",""),"")&amp;IF(K351,"性別"&amp;IF(L351,",",""),"")&amp;IF(L351,"役職","")&amp;IF(OR(H351,K351,L351),"に、［入力シート］(4)「貴社」欄と異なる文言が入力されています。","")))))</f>
        <v/>
      </c>
      <c r="G351" s="236" t="b">
        <f>COUNTIF($A$4:A350,$A351)&gt;0</f>
        <v>0</v>
      </c>
      <c r="H351" s="237" t="b">
        <f>IF(COUNTIF(入力シート!$J$16:$S$23,入力リスト!$K$4)=0,FALSE,IF(入力シート!$J$16=入力リスト!$K$5,FALSE,ISERROR(VLOOKUP(B351,入力シート!$S$37:$V$62,1,0))))</f>
        <v>0</v>
      </c>
      <c r="I351" s="237" t="b">
        <f>IF(AND(OR(入力シート!$J$18=入力リスト!$K$4,入力シート!$J$22=入力リスト!$K$4),入力シート!$J$24&lt;&gt;""),IF(ISERROR(C351+1),TRUE,IF(ISNUMBER(C351),FALSE,TRUE)),FALSE)</f>
        <v>0</v>
      </c>
      <c r="J351" s="237" t="b">
        <f>IF(AND(入力シート!$J$18=入力リスト!$K$4,入力シート!$J$22=入力リスト!$K$4),FALSE,IF(I351=TRUE,FALSE,IF(ISERROR(C351+1),FALSE,C351&gt;入力シート!$J$24)))</f>
        <v>0</v>
      </c>
      <c r="K351" s="237" t="b">
        <f>IF(COUNTIF(入力シート!$J$16:$S$23,入力リスト!$K$4)=0,FALSE,IF(AND(入力シート!$J$16&lt;&gt;入力リスト!$K$5,入力シート!$J$18&lt;&gt;入力リスト!$K$5,入力シート!$J$20&lt;&gt;入力リスト!$K$5,入力シート!$J$22&lt;&gt;入力リスト!$K$5),FALSE,ISERROR(VLOOKUP(D351,入力シート!$AW$37:$AY$38,1,0))))</f>
        <v>0</v>
      </c>
      <c r="L351" s="237" t="b">
        <f>IF(COUNTIF(入力シート!$J$16:$S$23,入力リスト!$K$4)=0,FALSE,IF(入力シート!$J$20=入力リスト!$K$5,FALSE,IF(E351="",FALSE,ISERROR(VLOOKUP(E351,入力シート!$AH$37:$AK$62,1,0)))))</f>
        <v>0</v>
      </c>
      <c r="M351" s="238" t="str">
        <f t="shared" si="5"/>
        <v/>
      </c>
      <c r="N351" s="236" t="str">
        <f>IF(B351="","",VLOOKUP('従業員情報(給与以外)'!$B351,入力シート!$S$37:$Z$62,5,0))</f>
        <v/>
      </c>
      <c r="O351" s="182" t="str">
        <f>IF(ISNUMBER(C351)=FALSE,"",IF(C351&gt;入力シート!$J$24,"",_xlfn.DAYS(入力シート!$J$24,'従業員情報(給与以外)'!$C351)/365))</f>
        <v/>
      </c>
      <c r="P351" s="237" t="str">
        <f>IF(O351="","",VLOOKUP(_xlfn.DAYS(入力シート!$J$24,'従業員情報(給与以外)'!$C351)/365,入力リスト!$H$4:$I$12,2,2))</f>
        <v/>
      </c>
      <c r="Q351" s="236" t="str">
        <f>IF(D351="","",VLOOKUP('従業員情報(給与以外)'!$D351,入力シート!$AW$37:$BB$38,4,0))</f>
        <v/>
      </c>
      <c r="R351" s="236" t="str">
        <f>IF(A351="","",IF(E351="","非役職",VLOOKUP('従業員情報(給与以外)'!$E351,入力シート!$AH$37:$AO$62,5,0)))</f>
        <v/>
      </c>
      <c r="S351" s="116" t="str">
        <f>IF(OR(入力シート!$C$5&lt;&gt;入力リスト!$N$4,COUNTIF(入力シート!$J$16:$S$23,入力リスト!$K$4)=0),"",IF($A351="","",IF(ISERROR(AVERAGEIF(従業員の給与情報!$B:$B,$A351,従業員の給与情報!$C:$C)),0,IF(ISERROR(AVERAGEIF(従業員の給与情報!$B:$B,$A351,従業員の給与情報!$C:$C)),0,AVERAGEIF(従業員の給与情報!$B:$B,$A351,従業員の給与情報!$C:$C)))))</f>
        <v/>
      </c>
      <c r="T351" s="116" t="str">
        <f>IF(OR(入力シート!$C$5&lt;&gt;入力リスト!$N$4,COUNTIF(入力シート!$J$16:$S$23,入力リスト!$K$4)=0),"",IF(A351="","",IF(ISERROR(AVERAGEIF(従業員の給与情報!$B:$B,$A351,従業員の給与情報!$D:$D)),0,IF(ISERROR(AVERAGEIF(従業員の給与情報!$B:$B,$A351,従業員の給与情報!$D:$D)),0,AVERAGEIF(従業員の給与情報!$B:$B,$A351,従業員の給与情報!$D:$D)))))</f>
        <v/>
      </c>
      <c r="U351" s="116" t="str">
        <f>IF(OR(入力シート!$C$5&lt;&gt;入力リスト!$N$4,COUNTIF(入力シート!$J$16:$S$23,入力リスト!$K$4)=0),"",IF(A351="","",IF(ISERROR(AVERAGEIF(従業員の給与情報!$B:$B,$A351,従業員の給与情報!$E:$E)),0,IF(ISERROR(AVERAGEIF(従業員の給与情報!$B:$B,$A351,従業員の給与情報!$E:$E)),0,AVERAGEIF(従業員の給与情報!$B:$B,$A351,従業員の給与情報!$E:$E)))))</f>
        <v/>
      </c>
      <c r="V351" s="117" t="str">
        <f>IF(OR(入力シート!$C$5&lt;&gt;入力リスト!$N$4,COUNTIF(入力シート!$J$16:$S$23,入力リスト!$K$4)=0),"",IF(A351="","",IF(ISERROR(AVERAGEIF(従業員の給与情報!$B:$B,$A351,従業員の給与情報!$F:$F)),0,IF(ISERROR(AVERAGEIF(従業員の給与情報!$B:$B,$A351,従業員の給与情報!$F:$F)),0,AVERAGEIF(従業員の給与情報!$B:$B,$A351,従業員の給与情報!$F:$F)))))</f>
        <v/>
      </c>
      <c r="W351" s="182"/>
      <c r="X351" s="260"/>
    </row>
    <row r="352" spans="1:24">
      <c r="A352" s="368"/>
      <c r="B352" s="361"/>
      <c r="C352" s="362"/>
      <c r="D352" s="361"/>
      <c r="E352" s="361"/>
      <c r="F352" s="372" t="str">
        <f>IF(G352,"この従業員番号は、すでに他のセルで入力されています。",IF(入力シート!$C$5=入力リスト!$N$5,"",IF(AND(A352="",B352="",C352="",D352="",E352=""),"",IF(OR(A352="",B352="",C352="",D352=""),IF(A352="","従業員番号","")&amp;IF(AND(A352="",OR(B352="",C352="",D352="")),",","")&amp;IF(B352="","雇用形態","")&amp;IF(AND(B352="",OR(C352="",D352="")),",","")&amp;IF(OR(入力シート!$J$18=入力リスト!$K$4,入力シート!$J$22=入力リスト!$K$4),IF(C352="","入社年月日",""),"")&amp;IF(AND(C352="",D352=""),",","")&amp;IF(D352="","性別","")&amp;IF(IF(A352="","従業員番号","")&amp;IF(B352="","雇用形態","")&amp;IF(OR(入力シート!$J$18=入力リスト!$K$4,入力シート!$J$22=入力リスト!$K$4),IF(C352="","入社年月日",""),"")&amp;IF(D352="","性別","")="","","が空白です。"),IF(J352,"入社年月日に「基準日」の翌日以降の日付が入力されています。","")&amp;IF(I352,"入社年月日に数値以外（又は1900/1/1以前の日付）が入力されています。","")&amp;IF(H352,"雇用形態"&amp;IF(OR(K352,L352),",",""),"")&amp;IF(K352,"性別"&amp;IF(L352,",",""),"")&amp;IF(L352,"役職","")&amp;IF(OR(H352,K352,L352),"に、［入力シート］(4)「貴社」欄と異なる文言が入力されています。","")))))</f>
        <v/>
      </c>
      <c r="G352" s="236" t="b">
        <f>COUNTIF($A$4:A351,$A352)&gt;0</f>
        <v>0</v>
      </c>
      <c r="H352" s="237" t="b">
        <f>IF(COUNTIF(入力シート!$J$16:$S$23,入力リスト!$K$4)=0,FALSE,IF(入力シート!$J$16=入力リスト!$K$5,FALSE,ISERROR(VLOOKUP(B352,入力シート!$S$37:$V$62,1,0))))</f>
        <v>0</v>
      </c>
      <c r="I352" s="237" t="b">
        <f>IF(AND(OR(入力シート!$J$18=入力リスト!$K$4,入力シート!$J$22=入力リスト!$K$4),入力シート!$J$24&lt;&gt;""),IF(ISERROR(C352+1),TRUE,IF(ISNUMBER(C352),FALSE,TRUE)),FALSE)</f>
        <v>0</v>
      </c>
      <c r="J352" s="237" t="b">
        <f>IF(AND(入力シート!$J$18=入力リスト!$K$4,入力シート!$J$22=入力リスト!$K$4),FALSE,IF(I352=TRUE,FALSE,IF(ISERROR(C352+1),FALSE,C352&gt;入力シート!$J$24)))</f>
        <v>0</v>
      </c>
      <c r="K352" s="237" t="b">
        <f>IF(COUNTIF(入力シート!$J$16:$S$23,入力リスト!$K$4)=0,FALSE,IF(AND(入力シート!$J$16&lt;&gt;入力リスト!$K$5,入力シート!$J$18&lt;&gt;入力リスト!$K$5,入力シート!$J$20&lt;&gt;入力リスト!$K$5,入力シート!$J$22&lt;&gt;入力リスト!$K$5),FALSE,ISERROR(VLOOKUP(D352,入力シート!$AW$37:$AY$38,1,0))))</f>
        <v>0</v>
      </c>
      <c r="L352" s="237" t="b">
        <f>IF(COUNTIF(入力シート!$J$16:$S$23,入力リスト!$K$4)=0,FALSE,IF(入力シート!$J$20=入力リスト!$K$5,FALSE,IF(E352="",FALSE,ISERROR(VLOOKUP(E352,入力シート!$AH$37:$AK$62,1,0)))))</f>
        <v>0</v>
      </c>
      <c r="M352" s="238" t="str">
        <f t="shared" si="5"/>
        <v/>
      </c>
      <c r="N352" s="236" t="str">
        <f>IF(B352="","",VLOOKUP('従業員情報(給与以外)'!$B352,入力シート!$S$37:$Z$62,5,0))</f>
        <v/>
      </c>
      <c r="O352" s="182" t="str">
        <f>IF(ISNUMBER(C352)=FALSE,"",IF(C352&gt;入力シート!$J$24,"",_xlfn.DAYS(入力シート!$J$24,'従業員情報(給与以外)'!$C352)/365))</f>
        <v/>
      </c>
      <c r="P352" s="237" t="str">
        <f>IF(O352="","",VLOOKUP(_xlfn.DAYS(入力シート!$J$24,'従業員情報(給与以外)'!$C352)/365,入力リスト!$H$4:$I$12,2,2))</f>
        <v/>
      </c>
      <c r="Q352" s="236" t="str">
        <f>IF(D352="","",VLOOKUP('従業員情報(給与以外)'!$D352,入力シート!$AW$37:$BB$38,4,0))</f>
        <v/>
      </c>
      <c r="R352" s="236" t="str">
        <f>IF(A352="","",IF(E352="","非役職",VLOOKUP('従業員情報(給与以外)'!$E352,入力シート!$AH$37:$AO$62,5,0)))</f>
        <v/>
      </c>
      <c r="S352" s="116" t="str">
        <f>IF(OR(入力シート!$C$5&lt;&gt;入力リスト!$N$4,COUNTIF(入力シート!$J$16:$S$23,入力リスト!$K$4)=0),"",IF($A352="","",IF(ISERROR(AVERAGEIF(従業員の給与情報!$B:$B,$A352,従業員の給与情報!$C:$C)),0,IF(ISERROR(AVERAGEIF(従業員の給与情報!$B:$B,$A352,従業員の給与情報!$C:$C)),0,AVERAGEIF(従業員の給与情報!$B:$B,$A352,従業員の給与情報!$C:$C)))))</f>
        <v/>
      </c>
      <c r="T352" s="116" t="str">
        <f>IF(OR(入力シート!$C$5&lt;&gt;入力リスト!$N$4,COUNTIF(入力シート!$J$16:$S$23,入力リスト!$K$4)=0),"",IF(A352="","",IF(ISERROR(AVERAGEIF(従業員の給与情報!$B:$B,$A352,従業員の給与情報!$D:$D)),0,IF(ISERROR(AVERAGEIF(従業員の給与情報!$B:$B,$A352,従業員の給与情報!$D:$D)),0,AVERAGEIF(従業員の給与情報!$B:$B,$A352,従業員の給与情報!$D:$D)))))</f>
        <v/>
      </c>
      <c r="U352" s="116" t="str">
        <f>IF(OR(入力シート!$C$5&lt;&gt;入力リスト!$N$4,COUNTIF(入力シート!$J$16:$S$23,入力リスト!$K$4)=0),"",IF(A352="","",IF(ISERROR(AVERAGEIF(従業員の給与情報!$B:$B,$A352,従業員の給与情報!$E:$E)),0,IF(ISERROR(AVERAGEIF(従業員の給与情報!$B:$B,$A352,従業員の給与情報!$E:$E)),0,AVERAGEIF(従業員の給与情報!$B:$B,$A352,従業員の給与情報!$E:$E)))))</f>
        <v/>
      </c>
      <c r="V352" s="117" t="str">
        <f>IF(OR(入力シート!$C$5&lt;&gt;入力リスト!$N$4,COUNTIF(入力シート!$J$16:$S$23,入力リスト!$K$4)=0),"",IF(A352="","",IF(ISERROR(AVERAGEIF(従業員の給与情報!$B:$B,$A352,従業員の給与情報!$F:$F)),0,IF(ISERROR(AVERAGEIF(従業員の給与情報!$B:$B,$A352,従業員の給与情報!$F:$F)),0,AVERAGEIF(従業員の給与情報!$B:$B,$A352,従業員の給与情報!$F:$F)))))</f>
        <v/>
      </c>
      <c r="W352" s="182"/>
      <c r="X352" s="260"/>
    </row>
    <row r="353" spans="1:24">
      <c r="A353" s="368"/>
      <c r="B353" s="361"/>
      <c r="C353" s="362"/>
      <c r="D353" s="361"/>
      <c r="E353" s="361"/>
      <c r="F353" s="372" t="str">
        <f>IF(G353,"この従業員番号は、すでに他のセルで入力されています。",IF(入力シート!$C$5=入力リスト!$N$5,"",IF(AND(A353="",B353="",C353="",D353="",E353=""),"",IF(OR(A353="",B353="",C353="",D353=""),IF(A353="","従業員番号","")&amp;IF(AND(A353="",OR(B353="",C353="",D353="")),",","")&amp;IF(B353="","雇用形態","")&amp;IF(AND(B353="",OR(C353="",D353="")),",","")&amp;IF(OR(入力シート!$J$18=入力リスト!$K$4,入力シート!$J$22=入力リスト!$K$4),IF(C353="","入社年月日",""),"")&amp;IF(AND(C353="",D353=""),",","")&amp;IF(D353="","性別","")&amp;IF(IF(A353="","従業員番号","")&amp;IF(B353="","雇用形態","")&amp;IF(OR(入力シート!$J$18=入力リスト!$K$4,入力シート!$J$22=入力リスト!$K$4),IF(C353="","入社年月日",""),"")&amp;IF(D353="","性別","")="","","が空白です。"),IF(J353,"入社年月日に「基準日」の翌日以降の日付が入力されています。","")&amp;IF(I353,"入社年月日に数値以外（又は1900/1/1以前の日付）が入力されています。","")&amp;IF(H353,"雇用形態"&amp;IF(OR(K353,L353),",",""),"")&amp;IF(K353,"性別"&amp;IF(L353,",",""),"")&amp;IF(L353,"役職","")&amp;IF(OR(H353,K353,L353),"に、［入力シート］(4)「貴社」欄と異なる文言が入力されています。","")))))</f>
        <v/>
      </c>
      <c r="G353" s="236" t="b">
        <f>COUNTIF($A$4:A352,$A353)&gt;0</f>
        <v>0</v>
      </c>
      <c r="H353" s="237" t="b">
        <f>IF(COUNTIF(入力シート!$J$16:$S$23,入力リスト!$K$4)=0,FALSE,IF(入力シート!$J$16=入力リスト!$K$5,FALSE,ISERROR(VLOOKUP(B353,入力シート!$S$37:$V$62,1,0))))</f>
        <v>0</v>
      </c>
      <c r="I353" s="237" t="b">
        <f>IF(AND(OR(入力シート!$J$18=入力リスト!$K$4,入力シート!$J$22=入力リスト!$K$4),入力シート!$J$24&lt;&gt;""),IF(ISERROR(C353+1),TRUE,IF(ISNUMBER(C353),FALSE,TRUE)),FALSE)</f>
        <v>0</v>
      </c>
      <c r="J353" s="237" t="b">
        <f>IF(AND(入力シート!$J$18=入力リスト!$K$4,入力シート!$J$22=入力リスト!$K$4),FALSE,IF(I353=TRUE,FALSE,IF(ISERROR(C353+1),FALSE,C353&gt;入力シート!$J$24)))</f>
        <v>0</v>
      </c>
      <c r="K353" s="237" t="b">
        <f>IF(COUNTIF(入力シート!$J$16:$S$23,入力リスト!$K$4)=0,FALSE,IF(AND(入力シート!$J$16&lt;&gt;入力リスト!$K$5,入力シート!$J$18&lt;&gt;入力リスト!$K$5,入力シート!$J$20&lt;&gt;入力リスト!$K$5,入力シート!$J$22&lt;&gt;入力リスト!$K$5),FALSE,ISERROR(VLOOKUP(D353,入力シート!$AW$37:$AY$38,1,0))))</f>
        <v>0</v>
      </c>
      <c r="L353" s="237" t="b">
        <f>IF(COUNTIF(入力シート!$J$16:$S$23,入力リスト!$K$4)=0,FALSE,IF(入力シート!$J$20=入力リスト!$K$5,FALSE,IF(E353="",FALSE,ISERROR(VLOOKUP(E353,入力シート!$AH$37:$AK$62,1,0)))))</f>
        <v>0</v>
      </c>
      <c r="M353" s="238" t="str">
        <f t="shared" si="5"/>
        <v/>
      </c>
      <c r="N353" s="236" t="str">
        <f>IF(B353="","",VLOOKUP('従業員情報(給与以外)'!$B353,入力シート!$S$37:$Z$62,5,0))</f>
        <v/>
      </c>
      <c r="O353" s="182" t="str">
        <f>IF(ISNUMBER(C353)=FALSE,"",IF(C353&gt;入力シート!$J$24,"",_xlfn.DAYS(入力シート!$J$24,'従業員情報(給与以外)'!$C353)/365))</f>
        <v/>
      </c>
      <c r="P353" s="237" t="str">
        <f>IF(O353="","",VLOOKUP(_xlfn.DAYS(入力シート!$J$24,'従業員情報(給与以外)'!$C353)/365,入力リスト!$H$4:$I$12,2,2))</f>
        <v/>
      </c>
      <c r="Q353" s="236" t="str">
        <f>IF(D353="","",VLOOKUP('従業員情報(給与以外)'!$D353,入力シート!$AW$37:$BB$38,4,0))</f>
        <v/>
      </c>
      <c r="R353" s="236" t="str">
        <f>IF(A353="","",IF(E353="","非役職",VLOOKUP('従業員情報(給与以外)'!$E353,入力シート!$AH$37:$AO$62,5,0)))</f>
        <v/>
      </c>
      <c r="S353" s="116" t="str">
        <f>IF(OR(入力シート!$C$5&lt;&gt;入力リスト!$N$4,COUNTIF(入力シート!$J$16:$S$23,入力リスト!$K$4)=0),"",IF($A353="","",IF(ISERROR(AVERAGEIF(従業員の給与情報!$B:$B,$A353,従業員の給与情報!$C:$C)),0,IF(ISERROR(AVERAGEIF(従業員の給与情報!$B:$B,$A353,従業員の給与情報!$C:$C)),0,AVERAGEIF(従業員の給与情報!$B:$B,$A353,従業員の給与情報!$C:$C)))))</f>
        <v/>
      </c>
      <c r="T353" s="116" t="str">
        <f>IF(OR(入力シート!$C$5&lt;&gt;入力リスト!$N$4,COUNTIF(入力シート!$J$16:$S$23,入力リスト!$K$4)=0),"",IF(A353="","",IF(ISERROR(AVERAGEIF(従業員の給与情報!$B:$B,$A353,従業員の給与情報!$D:$D)),0,IF(ISERROR(AVERAGEIF(従業員の給与情報!$B:$B,$A353,従業員の給与情報!$D:$D)),0,AVERAGEIF(従業員の給与情報!$B:$B,$A353,従業員の給与情報!$D:$D)))))</f>
        <v/>
      </c>
      <c r="U353" s="116" t="str">
        <f>IF(OR(入力シート!$C$5&lt;&gt;入力リスト!$N$4,COUNTIF(入力シート!$J$16:$S$23,入力リスト!$K$4)=0),"",IF(A353="","",IF(ISERROR(AVERAGEIF(従業員の給与情報!$B:$B,$A353,従業員の給与情報!$E:$E)),0,IF(ISERROR(AVERAGEIF(従業員の給与情報!$B:$B,$A353,従業員の給与情報!$E:$E)),0,AVERAGEIF(従業員の給与情報!$B:$B,$A353,従業員の給与情報!$E:$E)))))</f>
        <v/>
      </c>
      <c r="V353" s="117" t="str">
        <f>IF(OR(入力シート!$C$5&lt;&gt;入力リスト!$N$4,COUNTIF(入力シート!$J$16:$S$23,入力リスト!$K$4)=0),"",IF(A353="","",IF(ISERROR(AVERAGEIF(従業員の給与情報!$B:$B,$A353,従業員の給与情報!$F:$F)),0,IF(ISERROR(AVERAGEIF(従業員の給与情報!$B:$B,$A353,従業員の給与情報!$F:$F)),0,AVERAGEIF(従業員の給与情報!$B:$B,$A353,従業員の給与情報!$F:$F)))))</f>
        <v/>
      </c>
      <c r="W353" s="182"/>
      <c r="X353" s="260"/>
    </row>
    <row r="354" spans="1:24">
      <c r="A354" s="368"/>
      <c r="B354" s="361"/>
      <c r="C354" s="362"/>
      <c r="D354" s="361"/>
      <c r="E354" s="361"/>
      <c r="F354" s="372" t="str">
        <f>IF(G354,"この従業員番号は、すでに他のセルで入力されています。",IF(入力シート!$C$5=入力リスト!$N$5,"",IF(AND(A354="",B354="",C354="",D354="",E354=""),"",IF(OR(A354="",B354="",C354="",D354=""),IF(A354="","従業員番号","")&amp;IF(AND(A354="",OR(B354="",C354="",D354="")),",","")&amp;IF(B354="","雇用形態","")&amp;IF(AND(B354="",OR(C354="",D354="")),",","")&amp;IF(OR(入力シート!$J$18=入力リスト!$K$4,入力シート!$J$22=入力リスト!$K$4),IF(C354="","入社年月日",""),"")&amp;IF(AND(C354="",D354=""),",","")&amp;IF(D354="","性別","")&amp;IF(IF(A354="","従業員番号","")&amp;IF(B354="","雇用形態","")&amp;IF(OR(入力シート!$J$18=入力リスト!$K$4,入力シート!$J$22=入力リスト!$K$4),IF(C354="","入社年月日",""),"")&amp;IF(D354="","性別","")="","","が空白です。"),IF(J354,"入社年月日に「基準日」の翌日以降の日付が入力されています。","")&amp;IF(I354,"入社年月日に数値以外（又は1900/1/1以前の日付）が入力されています。","")&amp;IF(H354,"雇用形態"&amp;IF(OR(K354,L354),",",""),"")&amp;IF(K354,"性別"&amp;IF(L354,",",""),"")&amp;IF(L354,"役職","")&amp;IF(OR(H354,K354,L354),"に、［入力シート］(4)「貴社」欄と異なる文言が入力されています。","")))))</f>
        <v/>
      </c>
      <c r="G354" s="236" t="b">
        <f>COUNTIF($A$4:A353,$A354)&gt;0</f>
        <v>0</v>
      </c>
      <c r="H354" s="237" t="b">
        <f>IF(COUNTIF(入力シート!$J$16:$S$23,入力リスト!$K$4)=0,FALSE,IF(入力シート!$J$16=入力リスト!$K$5,FALSE,ISERROR(VLOOKUP(B354,入力シート!$S$37:$V$62,1,0))))</f>
        <v>0</v>
      </c>
      <c r="I354" s="237" t="b">
        <f>IF(AND(OR(入力シート!$J$18=入力リスト!$K$4,入力シート!$J$22=入力リスト!$K$4),入力シート!$J$24&lt;&gt;""),IF(ISERROR(C354+1),TRUE,IF(ISNUMBER(C354),FALSE,TRUE)),FALSE)</f>
        <v>0</v>
      </c>
      <c r="J354" s="237" t="b">
        <f>IF(AND(入力シート!$J$18=入力リスト!$K$4,入力シート!$J$22=入力リスト!$K$4),FALSE,IF(I354=TRUE,FALSE,IF(ISERROR(C354+1),FALSE,C354&gt;入力シート!$J$24)))</f>
        <v>0</v>
      </c>
      <c r="K354" s="237" t="b">
        <f>IF(COUNTIF(入力シート!$J$16:$S$23,入力リスト!$K$4)=0,FALSE,IF(AND(入力シート!$J$16&lt;&gt;入力リスト!$K$5,入力シート!$J$18&lt;&gt;入力リスト!$K$5,入力シート!$J$20&lt;&gt;入力リスト!$K$5,入力シート!$J$22&lt;&gt;入力リスト!$K$5),FALSE,ISERROR(VLOOKUP(D354,入力シート!$AW$37:$AY$38,1,0))))</f>
        <v>0</v>
      </c>
      <c r="L354" s="237" t="b">
        <f>IF(COUNTIF(入力シート!$J$16:$S$23,入力リスト!$K$4)=0,FALSE,IF(入力シート!$J$20=入力リスト!$K$5,FALSE,IF(E354="",FALSE,ISERROR(VLOOKUP(E354,入力シート!$AH$37:$AK$62,1,0)))))</f>
        <v>0</v>
      </c>
      <c r="M354" s="238" t="str">
        <f t="shared" si="5"/>
        <v/>
      </c>
      <c r="N354" s="236" t="str">
        <f>IF(B354="","",VLOOKUP('従業員情報(給与以外)'!$B354,入力シート!$S$37:$Z$62,5,0))</f>
        <v/>
      </c>
      <c r="O354" s="182" t="str">
        <f>IF(ISNUMBER(C354)=FALSE,"",IF(C354&gt;入力シート!$J$24,"",_xlfn.DAYS(入力シート!$J$24,'従業員情報(給与以外)'!$C354)/365))</f>
        <v/>
      </c>
      <c r="P354" s="237" t="str">
        <f>IF(O354="","",VLOOKUP(_xlfn.DAYS(入力シート!$J$24,'従業員情報(給与以外)'!$C354)/365,入力リスト!$H$4:$I$12,2,2))</f>
        <v/>
      </c>
      <c r="Q354" s="236" t="str">
        <f>IF(D354="","",VLOOKUP('従業員情報(給与以外)'!$D354,入力シート!$AW$37:$BB$38,4,0))</f>
        <v/>
      </c>
      <c r="R354" s="236" t="str">
        <f>IF(A354="","",IF(E354="","非役職",VLOOKUP('従業員情報(給与以外)'!$E354,入力シート!$AH$37:$AO$62,5,0)))</f>
        <v/>
      </c>
      <c r="S354" s="116" t="str">
        <f>IF(OR(入力シート!$C$5&lt;&gt;入力リスト!$N$4,COUNTIF(入力シート!$J$16:$S$23,入力リスト!$K$4)=0),"",IF($A354="","",IF(ISERROR(AVERAGEIF(従業員の給与情報!$B:$B,$A354,従業員の給与情報!$C:$C)),0,IF(ISERROR(AVERAGEIF(従業員の給与情報!$B:$B,$A354,従業員の給与情報!$C:$C)),0,AVERAGEIF(従業員の給与情報!$B:$B,$A354,従業員の給与情報!$C:$C)))))</f>
        <v/>
      </c>
      <c r="T354" s="116" t="str">
        <f>IF(OR(入力シート!$C$5&lt;&gt;入力リスト!$N$4,COUNTIF(入力シート!$J$16:$S$23,入力リスト!$K$4)=0),"",IF(A354="","",IF(ISERROR(AVERAGEIF(従業員の給与情報!$B:$B,$A354,従業員の給与情報!$D:$D)),0,IF(ISERROR(AVERAGEIF(従業員の給与情報!$B:$B,$A354,従業員の給与情報!$D:$D)),0,AVERAGEIF(従業員の給与情報!$B:$B,$A354,従業員の給与情報!$D:$D)))))</f>
        <v/>
      </c>
      <c r="U354" s="116" t="str">
        <f>IF(OR(入力シート!$C$5&lt;&gt;入力リスト!$N$4,COUNTIF(入力シート!$J$16:$S$23,入力リスト!$K$4)=0),"",IF(A354="","",IF(ISERROR(AVERAGEIF(従業員の給与情報!$B:$B,$A354,従業員の給与情報!$E:$E)),0,IF(ISERROR(AVERAGEIF(従業員の給与情報!$B:$B,$A354,従業員の給与情報!$E:$E)),0,AVERAGEIF(従業員の給与情報!$B:$B,$A354,従業員の給与情報!$E:$E)))))</f>
        <v/>
      </c>
      <c r="V354" s="117" t="str">
        <f>IF(OR(入力シート!$C$5&lt;&gt;入力リスト!$N$4,COUNTIF(入力シート!$J$16:$S$23,入力リスト!$K$4)=0),"",IF(A354="","",IF(ISERROR(AVERAGEIF(従業員の給与情報!$B:$B,$A354,従業員の給与情報!$F:$F)),0,IF(ISERROR(AVERAGEIF(従業員の給与情報!$B:$B,$A354,従業員の給与情報!$F:$F)),0,AVERAGEIF(従業員の給与情報!$B:$B,$A354,従業員の給与情報!$F:$F)))))</f>
        <v/>
      </c>
      <c r="W354" s="182"/>
      <c r="X354" s="260"/>
    </row>
    <row r="355" spans="1:24">
      <c r="A355" s="368"/>
      <c r="B355" s="361"/>
      <c r="C355" s="362"/>
      <c r="D355" s="361"/>
      <c r="E355" s="361"/>
      <c r="F355" s="372" t="str">
        <f>IF(G355,"この従業員番号は、すでに他のセルで入力されています。",IF(入力シート!$C$5=入力リスト!$N$5,"",IF(AND(A355="",B355="",C355="",D355="",E355=""),"",IF(OR(A355="",B355="",C355="",D355=""),IF(A355="","従業員番号","")&amp;IF(AND(A355="",OR(B355="",C355="",D355="")),",","")&amp;IF(B355="","雇用形態","")&amp;IF(AND(B355="",OR(C355="",D355="")),",","")&amp;IF(OR(入力シート!$J$18=入力リスト!$K$4,入力シート!$J$22=入力リスト!$K$4),IF(C355="","入社年月日",""),"")&amp;IF(AND(C355="",D355=""),",","")&amp;IF(D355="","性別","")&amp;IF(IF(A355="","従業員番号","")&amp;IF(B355="","雇用形態","")&amp;IF(OR(入力シート!$J$18=入力リスト!$K$4,入力シート!$J$22=入力リスト!$K$4),IF(C355="","入社年月日",""),"")&amp;IF(D355="","性別","")="","","が空白です。"),IF(J355,"入社年月日に「基準日」の翌日以降の日付が入力されています。","")&amp;IF(I355,"入社年月日に数値以外（又は1900/1/1以前の日付）が入力されています。","")&amp;IF(H355,"雇用形態"&amp;IF(OR(K355,L355),",",""),"")&amp;IF(K355,"性別"&amp;IF(L355,",",""),"")&amp;IF(L355,"役職","")&amp;IF(OR(H355,K355,L355),"に、［入力シート］(4)「貴社」欄と異なる文言が入力されています。","")))))</f>
        <v/>
      </c>
      <c r="G355" s="236" t="b">
        <f>COUNTIF($A$4:A354,$A355)&gt;0</f>
        <v>0</v>
      </c>
      <c r="H355" s="237" t="b">
        <f>IF(COUNTIF(入力シート!$J$16:$S$23,入力リスト!$K$4)=0,FALSE,IF(入力シート!$J$16=入力リスト!$K$5,FALSE,ISERROR(VLOOKUP(B355,入力シート!$S$37:$V$62,1,0))))</f>
        <v>0</v>
      </c>
      <c r="I355" s="237" t="b">
        <f>IF(AND(OR(入力シート!$J$18=入力リスト!$K$4,入力シート!$J$22=入力リスト!$K$4),入力シート!$J$24&lt;&gt;""),IF(ISERROR(C355+1),TRUE,IF(ISNUMBER(C355),FALSE,TRUE)),FALSE)</f>
        <v>0</v>
      </c>
      <c r="J355" s="237" t="b">
        <f>IF(AND(入力シート!$J$18=入力リスト!$K$4,入力シート!$J$22=入力リスト!$K$4),FALSE,IF(I355=TRUE,FALSE,IF(ISERROR(C355+1),FALSE,C355&gt;入力シート!$J$24)))</f>
        <v>0</v>
      </c>
      <c r="K355" s="237" t="b">
        <f>IF(COUNTIF(入力シート!$J$16:$S$23,入力リスト!$K$4)=0,FALSE,IF(AND(入力シート!$J$16&lt;&gt;入力リスト!$K$5,入力シート!$J$18&lt;&gt;入力リスト!$K$5,入力シート!$J$20&lt;&gt;入力リスト!$K$5,入力シート!$J$22&lt;&gt;入力リスト!$K$5),FALSE,ISERROR(VLOOKUP(D355,入力シート!$AW$37:$AY$38,1,0))))</f>
        <v>0</v>
      </c>
      <c r="L355" s="237" t="b">
        <f>IF(COUNTIF(入力シート!$J$16:$S$23,入力リスト!$K$4)=0,FALSE,IF(入力シート!$J$20=入力リスト!$K$5,FALSE,IF(E355="",FALSE,ISERROR(VLOOKUP(E355,入力シート!$AH$37:$AK$62,1,0)))))</f>
        <v>0</v>
      </c>
      <c r="M355" s="238" t="str">
        <f t="shared" si="5"/>
        <v/>
      </c>
      <c r="N355" s="236" t="str">
        <f>IF(B355="","",VLOOKUP('従業員情報(給与以外)'!$B355,入力シート!$S$37:$Z$62,5,0))</f>
        <v/>
      </c>
      <c r="O355" s="182" t="str">
        <f>IF(ISNUMBER(C355)=FALSE,"",IF(C355&gt;入力シート!$J$24,"",_xlfn.DAYS(入力シート!$J$24,'従業員情報(給与以外)'!$C355)/365))</f>
        <v/>
      </c>
      <c r="P355" s="237" t="str">
        <f>IF(O355="","",VLOOKUP(_xlfn.DAYS(入力シート!$J$24,'従業員情報(給与以外)'!$C355)/365,入力リスト!$H$4:$I$12,2,2))</f>
        <v/>
      </c>
      <c r="Q355" s="236" t="str">
        <f>IF(D355="","",VLOOKUP('従業員情報(給与以外)'!$D355,入力シート!$AW$37:$BB$38,4,0))</f>
        <v/>
      </c>
      <c r="R355" s="236" t="str">
        <f>IF(A355="","",IF(E355="","非役職",VLOOKUP('従業員情報(給与以外)'!$E355,入力シート!$AH$37:$AO$62,5,0)))</f>
        <v/>
      </c>
      <c r="S355" s="116" t="str">
        <f>IF(OR(入力シート!$C$5&lt;&gt;入力リスト!$N$4,COUNTIF(入力シート!$J$16:$S$23,入力リスト!$K$4)=0),"",IF($A355="","",IF(ISERROR(AVERAGEIF(従業員の給与情報!$B:$B,$A355,従業員の給与情報!$C:$C)),0,IF(ISERROR(AVERAGEIF(従業員の給与情報!$B:$B,$A355,従業員の給与情報!$C:$C)),0,AVERAGEIF(従業員の給与情報!$B:$B,$A355,従業員の給与情報!$C:$C)))))</f>
        <v/>
      </c>
      <c r="T355" s="116" t="str">
        <f>IF(OR(入力シート!$C$5&lt;&gt;入力リスト!$N$4,COUNTIF(入力シート!$J$16:$S$23,入力リスト!$K$4)=0),"",IF(A355="","",IF(ISERROR(AVERAGEIF(従業員の給与情報!$B:$B,$A355,従業員の給与情報!$D:$D)),0,IF(ISERROR(AVERAGEIF(従業員の給与情報!$B:$B,$A355,従業員の給与情報!$D:$D)),0,AVERAGEIF(従業員の給与情報!$B:$B,$A355,従業員の給与情報!$D:$D)))))</f>
        <v/>
      </c>
      <c r="U355" s="116" t="str">
        <f>IF(OR(入力シート!$C$5&lt;&gt;入力リスト!$N$4,COUNTIF(入力シート!$J$16:$S$23,入力リスト!$K$4)=0),"",IF(A355="","",IF(ISERROR(AVERAGEIF(従業員の給与情報!$B:$B,$A355,従業員の給与情報!$E:$E)),0,IF(ISERROR(AVERAGEIF(従業員の給与情報!$B:$B,$A355,従業員の給与情報!$E:$E)),0,AVERAGEIF(従業員の給与情報!$B:$B,$A355,従業員の給与情報!$E:$E)))))</f>
        <v/>
      </c>
      <c r="V355" s="117" t="str">
        <f>IF(OR(入力シート!$C$5&lt;&gt;入力リスト!$N$4,COUNTIF(入力シート!$J$16:$S$23,入力リスト!$K$4)=0),"",IF(A355="","",IF(ISERROR(AVERAGEIF(従業員の給与情報!$B:$B,$A355,従業員の給与情報!$F:$F)),0,IF(ISERROR(AVERAGEIF(従業員の給与情報!$B:$B,$A355,従業員の給与情報!$F:$F)),0,AVERAGEIF(従業員の給与情報!$B:$B,$A355,従業員の給与情報!$F:$F)))))</f>
        <v/>
      </c>
      <c r="W355" s="182"/>
      <c r="X355" s="260"/>
    </row>
    <row r="356" spans="1:24">
      <c r="A356" s="368"/>
      <c r="B356" s="361"/>
      <c r="C356" s="362"/>
      <c r="D356" s="361"/>
      <c r="E356" s="361"/>
      <c r="F356" s="372" t="str">
        <f>IF(G356,"この従業員番号は、すでに他のセルで入力されています。",IF(入力シート!$C$5=入力リスト!$N$5,"",IF(AND(A356="",B356="",C356="",D356="",E356=""),"",IF(OR(A356="",B356="",C356="",D356=""),IF(A356="","従業員番号","")&amp;IF(AND(A356="",OR(B356="",C356="",D356="")),",","")&amp;IF(B356="","雇用形態","")&amp;IF(AND(B356="",OR(C356="",D356="")),",","")&amp;IF(OR(入力シート!$J$18=入力リスト!$K$4,入力シート!$J$22=入力リスト!$K$4),IF(C356="","入社年月日",""),"")&amp;IF(AND(C356="",D356=""),",","")&amp;IF(D356="","性別","")&amp;IF(IF(A356="","従業員番号","")&amp;IF(B356="","雇用形態","")&amp;IF(OR(入力シート!$J$18=入力リスト!$K$4,入力シート!$J$22=入力リスト!$K$4),IF(C356="","入社年月日",""),"")&amp;IF(D356="","性別","")="","","が空白です。"),IF(J356,"入社年月日に「基準日」の翌日以降の日付が入力されています。","")&amp;IF(I356,"入社年月日に数値以外（又は1900/1/1以前の日付）が入力されています。","")&amp;IF(H356,"雇用形態"&amp;IF(OR(K356,L356),",",""),"")&amp;IF(K356,"性別"&amp;IF(L356,",",""),"")&amp;IF(L356,"役職","")&amp;IF(OR(H356,K356,L356),"に、［入力シート］(4)「貴社」欄と異なる文言が入力されています。","")))))</f>
        <v/>
      </c>
      <c r="G356" s="236" t="b">
        <f>COUNTIF($A$4:A355,$A356)&gt;0</f>
        <v>0</v>
      </c>
      <c r="H356" s="237" t="b">
        <f>IF(COUNTIF(入力シート!$J$16:$S$23,入力リスト!$K$4)=0,FALSE,IF(入力シート!$J$16=入力リスト!$K$5,FALSE,ISERROR(VLOOKUP(B356,入力シート!$S$37:$V$62,1,0))))</f>
        <v>0</v>
      </c>
      <c r="I356" s="237" t="b">
        <f>IF(AND(OR(入力シート!$J$18=入力リスト!$K$4,入力シート!$J$22=入力リスト!$K$4),入力シート!$J$24&lt;&gt;""),IF(ISERROR(C356+1),TRUE,IF(ISNUMBER(C356),FALSE,TRUE)),FALSE)</f>
        <v>0</v>
      </c>
      <c r="J356" s="237" t="b">
        <f>IF(AND(入力シート!$J$18=入力リスト!$K$4,入力シート!$J$22=入力リスト!$K$4),FALSE,IF(I356=TRUE,FALSE,IF(ISERROR(C356+1),FALSE,C356&gt;入力シート!$J$24)))</f>
        <v>0</v>
      </c>
      <c r="K356" s="237" t="b">
        <f>IF(COUNTIF(入力シート!$J$16:$S$23,入力リスト!$K$4)=0,FALSE,IF(AND(入力シート!$J$16&lt;&gt;入力リスト!$K$5,入力シート!$J$18&lt;&gt;入力リスト!$K$5,入力シート!$J$20&lt;&gt;入力リスト!$K$5,入力シート!$J$22&lt;&gt;入力リスト!$K$5),FALSE,ISERROR(VLOOKUP(D356,入力シート!$AW$37:$AY$38,1,0))))</f>
        <v>0</v>
      </c>
      <c r="L356" s="237" t="b">
        <f>IF(COUNTIF(入力シート!$J$16:$S$23,入力リスト!$K$4)=0,FALSE,IF(入力シート!$J$20=入力リスト!$K$5,FALSE,IF(E356="",FALSE,ISERROR(VLOOKUP(E356,入力シート!$AH$37:$AK$62,1,0)))))</f>
        <v>0</v>
      </c>
      <c r="M356" s="238" t="str">
        <f t="shared" si="5"/>
        <v/>
      </c>
      <c r="N356" s="236" t="str">
        <f>IF(B356="","",VLOOKUP('従業員情報(給与以外)'!$B356,入力シート!$S$37:$Z$62,5,0))</f>
        <v/>
      </c>
      <c r="O356" s="182" t="str">
        <f>IF(ISNUMBER(C356)=FALSE,"",IF(C356&gt;入力シート!$J$24,"",_xlfn.DAYS(入力シート!$J$24,'従業員情報(給与以外)'!$C356)/365))</f>
        <v/>
      </c>
      <c r="P356" s="237" t="str">
        <f>IF(O356="","",VLOOKUP(_xlfn.DAYS(入力シート!$J$24,'従業員情報(給与以外)'!$C356)/365,入力リスト!$H$4:$I$12,2,2))</f>
        <v/>
      </c>
      <c r="Q356" s="236" t="str">
        <f>IF(D356="","",VLOOKUP('従業員情報(給与以外)'!$D356,入力シート!$AW$37:$BB$38,4,0))</f>
        <v/>
      </c>
      <c r="R356" s="236" t="str">
        <f>IF(A356="","",IF(E356="","非役職",VLOOKUP('従業員情報(給与以外)'!$E356,入力シート!$AH$37:$AO$62,5,0)))</f>
        <v/>
      </c>
      <c r="S356" s="116" t="str">
        <f>IF(OR(入力シート!$C$5&lt;&gt;入力リスト!$N$4,COUNTIF(入力シート!$J$16:$S$23,入力リスト!$K$4)=0),"",IF($A356="","",IF(ISERROR(AVERAGEIF(従業員の給与情報!$B:$B,$A356,従業員の給与情報!$C:$C)),0,IF(ISERROR(AVERAGEIF(従業員の給与情報!$B:$B,$A356,従業員の給与情報!$C:$C)),0,AVERAGEIF(従業員の給与情報!$B:$B,$A356,従業員の給与情報!$C:$C)))))</f>
        <v/>
      </c>
      <c r="T356" s="116" t="str">
        <f>IF(OR(入力シート!$C$5&lt;&gt;入力リスト!$N$4,COUNTIF(入力シート!$J$16:$S$23,入力リスト!$K$4)=0),"",IF(A356="","",IF(ISERROR(AVERAGEIF(従業員の給与情報!$B:$B,$A356,従業員の給与情報!$D:$D)),0,IF(ISERROR(AVERAGEIF(従業員の給与情報!$B:$B,$A356,従業員の給与情報!$D:$D)),0,AVERAGEIF(従業員の給与情報!$B:$B,$A356,従業員の給与情報!$D:$D)))))</f>
        <v/>
      </c>
      <c r="U356" s="116" t="str">
        <f>IF(OR(入力シート!$C$5&lt;&gt;入力リスト!$N$4,COUNTIF(入力シート!$J$16:$S$23,入力リスト!$K$4)=0),"",IF(A356="","",IF(ISERROR(AVERAGEIF(従業員の給与情報!$B:$B,$A356,従業員の給与情報!$E:$E)),0,IF(ISERROR(AVERAGEIF(従業員の給与情報!$B:$B,$A356,従業員の給与情報!$E:$E)),0,AVERAGEIF(従業員の給与情報!$B:$B,$A356,従業員の給与情報!$E:$E)))))</f>
        <v/>
      </c>
      <c r="V356" s="117" t="str">
        <f>IF(OR(入力シート!$C$5&lt;&gt;入力リスト!$N$4,COUNTIF(入力シート!$J$16:$S$23,入力リスト!$K$4)=0),"",IF(A356="","",IF(ISERROR(AVERAGEIF(従業員の給与情報!$B:$B,$A356,従業員の給与情報!$F:$F)),0,IF(ISERROR(AVERAGEIF(従業員の給与情報!$B:$B,$A356,従業員の給与情報!$F:$F)),0,AVERAGEIF(従業員の給与情報!$B:$B,$A356,従業員の給与情報!$F:$F)))))</f>
        <v/>
      </c>
      <c r="W356" s="182"/>
      <c r="X356" s="260"/>
    </row>
    <row r="357" spans="1:24">
      <c r="A357" s="368"/>
      <c r="B357" s="361"/>
      <c r="C357" s="362"/>
      <c r="D357" s="361"/>
      <c r="E357" s="361"/>
      <c r="F357" s="372" t="str">
        <f>IF(G357,"この従業員番号は、すでに他のセルで入力されています。",IF(入力シート!$C$5=入力リスト!$N$5,"",IF(AND(A357="",B357="",C357="",D357="",E357=""),"",IF(OR(A357="",B357="",C357="",D357=""),IF(A357="","従業員番号","")&amp;IF(AND(A357="",OR(B357="",C357="",D357="")),",","")&amp;IF(B357="","雇用形態","")&amp;IF(AND(B357="",OR(C357="",D357="")),",","")&amp;IF(OR(入力シート!$J$18=入力リスト!$K$4,入力シート!$J$22=入力リスト!$K$4),IF(C357="","入社年月日",""),"")&amp;IF(AND(C357="",D357=""),",","")&amp;IF(D357="","性別","")&amp;IF(IF(A357="","従業員番号","")&amp;IF(B357="","雇用形態","")&amp;IF(OR(入力シート!$J$18=入力リスト!$K$4,入力シート!$J$22=入力リスト!$K$4),IF(C357="","入社年月日",""),"")&amp;IF(D357="","性別","")="","","が空白です。"),IF(J357,"入社年月日に「基準日」の翌日以降の日付が入力されています。","")&amp;IF(I357,"入社年月日に数値以外（又は1900/1/1以前の日付）が入力されています。","")&amp;IF(H357,"雇用形態"&amp;IF(OR(K357,L357),",",""),"")&amp;IF(K357,"性別"&amp;IF(L357,",",""),"")&amp;IF(L357,"役職","")&amp;IF(OR(H357,K357,L357),"に、［入力シート］(4)「貴社」欄と異なる文言が入力されています。","")))))</f>
        <v/>
      </c>
      <c r="G357" s="236" t="b">
        <f>COUNTIF($A$4:A356,$A357)&gt;0</f>
        <v>0</v>
      </c>
      <c r="H357" s="237" t="b">
        <f>IF(COUNTIF(入力シート!$J$16:$S$23,入力リスト!$K$4)=0,FALSE,IF(入力シート!$J$16=入力リスト!$K$5,FALSE,ISERROR(VLOOKUP(B357,入力シート!$S$37:$V$62,1,0))))</f>
        <v>0</v>
      </c>
      <c r="I357" s="237" t="b">
        <f>IF(AND(OR(入力シート!$J$18=入力リスト!$K$4,入力シート!$J$22=入力リスト!$K$4),入力シート!$J$24&lt;&gt;""),IF(ISERROR(C357+1),TRUE,IF(ISNUMBER(C357),FALSE,TRUE)),FALSE)</f>
        <v>0</v>
      </c>
      <c r="J357" s="237" t="b">
        <f>IF(AND(入力シート!$J$18=入力リスト!$K$4,入力シート!$J$22=入力リスト!$K$4),FALSE,IF(I357=TRUE,FALSE,IF(ISERROR(C357+1),FALSE,C357&gt;入力シート!$J$24)))</f>
        <v>0</v>
      </c>
      <c r="K357" s="237" t="b">
        <f>IF(COUNTIF(入力シート!$J$16:$S$23,入力リスト!$K$4)=0,FALSE,IF(AND(入力シート!$J$16&lt;&gt;入力リスト!$K$5,入力シート!$J$18&lt;&gt;入力リスト!$K$5,入力シート!$J$20&lt;&gt;入力リスト!$K$5,入力シート!$J$22&lt;&gt;入力リスト!$K$5),FALSE,ISERROR(VLOOKUP(D357,入力シート!$AW$37:$AY$38,1,0))))</f>
        <v>0</v>
      </c>
      <c r="L357" s="237" t="b">
        <f>IF(COUNTIF(入力シート!$J$16:$S$23,入力リスト!$K$4)=0,FALSE,IF(入力シート!$J$20=入力リスト!$K$5,FALSE,IF(E357="",FALSE,ISERROR(VLOOKUP(E357,入力シート!$AH$37:$AK$62,1,0)))))</f>
        <v>0</v>
      </c>
      <c r="M357" s="238" t="str">
        <f t="shared" si="5"/>
        <v/>
      </c>
      <c r="N357" s="236" t="str">
        <f>IF(B357="","",VLOOKUP('従業員情報(給与以外)'!$B357,入力シート!$S$37:$Z$62,5,0))</f>
        <v/>
      </c>
      <c r="O357" s="182" t="str">
        <f>IF(ISNUMBER(C357)=FALSE,"",IF(C357&gt;入力シート!$J$24,"",_xlfn.DAYS(入力シート!$J$24,'従業員情報(給与以外)'!$C357)/365))</f>
        <v/>
      </c>
      <c r="P357" s="237" t="str">
        <f>IF(O357="","",VLOOKUP(_xlfn.DAYS(入力シート!$J$24,'従業員情報(給与以外)'!$C357)/365,入力リスト!$H$4:$I$12,2,2))</f>
        <v/>
      </c>
      <c r="Q357" s="236" t="str">
        <f>IF(D357="","",VLOOKUP('従業員情報(給与以外)'!$D357,入力シート!$AW$37:$BB$38,4,0))</f>
        <v/>
      </c>
      <c r="R357" s="236" t="str">
        <f>IF(A357="","",IF(E357="","非役職",VLOOKUP('従業員情報(給与以外)'!$E357,入力シート!$AH$37:$AO$62,5,0)))</f>
        <v/>
      </c>
      <c r="S357" s="116" t="str">
        <f>IF(OR(入力シート!$C$5&lt;&gt;入力リスト!$N$4,COUNTIF(入力シート!$J$16:$S$23,入力リスト!$K$4)=0),"",IF($A357="","",IF(ISERROR(AVERAGEIF(従業員の給与情報!$B:$B,$A357,従業員の給与情報!$C:$C)),0,IF(ISERROR(AVERAGEIF(従業員の給与情報!$B:$B,$A357,従業員の給与情報!$C:$C)),0,AVERAGEIF(従業員の給与情報!$B:$B,$A357,従業員の給与情報!$C:$C)))))</f>
        <v/>
      </c>
      <c r="T357" s="116" t="str">
        <f>IF(OR(入力シート!$C$5&lt;&gt;入力リスト!$N$4,COUNTIF(入力シート!$J$16:$S$23,入力リスト!$K$4)=0),"",IF(A357="","",IF(ISERROR(AVERAGEIF(従業員の給与情報!$B:$B,$A357,従業員の給与情報!$D:$D)),0,IF(ISERROR(AVERAGEIF(従業員の給与情報!$B:$B,$A357,従業員の給与情報!$D:$D)),0,AVERAGEIF(従業員の給与情報!$B:$B,$A357,従業員の給与情報!$D:$D)))))</f>
        <v/>
      </c>
      <c r="U357" s="116" t="str">
        <f>IF(OR(入力シート!$C$5&lt;&gt;入力リスト!$N$4,COUNTIF(入力シート!$J$16:$S$23,入力リスト!$K$4)=0),"",IF(A357="","",IF(ISERROR(AVERAGEIF(従業員の給与情報!$B:$B,$A357,従業員の給与情報!$E:$E)),0,IF(ISERROR(AVERAGEIF(従業員の給与情報!$B:$B,$A357,従業員の給与情報!$E:$E)),0,AVERAGEIF(従業員の給与情報!$B:$B,$A357,従業員の給与情報!$E:$E)))))</f>
        <v/>
      </c>
      <c r="V357" s="117" t="str">
        <f>IF(OR(入力シート!$C$5&lt;&gt;入力リスト!$N$4,COUNTIF(入力シート!$J$16:$S$23,入力リスト!$K$4)=0),"",IF(A357="","",IF(ISERROR(AVERAGEIF(従業員の給与情報!$B:$B,$A357,従業員の給与情報!$F:$F)),0,IF(ISERROR(AVERAGEIF(従業員の給与情報!$B:$B,$A357,従業員の給与情報!$F:$F)),0,AVERAGEIF(従業員の給与情報!$B:$B,$A357,従業員の給与情報!$F:$F)))))</f>
        <v/>
      </c>
      <c r="W357" s="182"/>
      <c r="X357" s="260"/>
    </row>
    <row r="358" spans="1:24">
      <c r="A358" s="368"/>
      <c r="B358" s="361"/>
      <c r="C358" s="362"/>
      <c r="D358" s="361"/>
      <c r="E358" s="361"/>
      <c r="F358" s="372" t="str">
        <f>IF(G358,"この従業員番号は、すでに他のセルで入力されています。",IF(入力シート!$C$5=入力リスト!$N$5,"",IF(AND(A358="",B358="",C358="",D358="",E358=""),"",IF(OR(A358="",B358="",C358="",D358=""),IF(A358="","従業員番号","")&amp;IF(AND(A358="",OR(B358="",C358="",D358="")),",","")&amp;IF(B358="","雇用形態","")&amp;IF(AND(B358="",OR(C358="",D358="")),",","")&amp;IF(OR(入力シート!$J$18=入力リスト!$K$4,入力シート!$J$22=入力リスト!$K$4),IF(C358="","入社年月日",""),"")&amp;IF(AND(C358="",D358=""),",","")&amp;IF(D358="","性別","")&amp;IF(IF(A358="","従業員番号","")&amp;IF(B358="","雇用形態","")&amp;IF(OR(入力シート!$J$18=入力リスト!$K$4,入力シート!$J$22=入力リスト!$K$4),IF(C358="","入社年月日",""),"")&amp;IF(D358="","性別","")="","","が空白です。"),IF(J358,"入社年月日に「基準日」の翌日以降の日付が入力されています。","")&amp;IF(I358,"入社年月日に数値以外（又は1900/1/1以前の日付）が入力されています。","")&amp;IF(H358,"雇用形態"&amp;IF(OR(K358,L358),",",""),"")&amp;IF(K358,"性別"&amp;IF(L358,",",""),"")&amp;IF(L358,"役職","")&amp;IF(OR(H358,K358,L358),"に、［入力シート］(4)「貴社」欄と異なる文言が入力されています。","")))))</f>
        <v/>
      </c>
      <c r="G358" s="236" t="b">
        <f>COUNTIF($A$4:A357,$A358)&gt;0</f>
        <v>0</v>
      </c>
      <c r="H358" s="237" t="b">
        <f>IF(COUNTIF(入力シート!$J$16:$S$23,入力リスト!$K$4)=0,FALSE,IF(入力シート!$J$16=入力リスト!$K$5,FALSE,ISERROR(VLOOKUP(B358,入力シート!$S$37:$V$62,1,0))))</f>
        <v>0</v>
      </c>
      <c r="I358" s="237" t="b">
        <f>IF(AND(OR(入力シート!$J$18=入力リスト!$K$4,入力シート!$J$22=入力リスト!$K$4),入力シート!$J$24&lt;&gt;""),IF(ISERROR(C358+1),TRUE,IF(ISNUMBER(C358),FALSE,TRUE)),FALSE)</f>
        <v>0</v>
      </c>
      <c r="J358" s="237" t="b">
        <f>IF(AND(入力シート!$J$18=入力リスト!$K$4,入力シート!$J$22=入力リスト!$K$4),FALSE,IF(I358=TRUE,FALSE,IF(ISERROR(C358+1),FALSE,C358&gt;入力シート!$J$24)))</f>
        <v>0</v>
      </c>
      <c r="K358" s="237" t="b">
        <f>IF(COUNTIF(入力シート!$J$16:$S$23,入力リスト!$K$4)=0,FALSE,IF(AND(入力シート!$J$16&lt;&gt;入力リスト!$K$5,入力シート!$J$18&lt;&gt;入力リスト!$K$5,入力シート!$J$20&lt;&gt;入力リスト!$K$5,入力シート!$J$22&lt;&gt;入力リスト!$K$5),FALSE,ISERROR(VLOOKUP(D358,入力シート!$AW$37:$AY$38,1,0))))</f>
        <v>0</v>
      </c>
      <c r="L358" s="237" t="b">
        <f>IF(COUNTIF(入力シート!$J$16:$S$23,入力リスト!$K$4)=0,FALSE,IF(入力シート!$J$20=入力リスト!$K$5,FALSE,IF(E358="",FALSE,ISERROR(VLOOKUP(E358,入力シート!$AH$37:$AK$62,1,0)))))</f>
        <v>0</v>
      </c>
      <c r="M358" s="238" t="str">
        <f t="shared" si="5"/>
        <v/>
      </c>
      <c r="N358" s="236" t="str">
        <f>IF(B358="","",VLOOKUP('従業員情報(給与以外)'!$B358,入力シート!$S$37:$Z$62,5,0))</f>
        <v/>
      </c>
      <c r="O358" s="182" t="str">
        <f>IF(ISNUMBER(C358)=FALSE,"",IF(C358&gt;入力シート!$J$24,"",_xlfn.DAYS(入力シート!$J$24,'従業員情報(給与以外)'!$C358)/365))</f>
        <v/>
      </c>
      <c r="P358" s="237" t="str">
        <f>IF(O358="","",VLOOKUP(_xlfn.DAYS(入力シート!$J$24,'従業員情報(給与以外)'!$C358)/365,入力リスト!$H$4:$I$12,2,2))</f>
        <v/>
      </c>
      <c r="Q358" s="236" t="str">
        <f>IF(D358="","",VLOOKUP('従業員情報(給与以外)'!$D358,入力シート!$AW$37:$BB$38,4,0))</f>
        <v/>
      </c>
      <c r="R358" s="236" t="str">
        <f>IF(A358="","",IF(E358="","非役職",VLOOKUP('従業員情報(給与以外)'!$E358,入力シート!$AH$37:$AO$62,5,0)))</f>
        <v/>
      </c>
      <c r="S358" s="116" t="str">
        <f>IF(OR(入力シート!$C$5&lt;&gt;入力リスト!$N$4,COUNTIF(入力シート!$J$16:$S$23,入力リスト!$K$4)=0),"",IF($A358="","",IF(ISERROR(AVERAGEIF(従業員の給与情報!$B:$B,$A358,従業員の給与情報!$C:$C)),0,IF(ISERROR(AVERAGEIF(従業員の給与情報!$B:$B,$A358,従業員の給与情報!$C:$C)),0,AVERAGEIF(従業員の給与情報!$B:$B,$A358,従業員の給与情報!$C:$C)))))</f>
        <v/>
      </c>
      <c r="T358" s="116" t="str">
        <f>IF(OR(入力シート!$C$5&lt;&gt;入力リスト!$N$4,COUNTIF(入力シート!$J$16:$S$23,入力リスト!$K$4)=0),"",IF(A358="","",IF(ISERROR(AVERAGEIF(従業員の給与情報!$B:$B,$A358,従業員の給与情報!$D:$D)),0,IF(ISERROR(AVERAGEIF(従業員の給与情報!$B:$B,$A358,従業員の給与情報!$D:$D)),0,AVERAGEIF(従業員の給与情報!$B:$B,$A358,従業員の給与情報!$D:$D)))))</f>
        <v/>
      </c>
      <c r="U358" s="116" t="str">
        <f>IF(OR(入力シート!$C$5&lt;&gt;入力リスト!$N$4,COUNTIF(入力シート!$J$16:$S$23,入力リスト!$K$4)=0),"",IF(A358="","",IF(ISERROR(AVERAGEIF(従業員の給与情報!$B:$B,$A358,従業員の給与情報!$E:$E)),0,IF(ISERROR(AVERAGEIF(従業員の給与情報!$B:$B,$A358,従業員の給与情報!$E:$E)),0,AVERAGEIF(従業員の給与情報!$B:$B,$A358,従業員の給与情報!$E:$E)))))</f>
        <v/>
      </c>
      <c r="V358" s="117" t="str">
        <f>IF(OR(入力シート!$C$5&lt;&gt;入力リスト!$N$4,COUNTIF(入力シート!$J$16:$S$23,入力リスト!$K$4)=0),"",IF(A358="","",IF(ISERROR(AVERAGEIF(従業員の給与情報!$B:$B,$A358,従業員の給与情報!$F:$F)),0,IF(ISERROR(AVERAGEIF(従業員の給与情報!$B:$B,$A358,従業員の給与情報!$F:$F)),0,AVERAGEIF(従業員の給与情報!$B:$B,$A358,従業員の給与情報!$F:$F)))))</f>
        <v/>
      </c>
      <c r="W358" s="182"/>
      <c r="X358" s="260"/>
    </row>
    <row r="359" spans="1:24">
      <c r="A359" s="368"/>
      <c r="B359" s="361"/>
      <c r="C359" s="362"/>
      <c r="D359" s="361"/>
      <c r="E359" s="361"/>
      <c r="F359" s="372" t="str">
        <f>IF(G359,"この従業員番号は、すでに他のセルで入力されています。",IF(入力シート!$C$5=入力リスト!$N$5,"",IF(AND(A359="",B359="",C359="",D359="",E359=""),"",IF(OR(A359="",B359="",C359="",D359=""),IF(A359="","従業員番号","")&amp;IF(AND(A359="",OR(B359="",C359="",D359="")),",","")&amp;IF(B359="","雇用形態","")&amp;IF(AND(B359="",OR(C359="",D359="")),",","")&amp;IF(OR(入力シート!$J$18=入力リスト!$K$4,入力シート!$J$22=入力リスト!$K$4),IF(C359="","入社年月日",""),"")&amp;IF(AND(C359="",D359=""),",","")&amp;IF(D359="","性別","")&amp;IF(IF(A359="","従業員番号","")&amp;IF(B359="","雇用形態","")&amp;IF(OR(入力シート!$J$18=入力リスト!$K$4,入力シート!$J$22=入力リスト!$K$4),IF(C359="","入社年月日",""),"")&amp;IF(D359="","性別","")="","","が空白です。"),IF(J359,"入社年月日に「基準日」の翌日以降の日付が入力されています。","")&amp;IF(I359,"入社年月日に数値以外（又は1900/1/1以前の日付）が入力されています。","")&amp;IF(H359,"雇用形態"&amp;IF(OR(K359,L359),",",""),"")&amp;IF(K359,"性別"&amp;IF(L359,",",""),"")&amp;IF(L359,"役職","")&amp;IF(OR(H359,K359,L359),"に、［入力シート］(4)「貴社」欄と異なる文言が入力されています。","")))))</f>
        <v/>
      </c>
      <c r="G359" s="236" t="b">
        <f>COUNTIF($A$4:A358,$A359)&gt;0</f>
        <v>0</v>
      </c>
      <c r="H359" s="237" t="b">
        <f>IF(COUNTIF(入力シート!$J$16:$S$23,入力リスト!$K$4)=0,FALSE,IF(入力シート!$J$16=入力リスト!$K$5,FALSE,ISERROR(VLOOKUP(B359,入力シート!$S$37:$V$62,1,0))))</f>
        <v>0</v>
      </c>
      <c r="I359" s="237" t="b">
        <f>IF(AND(OR(入力シート!$J$18=入力リスト!$K$4,入力シート!$J$22=入力リスト!$K$4),入力シート!$J$24&lt;&gt;""),IF(ISERROR(C359+1),TRUE,IF(ISNUMBER(C359),FALSE,TRUE)),FALSE)</f>
        <v>0</v>
      </c>
      <c r="J359" s="237" t="b">
        <f>IF(AND(入力シート!$J$18=入力リスト!$K$4,入力シート!$J$22=入力リスト!$K$4),FALSE,IF(I359=TRUE,FALSE,IF(ISERROR(C359+1),FALSE,C359&gt;入力シート!$J$24)))</f>
        <v>0</v>
      </c>
      <c r="K359" s="237" t="b">
        <f>IF(COUNTIF(入力シート!$J$16:$S$23,入力リスト!$K$4)=0,FALSE,IF(AND(入力シート!$J$16&lt;&gt;入力リスト!$K$5,入力シート!$J$18&lt;&gt;入力リスト!$K$5,入力シート!$J$20&lt;&gt;入力リスト!$K$5,入力シート!$J$22&lt;&gt;入力リスト!$K$5),FALSE,ISERROR(VLOOKUP(D359,入力シート!$AW$37:$AY$38,1,0))))</f>
        <v>0</v>
      </c>
      <c r="L359" s="237" t="b">
        <f>IF(COUNTIF(入力シート!$J$16:$S$23,入力リスト!$K$4)=0,FALSE,IF(入力シート!$J$20=入力リスト!$K$5,FALSE,IF(E359="",FALSE,ISERROR(VLOOKUP(E359,入力シート!$AH$37:$AK$62,1,0)))))</f>
        <v>0</v>
      </c>
      <c r="M359" s="238" t="str">
        <f t="shared" si="5"/>
        <v/>
      </c>
      <c r="N359" s="236" t="str">
        <f>IF(B359="","",VLOOKUP('従業員情報(給与以外)'!$B359,入力シート!$S$37:$Z$62,5,0))</f>
        <v/>
      </c>
      <c r="O359" s="182" t="str">
        <f>IF(ISNUMBER(C359)=FALSE,"",IF(C359&gt;入力シート!$J$24,"",_xlfn.DAYS(入力シート!$J$24,'従業員情報(給与以外)'!$C359)/365))</f>
        <v/>
      </c>
      <c r="P359" s="237" t="str">
        <f>IF(O359="","",VLOOKUP(_xlfn.DAYS(入力シート!$J$24,'従業員情報(給与以外)'!$C359)/365,入力リスト!$H$4:$I$12,2,2))</f>
        <v/>
      </c>
      <c r="Q359" s="236" t="str">
        <f>IF(D359="","",VLOOKUP('従業員情報(給与以外)'!$D359,入力シート!$AW$37:$BB$38,4,0))</f>
        <v/>
      </c>
      <c r="R359" s="236" t="str">
        <f>IF(A359="","",IF(E359="","非役職",VLOOKUP('従業員情報(給与以外)'!$E359,入力シート!$AH$37:$AO$62,5,0)))</f>
        <v/>
      </c>
      <c r="S359" s="116" t="str">
        <f>IF(OR(入力シート!$C$5&lt;&gt;入力リスト!$N$4,COUNTIF(入力シート!$J$16:$S$23,入力リスト!$K$4)=0),"",IF($A359="","",IF(ISERROR(AVERAGEIF(従業員の給与情報!$B:$B,$A359,従業員の給与情報!$C:$C)),0,IF(ISERROR(AVERAGEIF(従業員の給与情報!$B:$B,$A359,従業員の給与情報!$C:$C)),0,AVERAGEIF(従業員の給与情報!$B:$B,$A359,従業員の給与情報!$C:$C)))))</f>
        <v/>
      </c>
      <c r="T359" s="116" t="str">
        <f>IF(OR(入力シート!$C$5&lt;&gt;入力リスト!$N$4,COUNTIF(入力シート!$J$16:$S$23,入力リスト!$K$4)=0),"",IF(A359="","",IF(ISERROR(AVERAGEIF(従業員の給与情報!$B:$B,$A359,従業員の給与情報!$D:$D)),0,IF(ISERROR(AVERAGEIF(従業員の給与情報!$B:$B,$A359,従業員の給与情報!$D:$D)),0,AVERAGEIF(従業員の給与情報!$B:$B,$A359,従業員の給与情報!$D:$D)))))</f>
        <v/>
      </c>
      <c r="U359" s="116" t="str">
        <f>IF(OR(入力シート!$C$5&lt;&gt;入力リスト!$N$4,COUNTIF(入力シート!$J$16:$S$23,入力リスト!$K$4)=0),"",IF(A359="","",IF(ISERROR(AVERAGEIF(従業員の給与情報!$B:$B,$A359,従業員の給与情報!$E:$E)),0,IF(ISERROR(AVERAGEIF(従業員の給与情報!$B:$B,$A359,従業員の給与情報!$E:$E)),0,AVERAGEIF(従業員の給与情報!$B:$B,$A359,従業員の給与情報!$E:$E)))))</f>
        <v/>
      </c>
      <c r="V359" s="117" t="str">
        <f>IF(OR(入力シート!$C$5&lt;&gt;入力リスト!$N$4,COUNTIF(入力シート!$J$16:$S$23,入力リスト!$K$4)=0),"",IF(A359="","",IF(ISERROR(AVERAGEIF(従業員の給与情報!$B:$B,$A359,従業員の給与情報!$F:$F)),0,IF(ISERROR(AVERAGEIF(従業員の給与情報!$B:$B,$A359,従業員の給与情報!$F:$F)),0,AVERAGEIF(従業員の給与情報!$B:$B,$A359,従業員の給与情報!$F:$F)))))</f>
        <v/>
      </c>
      <c r="W359" s="182"/>
      <c r="X359" s="260"/>
    </row>
    <row r="360" spans="1:24">
      <c r="A360" s="368"/>
      <c r="B360" s="361"/>
      <c r="C360" s="362"/>
      <c r="D360" s="361"/>
      <c r="E360" s="361"/>
      <c r="F360" s="372" t="str">
        <f>IF(G360,"この従業員番号は、すでに他のセルで入力されています。",IF(入力シート!$C$5=入力リスト!$N$5,"",IF(AND(A360="",B360="",C360="",D360="",E360=""),"",IF(OR(A360="",B360="",C360="",D360=""),IF(A360="","従業員番号","")&amp;IF(AND(A360="",OR(B360="",C360="",D360="")),",","")&amp;IF(B360="","雇用形態","")&amp;IF(AND(B360="",OR(C360="",D360="")),",","")&amp;IF(OR(入力シート!$J$18=入力リスト!$K$4,入力シート!$J$22=入力リスト!$K$4),IF(C360="","入社年月日",""),"")&amp;IF(AND(C360="",D360=""),",","")&amp;IF(D360="","性別","")&amp;IF(IF(A360="","従業員番号","")&amp;IF(B360="","雇用形態","")&amp;IF(OR(入力シート!$J$18=入力リスト!$K$4,入力シート!$J$22=入力リスト!$K$4),IF(C360="","入社年月日",""),"")&amp;IF(D360="","性別","")="","","が空白です。"),IF(J360,"入社年月日に「基準日」の翌日以降の日付が入力されています。","")&amp;IF(I360,"入社年月日に数値以外（又は1900/1/1以前の日付）が入力されています。","")&amp;IF(H360,"雇用形態"&amp;IF(OR(K360,L360),",",""),"")&amp;IF(K360,"性別"&amp;IF(L360,",",""),"")&amp;IF(L360,"役職","")&amp;IF(OR(H360,K360,L360),"に、［入力シート］(4)「貴社」欄と異なる文言が入力されています。","")))))</f>
        <v/>
      </c>
      <c r="G360" s="236" t="b">
        <f>COUNTIF($A$4:A359,$A360)&gt;0</f>
        <v>0</v>
      </c>
      <c r="H360" s="237" t="b">
        <f>IF(COUNTIF(入力シート!$J$16:$S$23,入力リスト!$K$4)=0,FALSE,IF(入力シート!$J$16=入力リスト!$K$5,FALSE,ISERROR(VLOOKUP(B360,入力シート!$S$37:$V$62,1,0))))</f>
        <v>0</v>
      </c>
      <c r="I360" s="237" t="b">
        <f>IF(AND(OR(入力シート!$J$18=入力リスト!$K$4,入力シート!$J$22=入力リスト!$K$4),入力シート!$J$24&lt;&gt;""),IF(ISERROR(C360+1),TRUE,IF(ISNUMBER(C360),FALSE,TRUE)),FALSE)</f>
        <v>0</v>
      </c>
      <c r="J360" s="237" t="b">
        <f>IF(AND(入力シート!$J$18=入力リスト!$K$4,入力シート!$J$22=入力リスト!$K$4),FALSE,IF(I360=TRUE,FALSE,IF(ISERROR(C360+1),FALSE,C360&gt;入力シート!$J$24)))</f>
        <v>0</v>
      </c>
      <c r="K360" s="237" t="b">
        <f>IF(COUNTIF(入力シート!$J$16:$S$23,入力リスト!$K$4)=0,FALSE,IF(AND(入力シート!$J$16&lt;&gt;入力リスト!$K$5,入力シート!$J$18&lt;&gt;入力リスト!$K$5,入力シート!$J$20&lt;&gt;入力リスト!$K$5,入力シート!$J$22&lt;&gt;入力リスト!$K$5),FALSE,ISERROR(VLOOKUP(D360,入力シート!$AW$37:$AY$38,1,0))))</f>
        <v>0</v>
      </c>
      <c r="L360" s="237" t="b">
        <f>IF(COUNTIF(入力シート!$J$16:$S$23,入力リスト!$K$4)=0,FALSE,IF(入力シート!$J$20=入力リスト!$K$5,FALSE,IF(E360="",FALSE,ISERROR(VLOOKUP(E360,入力シート!$AH$37:$AK$62,1,0)))))</f>
        <v>0</v>
      </c>
      <c r="M360" s="238" t="str">
        <f t="shared" si="5"/>
        <v/>
      </c>
      <c r="N360" s="236" t="str">
        <f>IF(B360="","",VLOOKUP('従業員情報(給与以外)'!$B360,入力シート!$S$37:$Z$62,5,0))</f>
        <v/>
      </c>
      <c r="O360" s="182" t="str">
        <f>IF(ISNUMBER(C360)=FALSE,"",IF(C360&gt;入力シート!$J$24,"",_xlfn.DAYS(入力シート!$J$24,'従業員情報(給与以外)'!$C360)/365))</f>
        <v/>
      </c>
      <c r="P360" s="237" t="str">
        <f>IF(O360="","",VLOOKUP(_xlfn.DAYS(入力シート!$J$24,'従業員情報(給与以外)'!$C360)/365,入力リスト!$H$4:$I$12,2,2))</f>
        <v/>
      </c>
      <c r="Q360" s="236" t="str">
        <f>IF(D360="","",VLOOKUP('従業員情報(給与以外)'!$D360,入力シート!$AW$37:$BB$38,4,0))</f>
        <v/>
      </c>
      <c r="R360" s="236" t="str">
        <f>IF(A360="","",IF(E360="","非役職",VLOOKUP('従業員情報(給与以外)'!$E360,入力シート!$AH$37:$AO$62,5,0)))</f>
        <v/>
      </c>
      <c r="S360" s="116" t="str">
        <f>IF(OR(入力シート!$C$5&lt;&gt;入力リスト!$N$4,COUNTIF(入力シート!$J$16:$S$23,入力リスト!$K$4)=0),"",IF($A360="","",IF(ISERROR(AVERAGEIF(従業員の給与情報!$B:$B,$A360,従業員の給与情報!$C:$C)),0,IF(ISERROR(AVERAGEIF(従業員の給与情報!$B:$B,$A360,従業員の給与情報!$C:$C)),0,AVERAGEIF(従業員の給与情報!$B:$B,$A360,従業員の給与情報!$C:$C)))))</f>
        <v/>
      </c>
      <c r="T360" s="116" t="str">
        <f>IF(OR(入力シート!$C$5&lt;&gt;入力リスト!$N$4,COUNTIF(入力シート!$J$16:$S$23,入力リスト!$K$4)=0),"",IF(A360="","",IF(ISERROR(AVERAGEIF(従業員の給与情報!$B:$B,$A360,従業員の給与情報!$D:$D)),0,IF(ISERROR(AVERAGEIF(従業員の給与情報!$B:$B,$A360,従業員の給与情報!$D:$D)),0,AVERAGEIF(従業員の給与情報!$B:$B,$A360,従業員の給与情報!$D:$D)))))</f>
        <v/>
      </c>
      <c r="U360" s="116" t="str">
        <f>IF(OR(入力シート!$C$5&lt;&gt;入力リスト!$N$4,COUNTIF(入力シート!$J$16:$S$23,入力リスト!$K$4)=0),"",IF(A360="","",IF(ISERROR(AVERAGEIF(従業員の給与情報!$B:$B,$A360,従業員の給与情報!$E:$E)),0,IF(ISERROR(AVERAGEIF(従業員の給与情報!$B:$B,$A360,従業員の給与情報!$E:$E)),0,AVERAGEIF(従業員の給与情報!$B:$B,$A360,従業員の給与情報!$E:$E)))))</f>
        <v/>
      </c>
      <c r="V360" s="117" t="str">
        <f>IF(OR(入力シート!$C$5&lt;&gt;入力リスト!$N$4,COUNTIF(入力シート!$J$16:$S$23,入力リスト!$K$4)=0),"",IF(A360="","",IF(ISERROR(AVERAGEIF(従業員の給与情報!$B:$B,$A360,従業員の給与情報!$F:$F)),0,IF(ISERROR(AVERAGEIF(従業員の給与情報!$B:$B,$A360,従業員の給与情報!$F:$F)),0,AVERAGEIF(従業員の給与情報!$B:$B,$A360,従業員の給与情報!$F:$F)))))</f>
        <v/>
      </c>
      <c r="W360" s="182"/>
      <c r="X360" s="260"/>
    </row>
    <row r="361" spans="1:24">
      <c r="A361" s="368"/>
      <c r="B361" s="361"/>
      <c r="C361" s="362"/>
      <c r="D361" s="361"/>
      <c r="E361" s="361"/>
      <c r="F361" s="372" t="str">
        <f>IF(G361,"この従業員番号は、すでに他のセルで入力されています。",IF(入力シート!$C$5=入力リスト!$N$5,"",IF(AND(A361="",B361="",C361="",D361="",E361=""),"",IF(OR(A361="",B361="",C361="",D361=""),IF(A361="","従業員番号","")&amp;IF(AND(A361="",OR(B361="",C361="",D361="")),",","")&amp;IF(B361="","雇用形態","")&amp;IF(AND(B361="",OR(C361="",D361="")),",","")&amp;IF(OR(入力シート!$J$18=入力リスト!$K$4,入力シート!$J$22=入力リスト!$K$4),IF(C361="","入社年月日",""),"")&amp;IF(AND(C361="",D361=""),",","")&amp;IF(D361="","性別","")&amp;IF(IF(A361="","従業員番号","")&amp;IF(B361="","雇用形態","")&amp;IF(OR(入力シート!$J$18=入力リスト!$K$4,入力シート!$J$22=入力リスト!$K$4),IF(C361="","入社年月日",""),"")&amp;IF(D361="","性別","")="","","が空白です。"),IF(J361,"入社年月日に「基準日」の翌日以降の日付が入力されています。","")&amp;IF(I361,"入社年月日に数値以外（又は1900/1/1以前の日付）が入力されています。","")&amp;IF(H361,"雇用形態"&amp;IF(OR(K361,L361),",",""),"")&amp;IF(K361,"性別"&amp;IF(L361,",",""),"")&amp;IF(L361,"役職","")&amp;IF(OR(H361,K361,L361),"に、［入力シート］(4)「貴社」欄と異なる文言が入力されています。","")))))</f>
        <v/>
      </c>
      <c r="G361" s="236" t="b">
        <f>COUNTIF($A$4:A360,$A361)&gt;0</f>
        <v>0</v>
      </c>
      <c r="H361" s="237" t="b">
        <f>IF(COUNTIF(入力シート!$J$16:$S$23,入力リスト!$K$4)=0,FALSE,IF(入力シート!$J$16=入力リスト!$K$5,FALSE,ISERROR(VLOOKUP(B361,入力シート!$S$37:$V$62,1,0))))</f>
        <v>0</v>
      </c>
      <c r="I361" s="237" t="b">
        <f>IF(AND(OR(入力シート!$J$18=入力リスト!$K$4,入力シート!$J$22=入力リスト!$K$4),入力シート!$J$24&lt;&gt;""),IF(ISERROR(C361+1),TRUE,IF(ISNUMBER(C361),FALSE,TRUE)),FALSE)</f>
        <v>0</v>
      </c>
      <c r="J361" s="237" t="b">
        <f>IF(AND(入力シート!$J$18=入力リスト!$K$4,入力シート!$J$22=入力リスト!$K$4),FALSE,IF(I361=TRUE,FALSE,IF(ISERROR(C361+1),FALSE,C361&gt;入力シート!$J$24)))</f>
        <v>0</v>
      </c>
      <c r="K361" s="237" t="b">
        <f>IF(COUNTIF(入力シート!$J$16:$S$23,入力リスト!$K$4)=0,FALSE,IF(AND(入力シート!$J$16&lt;&gt;入力リスト!$K$5,入力シート!$J$18&lt;&gt;入力リスト!$K$5,入力シート!$J$20&lt;&gt;入力リスト!$K$5,入力シート!$J$22&lt;&gt;入力リスト!$K$5),FALSE,ISERROR(VLOOKUP(D361,入力シート!$AW$37:$AY$38,1,0))))</f>
        <v>0</v>
      </c>
      <c r="L361" s="237" t="b">
        <f>IF(COUNTIF(入力シート!$J$16:$S$23,入力リスト!$K$4)=0,FALSE,IF(入力シート!$J$20=入力リスト!$K$5,FALSE,IF(E361="",FALSE,ISERROR(VLOOKUP(E361,入力シート!$AH$37:$AK$62,1,0)))))</f>
        <v>0</v>
      </c>
      <c r="M361" s="238" t="str">
        <f t="shared" si="5"/>
        <v/>
      </c>
      <c r="N361" s="236" t="str">
        <f>IF(B361="","",VLOOKUP('従業員情報(給与以外)'!$B361,入力シート!$S$37:$Z$62,5,0))</f>
        <v/>
      </c>
      <c r="O361" s="182" t="str">
        <f>IF(ISNUMBER(C361)=FALSE,"",IF(C361&gt;入力シート!$J$24,"",_xlfn.DAYS(入力シート!$J$24,'従業員情報(給与以外)'!$C361)/365))</f>
        <v/>
      </c>
      <c r="P361" s="237" t="str">
        <f>IF(O361="","",VLOOKUP(_xlfn.DAYS(入力シート!$J$24,'従業員情報(給与以外)'!$C361)/365,入力リスト!$H$4:$I$12,2,2))</f>
        <v/>
      </c>
      <c r="Q361" s="236" t="str">
        <f>IF(D361="","",VLOOKUP('従業員情報(給与以外)'!$D361,入力シート!$AW$37:$BB$38,4,0))</f>
        <v/>
      </c>
      <c r="R361" s="236" t="str">
        <f>IF(A361="","",IF(E361="","非役職",VLOOKUP('従業員情報(給与以外)'!$E361,入力シート!$AH$37:$AO$62,5,0)))</f>
        <v/>
      </c>
      <c r="S361" s="116" t="str">
        <f>IF(OR(入力シート!$C$5&lt;&gt;入力リスト!$N$4,COUNTIF(入力シート!$J$16:$S$23,入力リスト!$K$4)=0),"",IF($A361="","",IF(ISERROR(AVERAGEIF(従業員の給与情報!$B:$B,$A361,従業員の給与情報!$C:$C)),0,IF(ISERROR(AVERAGEIF(従業員の給与情報!$B:$B,$A361,従業員の給与情報!$C:$C)),0,AVERAGEIF(従業員の給与情報!$B:$B,$A361,従業員の給与情報!$C:$C)))))</f>
        <v/>
      </c>
      <c r="T361" s="116" t="str">
        <f>IF(OR(入力シート!$C$5&lt;&gt;入力リスト!$N$4,COUNTIF(入力シート!$J$16:$S$23,入力リスト!$K$4)=0),"",IF(A361="","",IF(ISERROR(AVERAGEIF(従業員の給与情報!$B:$B,$A361,従業員の給与情報!$D:$D)),0,IF(ISERROR(AVERAGEIF(従業員の給与情報!$B:$B,$A361,従業員の給与情報!$D:$D)),0,AVERAGEIF(従業員の給与情報!$B:$B,$A361,従業員の給与情報!$D:$D)))))</f>
        <v/>
      </c>
      <c r="U361" s="116" t="str">
        <f>IF(OR(入力シート!$C$5&lt;&gt;入力リスト!$N$4,COUNTIF(入力シート!$J$16:$S$23,入力リスト!$K$4)=0),"",IF(A361="","",IF(ISERROR(AVERAGEIF(従業員の給与情報!$B:$B,$A361,従業員の給与情報!$E:$E)),0,IF(ISERROR(AVERAGEIF(従業員の給与情報!$B:$B,$A361,従業員の給与情報!$E:$E)),0,AVERAGEIF(従業員の給与情報!$B:$B,$A361,従業員の給与情報!$E:$E)))))</f>
        <v/>
      </c>
      <c r="V361" s="117" t="str">
        <f>IF(OR(入力シート!$C$5&lt;&gt;入力リスト!$N$4,COUNTIF(入力シート!$J$16:$S$23,入力リスト!$K$4)=0),"",IF(A361="","",IF(ISERROR(AVERAGEIF(従業員の給与情報!$B:$B,$A361,従業員の給与情報!$F:$F)),0,IF(ISERROR(AVERAGEIF(従業員の給与情報!$B:$B,$A361,従業員の給与情報!$F:$F)),0,AVERAGEIF(従業員の給与情報!$B:$B,$A361,従業員の給与情報!$F:$F)))))</f>
        <v/>
      </c>
      <c r="W361" s="182"/>
      <c r="X361" s="260"/>
    </row>
    <row r="362" spans="1:24">
      <c r="A362" s="368"/>
      <c r="B362" s="361"/>
      <c r="C362" s="362"/>
      <c r="D362" s="361"/>
      <c r="E362" s="361"/>
      <c r="F362" s="372" t="str">
        <f>IF(G362,"この従業員番号は、すでに他のセルで入力されています。",IF(入力シート!$C$5=入力リスト!$N$5,"",IF(AND(A362="",B362="",C362="",D362="",E362=""),"",IF(OR(A362="",B362="",C362="",D362=""),IF(A362="","従業員番号","")&amp;IF(AND(A362="",OR(B362="",C362="",D362="")),",","")&amp;IF(B362="","雇用形態","")&amp;IF(AND(B362="",OR(C362="",D362="")),",","")&amp;IF(OR(入力シート!$J$18=入力リスト!$K$4,入力シート!$J$22=入力リスト!$K$4),IF(C362="","入社年月日",""),"")&amp;IF(AND(C362="",D362=""),",","")&amp;IF(D362="","性別","")&amp;IF(IF(A362="","従業員番号","")&amp;IF(B362="","雇用形態","")&amp;IF(OR(入力シート!$J$18=入力リスト!$K$4,入力シート!$J$22=入力リスト!$K$4),IF(C362="","入社年月日",""),"")&amp;IF(D362="","性別","")="","","が空白です。"),IF(J362,"入社年月日に「基準日」の翌日以降の日付が入力されています。","")&amp;IF(I362,"入社年月日に数値以外（又は1900/1/1以前の日付）が入力されています。","")&amp;IF(H362,"雇用形態"&amp;IF(OR(K362,L362),",",""),"")&amp;IF(K362,"性別"&amp;IF(L362,",",""),"")&amp;IF(L362,"役職","")&amp;IF(OR(H362,K362,L362),"に、［入力シート］(4)「貴社」欄と異なる文言が入力されています。","")))))</f>
        <v/>
      </c>
      <c r="G362" s="236" t="b">
        <f>COUNTIF($A$4:A361,$A362)&gt;0</f>
        <v>0</v>
      </c>
      <c r="H362" s="237" t="b">
        <f>IF(COUNTIF(入力シート!$J$16:$S$23,入力リスト!$K$4)=0,FALSE,IF(入力シート!$J$16=入力リスト!$K$5,FALSE,ISERROR(VLOOKUP(B362,入力シート!$S$37:$V$62,1,0))))</f>
        <v>0</v>
      </c>
      <c r="I362" s="237" t="b">
        <f>IF(AND(OR(入力シート!$J$18=入力リスト!$K$4,入力シート!$J$22=入力リスト!$K$4),入力シート!$J$24&lt;&gt;""),IF(ISERROR(C362+1),TRUE,IF(ISNUMBER(C362),FALSE,TRUE)),FALSE)</f>
        <v>0</v>
      </c>
      <c r="J362" s="237" t="b">
        <f>IF(AND(入力シート!$J$18=入力リスト!$K$4,入力シート!$J$22=入力リスト!$K$4),FALSE,IF(I362=TRUE,FALSE,IF(ISERROR(C362+1),FALSE,C362&gt;入力シート!$J$24)))</f>
        <v>0</v>
      </c>
      <c r="K362" s="237" t="b">
        <f>IF(COUNTIF(入力シート!$J$16:$S$23,入力リスト!$K$4)=0,FALSE,IF(AND(入力シート!$J$16&lt;&gt;入力リスト!$K$5,入力シート!$J$18&lt;&gt;入力リスト!$K$5,入力シート!$J$20&lt;&gt;入力リスト!$K$5,入力シート!$J$22&lt;&gt;入力リスト!$K$5),FALSE,ISERROR(VLOOKUP(D362,入力シート!$AW$37:$AY$38,1,0))))</f>
        <v>0</v>
      </c>
      <c r="L362" s="237" t="b">
        <f>IF(COUNTIF(入力シート!$J$16:$S$23,入力リスト!$K$4)=0,FALSE,IF(入力シート!$J$20=入力リスト!$K$5,FALSE,IF(E362="",FALSE,ISERROR(VLOOKUP(E362,入力シート!$AH$37:$AK$62,1,0)))))</f>
        <v>0</v>
      </c>
      <c r="M362" s="238" t="str">
        <f t="shared" si="5"/>
        <v/>
      </c>
      <c r="N362" s="236" t="str">
        <f>IF(B362="","",VLOOKUP('従業員情報(給与以外)'!$B362,入力シート!$S$37:$Z$62,5,0))</f>
        <v/>
      </c>
      <c r="O362" s="182" t="str">
        <f>IF(ISNUMBER(C362)=FALSE,"",IF(C362&gt;入力シート!$J$24,"",_xlfn.DAYS(入力シート!$J$24,'従業員情報(給与以外)'!$C362)/365))</f>
        <v/>
      </c>
      <c r="P362" s="237" t="str">
        <f>IF(O362="","",VLOOKUP(_xlfn.DAYS(入力シート!$J$24,'従業員情報(給与以外)'!$C362)/365,入力リスト!$H$4:$I$12,2,2))</f>
        <v/>
      </c>
      <c r="Q362" s="236" t="str">
        <f>IF(D362="","",VLOOKUP('従業員情報(給与以外)'!$D362,入力シート!$AW$37:$BB$38,4,0))</f>
        <v/>
      </c>
      <c r="R362" s="236" t="str">
        <f>IF(A362="","",IF(E362="","非役職",VLOOKUP('従業員情報(給与以外)'!$E362,入力シート!$AH$37:$AO$62,5,0)))</f>
        <v/>
      </c>
      <c r="S362" s="116" t="str">
        <f>IF(OR(入力シート!$C$5&lt;&gt;入力リスト!$N$4,COUNTIF(入力シート!$J$16:$S$23,入力リスト!$K$4)=0),"",IF($A362="","",IF(ISERROR(AVERAGEIF(従業員の給与情報!$B:$B,$A362,従業員の給与情報!$C:$C)),0,IF(ISERROR(AVERAGEIF(従業員の給与情報!$B:$B,$A362,従業員の給与情報!$C:$C)),0,AVERAGEIF(従業員の給与情報!$B:$B,$A362,従業員の給与情報!$C:$C)))))</f>
        <v/>
      </c>
      <c r="T362" s="116" t="str">
        <f>IF(OR(入力シート!$C$5&lt;&gt;入力リスト!$N$4,COUNTIF(入力シート!$J$16:$S$23,入力リスト!$K$4)=0),"",IF(A362="","",IF(ISERROR(AVERAGEIF(従業員の給与情報!$B:$B,$A362,従業員の給与情報!$D:$D)),0,IF(ISERROR(AVERAGEIF(従業員の給与情報!$B:$B,$A362,従業員の給与情報!$D:$D)),0,AVERAGEIF(従業員の給与情報!$B:$B,$A362,従業員の給与情報!$D:$D)))))</f>
        <v/>
      </c>
      <c r="U362" s="116" t="str">
        <f>IF(OR(入力シート!$C$5&lt;&gt;入力リスト!$N$4,COUNTIF(入力シート!$J$16:$S$23,入力リスト!$K$4)=0),"",IF(A362="","",IF(ISERROR(AVERAGEIF(従業員の給与情報!$B:$B,$A362,従業員の給与情報!$E:$E)),0,IF(ISERROR(AVERAGEIF(従業員の給与情報!$B:$B,$A362,従業員の給与情報!$E:$E)),0,AVERAGEIF(従業員の給与情報!$B:$B,$A362,従業員の給与情報!$E:$E)))))</f>
        <v/>
      </c>
      <c r="V362" s="117" t="str">
        <f>IF(OR(入力シート!$C$5&lt;&gt;入力リスト!$N$4,COUNTIF(入力シート!$J$16:$S$23,入力リスト!$K$4)=0),"",IF(A362="","",IF(ISERROR(AVERAGEIF(従業員の給与情報!$B:$B,$A362,従業員の給与情報!$F:$F)),0,IF(ISERROR(AVERAGEIF(従業員の給与情報!$B:$B,$A362,従業員の給与情報!$F:$F)),0,AVERAGEIF(従業員の給与情報!$B:$B,$A362,従業員の給与情報!$F:$F)))))</f>
        <v/>
      </c>
      <c r="W362" s="182"/>
      <c r="X362" s="260"/>
    </row>
    <row r="363" spans="1:24">
      <c r="A363" s="368"/>
      <c r="B363" s="361"/>
      <c r="C363" s="362"/>
      <c r="D363" s="361"/>
      <c r="E363" s="361"/>
      <c r="F363" s="372" t="str">
        <f>IF(G363,"この従業員番号は、すでに他のセルで入力されています。",IF(入力シート!$C$5=入力リスト!$N$5,"",IF(AND(A363="",B363="",C363="",D363="",E363=""),"",IF(OR(A363="",B363="",C363="",D363=""),IF(A363="","従業員番号","")&amp;IF(AND(A363="",OR(B363="",C363="",D363="")),",","")&amp;IF(B363="","雇用形態","")&amp;IF(AND(B363="",OR(C363="",D363="")),",","")&amp;IF(OR(入力シート!$J$18=入力リスト!$K$4,入力シート!$J$22=入力リスト!$K$4),IF(C363="","入社年月日",""),"")&amp;IF(AND(C363="",D363=""),",","")&amp;IF(D363="","性別","")&amp;IF(IF(A363="","従業員番号","")&amp;IF(B363="","雇用形態","")&amp;IF(OR(入力シート!$J$18=入力リスト!$K$4,入力シート!$J$22=入力リスト!$K$4),IF(C363="","入社年月日",""),"")&amp;IF(D363="","性別","")="","","が空白です。"),IF(J363,"入社年月日に「基準日」の翌日以降の日付が入力されています。","")&amp;IF(I363,"入社年月日に数値以外（又は1900/1/1以前の日付）が入力されています。","")&amp;IF(H363,"雇用形態"&amp;IF(OR(K363,L363),",",""),"")&amp;IF(K363,"性別"&amp;IF(L363,",",""),"")&amp;IF(L363,"役職","")&amp;IF(OR(H363,K363,L363),"に、［入力シート］(4)「貴社」欄と異なる文言が入力されています。","")))))</f>
        <v/>
      </c>
      <c r="G363" s="236" t="b">
        <f>COUNTIF($A$4:A362,$A363)&gt;0</f>
        <v>0</v>
      </c>
      <c r="H363" s="237" t="b">
        <f>IF(COUNTIF(入力シート!$J$16:$S$23,入力リスト!$K$4)=0,FALSE,IF(入力シート!$J$16=入力リスト!$K$5,FALSE,ISERROR(VLOOKUP(B363,入力シート!$S$37:$V$62,1,0))))</f>
        <v>0</v>
      </c>
      <c r="I363" s="237" t="b">
        <f>IF(AND(OR(入力シート!$J$18=入力リスト!$K$4,入力シート!$J$22=入力リスト!$K$4),入力シート!$J$24&lt;&gt;""),IF(ISERROR(C363+1),TRUE,IF(ISNUMBER(C363),FALSE,TRUE)),FALSE)</f>
        <v>0</v>
      </c>
      <c r="J363" s="237" t="b">
        <f>IF(AND(入力シート!$J$18=入力リスト!$K$4,入力シート!$J$22=入力リスト!$K$4),FALSE,IF(I363=TRUE,FALSE,IF(ISERROR(C363+1),FALSE,C363&gt;入力シート!$J$24)))</f>
        <v>0</v>
      </c>
      <c r="K363" s="237" t="b">
        <f>IF(COUNTIF(入力シート!$J$16:$S$23,入力リスト!$K$4)=0,FALSE,IF(AND(入力シート!$J$16&lt;&gt;入力リスト!$K$5,入力シート!$J$18&lt;&gt;入力リスト!$K$5,入力シート!$J$20&lt;&gt;入力リスト!$K$5,入力シート!$J$22&lt;&gt;入力リスト!$K$5),FALSE,ISERROR(VLOOKUP(D363,入力シート!$AW$37:$AY$38,1,0))))</f>
        <v>0</v>
      </c>
      <c r="L363" s="237" t="b">
        <f>IF(COUNTIF(入力シート!$J$16:$S$23,入力リスト!$K$4)=0,FALSE,IF(入力シート!$J$20=入力リスト!$K$5,FALSE,IF(E363="",FALSE,ISERROR(VLOOKUP(E363,入力シート!$AH$37:$AK$62,1,0)))))</f>
        <v>0</v>
      </c>
      <c r="M363" s="238" t="str">
        <f t="shared" si="5"/>
        <v/>
      </c>
      <c r="N363" s="236" t="str">
        <f>IF(B363="","",VLOOKUP('従業員情報(給与以外)'!$B363,入力シート!$S$37:$Z$62,5,0))</f>
        <v/>
      </c>
      <c r="O363" s="182" t="str">
        <f>IF(ISNUMBER(C363)=FALSE,"",IF(C363&gt;入力シート!$J$24,"",_xlfn.DAYS(入力シート!$J$24,'従業員情報(給与以外)'!$C363)/365))</f>
        <v/>
      </c>
      <c r="P363" s="237" t="str">
        <f>IF(O363="","",VLOOKUP(_xlfn.DAYS(入力シート!$J$24,'従業員情報(給与以外)'!$C363)/365,入力リスト!$H$4:$I$12,2,2))</f>
        <v/>
      </c>
      <c r="Q363" s="236" t="str">
        <f>IF(D363="","",VLOOKUP('従業員情報(給与以外)'!$D363,入力シート!$AW$37:$BB$38,4,0))</f>
        <v/>
      </c>
      <c r="R363" s="236" t="str">
        <f>IF(A363="","",IF(E363="","非役職",VLOOKUP('従業員情報(給与以外)'!$E363,入力シート!$AH$37:$AO$62,5,0)))</f>
        <v/>
      </c>
      <c r="S363" s="116" t="str">
        <f>IF(OR(入力シート!$C$5&lt;&gt;入力リスト!$N$4,COUNTIF(入力シート!$J$16:$S$23,入力リスト!$K$4)=0),"",IF($A363="","",IF(ISERROR(AVERAGEIF(従業員の給与情報!$B:$B,$A363,従業員の給与情報!$C:$C)),0,IF(ISERROR(AVERAGEIF(従業員の給与情報!$B:$B,$A363,従業員の給与情報!$C:$C)),0,AVERAGEIF(従業員の給与情報!$B:$B,$A363,従業員の給与情報!$C:$C)))))</f>
        <v/>
      </c>
      <c r="T363" s="116" t="str">
        <f>IF(OR(入力シート!$C$5&lt;&gt;入力リスト!$N$4,COUNTIF(入力シート!$J$16:$S$23,入力リスト!$K$4)=0),"",IF(A363="","",IF(ISERROR(AVERAGEIF(従業員の給与情報!$B:$B,$A363,従業員の給与情報!$D:$D)),0,IF(ISERROR(AVERAGEIF(従業員の給与情報!$B:$B,$A363,従業員の給与情報!$D:$D)),0,AVERAGEIF(従業員の給与情報!$B:$B,$A363,従業員の給与情報!$D:$D)))))</f>
        <v/>
      </c>
      <c r="U363" s="116" t="str">
        <f>IF(OR(入力シート!$C$5&lt;&gt;入力リスト!$N$4,COUNTIF(入力シート!$J$16:$S$23,入力リスト!$K$4)=0),"",IF(A363="","",IF(ISERROR(AVERAGEIF(従業員の給与情報!$B:$B,$A363,従業員の給与情報!$E:$E)),0,IF(ISERROR(AVERAGEIF(従業員の給与情報!$B:$B,$A363,従業員の給与情報!$E:$E)),0,AVERAGEIF(従業員の給与情報!$B:$B,$A363,従業員の給与情報!$E:$E)))))</f>
        <v/>
      </c>
      <c r="V363" s="117" t="str">
        <f>IF(OR(入力シート!$C$5&lt;&gt;入力リスト!$N$4,COUNTIF(入力シート!$J$16:$S$23,入力リスト!$K$4)=0),"",IF(A363="","",IF(ISERROR(AVERAGEIF(従業員の給与情報!$B:$B,$A363,従業員の給与情報!$F:$F)),0,IF(ISERROR(AVERAGEIF(従業員の給与情報!$B:$B,$A363,従業員の給与情報!$F:$F)),0,AVERAGEIF(従業員の給与情報!$B:$B,$A363,従業員の給与情報!$F:$F)))))</f>
        <v/>
      </c>
      <c r="W363" s="182"/>
      <c r="X363" s="260"/>
    </row>
    <row r="364" spans="1:24">
      <c r="A364" s="368"/>
      <c r="B364" s="361"/>
      <c r="C364" s="362"/>
      <c r="D364" s="361"/>
      <c r="E364" s="361"/>
      <c r="F364" s="372" t="str">
        <f>IF(G364,"この従業員番号は、すでに他のセルで入力されています。",IF(入力シート!$C$5=入力リスト!$N$5,"",IF(AND(A364="",B364="",C364="",D364="",E364=""),"",IF(OR(A364="",B364="",C364="",D364=""),IF(A364="","従業員番号","")&amp;IF(AND(A364="",OR(B364="",C364="",D364="")),",","")&amp;IF(B364="","雇用形態","")&amp;IF(AND(B364="",OR(C364="",D364="")),",","")&amp;IF(OR(入力シート!$J$18=入力リスト!$K$4,入力シート!$J$22=入力リスト!$K$4),IF(C364="","入社年月日",""),"")&amp;IF(AND(C364="",D364=""),",","")&amp;IF(D364="","性別","")&amp;IF(IF(A364="","従業員番号","")&amp;IF(B364="","雇用形態","")&amp;IF(OR(入力シート!$J$18=入力リスト!$K$4,入力シート!$J$22=入力リスト!$K$4),IF(C364="","入社年月日",""),"")&amp;IF(D364="","性別","")="","","が空白です。"),IF(J364,"入社年月日に「基準日」の翌日以降の日付が入力されています。","")&amp;IF(I364,"入社年月日に数値以外（又は1900/1/1以前の日付）が入力されています。","")&amp;IF(H364,"雇用形態"&amp;IF(OR(K364,L364),",",""),"")&amp;IF(K364,"性別"&amp;IF(L364,",",""),"")&amp;IF(L364,"役職","")&amp;IF(OR(H364,K364,L364),"に、［入力シート］(4)「貴社」欄と異なる文言が入力されています。","")))))</f>
        <v/>
      </c>
      <c r="G364" s="236" t="b">
        <f>COUNTIF($A$4:A363,$A364)&gt;0</f>
        <v>0</v>
      </c>
      <c r="H364" s="237" t="b">
        <f>IF(COUNTIF(入力シート!$J$16:$S$23,入力リスト!$K$4)=0,FALSE,IF(入力シート!$J$16=入力リスト!$K$5,FALSE,ISERROR(VLOOKUP(B364,入力シート!$S$37:$V$62,1,0))))</f>
        <v>0</v>
      </c>
      <c r="I364" s="237" t="b">
        <f>IF(AND(OR(入力シート!$J$18=入力リスト!$K$4,入力シート!$J$22=入力リスト!$K$4),入力シート!$J$24&lt;&gt;""),IF(ISERROR(C364+1),TRUE,IF(ISNUMBER(C364),FALSE,TRUE)),FALSE)</f>
        <v>0</v>
      </c>
      <c r="J364" s="237" t="b">
        <f>IF(AND(入力シート!$J$18=入力リスト!$K$4,入力シート!$J$22=入力リスト!$K$4),FALSE,IF(I364=TRUE,FALSE,IF(ISERROR(C364+1),FALSE,C364&gt;入力シート!$J$24)))</f>
        <v>0</v>
      </c>
      <c r="K364" s="237" t="b">
        <f>IF(COUNTIF(入力シート!$J$16:$S$23,入力リスト!$K$4)=0,FALSE,IF(AND(入力シート!$J$16&lt;&gt;入力リスト!$K$5,入力シート!$J$18&lt;&gt;入力リスト!$K$5,入力シート!$J$20&lt;&gt;入力リスト!$K$5,入力シート!$J$22&lt;&gt;入力リスト!$K$5),FALSE,ISERROR(VLOOKUP(D364,入力シート!$AW$37:$AY$38,1,0))))</f>
        <v>0</v>
      </c>
      <c r="L364" s="237" t="b">
        <f>IF(COUNTIF(入力シート!$J$16:$S$23,入力リスト!$K$4)=0,FALSE,IF(入力シート!$J$20=入力リスト!$K$5,FALSE,IF(E364="",FALSE,ISERROR(VLOOKUP(E364,入力シート!$AH$37:$AK$62,1,0)))))</f>
        <v>0</v>
      </c>
      <c r="M364" s="238" t="str">
        <f t="shared" si="5"/>
        <v/>
      </c>
      <c r="N364" s="236" t="str">
        <f>IF(B364="","",VLOOKUP('従業員情報(給与以外)'!$B364,入力シート!$S$37:$Z$62,5,0))</f>
        <v/>
      </c>
      <c r="O364" s="182" t="str">
        <f>IF(ISNUMBER(C364)=FALSE,"",IF(C364&gt;入力シート!$J$24,"",_xlfn.DAYS(入力シート!$J$24,'従業員情報(給与以外)'!$C364)/365))</f>
        <v/>
      </c>
      <c r="P364" s="237" t="str">
        <f>IF(O364="","",VLOOKUP(_xlfn.DAYS(入力シート!$J$24,'従業員情報(給与以外)'!$C364)/365,入力リスト!$H$4:$I$12,2,2))</f>
        <v/>
      </c>
      <c r="Q364" s="236" t="str">
        <f>IF(D364="","",VLOOKUP('従業員情報(給与以外)'!$D364,入力シート!$AW$37:$BB$38,4,0))</f>
        <v/>
      </c>
      <c r="R364" s="236" t="str">
        <f>IF(A364="","",IF(E364="","非役職",VLOOKUP('従業員情報(給与以外)'!$E364,入力シート!$AH$37:$AO$62,5,0)))</f>
        <v/>
      </c>
      <c r="S364" s="116" t="str">
        <f>IF(OR(入力シート!$C$5&lt;&gt;入力リスト!$N$4,COUNTIF(入力シート!$J$16:$S$23,入力リスト!$K$4)=0),"",IF($A364="","",IF(ISERROR(AVERAGEIF(従業員の給与情報!$B:$B,$A364,従業員の給与情報!$C:$C)),0,IF(ISERROR(AVERAGEIF(従業員の給与情報!$B:$B,$A364,従業員の給与情報!$C:$C)),0,AVERAGEIF(従業員の給与情報!$B:$B,$A364,従業員の給与情報!$C:$C)))))</f>
        <v/>
      </c>
      <c r="T364" s="116" t="str">
        <f>IF(OR(入力シート!$C$5&lt;&gt;入力リスト!$N$4,COUNTIF(入力シート!$J$16:$S$23,入力リスト!$K$4)=0),"",IF(A364="","",IF(ISERROR(AVERAGEIF(従業員の給与情報!$B:$B,$A364,従業員の給与情報!$D:$D)),0,IF(ISERROR(AVERAGEIF(従業員の給与情報!$B:$B,$A364,従業員の給与情報!$D:$D)),0,AVERAGEIF(従業員の給与情報!$B:$B,$A364,従業員の給与情報!$D:$D)))))</f>
        <v/>
      </c>
      <c r="U364" s="116" t="str">
        <f>IF(OR(入力シート!$C$5&lt;&gt;入力リスト!$N$4,COUNTIF(入力シート!$J$16:$S$23,入力リスト!$K$4)=0),"",IF(A364="","",IF(ISERROR(AVERAGEIF(従業員の給与情報!$B:$B,$A364,従業員の給与情報!$E:$E)),0,IF(ISERROR(AVERAGEIF(従業員の給与情報!$B:$B,$A364,従業員の給与情報!$E:$E)),0,AVERAGEIF(従業員の給与情報!$B:$B,$A364,従業員の給与情報!$E:$E)))))</f>
        <v/>
      </c>
      <c r="V364" s="117" t="str">
        <f>IF(OR(入力シート!$C$5&lt;&gt;入力リスト!$N$4,COUNTIF(入力シート!$J$16:$S$23,入力リスト!$K$4)=0),"",IF(A364="","",IF(ISERROR(AVERAGEIF(従業員の給与情報!$B:$B,$A364,従業員の給与情報!$F:$F)),0,IF(ISERROR(AVERAGEIF(従業員の給与情報!$B:$B,$A364,従業員の給与情報!$F:$F)),0,AVERAGEIF(従業員の給与情報!$B:$B,$A364,従業員の給与情報!$F:$F)))))</f>
        <v/>
      </c>
      <c r="W364" s="182"/>
      <c r="X364" s="260"/>
    </row>
    <row r="365" spans="1:24">
      <c r="A365" s="368"/>
      <c r="B365" s="361"/>
      <c r="C365" s="362"/>
      <c r="D365" s="361"/>
      <c r="E365" s="361"/>
      <c r="F365" s="372" t="str">
        <f>IF(G365,"この従業員番号は、すでに他のセルで入力されています。",IF(入力シート!$C$5=入力リスト!$N$5,"",IF(AND(A365="",B365="",C365="",D365="",E365=""),"",IF(OR(A365="",B365="",C365="",D365=""),IF(A365="","従業員番号","")&amp;IF(AND(A365="",OR(B365="",C365="",D365="")),",","")&amp;IF(B365="","雇用形態","")&amp;IF(AND(B365="",OR(C365="",D365="")),",","")&amp;IF(OR(入力シート!$J$18=入力リスト!$K$4,入力シート!$J$22=入力リスト!$K$4),IF(C365="","入社年月日",""),"")&amp;IF(AND(C365="",D365=""),",","")&amp;IF(D365="","性別","")&amp;IF(IF(A365="","従業員番号","")&amp;IF(B365="","雇用形態","")&amp;IF(OR(入力シート!$J$18=入力リスト!$K$4,入力シート!$J$22=入力リスト!$K$4),IF(C365="","入社年月日",""),"")&amp;IF(D365="","性別","")="","","が空白です。"),IF(J365,"入社年月日に「基準日」の翌日以降の日付が入力されています。","")&amp;IF(I365,"入社年月日に数値以外（又は1900/1/1以前の日付）が入力されています。","")&amp;IF(H365,"雇用形態"&amp;IF(OR(K365,L365),",",""),"")&amp;IF(K365,"性別"&amp;IF(L365,",",""),"")&amp;IF(L365,"役職","")&amp;IF(OR(H365,K365,L365),"に、［入力シート］(4)「貴社」欄と異なる文言が入力されています。","")))))</f>
        <v/>
      </c>
      <c r="G365" s="236" t="b">
        <f>COUNTIF($A$4:A364,$A365)&gt;0</f>
        <v>0</v>
      </c>
      <c r="H365" s="237" t="b">
        <f>IF(COUNTIF(入力シート!$J$16:$S$23,入力リスト!$K$4)=0,FALSE,IF(入力シート!$J$16=入力リスト!$K$5,FALSE,ISERROR(VLOOKUP(B365,入力シート!$S$37:$V$62,1,0))))</f>
        <v>0</v>
      </c>
      <c r="I365" s="237" t="b">
        <f>IF(AND(OR(入力シート!$J$18=入力リスト!$K$4,入力シート!$J$22=入力リスト!$K$4),入力シート!$J$24&lt;&gt;""),IF(ISERROR(C365+1),TRUE,IF(ISNUMBER(C365),FALSE,TRUE)),FALSE)</f>
        <v>0</v>
      </c>
      <c r="J365" s="237" t="b">
        <f>IF(AND(入力シート!$J$18=入力リスト!$K$4,入力シート!$J$22=入力リスト!$K$4),FALSE,IF(I365=TRUE,FALSE,IF(ISERROR(C365+1),FALSE,C365&gt;入力シート!$J$24)))</f>
        <v>0</v>
      </c>
      <c r="K365" s="237" t="b">
        <f>IF(COUNTIF(入力シート!$J$16:$S$23,入力リスト!$K$4)=0,FALSE,IF(AND(入力シート!$J$16&lt;&gt;入力リスト!$K$5,入力シート!$J$18&lt;&gt;入力リスト!$K$5,入力シート!$J$20&lt;&gt;入力リスト!$K$5,入力シート!$J$22&lt;&gt;入力リスト!$K$5),FALSE,ISERROR(VLOOKUP(D365,入力シート!$AW$37:$AY$38,1,0))))</f>
        <v>0</v>
      </c>
      <c r="L365" s="237" t="b">
        <f>IF(COUNTIF(入力シート!$J$16:$S$23,入力リスト!$K$4)=0,FALSE,IF(入力シート!$J$20=入力リスト!$K$5,FALSE,IF(E365="",FALSE,ISERROR(VLOOKUP(E365,入力シート!$AH$37:$AK$62,1,0)))))</f>
        <v>0</v>
      </c>
      <c r="M365" s="238" t="str">
        <f t="shared" si="5"/>
        <v/>
      </c>
      <c r="N365" s="236" t="str">
        <f>IF(B365="","",VLOOKUP('従業員情報(給与以外)'!$B365,入力シート!$S$37:$Z$62,5,0))</f>
        <v/>
      </c>
      <c r="O365" s="182" t="str">
        <f>IF(ISNUMBER(C365)=FALSE,"",IF(C365&gt;入力シート!$J$24,"",_xlfn.DAYS(入力シート!$J$24,'従業員情報(給与以外)'!$C365)/365))</f>
        <v/>
      </c>
      <c r="P365" s="237" t="str">
        <f>IF(O365="","",VLOOKUP(_xlfn.DAYS(入力シート!$J$24,'従業員情報(給与以外)'!$C365)/365,入力リスト!$H$4:$I$12,2,2))</f>
        <v/>
      </c>
      <c r="Q365" s="236" t="str">
        <f>IF(D365="","",VLOOKUP('従業員情報(給与以外)'!$D365,入力シート!$AW$37:$BB$38,4,0))</f>
        <v/>
      </c>
      <c r="R365" s="236" t="str">
        <f>IF(A365="","",IF(E365="","非役職",VLOOKUP('従業員情報(給与以外)'!$E365,入力シート!$AH$37:$AO$62,5,0)))</f>
        <v/>
      </c>
      <c r="S365" s="116" t="str">
        <f>IF(OR(入力シート!$C$5&lt;&gt;入力リスト!$N$4,COUNTIF(入力シート!$J$16:$S$23,入力リスト!$K$4)=0),"",IF($A365="","",IF(ISERROR(AVERAGEIF(従業員の給与情報!$B:$B,$A365,従業員の給与情報!$C:$C)),0,IF(ISERROR(AVERAGEIF(従業員の給与情報!$B:$B,$A365,従業員の給与情報!$C:$C)),0,AVERAGEIF(従業員の給与情報!$B:$B,$A365,従業員の給与情報!$C:$C)))))</f>
        <v/>
      </c>
      <c r="T365" s="116" t="str">
        <f>IF(OR(入力シート!$C$5&lt;&gt;入力リスト!$N$4,COUNTIF(入力シート!$J$16:$S$23,入力リスト!$K$4)=0),"",IF(A365="","",IF(ISERROR(AVERAGEIF(従業員の給与情報!$B:$B,$A365,従業員の給与情報!$D:$D)),0,IF(ISERROR(AVERAGEIF(従業員の給与情報!$B:$B,$A365,従業員の給与情報!$D:$D)),0,AVERAGEIF(従業員の給与情報!$B:$B,$A365,従業員の給与情報!$D:$D)))))</f>
        <v/>
      </c>
      <c r="U365" s="116" t="str">
        <f>IF(OR(入力シート!$C$5&lt;&gt;入力リスト!$N$4,COUNTIF(入力シート!$J$16:$S$23,入力リスト!$K$4)=0),"",IF(A365="","",IF(ISERROR(AVERAGEIF(従業員の給与情報!$B:$B,$A365,従業員の給与情報!$E:$E)),0,IF(ISERROR(AVERAGEIF(従業員の給与情報!$B:$B,$A365,従業員の給与情報!$E:$E)),0,AVERAGEIF(従業員の給与情報!$B:$B,$A365,従業員の給与情報!$E:$E)))))</f>
        <v/>
      </c>
      <c r="V365" s="117" t="str">
        <f>IF(OR(入力シート!$C$5&lt;&gt;入力リスト!$N$4,COUNTIF(入力シート!$J$16:$S$23,入力リスト!$K$4)=0),"",IF(A365="","",IF(ISERROR(AVERAGEIF(従業員の給与情報!$B:$B,$A365,従業員の給与情報!$F:$F)),0,IF(ISERROR(AVERAGEIF(従業員の給与情報!$B:$B,$A365,従業員の給与情報!$F:$F)),0,AVERAGEIF(従業員の給与情報!$B:$B,$A365,従業員の給与情報!$F:$F)))))</f>
        <v/>
      </c>
      <c r="W365" s="182"/>
      <c r="X365" s="260"/>
    </row>
    <row r="366" spans="1:24">
      <c r="A366" s="368"/>
      <c r="B366" s="361"/>
      <c r="C366" s="362"/>
      <c r="D366" s="361"/>
      <c r="E366" s="361"/>
      <c r="F366" s="372" t="str">
        <f>IF(G366,"この従業員番号は、すでに他のセルで入力されています。",IF(入力シート!$C$5=入力リスト!$N$5,"",IF(AND(A366="",B366="",C366="",D366="",E366=""),"",IF(OR(A366="",B366="",C366="",D366=""),IF(A366="","従業員番号","")&amp;IF(AND(A366="",OR(B366="",C366="",D366="")),",","")&amp;IF(B366="","雇用形態","")&amp;IF(AND(B366="",OR(C366="",D366="")),",","")&amp;IF(OR(入力シート!$J$18=入力リスト!$K$4,入力シート!$J$22=入力リスト!$K$4),IF(C366="","入社年月日",""),"")&amp;IF(AND(C366="",D366=""),",","")&amp;IF(D366="","性別","")&amp;IF(IF(A366="","従業員番号","")&amp;IF(B366="","雇用形態","")&amp;IF(OR(入力シート!$J$18=入力リスト!$K$4,入力シート!$J$22=入力リスト!$K$4),IF(C366="","入社年月日",""),"")&amp;IF(D366="","性別","")="","","が空白です。"),IF(J366,"入社年月日に「基準日」の翌日以降の日付が入力されています。","")&amp;IF(I366,"入社年月日に数値以外（又は1900/1/1以前の日付）が入力されています。","")&amp;IF(H366,"雇用形態"&amp;IF(OR(K366,L366),",",""),"")&amp;IF(K366,"性別"&amp;IF(L366,",",""),"")&amp;IF(L366,"役職","")&amp;IF(OR(H366,K366,L366),"に、［入力シート］(4)「貴社」欄と異なる文言が入力されています。","")))))</f>
        <v/>
      </c>
      <c r="G366" s="236" t="b">
        <f>COUNTIF($A$4:A365,$A366)&gt;0</f>
        <v>0</v>
      </c>
      <c r="H366" s="237" t="b">
        <f>IF(COUNTIF(入力シート!$J$16:$S$23,入力リスト!$K$4)=0,FALSE,IF(入力シート!$J$16=入力リスト!$K$5,FALSE,ISERROR(VLOOKUP(B366,入力シート!$S$37:$V$62,1,0))))</f>
        <v>0</v>
      </c>
      <c r="I366" s="237" t="b">
        <f>IF(AND(OR(入力シート!$J$18=入力リスト!$K$4,入力シート!$J$22=入力リスト!$K$4),入力シート!$J$24&lt;&gt;""),IF(ISERROR(C366+1),TRUE,IF(ISNUMBER(C366),FALSE,TRUE)),FALSE)</f>
        <v>0</v>
      </c>
      <c r="J366" s="237" t="b">
        <f>IF(AND(入力シート!$J$18=入力リスト!$K$4,入力シート!$J$22=入力リスト!$K$4),FALSE,IF(I366=TRUE,FALSE,IF(ISERROR(C366+1),FALSE,C366&gt;入力シート!$J$24)))</f>
        <v>0</v>
      </c>
      <c r="K366" s="237" t="b">
        <f>IF(COUNTIF(入力シート!$J$16:$S$23,入力リスト!$K$4)=0,FALSE,IF(AND(入力シート!$J$16&lt;&gt;入力リスト!$K$5,入力シート!$J$18&lt;&gt;入力リスト!$K$5,入力シート!$J$20&lt;&gt;入力リスト!$K$5,入力シート!$J$22&lt;&gt;入力リスト!$K$5),FALSE,ISERROR(VLOOKUP(D366,入力シート!$AW$37:$AY$38,1,0))))</f>
        <v>0</v>
      </c>
      <c r="L366" s="237" t="b">
        <f>IF(COUNTIF(入力シート!$J$16:$S$23,入力リスト!$K$4)=0,FALSE,IF(入力シート!$J$20=入力リスト!$K$5,FALSE,IF(E366="",FALSE,ISERROR(VLOOKUP(E366,入力シート!$AH$37:$AK$62,1,0)))))</f>
        <v>0</v>
      </c>
      <c r="M366" s="238" t="str">
        <f t="shared" si="5"/>
        <v/>
      </c>
      <c r="N366" s="236" t="str">
        <f>IF(B366="","",VLOOKUP('従業員情報(給与以外)'!$B366,入力シート!$S$37:$Z$62,5,0))</f>
        <v/>
      </c>
      <c r="O366" s="182" t="str">
        <f>IF(ISNUMBER(C366)=FALSE,"",IF(C366&gt;入力シート!$J$24,"",_xlfn.DAYS(入力シート!$J$24,'従業員情報(給与以外)'!$C366)/365))</f>
        <v/>
      </c>
      <c r="P366" s="237" t="str">
        <f>IF(O366="","",VLOOKUP(_xlfn.DAYS(入力シート!$J$24,'従業員情報(給与以外)'!$C366)/365,入力リスト!$H$4:$I$12,2,2))</f>
        <v/>
      </c>
      <c r="Q366" s="236" t="str">
        <f>IF(D366="","",VLOOKUP('従業員情報(給与以外)'!$D366,入力シート!$AW$37:$BB$38,4,0))</f>
        <v/>
      </c>
      <c r="R366" s="236" t="str">
        <f>IF(A366="","",IF(E366="","非役職",VLOOKUP('従業員情報(給与以外)'!$E366,入力シート!$AH$37:$AO$62,5,0)))</f>
        <v/>
      </c>
      <c r="S366" s="116" t="str">
        <f>IF(OR(入力シート!$C$5&lt;&gt;入力リスト!$N$4,COUNTIF(入力シート!$J$16:$S$23,入力リスト!$K$4)=0),"",IF($A366="","",IF(ISERROR(AVERAGEIF(従業員の給与情報!$B:$B,$A366,従業員の給与情報!$C:$C)),0,IF(ISERROR(AVERAGEIF(従業員の給与情報!$B:$B,$A366,従業員の給与情報!$C:$C)),0,AVERAGEIF(従業員の給与情報!$B:$B,$A366,従業員の給与情報!$C:$C)))))</f>
        <v/>
      </c>
      <c r="T366" s="116" t="str">
        <f>IF(OR(入力シート!$C$5&lt;&gt;入力リスト!$N$4,COUNTIF(入力シート!$J$16:$S$23,入力リスト!$K$4)=0),"",IF(A366="","",IF(ISERROR(AVERAGEIF(従業員の給与情報!$B:$B,$A366,従業員の給与情報!$D:$D)),0,IF(ISERROR(AVERAGEIF(従業員の給与情報!$B:$B,$A366,従業員の給与情報!$D:$D)),0,AVERAGEIF(従業員の給与情報!$B:$B,$A366,従業員の給与情報!$D:$D)))))</f>
        <v/>
      </c>
      <c r="U366" s="116" t="str">
        <f>IF(OR(入力シート!$C$5&lt;&gt;入力リスト!$N$4,COUNTIF(入力シート!$J$16:$S$23,入力リスト!$K$4)=0),"",IF(A366="","",IF(ISERROR(AVERAGEIF(従業員の給与情報!$B:$B,$A366,従業員の給与情報!$E:$E)),0,IF(ISERROR(AVERAGEIF(従業員の給与情報!$B:$B,$A366,従業員の給与情報!$E:$E)),0,AVERAGEIF(従業員の給与情報!$B:$B,$A366,従業員の給与情報!$E:$E)))))</f>
        <v/>
      </c>
      <c r="V366" s="117" t="str">
        <f>IF(OR(入力シート!$C$5&lt;&gt;入力リスト!$N$4,COUNTIF(入力シート!$J$16:$S$23,入力リスト!$K$4)=0),"",IF(A366="","",IF(ISERROR(AVERAGEIF(従業員の給与情報!$B:$B,$A366,従業員の給与情報!$F:$F)),0,IF(ISERROR(AVERAGEIF(従業員の給与情報!$B:$B,$A366,従業員の給与情報!$F:$F)),0,AVERAGEIF(従業員の給与情報!$B:$B,$A366,従業員の給与情報!$F:$F)))))</f>
        <v/>
      </c>
      <c r="W366" s="182"/>
      <c r="X366" s="260"/>
    </row>
    <row r="367" spans="1:24">
      <c r="A367" s="368"/>
      <c r="B367" s="361"/>
      <c r="C367" s="362"/>
      <c r="D367" s="361"/>
      <c r="E367" s="361"/>
      <c r="F367" s="372" t="str">
        <f>IF(G367,"この従業員番号は、すでに他のセルで入力されています。",IF(入力シート!$C$5=入力リスト!$N$5,"",IF(AND(A367="",B367="",C367="",D367="",E367=""),"",IF(OR(A367="",B367="",C367="",D367=""),IF(A367="","従業員番号","")&amp;IF(AND(A367="",OR(B367="",C367="",D367="")),",","")&amp;IF(B367="","雇用形態","")&amp;IF(AND(B367="",OR(C367="",D367="")),",","")&amp;IF(OR(入力シート!$J$18=入力リスト!$K$4,入力シート!$J$22=入力リスト!$K$4),IF(C367="","入社年月日",""),"")&amp;IF(AND(C367="",D367=""),",","")&amp;IF(D367="","性別","")&amp;IF(IF(A367="","従業員番号","")&amp;IF(B367="","雇用形態","")&amp;IF(OR(入力シート!$J$18=入力リスト!$K$4,入力シート!$J$22=入力リスト!$K$4),IF(C367="","入社年月日",""),"")&amp;IF(D367="","性別","")="","","が空白です。"),IF(J367,"入社年月日に「基準日」の翌日以降の日付が入力されています。","")&amp;IF(I367,"入社年月日に数値以外（又は1900/1/1以前の日付）が入力されています。","")&amp;IF(H367,"雇用形態"&amp;IF(OR(K367,L367),",",""),"")&amp;IF(K367,"性別"&amp;IF(L367,",",""),"")&amp;IF(L367,"役職","")&amp;IF(OR(H367,K367,L367),"に、［入力シート］(4)「貴社」欄と異なる文言が入力されています。","")))))</f>
        <v/>
      </c>
      <c r="G367" s="236" t="b">
        <f>COUNTIF($A$4:A366,$A367)&gt;0</f>
        <v>0</v>
      </c>
      <c r="H367" s="237" t="b">
        <f>IF(COUNTIF(入力シート!$J$16:$S$23,入力リスト!$K$4)=0,FALSE,IF(入力シート!$J$16=入力リスト!$K$5,FALSE,ISERROR(VLOOKUP(B367,入力シート!$S$37:$V$62,1,0))))</f>
        <v>0</v>
      </c>
      <c r="I367" s="237" t="b">
        <f>IF(AND(OR(入力シート!$J$18=入力リスト!$K$4,入力シート!$J$22=入力リスト!$K$4),入力シート!$J$24&lt;&gt;""),IF(ISERROR(C367+1),TRUE,IF(ISNUMBER(C367),FALSE,TRUE)),FALSE)</f>
        <v>0</v>
      </c>
      <c r="J367" s="237" t="b">
        <f>IF(AND(入力シート!$J$18=入力リスト!$K$4,入力シート!$J$22=入力リスト!$K$4),FALSE,IF(I367=TRUE,FALSE,IF(ISERROR(C367+1),FALSE,C367&gt;入力シート!$J$24)))</f>
        <v>0</v>
      </c>
      <c r="K367" s="237" t="b">
        <f>IF(COUNTIF(入力シート!$J$16:$S$23,入力リスト!$K$4)=0,FALSE,IF(AND(入力シート!$J$16&lt;&gt;入力リスト!$K$5,入力シート!$J$18&lt;&gt;入力リスト!$K$5,入力シート!$J$20&lt;&gt;入力リスト!$K$5,入力シート!$J$22&lt;&gt;入力リスト!$K$5),FALSE,ISERROR(VLOOKUP(D367,入力シート!$AW$37:$AY$38,1,0))))</f>
        <v>0</v>
      </c>
      <c r="L367" s="237" t="b">
        <f>IF(COUNTIF(入力シート!$J$16:$S$23,入力リスト!$K$4)=0,FALSE,IF(入力シート!$J$20=入力リスト!$K$5,FALSE,IF(E367="",FALSE,ISERROR(VLOOKUP(E367,入力シート!$AH$37:$AK$62,1,0)))))</f>
        <v>0</v>
      </c>
      <c r="M367" s="238" t="str">
        <f t="shared" si="5"/>
        <v/>
      </c>
      <c r="N367" s="236" t="str">
        <f>IF(B367="","",VLOOKUP('従業員情報(給与以外)'!$B367,入力シート!$S$37:$Z$62,5,0))</f>
        <v/>
      </c>
      <c r="O367" s="182" t="str">
        <f>IF(ISNUMBER(C367)=FALSE,"",IF(C367&gt;入力シート!$J$24,"",_xlfn.DAYS(入力シート!$J$24,'従業員情報(給与以外)'!$C367)/365))</f>
        <v/>
      </c>
      <c r="P367" s="237" t="str">
        <f>IF(O367="","",VLOOKUP(_xlfn.DAYS(入力シート!$J$24,'従業員情報(給与以外)'!$C367)/365,入力リスト!$H$4:$I$12,2,2))</f>
        <v/>
      </c>
      <c r="Q367" s="236" t="str">
        <f>IF(D367="","",VLOOKUP('従業員情報(給与以外)'!$D367,入力シート!$AW$37:$BB$38,4,0))</f>
        <v/>
      </c>
      <c r="R367" s="236" t="str">
        <f>IF(A367="","",IF(E367="","非役職",VLOOKUP('従業員情報(給与以外)'!$E367,入力シート!$AH$37:$AO$62,5,0)))</f>
        <v/>
      </c>
      <c r="S367" s="116" t="str">
        <f>IF(OR(入力シート!$C$5&lt;&gt;入力リスト!$N$4,COUNTIF(入力シート!$J$16:$S$23,入力リスト!$K$4)=0),"",IF($A367="","",IF(ISERROR(AVERAGEIF(従業員の給与情報!$B:$B,$A367,従業員の給与情報!$C:$C)),0,IF(ISERROR(AVERAGEIF(従業員の給与情報!$B:$B,$A367,従業員の給与情報!$C:$C)),0,AVERAGEIF(従業員の給与情報!$B:$B,$A367,従業員の給与情報!$C:$C)))))</f>
        <v/>
      </c>
      <c r="T367" s="116" t="str">
        <f>IF(OR(入力シート!$C$5&lt;&gt;入力リスト!$N$4,COUNTIF(入力シート!$J$16:$S$23,入力リスト!$K$4)=0),"",IF(A367="","",IF(ISERROR(AVERAGEIF(従業員の給与情報!$B:$B,$A367,従業員の給与情報!$D:$D)),0,IF(ISERROR(AVERAGEIF(従業員の給与情報!$B:$B,$A367,従業員の給与情報!$D:$D)),0,AVERAGEIF(従業員の給与情報!$B:$B,$A367,従業員の給与情報!$D:$D)))))</f>
        <v/>
      </c>
      <c r="U367" s="116" t="str">
        <f>IF(OR(入力シート!$C$5&lt;&gt;入力リスト!$N$4,COUNTIF(入力シート!$J$16:$S$23,入力リスト!$K$4)=0),"",IF(A367="","",IF(ISERROR(AVERAGEIF(従業員の給与情報!$B:$B,$A367,従業員の給与情報!$E:$E)),0,IF(ISERROR(AVERAGEIF(従業員の給与情報!$B:$B,$A367,従業員の給与情報!$E:$E)),0,AVERAGEIF(従業員の給与情報!$B:$B,$A367,従業員の給与情報!$E:$E)))))</f>
        <v/>
      </c>
      <c r="V367" s="117" t="str">
        <f>IF(OR(入力シート!$C$5&lt;&gt;入力リスト!$N$4,COUNTIF(入力シート!$J$16:$S$23,入力リスト!$K$4)=0),"",IF(A367="","",IF(ISERROR(AVERAGEIF(従業員の給与情報!$B:$B,$A367,従業員の給与情報!$F:$F)),0,IF(ISERROR(AVERAGEIF(従業員の給与情報!$B:$B,$A367,従業員の給与情報!$F:$F)),0,AVERAGEIF(従業員の給与情報!$B:$B,$A367,従業員の給与情報!$F:$F)))))</f>
        <v/>
      </c>
      <c r="W367" s="182"/>
      <c r="X367" s="260"/>
    </row>
    <row r="368" spans="1:24">
      <c r="A368" s="368"/>
      <c r="B368" s="361"/>
      <c r="C368" s="362"/>
      <c r="D368" s="361"/>
      <c r="E368" s="361"/>
      <c r="F368" s="372" t="str">
        <f>IF(G368,"この従業員番号は、すでに他のセルで入力されています。",IF(入力シート!$C$5=入力リスト!$N$5,"",IF(AND(A368="",B368="",C368="",D368="",E368=""),"",IF(OR(A368="",B368="",C368="",D368=""),IF(A368="","従業員番号","")&amp;IF(AND(A368="",OR(B368="",C368="",D368="")),",","")&amp;IF(B368="","雇用形態","")&amp;IF(AND(B368="",OR(C368="",D368="")),",","")&amp;IF(OR(入力シート!$J$18=入力リスト!$K$4,入力シート!$J$22=入力リスト!$K$4),IF(C368="","入社年月日",""),"")&amp;IF(AND(C368="",D368=""),",","")&amp;IF(D368="","性別","")&amp;IF(IF(A368="","従業員番号","")&amp;IF(B368="","雇用形態","")&amp;IF(OR(入力シート!$J$18=入力リスト!$K$4,入力シート!$J$22=入力リスト!$K$4),IF(C368="","入社年月日",""),"")&amp;IF(D368="","性別","")="","","が空白です。"),IF(J368,"入社年月日に「基準日」の翌日以降の日付が入力されています。","")&amp;IF(I368,"入社年月日に数値以外（又は1900/1/1以前の日付）が入力されています。","")&amp;IF(H368,"雇用形態"&amp;IF(OR(K368,L368),",",""),"")&amp;IF(K368,"性別"&amp;IF(L368,",",""),"")&amp;IF(L368,"役職","")&amp;IF(OR(H368,K368,L368),"に、［入力シート］(4)「貴社」欄と異なる文言が入力されています。","")))))</f>
        <v/>
      </c>
      <c r="G368" s="236" t="b">
        <f>COUNTIF($A$4:A367,$A368)&gt;0</f>
        <v>0</v>
      </c>
      <c r="H368" s="237" t="b">
        <f>IF(COUNTIF(入力シート!$J$16:$S$23,入力リスト!$K$4)=0,FALSE,IF(入力シート!$J$16=入力リスト!$K$5,FALSE,ISERROR(VLOOKUP(B368,入力シート!$S$37:$V$62,1,0))))</f>
        <v>0</v>
      </c>
      <c r="I368" s="237" t="b">
        <f>IF(AND(OR(入力シート!$J$18=入力リスト!$K$4,入力シート!$J$22=入力リスト!$K$4),入力シート!$J$24&lt;&gt;""),IF(ISERROR(C368+1),TRUE,IF(ISNUMBER(C368),FALSE,TRUE)),FALSE)</f>
        <v>0</v>
      </c>
      <c r="J368" s="237" t="b">
        <f>IF(AND(入力シート!$J$18=入力リスト!$K$4,入力シート!$J$22=入力リスト!$K$4),FALSE,IF(I368=TRUE,FALSE,IF(ISERROR(C368+1),FALSE,C368&gt;入力シート!$J$24)))</f>
        <v>0</v>
      </c>
      <c r="K368" s="237" t="b">
        <f>IF(COUNTIF(入力シート!$J$16:$S$23,入力リスト!$K$4)=0,FALSE,IF(AND(入力シート!$J$16&lt;&gt;入力リスト!$K$5,入力シート!$J$18&lt;&gt;入力リスト!$K$5,入力シート!$J$20&lt;&gt;入力リスト!$K$5,入力シート!$J$22&lt;&gt;入力リスト!$K$5),FALSE,ISERROR(VLOOKUP(D368,入力シート!$AW$37:$AY$38,1,0))))</f>
        <v>0</v>
      </c>
      <c r="L368" s="237" t="b">
        <f>IF(COUNTIF(入力シート!$J$16:$S$23,入力リスト!$K$4)=0,FALSE,IF(入力シート!$J$20=入力リスト!$K$5,FALSE,IF(E368="",FALSE,ISERROR(VLOOKUP(E368,入力シート!$AH$37:$AK$62,1,0)))))</f>
        <v>0</v>
      </c>
      <c r="M368" s="238" t="str">
        <f t="shared" si="5"/>
        <v/>
      </c>
      <c r="N368" s="236" t="str">
        <f>IF(B368="","",VLOOKUP('従業員情報(給与以外)'!$B368,入力シート!$S$37:$Z$62,5,0))</f>
        <v/>
      </c>
      <c r="O368" s="182" t="str">
        <f>IF(ISNUMBER(C368)=FALSE,"",IF(C368&gt;入力シート!$J$24,"",_xlfn.DAYS(入力シート!$J$24,'従業員情報(給与以外)'!$C368)/365))</f>
        <v/>
      </c>
      <c r="P368" s="237" t="str">
        <f>IF(O368="","",VLOOKUP(_xlfn.DAYS(入力シート!$J$24,'従業員情報(給与以外)'!$C368)/365,入力リスト!$H$4:$I$12,2,2))</f>
        <v/>
      </c>
      <c r="Q368" s="236" t="str">
        <f>IF(D368="","",VLOOKUP('従業員情報(給与以外)'!$D368,入力シート!$AW$37:$BB$38,4,0))</f>
        <v/>
      </c>
      <c r="R368" s="236" t="str">
        <f>IF(A368="","",IF(E368="","非役職",VLOOKUP('従業員情報(給与以外)'!$E368,入力シート!$AH$37:$AO$62,5,0)))</f>
        <v/>
      </c>
      <c r="S368" s="116" t="str">
        <f>IF(OR(入力シート!$C$5&lt;&gt;入力リスト!$N$4,COUNTIF(入力シート!$J$16:$S$23,入力リスト!$K$4)=0),"",IF($A368="","",IF(ISERROR(AVERAGEIF(従業員の給与情報!$B:$B,$A368,従業員の給与情報!$C:$C)),0,IF(ISERROR(AVERAGEIF(従業員の給与情報!$B:$B,$A368,従業員の給与情報!$C:$C)),0,AVERAGEIF(従業員の給与情報!$B:$B,$A368,従業員の給与情報!$C:$C)))))</f>
        <v/>
      </c>
      <c r="T368" s="116" t="str">
        <f>IF(OR(入力シート!$C$5&lt;&gt;入力リスト!$N$4,COUNTIF(入力シート!$J$16:$S$23,入力リスト!$K$4)=0),"",IF(A368="","",IF(ISERROR(AVERAGEIF(従業員の給与情報!$B:$B,$A368,従業員の給与情報!$D:$D)),0,IF(ISERROR(AVERAGEIF(従業員の給与情報!$B:$B,$A368,従業員の給与情報!$D:$D)),0,AVERAGEIF(従業員の給与情報!$B:$B,$A368,従業員の給与情報!$D:$D)))))</f>
        <v/>
      </c>
      <c r="U368" s="116" t="str">
        <f>IF(OR(入力シート!$C$5&lt;&gt;入力リスト!$N$4,COUNTIF(入力シート!$J$16:$S$23,入力リスト!$K$4)=0),"",IF(A368="","",IF(ISERROR(AVERAGEIF(従業員の給与情報!$B:$B,$A368,従業員の給与情報!$E:$E)),0,IF(ISERROR(AVERAGEIF(従業員の給与情報!$B:$B,$A368,従業員の給与情報!$E:$E)),0,AVERAGEIF(従業員の給与情報!$B:$B,$A368,従業員の給与情報!$E:$E)))))</f>
        <v/>
      </c>
      <c r="V368" s="117" t="str">
        <f>IF(OR(入力シート!$C$5&lt;&gt;入力リスト!$N$4,COUNTIF(入力シート!$J$16:$S$23,入力リスト!$K$4)=0),"",IF(A368="","",IF(ISERROR(AVERAGEIF(従業員の給与情報!$B:$B,$A368,従業員の給与情報!$F:$F)),0,IF(ISERROR(AVERAGEIF(従業員の給与情報!$B:$B,$A368,従業員の給与情報!$F:$F)),0,AVERAGEIF(従業員の給与情報!$B:$B,$A368,従業員の給与情報!$F:$F)))))</f>
        <v/>
      </c>
      <c r="W368" s="182"/>
      <c r="X368" s="260"/>
    </row>
    <row r="369" spans="1:24">
      <c r="A369" s="368"/>
      <c r="B369" s="361"/>
      <c r="C369" s="362"/>
      <c r="D369" s="361"/>
      <c r="E369" s="361"/>
      <c r="F369" s="372" t="str">
        <f>IF(G369,"この従業員番号は、すでに他のセルで入力されています。",IF(入力シート!$C$5=入力リスト!$N$5,"",IF(AND(A369="",B369="",C369="",D369="",E369=""),"",IF(OR(A369="",B369="",C369="",D369=""),IF(A369="","従業員番号","")&amp;IF(AND(A369="",OR(B369="",C369="",D369="")),",","")&amp;IF(B369="","雇用形態","")&amp;IF(AND(B369="",OR(C369="",D369="")),",","")&amp;IF(OR(入力シート!$J$18=入力リスト!$K$4,入力シート!$J$22=入力リスト!$K$4),IF(C369="","入社年月日",""),"")&amp;IF(AND(C369="",D369=""),",","")&amp;IF(D369="","性別","")&amp;IF(IF(A369="","従業員番号","")&amp;IF(B369="","雇用形態","")&amp;IF(OR(入力シート!$J$18=入力リスト!$K$4,入力シート!$J$22=入力リスト!$K$4),IF(C369="","入社年月日",""),"")&amp;IF(D369="","性別","")="","","が空白です。"),IF(J369,"入社年月日に「基準日」の翌日以降の日付が入力されています。","")&amp;IF(I369,"入社年月日に数値以外（又は1900/1/1以前の日付）が入力されています。","")&amp;IF(H369,"雇用形態"&amp;IF(OR(K369,L369),",",""),"")&amp;IF(K369,"性別"&amp;IF(L369,",",""),"")&amp;IF(L369,"役職","")&amp;IF(OR(H369,K369,L369),"に、［入力シート］(4)「貴社」欄と異なる文言が入力されています。","")))))</f>
        <v/>
      </c>
      <c r="G369" s="236" t="b">
        <f>COUNTIF($A$4:A368,$A369)&gt;0</f>
        <v>0</v>
      </c>
      <c r="H369" s="237" t="b">
        <f>IF(COUNTIF(入力シート!$J$16:$S$23,入力リスト!$K$4)=0,FALSE,IF(入力シート!$J$16=入力リスト!$K$5,FALSE,ISERROR(VLOOKUP(B369,入力シート!$S$37:$V$62,1,0))))</f>
        <v>0</v>
      </c>
      <c r="I369" s="237" t="b">
        <f>IF(AND(OR(入力シート!$J$18=入力リスト!$K$4,入力シート!$J$22=入力リスト!$K$4),入力シート!$J$24&lt;&gt;""),IF(ISERROR(C369+1),TRUE,IF(ISNUMBER(C369),FALSE,TRUE)),FALSE)</f>
        <v>0</v>
      </c>
      <c r="J369" s="237" t="b">
        <f>IF(AND(入力シート!$J$18=入力リスト!$K$4,入力シート!$J$22=入力リスト!$K$4),FALSE,IF(I369=TRUE,FALSE,IF(ISERROR(C369+1),FALSE,C369&gt;入力シート!$J$24)))</f>
        <v>0</v>
      </c>
      <c r="K369" s="237" t="b">
        <f>IF(COUNTIF(入力シート!$J$16:$S$23,入力リスト!$K$4)=0,FALSE,IF(AND(入力シート!$J$16&lt;&gt;入力リスト!$K$5,入力シート!$J$18&lt;&gt;入力リスト!$K$5,入力シート!$J$20&lt;&gt;入力リスト!$K$5,入力シート!$J$22&lt;&gt;入力リスト!$K$5),FALSE,ISERROR(VLOOKUP(D369,入力シート!$AW$37:$AY$38,1,0))))</f>
        <v>0</v>
      </c>
      <c r="L369" s="237" t="b">
        <f>IF(COUNTIF(入力シート!$J$16:$S$23,入力リスト!$K$4)=0,FALSE,IF(入力シート!$J$20=入力リスト!$K$5,FALSE,IF(E369="",FALSE,ISERROR(VLOOKUP(E369,入力シート!$AH$37:$AK$62,1,0)))))</f>
        <v>0</v>
      </c>
      <c r="M369" s="238" t="str">
        <f t="shared" si="5"/>
        <v/>
      </c>
      <c r="N369" s="236" t="str">
        <f>IF(B369="","",VLOOKUP('従業員情報(給与以外)'!$B369,入力シート!$S$37:$Z$62,5,0))</f>
        <v/>
      </c>
      <c r="O369" s="182" t="str">
        <f>IF(ISNUMBER(C369)=FALSE,"",IF(C369&gt;入力シート!$J$24,"",_xlfn.DAYS(入力シート!$J$24,'従業員情報(給与以外)'!$C369)/365))</f>
        <v/>
      </c>
      <c r="P369" s="237" t="str">
        <f>IF(O369="","",VLOOKUP(_xlfn.DAYS(入力シート!$J$24,'従業員情報(給与以外)'!$C369)/365,入力リスト!$H$4:$I$12,2,2))</f>
        <v/>
      </c>
      <c r="Q369" s="236" t="str">
        <f>IF(D369="","",VLOOKUP('従業員情報(給与以外)'!$D369,入力シート!$AW$37:$BB$38,4,0))</f>
        <v/>
      </c>
      <c r="R369" s="236" t="str">
        <f>IF(A369="","",IF(E369="","非役職",VLOOKUP('従業員情報(給与以外)'!$E369,入力シート!$AH$37:$AO$62,5,0)))</f>
        <v/>
      </c>
      <c r="S369" s="116" t="str">
        <f>IF(OR(入力シート!$C$5&lt;&gt;入力リスト!$N$4,COUNTIF(入力シート!$J$16:$S$23,入力リスト!$K$4)=0),"",IF($A369="","",IF(ISERROR(AVERAGEIF(従業員の給与情報!$B:$B,$A369,従業員の給与情報!$C:$C)),0,IF(ISERROR(AVERAGEIF(従業員の給与情報!$B:$B,$A369,従業員の給与情報!$C:$C)),0,AVERAGEIF(従業員の給与情報!$B:$B,$A369,従業員の給与情報!$C:$C)))))</f>
        <v/>
      </c>
      <c r="T369" s="116" t="str">
        <f>IF(OR(入力シート!$C$5&lt;&gt;入力リスト!$N$4,COUNTIF(入力シート!$J$16:$S$23,入力リスト!$K$4)=0),"",IF(A369="","",IF(ISERROR(AVERAGEIF(従業員の給与情報!$B:$B,$A369,従業員の給与情報!$D:$D)),0,IF(ISERROR(AVERAGEIF(従業員の給与情報!$B:$B,$A369,従業員の給与情報!$D:$D)),0,AVERAGEIF(従業員の給与情報!$B:$B,$A369,従業員の給与情報!$D:$D)))))</f>
        <v/>
      </c>
      <c r="U369" s="116" t="str">
        <f>IF(OR(入力シート!$C$5&lt;&gt;入力リスト!$N$4,COUNTIF(入力シート!$J$16:$S$23,入力リスト!$K$4)=0),"",IF(A369="","",IF(ISERROR(AVERAGEIF(従業員の給与情報!$B:$B,$A369,従業員の給与情報!$E:$E)),0,IF(ISERROR(AVERAGEIF(従業員の給与情報!$B:$B,$A369,従業員の給与情報!$E:$E)),0,AVERAGEIF(従業員の給与情報!$B:$B,$A369,従業員の給与情報!$E:$E)))))</f>
        <v/>
      </c>
      <c r="V369" s="117" t="str">
        <f>IF(OR(入力シート!$C$5&lt;&gt;入力リスト!$N$4,COUNTIF(入力シート!$J$16:$S$23,入力リスト!$K$4)=0),"",IF(A369="","",IF(ISERROR(AVERAGEIF(従業員の給与情報!$B:$B,$A369,従業員の給与情報!$F:$F)),0,IF(ISERROR(AVERAGEIF(従業員の給与情報!$B:$B,$A369,従業員の給与情報!$F:$F)),0,AVERAGEIF(従業員の給与情報!$B:$B,$A369,従業員の給与情報!$F:$F)))))</f>
        <v/>
      </c>
      <c r="W369" s="182"/>
      <c r="X369" s="260"/>
    </row>
    <row r="370" spans="1:24">
      <c r="A370" s="368"/>
      <c r="B370" s="361"/>
      <c r="C370" s="362"/>
      <c r="D370" s="361"/>
      <c r="E370" s="361"/>
      <c r="F370" s="372" t="str">
        <f>IF(G370,"この従業員番号は、すでに他のセルで入力されています。",IF(入力シート!$C$5=入力リスト!$N$5,"",IF(AND(A370="",B370="",C370="",D370="",E370=""),"",IF(OR(A370="",B370="",C370="",D370=""),IF(A370="","従業員番号","")&amp;IF(AND(A370="",OR(B370="",C370="",D370="")),",","")&amp;IF(B370="","雇用形態","")&amp;IF(AND(B370="",OR(C370="",D370="")),",","")&amp;IF(OR(入力シート!$J$18=入力リスト!$K$4,入力シート!$J$22=入力リスト!$K$4),IF(C370="","入社年月日",""),"")&amp;IF(AND(C370="",D370=""),",","")&amp;IF(D370="","性別","")&amp;IF(IF(A370="","従業員番号","")&amp;IF(B370="","雇用形態","")&amp;IF(OR(入力シート!$J$18=入力リスト!$K$4,入力シート!$J$22=入力リスト!$K$4),IF(C370="","入社年月日",""),"")&amp;IF(D370="","性別","")="","","が空白です。"),IF(J370,"入社年月日に「基準日」の翌日以降の日付が入力されています。","")&amp;IF(I370,"入社年月日に数値以外（又は1900/1/1以前の日付）が入力されています。","")&amp;IF(H370,"雇用形態"&amp;IF(OR(K370,L370),",",""),"")&amp;IF(K370,"性別"&amp;IF(L370,",",""),"")&amp;IF(L370,"役職","")&amp;IF(OR(H370,K370,L370),"に、［入力シート］(4)「貴社」欄と異なる文言が入力されています。","")))))</f>
        <v/>
      </c>
      <c r="G370" s="236" t="b">
        <f>COUNTIF($A$4:A369,$A370)&gt;0</f>
        <v>0</v>
      </c>
      <c r="H370" s="237" t="b">
        <f>IF(COUNTIF(入力シート!$J$16:$S$23,入力リスト!$K$4)=0,FALSE,IF(入力シート!$J$16=入力リスト!$K$5,FALSE,ISERROR(VLOOKUP(B370,入力シート!$S$37:$V$62,1,0))))</f>
        <v>0</v>
      </c>
      <c r="I370" s="237" t="b">
        <f>IF(AND(OR(入力シート!$J$18=入力リスト!$K$4,入力シート!$J$22=入力リスト!$K$4),入力シート!$J$24&lt;&gt;""),IF(ISERROR(C370+1),TRUE,IF(ISNUMBER(C370),FALSE,TRUE)),FALSE)</f>
        <v>0</v>
      </c>
      <c r="J370" s="237" t="b">
        <f>IF(AND(入力シート!$J$18=入力リスト!$K$4,入力シート!$J$22=入力リスト!$K$4),FALSE,IF(I370=TRUE,FALSE,IF(ISERROR(C370+1),FALSE,C370&gt;入力シート!$J$24)))</f>
        <v>0</v>
      </c>
      <c r="K370" s="237" t="b">
        <f>IF(COUNTIF(入力シート!$J$16:$S$23,入力リスト!$K$4)=0,FALSE,IF(AND(入力シート!$J$16&lt;&gt;入力リスト!$K$5,入力シート!$J$18&lt;&gt;入力リスト!$K$5,入力シート!$J$20&lt;&gt;入力リスト!$K$5,入力シート!$J$22&lt;&gt;入力リスト!$K$5),FALSE,ISERROR(VLOOKUP(D370,入力シート!$AW$37:$AY$38,1,0))))</f>
        <v>0</v>
      </c>
      <c r="L370" s="237" t="b">
        <f>IF(COUNTIF(入力シート!$J$16:$S$23,入力リスト!$K$4)=0,FALSE,IF(入力シート!$J$20=入力リスト!$K$5,FALSE,IF(E370="",FALSE,ISERROR(VLOOKUP(E370,入力シート!$AH$37:$AK$62,1,0)))))</f>
        <v>0</v>
      </c>
      <c r="M370" s="238" t="str">
        <f t="shared" si="5"/>
        <v/>
      </c>
      <c r="N370" s="236" t="str">
        <f>IF(B370="","",VLOOKUP('従業員情報(給与以外)'!$B370,入力シート!$S$37:$Z$62,5,0))</f>
        <v/>
      </c>
      <c r="O370" s="182" t="str">
        <f>IF(ISNUMBER(C370)=FALSE,"",IF(C370&gt;入力シート!$J$24,"",_xlfn.DAYS(入力シート!$J$24,'従業員情報(給与以外)'!$C370)/365))</f>
        <v/>
      </c>
      <c r="P370" s="237" t="str">
        <f>IF(O370="","",VLOOKUP(_xlfn.DAYS(入力シート!$J$24,'従業員情報(給与以外)'!$C370)/365,入力リスト!$H$4:$I$12,2,2))</f>
        <v/>
      </c>
      <c r="Q370" s="236" t="str">
        <f>IF(D370="","",VLOOKUP('従業員情報(給与以外)'!$D370,入力シート!$AW$37:$BB$38,4,0))</f>
        <v/>
      </c>
      <c r="R370" s="236" t="str">
        <f>IF(A370="","",IF(E370="","非役職",VLOOKUP('従業員情報(給与以外)'!$E370,入力シート!$AH$37:$AO$62,5,0)))</f>
        <v/>
      </c>
      <c r="S370" s="116" t="str">
        <f>IF(OR(入力シート!$C$5&lt;&gt;入力リスト!$N$4,COUNTIF(入力シート!$J$16:$S$23,入力リスト!$K$4)=0),"",IF($A370="","",IF(ISERROR(AVERAGEIF(従業員の給与情報!$B:$B,$A370,従業員の給与情報!$C:$C)),0,IF(ISERROR(AVERAGEIF(従業員の給与情報!$B:$B,$A370,従業員の給与情報!$C:$C)),0,AVERAGEIF(従業員の給与情報!$B:$B,$A370,従業員の給与情報!$C:$C)))))</f>
        <v/>
      </c>
      <c r="T370" s="116" t="str">
        <f>IF(OR(入力シート!$C$5&lt;&gt;入力リスト!$N$4,COUNTIF(入力シート!$J$16:$S$23,入力リスト!$K$4)=0),"",IF(A370="","",IF(ISERROR(AVERAGEIF(従業員の給与情報!$B:$B,$A370,従業員の給与情報!$D:$D)),0,IF(ISERROR(AVERAGEIF(従業員の給与情報!$B:$B,$A370,従業員の給与情報!$D:$D)),0,AVERAGEIF(従業員の給与情報!$B:$B,$A370,従業員の給与情報!$D:$D)))))</f>
        <v/>
      </c>
      <c r="U370" s="116" t="str">
        <f>IF(OR(入力シート!$C$5&lt;&gt;入力リスト!$N$4,COUNTIF(入力シート!$J$16:$S$23,入力リスト!$K$4)=0),"",IF(A370="","",IF(ISERROR(AVERAGEIF(従業員の給与情報!$B:$B,$A370,従業員の給与情報!$E:$E)),0,IF(ISERROR(AVERAGEIF(従業員の給与情報!$B:$B,$A370,従業員の給与情報!$E:$E)),0,AVERAGEIF(従業員の給与情報!$B:$B,$A370,従業員の給与情報!$E:$E)))))</f>
        <v/>
      </c>
      <c r="V370" s="117" t="str">
        <f>IF(OR(入力シート!$C$5&lt;&gt;入力リスト!$N$4,COUNTIF(入力シート!$J$16:$S$23,入力リスト!$K$4)=0),"",IF(A370="","",IF(ISERROR(AVERAGEIF(従業員の給与情報!$B:$B,$A370,従業員の給与情報!$F:$F)),0,IF(ISERROR(AVERAGEIF(従業員の給与情報!$B:$B,$A370,従業員の給与情報!$F:$F)),0,AVERAGEIF(従業員の給与情報!$B:$B,$A370,従業員の給与情報!$F:$F)))))</f>
        <v/>
      </c>
      <c r="W370" s="182"/>
      <c r="X370" s="260"/>
    </row>
    <row r="371" spans="1:24">
      <c r="A371" s="368"/>
      <c r="B371" s="361"/>
      <c r="C371" s="362"/>
      <c r="D371" s="361"/>
      <c r="E371" s="361"/>
      <c r="F371" s="372" t="str">
        <f>IF(G371,"この従業員番号は、すでに他のセルで入力されています。",IF(入力シート!$C$5=入力リスト!$N$5,"",IF(AND(A371="",B371="",C371="",D371="",E371=""),"",IF(OR(A371="",B371="",C371="",D371=""),IF(A371="","従業員番号","")&amp;IF(AND(A371="",OR(B371="",C371="",D371="")),",","")&amp;IF(B371="","雇用形態","")&amp;IF(AND(B371="",OR(C371="",D371="")),",","")&amp;IF(OR(入力シート!$J$18=入力リスト!$K$4,入力シート!$J$22=入力リスト!$K$4),IF(C371="","入社年月日",""),"")&amp;IF(AND(C371="",D371=""),",","")&amp;IF(D371="","性別","")&amp;IF(IF(A371="","従業員番号","")&amp;IF(B371="","雇用形態","")&amp;IF(OR(入力シート!$J$18=入力リスト!$K$4,入力シート!$J$22=入力リスト!$K$4),IF(C371="","入社年月日",""),"")&amp;IF(D371="","性別","")="","","が空白です。"),IF(J371,"入社年月日に「基準日」の翌日以降の日付が入力されています。","")&amp;IF(I371,"入社年月日に数値以外（又は1900/1/1以前の日付）が入力されています。","")&amp;IF(H371,"雇用形態"&amp;IF(OR(K371,L371),",",""),"")&amp;IF(K371,"性別"&amp;IF(L371,",",""),"")&amp;IF(L371,"役職","")&amp;IF(OR(H371,K371,L371),"に、［入力シート］(4)「貴社」欄と異なる文言が入力されています。","")))))</f>
        <v/>
      </c>
      <c r="G371" s="236" t="b">
        <f>COUNTIF($A$4:A370,$A371)&gt;0</f>
        <v>0</v>
      </c>
      <c r="H371" s="237" t="b">
        <f>IF(COUNTIF(入力シート!$J$16:$S$23,入力リスト!$K$4)=0,FALSE,IF(入力シート!$J$16=入力リスト!$K$5,FALSE,ISERROR(VLOOKUP(B371,入力シート!$S$37:$V$62,1,0))))</f>
        <v>0</v>
      </c>
      <c r="I371" s="237" t="b">
        <f>IF(AND(OR(入力シート!$J$18=入力リスト!$K$4,入力シート!$J$22=入力リスト!$K$4),入力シート!$J$24&lt;&gt;""),IF(ISERROR(C371+1),TRUE,IF(ISNUMBER(C371),FALSE,TRUE)),FALSE)</f>
        <v>0</v>
      </c>
      <c r="J371" s="237" t="b">
        <f>IF(AND(入力シート!$J$18=入力リスト!$K$4,入力シート!$J$22=入力リスト!$K$4),FALSE,IF(I371=TRUE,FALSE,IF(ISERROR(C371+1),FALSE,C371&gt;入力シート!$J$24)))</f>
        <v>0</v>
      </c>
      <c r="K371" s="237" t="b">
        <f>IF(COUNTIF(入力シート!$J$16:$S$23,入力リスト!$K$4)=0,FALSE,IF(AND(入力シート!$J$16&lt;&gt;入力リスト!$K$5,入力シート!$J$18&lt;&gt;入力リスト!$K$5,入力シート!$J$20&lt;&gt;入力リスト!$K$5,入力シート!$J$22&lt;&gt;入力リスト!$K$5),FALSE,ISERROR(VLOOKUP(D371,入力シート!$AW$37:$AY$38,1,0))))</f>
        <v>0</v>
      </c>
      <c r="L371" s="237" t="b">
        <f>IF(COUNTIF(入力シート!$J$16:$S$23,入力リスト!$K$4)=0,FALSE,IF(入力シート!$J$20=入力リスト!$K$5,FALSE,IF(E371="",FALSE,ISERROR(VLOOKUP(E371,入力シート!$AH$37:$AK$62,1,0)))))</f>
        <v>0</v>
      </c>
      <c r="M371" s="238" t="str">
        <f t="shared" si="5"/>
        <v/>
      </c>
      <c r="N371" s="236" t="str">
        <f>IF(B371="","",VLOOKUP('従業員情報(給与以外)'!$B371,入力シート!$S$37:$Z$62,5,0))</f>
        <v/>
      </c>
      <c r="O371" s="182" t="str">
        <f>IF(ISNUMBER(C371)=FALSE,"",IF(C371&gt;入力シート!$J$24,"",_xlfn.DAYS(入力シート!$J$24,'従業員情報(給与以外)'!$C371)/365))</f>
        <v/>
      </c>
      <c r="P371" s="237" t="str">
        <f>IF(O371="","",VLOOKUP(_xlfn.DAYS(入力シート!$J$24,'従業員情報(給与以外)'!$C371)/365,入力リスト!$H$4:$I$12,2,2))</f>
        <v/>
      </c>
      <c r="Q371" s="236" t="str">
        <f>IF(D371="","",VLOOKUP('従業員情報(給与以外)'!$D371,入力シート!$AW$37:$BB$38,4,0))</f>
        <v/>
      </c>
      <c r="R371" s="236" t="str">
        <f>IF(A371="","",IF(E371="","非役職",VLOOKUP('従業員情報(給与以外)'!$E371,入力シート!$AH$37:$AO$62,5,0)))</f>
        <v/>
      </c>
      <c r="S371" s="116" t="str">
        <f>IF(OR(入力シート!$C$5&lt;&gt;入力リスト!$N$4,COUNTIF(入力シート!$J$16:$S$23,入力リスト!$K$4)=0),"",IF($A371="","",IF(ISERROR(AVERAGEIF(従業員の給与情報!$B:$B,$A371,従業員の給与情報!$C:$C)),0,IF(ISERROR(AVERAGEIF(従業員の給与情報!$B:$B,$A371,従業員の給与情報!$C:$C)),0,AVERAGEIF(従業員の給与情報!$B:$B,$A371,従業員の給与情報!$C:$C)))))</f>
        <v/>
      </c>
      <c r="T371" s="116" t="str">
        <f>IF(OR(入力シート!$C$5&lt;&gt;入力リスト!$N$4,COUNTIF(入力シート!$J$16:$S$23,入力リスト!$K$4)=0),"",IF(A371="","",IF(ISERROR(AVERAGEIF(従業員の給与情報!$B:$B,$A371,従業員の給与情報!$D:$D)),0,IF(ISERROR(AVERAGEIF(従業員の給与情報!$B:$B,$A371,従業員の給与情報!$D:$D)),0,AVERAGEIF(従業員の給与情報!$B:$B,$A371,従業員の給与情報!$D:$D)))))</f>
        <v/>
      </c>
      <c r="U371" s="116" t="str">
        <f>IF(OR(入力シート!$C$5&lt;&gt;入力リスト!$N$4,COUNTIF(入力シート!$J$16:$S$23,入力リスト!$K$4)=0),"",IF(A371="","",IF(ISERROR(AVERAGEIF(従業員の給与情報!$B:$B,$A371,従業員の給与情報!$E:$E)),0,IF(ISERROR(AVERAGEIF(従業員の給与情報!$B:$B,$A371,従業員の給与情報!$E:$E)),0,AVERAGEIF(従業員の給与情報!$B:$B,$A371,従業員の給与情報!$E:$E)))))</f>
        <v/>
      </c>
      <c r="V371" s="117" t="str">
        <f>IF(OR(入力シート!$C$5&lt;&gt;入力リスト!$N$4,COUNTIF(入力シート!$J$16:$S$23,入力リスト!$K$4)=0),"",IF(A371="","",IF(ISERROR(AVERAGEIF(従業員の給与情報!$B:$B,$A371,従業員の給与情報!$F:$F)),0,IF(ISERROR(AVERAGEIF(従業員の給与情報!$B:$B,$A371,従業員の給与情報!$F:$F)),0,AVERAGEIF(従業員の給与情報!$B:$B,$A371,従業員の給与情報!$F:$F)))))</f>
        <v/>
      </c>
      <c r="W371" s="182"/>
      <c r="X371" s="260"/>
    </row>
    <row r="372" spans="1:24">
      <c r="A372" s="368"/>
      <c r="B372" s="361"/>
      <c r="C372" s="362"/>
      <c r="D372" s="361"/>
      <c r="E372" s="361"/>
      <c r="F372" s="372" t="str">
        <f>IF(G372,"この従業員番号は、すでに他のセルで入力されています。",IF(入力シート!$C$5=入力リスト!$N$5,"",IF(AND(A372="",B372="",C372="",D372="",E372=""),"",IF(OR(A372="",B372="",C372="",D372=""),IF(A372="","従業員番号","")&amp;IF(AND(A372="",OR(B372="",C372="",D372="")),",","")&amp;IF(B372="","雇用形態","")&amp;IF(AND(B372="",OR(C372="",D372="")),",","")&amp;IF(OR(入力シート!$J$18=入力リスト!$K$4,入力シート!$J$22=入力リスト!$K$4),IF(C372="","入社年月日",""),"")&amp;IF(AND(C372="",D372=""),",","")&amp;IF(D372="","性別","")&amp;IF(IF(A372="","従業員番号","")&amp;IF(B372="","雇用形態","")&amp;IF(OR(入力シート!$J$18=入力リスト!$K$4,入力シート!$J$22=入力リスト!$K$4),IF(C372="","入社年月日",""),"")&amp;IF(D372="","性別","")="","","が空白です。"),IF(J372,"入社年月日に「基準日」の翌日以降の日付が入力されています。","")&amp;IF(I372,"入社年月日に数値以外（又は1900/1/1以前の日付）が入力されています。","")&amp;IF(H372,"雇用形態"&amp;IF(OR(K372,L372),",",""),"")&amp;IF(K372,"性別"&amp;IF(L372,",",""),"")&amp;IF(L372,"役職","")&amp;IF(OR(H372,K372,L372),"に、［入力シート］(4)「貴社」欄と異なる文言が入力されています。","")))))</f>
        <v/>
      </c>
      <c r="G372" s="236" t="b">
        <f>COUNTIF($A$4:A371,$A372)&gt;0</f>
        <v>0</v>
      </c>
      <c r="H372" s="237" t="b">
        <f>IF(COUNTIF(入力シート!$J$16:$S$23,入力リスト!$K$4)=0,FALSE,IF(入力シート!$J$16=入力リスト!$K$5,FALSE,ISERROR(VLOOKUP(B372,入力シート!$S$37:$V$62,1,0))))</f>
        <v>0</v>
      </c>
      <c r="I372" s="237" t="b">
        <f>IF(AND(OR(入力シート!$J$18=入力リスト!$K$4,入力シート!$J$22=入力リスト!$K$4),入力シート!$J$24&lt;&gt;""),IF(ISERROR(C372+1),TRUE,IF(ISNUMBER(C372),FALSE,TRUE)),FALSE)</f>
        <v>0</v>
      </c>
      <c r="J372" s="237" t="b">
        <f>IF(AND(入力シート!$J$18=入力リスト!$K$4,入力シート!$J$22=入力リスト!$K$4),FALSE,IF(I372=TRUE,FALSE,IF(ISERROR(C372+1),FALSE,C372&gt;入力シート!$J$24)))</f>
        <v>0</v>
      </c>
      <c r="K372" s="237" t="b">
        <f>IF(COUNTIF(入力シート!$J$16:$S$23,入力リスト!$K$4)=0,FALSE,IF(AND(入力シート!$J$16&lt;&gt;入力リスト!$K$5,入力シート!$J$18&lt;&gt;入力リスト!$K$5,入力シート!$J$20&lt;&gt;入力リスト!$K$5,入力シート!$J$22&lt;&gt;入力リスト!$K$5),FALSE,ISERROR(VLOOKUP(D372,入力シート!$AW$37:$AY$38,1,0))))</f>
        <v>0</v>
      </c>
      <c r="L372" s="237" t="b">
        <f>IF(COUNTIF(入力シート!$J$16:$S$23,入力リスト!$K$4)=0,FALSE,IF(入力シート!$J$20=入力リスト!$K$5,FALSE,IF(E372="",FALSE,ISERROR(VLOOKUP(E372,入力シート!$AH$37:$AK$62,1,0)))))</f>
        <v>0</v>
      </c>
      <c r="M372" s="238" t="str">
        <f t="shared" si="5"/>
        <v/>
      </c>
      <c r="N372" s="236" t="str">
        <f>IF(B372="","",VLOOKUP('従業員情報(給与以外)'!$B372,入力シート!$S$37:$Z$62,5,0))</f>
        <v/>
      </c>
      <c r="O372" s="182" t="str">
        <f>IF(ISNUMBER(C372)=FALSE,"",IF(C372&gt;入力シート!$J$24,"",_xlfn.DAYS(入力シート!$J$24,'従業員情報(給与以外)'!$C372)/365))</f>
        <v/>
      </c>
      <c r="P372" s="237" t="str">
        <f>IF(O372="","",VLOOKUP(_xlfn.DAYS(入力シート!$J$24,'従業員情報(給与以外)'!$C372)/365,入力リスト!$H$4:$I$12,2,2))</f>
        <v/>
      </c>
      <c r="Q372" s="236" t="str">
        <f>IF(D372="","",VLOOKUP('従業員情報(給与以外)'!$D372,入力シート!$AW$37:$BB$38,4,0))</f>
        <v/>
      </c>
      <c r="R372" s="236" t="str">
        <f>IF(A372="","",IF(E372="","非役職",VLOOKUP('従業員情報(給与以外)'!$E372,入力シート!$AH$37:$AO$62,5,0)))</f>
        <v/>
      </c>
      <c r="S372" s="116" t="str">
        <f>IF(OR(入力シート!$C$5&lt;&gt;入力リスト!$N$4,COUNTIF(入力シート!$J$16:$S$23,入力リスト!$K$4)=0),"",IF($A372="","",IF(ISERROR(AVERAGEIF(従業員の給与情報!$B:$B,$A372,従業員の給与情報!$C:$C)),0,IF(ISERROR(AVERAGEIF(従業員の給与情報!$B:$B,$A372,従業員の給与情報!$C:$C)),0,AVERAGEIF(従業員の給与情報!$B:$B,$A372,従業員の給与情報!$C:$C)))))</f>
        <v/>
      </c>
      <c r="T372" s="116" t="str">
        <f>IF(OR(入力シート!$C$5&lt;&gt;入力リスト!$N$4,COUNTIF(入力シート!$J$16:$S$23,入力リスト!$K$4)=0),"",IF(A372="","",IF(ISERROR(AVERAGEIF(従業員の給与情報!$B:$B,$A372,従業員の給与情報!$D:$D)),0,IF(ISERROR(AVERAGEIF(従業員の給与情報!$B:$B,$A372,従業員の給与情報!$D:$D)),0,AVERAGEIF(従業員の給与情報!$B:$B,$A372,従業員の給与情報!$D:$D)))))</f>
        <v/>
      </c>
      <c r="U372" s="116" t="str">
        <f>IF(OR(入力シート!$C$5&lt;&gt;入力リスト!$N$4,COUNTIF(入力シート!$J$16:$S$23,入力リスト!$K$4)=0),"",IF(A372="","",IF(ISERROR(AVERAGEIF(従業員の給与情報!$B:$B,$A372,従業員の給与情報!$E:$E)),0,IF(ISERROR(AVERAGEIF(従業員の給与情報!$B:$B,$A372,従業員の給与情報!$E:$E)),0,AVERAGEIF(従業員の給与情報!$B:$B,$A372,従業員の給与情報!$E:$E)))))</f>
        <v/>
      </c>
      <c r="V372" s="117" t="str">
        <f>IF(OR(入力シート!$C$5&lt;&gt;入力リスト!$N$4,COUNTIF(入力シート!$J$16:$S$23,入力リスト!$K$4)=0),"",IF(A372="","",IF(ISERROR(AVERAGEIF(従業員の給与情報!$B:$B,$A372,従業員の給与情報!$F:$F)),0,IF(ISERROR(AVERAGEIF(従業員の給与情報!$B:$B,$A372,従業員の給与情報!$F:$F)),0,AVERAGEIF(従業員の給与情報!$B:$B,$A372,従業員の給与情報!$F:$F)))))</f>
        <v/>
      </c>
      <c r="W372" s="182"/>
      <c r="X372" s="260"/>
    </row>
    <row r="373" spans="1:24">
      <c r="A373" s="368"/>
      <c r="B373" s="361"/>
      <c r="C373" s="362"/>
      <c r="D373" s="361"/>
      <c r="E373" s="361"/>
      <c r="F373" s="372" t="str">
        <f>IF(G373,"この従業員番号は、すでに他のセルで入力されています。",IF(入力シート!$C$5=入力リスト!$N$5,"",IF(AND(A373="",B373="",C373="",D373="",E373=""),"",IF(OR(A373="",B373="",C373="",D373=""),IF(A373="","従業員番号","")&amp;IF(AND(A373="",OR(B373="",C373="",D373="")),",","")&amp;IF(B373="","雇用形態","")&amp;IF(AND(B373="",OR(C373="",D373="")),",","")&amp;IF(OR(入力シート!$J$18=入力リスト!$K$4,入力シート!$J$22=入力リスト!$K$4),IF(C373="","入社年月日",""),"")&amp;IF(AND(C373="",D373=""),",","")&amp;IF(D373="","性別","")&amp;IF(IF(A373="","従業員番号","")&amp;IF(B373="","雇用形態","")&amp;IF(OR(入力シート!$J$18=入力リスト!$K$4,入力シート!$J$22=入力リスト!$K$4),IF(C373="","入社年月日",""),"")&amp;IF(D373="","性別","")="","","が空白です。"),IF(J373,"入社年月日に「基準日」の翌日以降の日付が入力されています。","")&amp;IF(I373,"入社年月日に数値以外（又は1900/1/1以前の日付）が入力されています。","")&amp;IF(H373,"雇用形態"&amp;IF(OR(K373,L373),",",""),"")&amp;IF(K373,"性別"&amp;IF(L373,",",""),"")&amp;IF(L373,"役職","")&amp;IF(OR(H373,K373,L373),"に、［入力シート］(4)「貴社」欄と異なる文言が入力されています。","")))))</f>
        <v/>
      </c>
      <c r="G373" s="236" t="b">
        <f>COUNTIF($A$4:A372,$A373)&gt;0</f>
        <v>0</v>
      </c>
      <c r="H373" s="237" t="b">
        <f>IF(COUNTIF(入力シート!$J$16:$S$23,入力リスト!$K$4)=0,FALSE,IF(入力シート!$J$16=入力リスト!$K$5,FALSE,ISERROR(VLOOKUP(B373,入力シート!$S$37:$V$62,1,0))))</f>
        <v>0</v>
      </c>
      <c r="I373" s="237" t="b">
        <f>IF(AND(OR(入力シート!$J$18=入力リスト!$K$4,入力シート!$J$22=入力リスト!$K$4),入力シート!$J$24&lt;&gt;""),IF(ISERROR(C373+1),TRUE,IF(ISNUMBER(C373),FALSE,TRUE)),FALSE)</f>
        <v>0</v>
      </c>
      <c r="J373" s="237" t="b">
        <f>IF(AND(入力シート!$J$18=入力リスト!$K$4,入力シート!$J$22=入力リスト!$K$4),FALSE,IF(I373=TRUE,FALSE,IF(ISERROR(C373+1),FALSE,C373&gt;入力シート!$J$24)))</f>
        <v>0</v>
      </c>
      <c r="K373" s="237" t="b">
        <f>IF(COUNTIF(入力シート!$J$16:$S$23,入力リスト!$K$4)=0,FALSE,IF(AND(入力シート!$J$16&lt;&gt;入力リスト!$K$5,入力シート!$J$18&lt;&gt;入力リスト!$K$5,入力シート!$J$20&lt;&gt;入力リスト!$K$5,入力シート!$J$22&lt;&gt;入力リスト!$K$5),FALSE,ISERROR(VLOOKUP(D373,入力シート!$AW$37:$AY$38,1,0))))</f>
        <v>0</v>
      </c>
      <c r="L373" s="237" t="b">
        <f>IF(COUNTIF(入力シート!$J$16:$S$23,入力リスト!$K$4)=0,FALSE,IF(入力シート!$J$20=入力リスト!$K$5,FALSE,IF(E373="",FALSE,ISERROR(VLOOKUP(E373,入力シート!$AH$37:$AK$62,1,0)))))</f>
        <v>0</v>
      </c>
      <c r="M373" s="238" t="str">
        <f t="shared" si="5"/>
        <v/>
      </c>
      <c r="N373" s="236" t="str">
        <f>IF(B373="","",VLOOKUP('従業員情報(給与以外)'!$B373,入力シート!$S$37:$Z$62,5,0))</f>
        <v/>
      </c>
      <c r="O373" s="182" t="str">
        <f>IF(ISNUMBER(C373)=FALSE,"",IF(C373&gt;入力シート!$J$24,"",_xlfn.DAYS(入力シート!$J$24,'従業員情報(給与以外)'!$C373)/365))</f>
        <v/>
      </c>
      <c r="P373" s="237" t="str">
        <f>IF(O373="","",VLOOKUP(_xlfn.DAYS(入力シート!$J$24,'従業員情報(給与以外)'!$C373)/365,入力リスト!$H$4:$I$12,2,2))</f>
        <v/>
      </c>
      <c r="Q373" s="236" t="str">
        <f>IF(D373="","",VLOOKUP('従業員情報(給与以外)'!$D373,入力シート!$AW$37:$BB$38,4,0))</f>
        <v/>
      </c>
      <c r="R373" s="236" t="str">
        <f>IF(A373="","",IF(E373="","非役職",VLOOKUP('従業員情報(給与以外)'!$E373,入力シート!$AH$37:$AO$62,5,0)))</f>
        <v/>
      </c>
      <c r="S373" s="116" t="str">
        <f>IF(OR(入力シート!$C$5&lt;&gt;入力リスト!$N$4,COUNTIF(入力シート!$J$16:$S$23,入力リスト!$K$4)=0),"",IF($A373="","",IF(ISERROR(AVERAGEIF(従業員の給与情報!$B:$B,$A373,従業員の給与情報!$C:$C)),0,IF(ISERROR(AVERAGEIF(従業員の給与情報!$B:$B,$A373,従業員の給与情報!$C:$C)),0,AVERAGEIF(従業員の給与情報!$B:$B,$A373,従業員の給与情報!$C:$C)))))</f>
        <v/>
      </c>
      <c r="T373" s="116" t="str">
        <f>IF(OR(入力シート!$C$5&lt;&gt;入力リスト!$N$4,COUNTIF(入力シート!$J$16:$S$23,入力リスト!$K$4)=0),"",IF(A373="","",IF(ISERROR(AVERAGEIF(従業員の給与情報!$B:$B,$A373,従業員の給与情報!$D:$D)),0,IF(ISERROR(AVERAGEIF(従業員の給与情報!$B:$B,$A373,従業員の給与情報!$D:$D)),0,AVERAGEIF(従業員の給与情報!$B:$B,$A373,従業員の給与情報!$D:$D)))))</f>
        <v/>
      </c>
      <c r="U373" s="116" t="str">
        <f>IF(OR(入力シート!$C$5&lt;&gt;入力リスト!$N$4,COUNTIF(入力シート!$J$16:$S$23,入力リスト!$K$4)=0),"",IF(A373="","",IF(ISERROR(AVERAGEIF(従業員の給与情報!$B:$B,$A373,従業員の給与情報!$E:$E)),0,IF(ISERROR(AVERAGEIF(従業員の給与情報!$B:$B,$A373,従業員の給与情報!$E:$E)),0,AVERAGEIF(従業員の給与情報!$B:$B,$A373,従業員の給与情報!$E:$E)))))</f>
        <v/>
      </c>
      <c r="V373" s="117" t="str">
        <f>IF(OR(入力シート!$C$5&lt;&gt;入力リスト!$N$4,COUNTIF(入力シート!$J$16:$S$23,入力リスト!$K$4)=0),"",IF(A373="","",IF(ISERROR(AVERAGEIF(従業員の給与情報!$B:$B,$A373,従業員の給与情報!$F:$F)),0,IF(ISERROR(AVERAGEIF(従業員の給与情報!$B:$B,$A373,従業員の給与情報!$F:$F)),0,AVERAGEIF(従業員の給与情報!$B:$B,$A373,従業員の給与情報!$F:$F)))))</f>
        <v/>
      </c>
      <c r="W373" s="182"/>
      <c r="X373" s="260"/>
    </row>
    <row r="374" spans="1:24">
      <c r="A374" s="368"/>
      <c r="B374" s="361"/>
      <c r="C374" s="362"/>
      <c r="D374" s="361"/>
      <c r="E374" s="361"/>
      <c r="F374" s="372" t="str">
        <f>IF(G374,"この従業員番号は、すでに他のセルで入力されています。",IF(入力シート!$C$5=入力リスト!$N$5,"",IF(AND(A374="",B374="",C374="",D374="",E374=""),"",IF(OR(A374="",B374="",C374="",D374=""),IF(A374="","従業員番号","")&amp;IF(AND(A374="",OR(B374="",C374="",D374="")),",","")&amp;IF(B374="","雇用形態","")&amp;IF(AND(B374="",OR(C374="",D374="")),",","")&amp;IF(OR(入力シート!$J$18=入力リスト!$K$4,入力シート!$J$22=入力リスト!$K$4),IF(C374="","入社年月日",""),"")&amp;IF(AND(C374="",D374=""),",","")&amp;IF(D374="","性別","")&amp;IF(IF(A374="","従業員番号","")&amp;IF(B374="","雇用形態","")&amp;IF(OR(入力シート!$J$18=入力リスト!$K$4,入力シート!$J$22=入力リスト!$K$4),IF(C374="","入社年月日",""),"")&amp;IF(D374="","性別","")="","","が空白です。"),IF(J374,"入社年月日に「基準日」の翌日以降の日付が入力されています。","")&amp;IF(I374,"入社年月日に数値以外（又は1900/1/1以前の日付）が入力されています。","")&amp;IF(H374,"雇用形態"&amp;IF(OR(K374,L374),",",""),"")&amp;IF(K374,"性別"&amp;IF(L374,",",""),"")&amp;IF(L374,"役職","")&amp;IF(OR(H374,K374,L374),"に、［入力シート］(4)「貴社」欄と異なる文言が入力されています。","")))))</f>
        <v/>
      </c>
      <c r="G374" s="236" t="b">
        <f>COUNTIF($A$4:A373,$A374)&gt;0</f>
        <v>0</v>
      </c>
      <c r="H374" s="237" t="b">
        <f>IF(COUNTIF(入力シート!$J$16:$S$23,入力リスト!$K$4)=0,FALSE,IF(入力シート!$J$16=入力リスト!$K$5,FALSE,ISERROR(VLOOKUP(B374,入力シート!$S$37:$V$62,1,0))))</f>
        <v>0</v>
      </c>
      <c r="I374" s="237" t="b">
        <f>IF(AND(OR(入力シート!$J$18=入力リスト!$K$4,入力シート!$J$22=入力リスト!$K$4),入力シート!$J$24&lt;&gt;""),IF(ISERROR(C374+1),TRUE,IF(ISNUMBER(C374),FALSE,TRUE)),FALSE)</f>
        <v>0</v>
      </c>
      <c r="J374" s="237" t="b">
        <f>IF(AND(入力シート!$J$18=入力リスト!$K$4,入力シート!$J$22=入力リスト!$K$4),FALSE,IF(I374=TRUE,FALSE,IF(ISERROR(C374+1),FALSE,C374&gt;入力シート!$J$24)))</f>
        <v>0</v>
      </c>
      <c r="K374" s="237" t="b">
        <f>IF(COUNTIF(入力シート!$J$16:$S$23,入力リスト!$K$4)=0,FALSE,IF(AND(入力シート!$J$16&lt;&gt;入力リスト!$K$5,入力シート!$J$18&lt;&gt;入力リスト!$K$5,入力シート!$J$20&lt;&gt;入力リスト!$K$5,入力シート!$J$22&lt;&gt;入力リスト!$K$5),FALSE,ISERROR(VLOOKUP(D374,入力シート!$AW$37:$AY$38,1,0))))</f>
        <v>0</v>
      </c>
      <c r="L374" s="237" t="b">
        <f>IF(COUNTIF(入力シート!$J$16:$S$23,入力リスト!$K$4)=0,FALSE,IF(入力シート!$J$20=入力リスト!$K$5,FALSE,IF(E374="",FALSE,ISERROR(VLOOKUP(E374,入力シート!$AH$37:$AK$62,1,0)))))</f>
        <v>0</v>
      </c>
      <c r="M374" s="238" t="str">
        <f t="shared" si="5"/>
        <v/>
      </c>
      <c r="N374" s="236" t="str">
        <f>IF(B374="","",VLOOKUP('従業員情報(給与以外)'!$B374,入力シート!$S$37:$Z$62,5,0))</f>
        <v/>
      </c>
      <c r="O374" s="182" t="str">
        <f>IF(ISNUMBER(C374)=FALSE,"",IF(C374&gt;入力シート!$J$24,"",_xlfn.DAYS(入力シート!$J$24,'従業員情報(給与以外)'!$C374)/365))</f>
        <v/>
      </c>
      <c r="P374" s="237" t="str">
        <f>IF(O374="","",VLOOKUP(_xlfn.DAYS(入力シート!$J$24,'従業員情報(給与以外)'!$C374)/365,入力リスト!$H$4:$I$12,2,2))</f>
        <v/>
      </c>
      <c r="Q374" s="236" t="str">
        <f>IF(D374="","",VLOOKUP('従業員情報(給与以外)'!$D374,入力シート!$AW$37:$BB$38,4,0))</f>
        <v/>
      </c>
      <c r="R374" s="236" t="str">
        <f>IF(A374="","",IF(E374="","非役職",VLOOKUP('従業員情報(給与以外)'!$E374,入力シート!$AH$37:$AO$62,5,0)))</f>
        <v/>
      </c>
      <c r="S374" s="116" t="str">
        <f>IF(OR(入力シート!$C$5&lt;&gt;入力リスト!$N$4,COUNTIF(入力シート!$J$16:$S$23,入力リスト!$K$4)=0),"",IF($A374="","",IF(ISERROR(AVERAGEIF(従業員の給与情報!$B:$B,$A374,従業員の給与情報!$C:$C)),0,IF(ISERROR(AVERAGEIF(従業員の給与情報!$B:$B,$A374,従業員の給与情報!$C:$C)),0,AVERAGEIF(従業員の給与情報!$B:$B,$A374,従業員の給与情報!$C:$C)))))</f>
        <v/>
      </c>
      <c r="T374" s="116" t="str">
        <f>IF(OR(入力シート!$C$5&lt;&gt;入力リスト!$N$4,COUNTIF(入力シート!$J$16:$S$23,入力リスト!$K$4)=0),"",IF(A374="","",IF(ISERROR(AVERAGEIF(従業員の給与情報!$B:$B,$A374,従業員の給与情報!$D:$D)),0,IF(ISERROR(AVERAGEIF(従業員の給与情報!$B:$B,$A374,従業員の給与情報!$D:$D)),0,AVERAGEIF(従業員の給与情報!$B:$B,$A374,従業員の給与情報!$D:$D)))))</f>
        <v/>
      </c>
      <c r="U374" s="116" t="str">
        <f>IF(OR(入力シート!$C$5&lt;&gt;入力リスト!$N$4,COUNTIF(入力シート!$J$16:$S$23,入力リスト!$K$4)=0),"",IF(A374="","",IF(ISERROR(AVERAGEIF(従業員の給与情報!$B:$B,$A374,従業員の給与情報!$E:$E)),0,IF(ISERROR(AVERAGEIF(従業員の給与情報!$B:$B,$A374,従業員の給与情報!$E:$E)),0,AVERAGEIF(従業員の給与情報!$B:$B,$A374,従業員の給与情報!$E:$E)))))</f>
        <v/>
      </c>
      <c r="V374" s="117" t="str">
        <f>IF(OR(入力シート!$C$5&lt;&gt;入力リスト!$N$4,COUNTIF(入力シート!$J$16:$S$23,入力リスト!$K$4)=0),"",IF(A374="","",IF(ISERROR(AVERAGEIF(従業員の給与情報!$B:$B,$A374,従業員の給与情報!$F:$F)),0,IF(ISERROR(AVERAGEIF(従業員の給与情報!$B:$B,$A374,従業員の給与情報!$F:$F)),0,AVERAGEIF(従業員の給与情報!$B:$B,$A374,従業員の給与情報!$F:$F)))))</f>
        <v/>
      </c>
      <c r="W374" s="182"/>
      <c r="X374" s="260"/>
    </row>
    <row r="375" spans="1:24">
      <c r="A375" s="368"/>
      <c r="B375" s="361"/>
      <c r="C375" s="362"/>
      <c r="D375" s="361"/>
      <c r="E375" s="361"/>
      <c r="F375" s="372" t="str">
        <f>IF(G375,"この従業員番号は、すでに他のセルで入力されています。",IF(入力シート!$C$5=入力リスト!$N$5,"",IF(AND(A375="",B375="",C375="",D375="",E375=""),"",IF(OR(A375="",B375="",C375="",D375=""),IF(A375="","従業員番号","")&amp;IF(AND(A375="",OR(B375="",C375="",D375="")),",","")&amp;IF(B375="","雇用形態","")&amp;IF(AND(B375="",OR(C375="",D375="")),",","")&amp;IF(OR(入力シート!$J$18=入力リスト!$K$4,入力シート!$J$22=入力リスト!$K$4),IF(C375="","入社年月日",""),"")&amp;IF(AND(C375="",D375=""),",","")&amp;IF(D375="","性別","")&amp;IF(IF(A375="","従業員番号","")&amp;IF(B375="","雇用形態","")&amp;IF(OR(入力シート!$J$18=入力リスト!$K$4,入力シート!$J$22=入力リスト!$K$4),IF(C375="","入社年月日",""),"")&amp;IF(D375="","性別","")="","","が空白です。"),IF(J375,"入社年月日に「基準日」の翌日以降の日付が入力されています。","")&amp;IF(I375,"入社年月日に数値以外（又は1900/1/1以前の日付）が入力されています。","")&amp;IF(H375,"雇用形態"&amp;IF(OR(K375,L375),",",""),"")&amp;IF(K375,"性別"&amp;IF(L375,",",""),"")&amp;IF(L375,"役職","")&amp;IF(OR(H375,K375,L375),"に、［入力シート］(4)「貴社」欄と異なる文言が入力されています。","")))))</f>
        <v/>
      </c>
      <c r="G375" s="236" t="b">
        <f>COUNTIF($A$4:A374,$A375)&gt;0</f>
        <v>0</v>
      </c>
      <c r="H375" s="237" t="b">
        <f>IF(COUNTIF(入力シート!$J$16:$S$23,入力リスト!$K$4)=0,FALSE,IF(入力シート!$J$16=入力リスト!$K$5,FALSE,ISERROR(VLOOKUP(B375,入力シート!$S$37:$V$62,1,0))))</f>
        <v>0</v>
      </c>
      <c r="I375" s="237" t="b">
        <f>IF(AND(OR(入力シート!$J$18=入力リスト!$K$4,入力シート!$J$22=入力リスト!$K$4),入力シート!$J$24&lt;&gt;""),IF(ISERROR(C375+1),TRUE,IF(ISNUMBER(C375),FALSE,TRUE)),FALSE)</f>
        <v>0</v>
      </c>
      <c r="J375" s="237" t="b">
        <f>IF(AND(入力シート!$J$18=入力リスト!$K$4,入力シート!$J$22=入力リスト!$K$4),FALSE,IF(I375=TRUE,FALSE,IF(ISERROR(C375+1),FALSE,C375&gt;入力シート!$J$24)))</f>
        <v>0</v>
      </c>
      <c r="K375" s="237" t="b">
        <f>IF(COUNTIF(入力シート!$J$16:$S$23,入力リスト!$K$4)=0,FALSE,IF(AND(入力シート!$J$16&lt;&gt;入力リスト!$K$5,入力シート!$J$18&lt;&gt;入力リスト!$K$5,入力シート!$J$20&lt;&gt;入力リスト!$K$5,入力シート!$J$22&lt;&gt;入力リスト!$K$5),FALSE,ISERROR(VLOOKUP(D375,入力シート!$AW$37:$AY$38,1,0))))</f>
        <v>0</v>
      </c>
      <c r="L375" s="237" t="b">
        <f>IF(COUNTIF(入力シート!$J$16:$S$23,入力リスト!$K$4)=0,FALSE,IF(入力シート!$J$20=入力リスト!$K$5,FALSE,IF(E375="",FALSE,ISERROR(VLOOKUP(E375,入力シート!$AH$37:$AK$62,1,0)))))</f>
        <v>0</v>
      </c>
      <c r="M375" s="238" t="str">
        <f t="shared" si="5"/>
        <v/>
      </c>
      <c r="N375" s="236" t="str">
        <f>IF(B375="","",VLOOKUP('従業員情報(給与以外)'!$B375,入力シート!$S$37:$Z$62,5,0))</f>
        <v/>
      </c>
      <c r="O375" s="182" t="str">
        <f>IF(ISNUMBER(C375)=FALSE,"",IF(C375&gt;入力シート!$J$24,"",_xlfn.DAYS(入力シート!$J$24,'従業員情報(給与以外)'!$C375)/365))</f>
        <v/>
      </c>
      <c r="P375" s="237" t="str">
        <f>IF(O375="","",VLOOKUP(_xlfn.DAYS(入力シート!$J$24,'従業員情報(給与以外)'!$C375)/365,入力リスト!$H$4:$I$12,2,2))</f>
        <v/>
      </c>
      <c r="Q375" s="236" t="str">
        <f>IF(D375="","",VLOOKUP('従業員情報(給与以外)'!$D375,入力シート!$AW$37:$BB$38,4,0))</f>
        <v/>
      </c>
      <c r="R375" s="236" t="str">
        <f>IF(A375="","",IF(E375="","非役職",VLOOKUP('従業員情報(給与以外)'!$E375,入力シート!$AH$37:$AO$62,5,0)))</f>
        <v/>
      </c>
      <c r="S375" s="116" t="str">
        <f>IF(OR(入力シート!$C$5&lt;&gt;入力リスト!$N$4,COUNTIF(入力シート!$J$16:$S$23,入力リスト!$K$4)=0),"",IF($A375="","",IF(ISERROR(AVERAGEIF(従業員の給与情報!$B:$B,$A375,従業員の給与情報!$C:$C)),0,IF(ISERROR(AVERAGEIF(従業員の給与情報!$B:$B,$A375,従業員の給与情報!$C:$C)),0,AVERAGEIF(従業員の給与情報!$B:$B,$A375,従業員の給与情報!$C:$C)))))</f>
        <v/>
      </c>
      <c r="T375" s="116" t="str">
        <f>IF(OR(入力シート!$C$5&lt;&gt;入力リスト!$N$4,COUNTIF(入力シート!$J$16:$S$23,入力リスト!$K$4)=0),"",IF(A375="","",IF(ISERROR(AVERAGEIF(従業員の給与情報!$B:$B,$A375,従業員の給与情報!$D:$D)),0,IF(ISERROR(AVERAGEIF(従業員の給与情報!$B:$B,$A375,従業員の給与情報!$D:$D)),0,AVERAGEIF(従業員の給与情報!$B:$B,$A375,従業員の給与情報!$D:$D)))))</f>
        <v/>
      </c>
      <c r="U375" s="116" t="str">
        <f>IF(OR(入力シート!$C$5&lt;&gt;入力リスト!$N$4,COUNTIF(入力シート!$J$16:$S$23,入力リスト!$K$4)=0),"",IF(A375="","",IF(ISERROR(AVERAGEIF(従業員の給与情報!$B:$B,$A375,従業員の給与情報!$E:$E)),0,IF(ISERROR(AVERAGEIF(従業員の給与情報!$B:$B,$A375,従業員の給与情報!$E:$E)),0,AVERAGEIF(従業員の給与情報!$B:$B,$A375,従業員の給与情報!$E:$E)))))</f>
        <v/>
      </c>
      <c r="V375" s="117" t="str">
        <f>IF(OR(入力シート!$C$5&lt;&gt;入力リスト!$N$4,COUNTIF(入力シート!$J$16:$S$23,入力リスト!$K$4)=0),"",IF(A375="","",IF(ISERROR(AVERAGEIF(従業員の給与情報!$B:$B,$A375,従業員の給与情報!$F:$F)),0,IF(ISERROR(AVERAGEIF(従業員の給与情報!$B:$B,$A375,従業員の給与情報!$F:$F)),0,AVERAGEIF(従業員の給与情報!$B:$B,$A375,従業員の給与情報!$F:$F)))))</f>
        <v/>
      </c>
      <c r="W375" s="182"/>
      <c r="X375" s="260"/>
    </row>
    <row r="376" spans="1:24">
      <c r="A376" s="368"/>
      <c r="B376" s="361"/>
      <c r="C376" s="362"/>
      <c r="D376" s="361"/>
      <c r="E376" s="361"/>
      <c r="F376" s="372" t="str">
        <f>IF(G376,"この従業員番号は、すでに他のセルで入力されています。",IF(入力シート!$C$5=入力リスト!$N$5,"",IF(AND(A376="",B376="",C376="",D376="",E376=""),"",IF(OR(A376="",B376="",C376="",D376=""),IF(A376="","従業員番号","")&amp;IF(AND(A376="",OR(B376="",C376="",D376="")),",","")&amp;IF(B376="","雇用形態","")&amp;IF(AND(B376="",OR(C376="",D376="")),",","")&amp;IF(OR(入力シート!$J$18=入力リスト!$K$4,入力シート!$J$22=入力リスト!$K$4),IF(C376="","入社年月日",""),"")&amp;IF(AND(C376="",D376=""),",","")&amp;IF(D376="","性別","")&amp;IF(IF(A376="","従業員番号","")&amp;IF(B376="","雇用形態","")&amp;IF(OR(入力シート!$J$18=入力リスト!$K$4,入力シート!$J$22=入力リスト!$K$4),IF(C376="","入社年月日",""),"")&amp;IF(D376="","性別","")="","","が空白です。"),IF(J376,"入社年月日に「基準日」の翌日以降の日付が入力されています。","")&amp;IF(I376,"入社年月日に数値以外（又は1900/1/1以前の日付）が入力されています。","")&amp;IF(H376,"雇用形態"&amp;IF(OR(K376,L376),",",""),"")&amp;IF(K376,"性別"&amp;IF(L376,",",""),"")&amp;IF(L376,"役職","")&amp;IF(OR(H376,K376,L376),"に、［入力シート］(4)「貴社」欄と異なる文言が入力されています。","")))))</f>
        <v/>
      </c>
      <c r="G376" s="236" t="b">
        <f>COUNTIF($A$4:A375,$A376)&gt;0</f>
        <v>0</v>
      </c>
      <c r="H376" s="237" t="b">
        <f>IF(COUNTIF(入力シート!$J$16:$S$23,入力リスト!$K$4)=0,FALSE,IF(入力シート!$J$16=入力リスト!$K$5,FALSE,ISERROR(VLOOKUP(B376,入力シート!$S$37:$V$62,1,0))))</f>
        <v>0</v>
      </c>
      <c r="I376" s="237" t="b">
        <f>IF(AND(OR(入力シート!$J$18=入力リスト!$K$4,入力シート!$J$22=入力リスト!$K$4),入力シート!$J$24&lt;&gt;""),IF(ISERROR(C376+1),TRUE,IF(ISNUMBER(C376),FALSE,TRUE)),FALSE)</f>
        <v>0</v>
      </c>
      <c r="J376" s="237" t="b">
        <f>IF(AND(入力シート!$J$18=入力リスト!$K$4,入力シート!$J$22=入力リスト!$K$4),FALSE,IF(I376=TRUE,FALSE,IF(ISERROR(C376+1),FALSE,C376&gt;入力シート!$J$24)))</f>
        <v>0</v>
      </c>
      <c r="K376" s="237" t="b">
        <f>IF(COUNTIF(入力シート!$J$16:$S$23,入力リスト!$K$4)=0,FALSE,IF(AND(入力シート!$J$16&lt;&gt;入力リスト!$K$5,入力シート!$J$18&lt;&gt;入力リスト!$K$5,入力シート!$J$20&lt;&gt;入力リスト!$K$5,入力シート!$J$22&lt;&gt;入力リスト!$K$5),FALSE,ISERROR(VLOOKUP(D376,入力シート!$AW$37:$AY$38,1,0))))</f>
        <v>0</v>
      </c>
      <c r="L376" s="237" t="b">
        <f>IF(COUNTIF(入力シート!$J$16:$S$23,入力リスト!$K$4)=0,FALSE,IF(入力シート!$J$20=入力リスト!$K$5,FALSE,IF(E376="",FALSE,ISERROR(VLOOKUP(E376,入力シート!$AH$37:$AK$62,1,0)))))</f>
        <v>0</v>
      </c>
      <c r="M376" s="238" t="str">
        <f t="shared" si="5"/>
        <v/>
      </c>
      <c r="N376" s="236" t="str">
        <f>IF(B376="","",VLOOKUP('従業員情報(給与以外)'!$B376,入力シート!$S$37:$Z$62,5,0))</f>
        <v/>
      </c>
      <c r="O376" s="182" t="str">
        <f>IF(ISNUMBER(C376)=FALSE,"",IF(C376&gt;入力シート!$J$24,"",_xlfn.DAYS(入力シート!$J$24,'従業員情報(給与以外)'!$C376)/365))</f>
        <v/>
      </c>
      <c r="P376" s="237" t="str">
        <f>IF(O376="","",VLOOKUP(_xlfn.DAYS(入力シート!$J$24,'従業員情報(給与以外)'!$C376)/365,入力リスト!$H$4:$I$12,2,2))</f>
        <v/>
      </c>
      <c r="Q376" s="236" t="str">
        <f>IF(D376="","",VLOOKUP('従業員情報(給与以外)'!$D376,入力シート!$AW$37:$BB$38,4,0))</f>
        <v/>
      </c>
      <c r="R376" s="236" t="str">
        <f>IF(A376="","",IF(E376="","非役職",VLOOKUP('従業員情報(給与以外)'!$E376,入力シート!$AH$37:$AO$62,5,0)))</f>
        <v/>
      </c>
      <c r="S376" s="116" t="str">
        <f>IF(OR(入力シート!$C$5&lt;&gt;入力リスト!$N$4,COUNTIF(入力シート!$J$16:$S$23,入力リスト!$K$4)=0),"",IF($A376="","",IF(ISERROR(AVERAGEIF(従業員の給与情報!$B:$B,$A376,従業員の給与情報!$C:$C)),0,IF(ISERROR(AVERAGEIF(従業員の給与情報!$B:$B,$A376,従業員の給与情報!$C:$C)),0,AVERAGEIF(従業員の給与情報!$B:$B,$A376,従業員の給与情報!$C:$C)))))</f>
        <v/>
      </c>
      <c r="T376" s="116" t="str">
        <f>IF(OR(入力シート!$C$5&lt;&gt;入力リスト!$N$4,COUNTIF(入力シート!$J$16:$S$23,入力リスト!$K$4)=0),"",IF(A376="","",IF(ISERROR(AVERAGEIF(従業員の給与情報!$B:$B,$A376,従業員の給与情報!$D:$D)),0,IF(ISERROR(AVERAGEIF(従業員の給与情報!$B:$B,$A376,従業員の給与情報!$D:$D)),0,AVERAGEIF(従業員の給与情報!$B:$B,$A376,従業員の給与情報!$D:$D)))))</f>
        <v/>
      </c>
      <c r="U376" s="116" t="str">
        <f>IF(OR(入力シート!$C$5&lt;&gt;入力リスト!$N$4,COUNTIF(入力シート!$J$16:$S$23,入力リスト!$K$4)=0),"",IF(A376="","",IF(ISERROR(AVERAGEIF(従業員の給与情報!$B:$B,$A376,従業員の給与情報!$E:$E)),0,IF(ISERROR(AVERAGEIF(従業員の給与情報!$B:$B,$A376,従業員の給与情報!$E:$E)),0,AVERAGEIF(従業員の給与情報!$B:$B,$A376,従業員の給与情報!$E:$E)))))</f>
        <v/>
      </c>
      <c r="V376" s="117" t="str">
        <f>IF(OR(入力シート!$C$5&lt;&gt;入力リスト!$N$4,COUNTIF(入力シート!$J$16:$S$23,入力リスト!$K$4)=0),"",IF(A376="","",IF(ISERROR(AVERAGEIF(従業員の給与情報!$B:$B,$A376,従業員の給与情報!$F:$F)),0,IF(ISERROR(AVERAGEIF(従業員の給与情報!$B:$B,$A376,従業員の給与情報!$F:$F)),0,AVERAGEIF(従業員の給与情報!$B:$B,$A376,従業員の給与情報!$F:$F)))))</f>
        <v/>
      </c>
      <c r="W376" s="182"/>
      <c r="X376" s="260"/>
    </row>
    <row r="377" spans="1:24">
      <c r="A377" s="368"/>
      <c r="B377" s="361"/>
      <c r="C377" s="362"/>
      <c r="D377" s="361"/>
      <c r="E377" s="361"/>
      <c r="F377" s="372" t="str">
        <f>IF(G377,"この従業員番号は、すでに他のセルで入力されています。",IF(入力シート!$C$5=入力リスト!$N$5,"",IF(AND(A377="",B377="",C377="",D377="",E377=""),"",IF(OR(A377="",B377="",C377="",D377=""),IF(A377="","従業員番号","")&amp;IF(AND(A377="",OR(B377="",C377="",D377="")),",","")&amp;IF(B377="","雇用形態","")&amp;IF(AND(B377="",OR(C377="",D377="")),",","")&amp;IF(OR(入力シート!$J$18=入力リスト!$K$4,入力シート!$J$22=入力リスト!$K$4),IF(C377="","入社年月日",""),"")&amp;IF(AND(C377="",D377=""),",","")&amp;IF(D377="","性別","")&amp;IF(IF(A377="","従業員番号","")&amp;IF(B377="","雇用形態","")&amp;IF(OR(入力シート!$J$18=入力リスト!$K$4,入力シート!$J$22=入力リスト!$K$4),IF(C377="","入社年月日",""),"")&amp;IF(D377="","性別","")="","","が空白です。"),IF(J377,"入社年月日に「基準日」の翌日以降の日付が入力されています。","")&amp;IF(I377,"入社年月日に数値以外（又は1900/1/1以前の日付）が入力されています。","")&amp;IF(H377,"雇用形態"&amp;IF(OR(K377,L377),",",""),"")&amp;IF(K377,"性別"&amp;IF(L377,",",""),"")&amp;IF(L377,"役職","")&amp;IF(OR(H377,K377,L377),"に、［入力シート］(4)「貴社」欄と異なる文言が入力されています。","")))))</f>
        <v/>
      </c>
      <c r="G377" s="236" t="b">
        <f>COUNTIF($A$4:A376,$A377)&gt;0</f>
        <v>0</v>
      </c>
      <c r="H377" s="237" t="b">
        <f>IF(COUNTIF(入力シート!$J$16:$S$23,入力リスト!$K$4)=0,FALSE,IF(入力シート!$J$16=入力リスト!$K$5,FALSE,ISERROR(VLOOKUP(B377,入力シート!$S$37:$V$62,1,0))))</f>
        <v>0</v>
      </c>
      <c r="I377" s="237" t="b">
        <f>IF(AND(OR(入力シート!$J$18=入力リスト!$K$4,入力シート!$J$22=入力リスト!$K$4),入力シート!$J$24&lt;&gt;""),IF(ISERROR(C377+1),TRUE,IF(ISNUMBER(C377),FALSE,TRUE)),FALSE)</f>
        <v>0</v>
      </c>
      <c r="J377" s="237" t="b">
        <f>IF(AND(入力シート!$J$18=入力リスト!$K$4,入力シート!$J$22=入力リスト!$K$4),FALSE,IF(I377=TRUE,FALSE,IF(ISERROR(C377+1),FALSE,C377&gt;入力シート!$J$24)))</f>
        <v>0</v>
      </c>
      <c r="K377" s="237" t="b">
        <f>IF(COUNTIF(入力シート!$J$16:$S$23,入力リスト!$K$4)=0,FALSE,IF(AND(入力シート!$J$16&lt;&gt;入力リスト!$K$5,入力シート!$J$18&lt;&gt;入力リスト!$K$5,入力シート!$J$20&lt;&gt;入力リスト!$K$5,入力シート!$J$22&lt;&gt;入力リスト!$K$5),FALSE,ISERROR(VLOOKUP(D377,入力シート!$AW$37:$AY$38,1,0))))</f>
        <v>0</v>
      </c>
      <c r="L377" s="237" t="b">
        <f>IF(COUNTIF(入力シート!$J$16:$S$23,入力リスト!$K$4)=0,FALSE,IF(入力シート!$J$20=入力リスト!$K$5,FALSE,IF(E377="",FALSE,ISERROR(VLOOKUP(E377,入力シート!$AH$37:$AK$62,1,0)))))</f>
        <v>0</v>
      </c>
      <c r="M377" s="238" t="str">
        <f t="shared" si="5"/>
        <v/>
      </c>
      <c r="N377" s="236" t="str">
        <f>IF(B377="","",VLOOKUP('従業員情報(給与以外)'!$B377,入力シート!$S$37:$Z$62,5,0))</f>
        <v/>
      </c>
      <c r="O377" s="182" t="str">
        <f>IF(ISNUMBER(C377)=FALSE,"",IF(C377&gt;入力シート!$J$24,"",_xlfn.DAYS(入力シート!$J$24,'従業員情報(給与以外)'!$C377)/365))</f>
        <v/>
      </c>
      <c r="P377" s="237" t="str">
        <f>IF(O377="","",VLOOKUP(_xlfn.DAYS(入力シート!$J$24,'従業員情報(給与以外)'!$C377)/365,入力リスト!$H$4:$I$12,2,2))</f>
        <v/>
      </c>
      <c r="Q377" s="236" t="str">
        <f>IF(D377="","",VLOOKUP('従業員情報(給与以外)'!$D377,入力シート!$AW$37:$BB$38,4,0))</f>
        <v/>
      </c>
      <c r="R377" s="236" t="str">
        <f>IF(A377="","",IF(E377="","非役職",VLOOKUP('従業員情報(給与以外)'!$E377,入力シート!$AH$37:$AO$62,5,0)))</f>
        <v/>
      </c>
      <c r="S377" s="116" t="str">
        <f>IF(OR(入力シート!$C$5&lt;&gt;入力リスト!$N$4,COUNTIF(入力シート!$J$16:$S$23,入力リスト!$K$4)=0),"",IF($A377="","",IF(ISERROR(AVERAGEIF(従業員の給与情報!$B:$B,$A377,従業員の給与情報!$C:$C)),0,IF(ISERROR(AVERAGEIF(従業員の給与情報!$B:$B,$A377,従業員の給与情報!$C:$C)),0,AVERAGEIF(従業員の給与情報!$B:$B,$A377,従業員の給与情報!$C:$C)))))</f>
        <v/>
      </c>
      <c r="T377" s="116" t="str">
        <f>IF(OR(入力シート!$C$5&lt;&gt;入力リスト!$N$4,COUNTIF(入力シート!$J$16:$S$23,入力リスト!$K$4)=0),"",IF(A377="","",IF(ISERROR(AVERAGEIF(従業員の給与情報!$B:$B,$A377,従業員の給与情報!$D:$D)),0,IF(ISERROR(AVERAGEIF(従業員の給与情報!$B:$B,$A377,従業員の給与情報!$D:$D)),0,AVERAGEIF(従業員の給与情報!$B:$B,$A377,従業員の給与情報!$D:$D)))))</f>
        <v/>
      </c>
      <c r="U377" s="116" t="str">
        <f>IF(OR(入力シート!$C$5&lt;&gt;入力リスト!$N$4,COUNTIF(入力シート!$J$16:$S$23,入力リスト!$K$4)=0),"",IF(A377="","",IF(ISERROR(AVERAGEIF(従業員の給与情報!$B:$B,$A377,従業員の給与情報!$E:$E)),0,IF(ISERROR(AVERAGEIF(従業員の給与情報!$B:$B,$A377,従業員の給与情報!$E:$E)),0,AVERAGEIF(従業員の給与情報!$B:$B,$A377,従業員の給与情報!$E:$E)))))</f>
        <v/>
      </c>
      <c r="V377" s="117" t="str">
        <f>IF(OR(入力シート!$C$5&lt;&gt;入力リスト!$N$4,COUNTIF(入力シート!$J$16:$S$23,入力リスト!$K$4)=0),"",IF(A377="","",IF(ISERROR(AVERAGEIF(従業員の給与情報!$B:$B,$A377,従業員の給与情報!$F:$F)),0,IF(ISERROR(AVERAGEIF(従業員の給与情報!$B:$B,$A377,従業員の給与情報!$F:$F)),0,AVERAGEIF(従業員の給与情報!$B:$B,$A377,従業員の給与情報!$F:$F)))))</f>
        <v/>
      </c>
      <c r="W377" s="182"/>
      <c r="X377" s="260"/>
    </row>
    <row r="378" spans="1:24">
      <c r="A378" s="368"/>
      <c r="B378" s="361"/>
      <c r="C378" s="362"/>
      <c r="D378" s="361"/>
      <c r="E378" s="361"/>
      <c r="F378" s="372" t="str">
        <f>IF(G378,"この従業員番号は、すでに他のセルで入力されています。",IF(入力シート!$C$5=入力リスト!$N$5,"",IF(AND(A378="",B378="",C378="",D378="",E378=""),"",IF(OR(A378="",B378="",C378="",D378=""),IF(A378="","従業員番号","")&amp;IF(AND(A378="",OR(B378="",C378="",D378="")),",","")&amp;IF(B378="","雇用形態","")&amp;IF(AND(B378="",OR(C378="",D378="")),",","")&amp;IF(OR(入力シート!$J$18=入力リスト!$K$4,入力シート!$J$22=入力リスト!$K$4),IF(C378="","入社年月日",""),"")&amp;IF(AND(C378="",D378=""),",","")&amp;IF(D378="","性別","")&amp;IF(IF(A378="","従業員番号","")&amp;IF(B378="","雇用形態","")&amp;IF(OR(入力シート!$J$18=入力リスト!$K$4,入力シート!$J$22=入力リスト!$K$4),IF(C378="","入社年月日",""),"")&amp;IF(D378="","性別","")="","","が空白です。"),IF(J378,"入社年月日に「基準日」の翌日以降の日付が入力されています。","")&amp;IF(I378,"入社年月日に数値以外（又は1900/1/1以前の日付）が入力されています。","")&amp;IF(H378,"雇用形態"&amp;IF(OR(K378,L378),",",""),"")&amp;IF(K378,"性別"&amp;IF(L378,",",""),"")&amp;IF(L378,"役職","")&amp;IF(OR(H378,K378,L378),"に、［入力シート］(4)「貴社」欄と異なる文言が入力されています。","")))))</f>
        <v/>
      </c>
      <c r="G378" s="236" t="b">
        <f>COUNTIF($A$4:A377,$A378)&gt;0</f>
        <v>0</v>
      </c>
      <c r="H378" s="237" t="b">
        <f>IF(COUNTIF(入力シート!$J$16:$S$23,入力リスト!$K$4)=0,FALSE,IF(入力シート!$J$16=入力リスト!$K$5,FALSE,ISERROR(VLOOKUP(B378,入力シート!$S$37:$V$62,1,0))))</f>
        <v>0</v>
      </c>
      <c r="I378" s="237" t="b">
        <f>IF(AND(OR(入力シート!$J$18=入力リスト!$K$4,入力シート!$J$22=入力リスト!$K$4),入力シート!$J$24&lt;&gt;""),IF(ISERROR(C378+1),TRUE,IF(ISNUMBER(C378),FALSE,TRUE)),FALSE)</f>
        <v>0</v>
      </c>
      <c r="J378" s="237" t="b">
        <f>IF(AND(入力シート!$J$18=入力リスト!$K$4,入力シート!$J$22=入力リスト!$K$4),FALSE,IF(I378=TRUE,FALSE,IF(ISERROR(C378+1),FALSE,C378&gt;入力シート!$J$24)))</f>
        <v>0</v>
      </c>
      <c r="K378" s="237" t="b">
        <f>IF(COUNTIF(入力シート!$J$16:$S$23,入力リスト!$K$4)=0,FALSE,IF(AND(入力シート!$J$16&lt;&gt;入力リスト!$K$5,入力シート!$J$18&lt;&gt;入力リスト!$K$5,入力シート!$J$20&lt;&gt;入力リスト!$K$5,入力シート!$J$22&lt;&gt;入力リスト!$K$5),FALSE,ISERROR(VLOOKUP(D378,入力シート!$AW$37:$AY$38,1,0))))</f>
        <v>0</v>
      </c>
      <c r="L378" s="237" t="b">
        <f>IF(COUNTIF(入力シート!$J$16:$S$23,入力リスト!$K$4)=0,FALSE,IF(入力シート!$J$20=入力リスト!$K$5,FALSE,IF(E378="",FALSE,ISERROR(VLOOKUP(E378,入力シート!$AH$37:$AK$62,1,0)))))</f>
        <v>0</v>
      </c>
      <c r="M378" s="238" t="str">
        <f t="shared" si="5"/>
        <v/>
      </c>
      <c r="N378" s="236" t="str">
        <f>IF(B378="","",VLOOKUP('従業員情報(給与以外)'!$B378,入力シート!$S$37:$Z$62,5,0))</f>
        <v/>
      </c>
      <c r="O378" s="182" t="str">
        <f>IF(ISNUMBER(C378)=FALSE,"",IF(C378&gt;入力シート!$J$24,"",_xlfn.DAYS(入力シート!$J$24,'従業員情報(給与以外)'!$C378)/365))</f>
        <v/>
      </c>
      <c r="P378" s="237" t="str">
        <f>IF(O378="","",VLOOKUP(_xlfn.DAYS(入力シート!$J$24,'従業員情報(給与以外)'!$C378)/365,入力リスト!$H$4:$I$12,2,2))</f>
        <v/>
      </c>
      <c r="Q378" s="236" t="str">
        <f>IF(D378="","",VLOOKUP('従業員情報(給与以外)'!$D378,入力シート!$AW$37:$BB$38,4,0))</f>
        <v/>
      </c>
      <c r="R378" s="236" t="str">
        <f>IF(A378="","",IF(E378="","非役職",VLOOKUP('従業員情報(給与以外)'!$E378,入力シート!$AH$37:$AO$62,5,0)))</f>
        <v/>
      </c>
      <c r="S378" s="116" t="str">
        <f>IF(OR(入力シート!$C$5&lt;&gt;入力リスト!$N$4,COUNTIF(入力シート!$J$16:$S$23,入力リスト!$K$4)=0),"",IF($A378="","",IF(ISERROR(AVERAGEIF(従業員の給与情報!$B:$B,$A378,従業員の給与情報!$C:$C)),0,IF(ISERROR(AVERAGEIF(従業員の給与情報!$B:$B,$A378,従業員の給与情報!$C:$C)),0,AVERAGEIF(従業員の給与情報!$B:$B,$A378,従業員の給与情報!$C:$C)))))</f>
        <v/>
      </c>
      <c r="T378" s="116" t="str">
        <f>IF(OR(入力シート!$C$5&lt;&gt;入力リスト!$N$4,COUNTIF(入力シート!$J$16:$S$23,入力リスト!$K$4)=0),"",IF(A378="","",IF(ISERROR(AVERAGEIF(従業員の給与情報!$B:$B,$A378,従業員の給与情報!$D:$D)),0,IF(ISERROR(AVERAGEIF(従業員の給与情報!$B:$B,$A378,従業員の給与情報!$D:$D)),0,AVERAGEIF(従業員の給与情報!$B:$B,$A378,従業員の給与情報!$D:$D)))))</f>
        <v/>
      </c>
      <c r="U378" s="116" t="str">
        <f>IF(OR(入力シート!$C$5&lt;&gt;入力リスト!$N$4,COUNTIF(入力シート!$J$16:$S$23,入力リスト!$K$4)=0),"",IF(A378="","",IF(ISERROR(AVERAGEIF(従業員の給与情報!$B:$B,$A378,従業員の給与情報!$E:$E)),0,IF(ISERROR(AVERAGEIF(従業員の給与情報!$B:$B,$A378,従業員の給与情報!$E:$E)),0,AVERAGEIF(従業員の給与情報!$B:$B,$A378,従業員の給与情報!$E:$E)))))</f>
        <v/>
      </c>
      <c r="V378" s="117" t="str">
        <f>IF(OR(入力シート!$C$5&lt;&gt;入力リスト!$N$4,COUNTIF(入力シート!$J$16:$S$23,入力リスト!$K$4)=0),"",IF(A378="","",IF(ISERROR(AVERAGEIF(従業員の給与情報!$B:$B,$A378,従業員の給与情報!$F:$F)),0,IF(ISERROR(AVERAGEIF(従業員の給与情報!$B:$B,$A378,従業員の給与情報!$F:$F)),0,AVERAGEIF(従業員の給与情報!$B:$B,$A378,従業員の給与情報!$F:$F)))))</f>
        <v/>
      </c>
      <c r="W378" s="182"/>
      <c r="X378" s="260"/>
    </row>
    <row r="379" spans="1:24">
      <c r="A379" s="368"/>
      <c r="B379" s="361"/>
      <c r="C379" s="362"/>
      <c r="D379" s="361"/>
      <c r="E379" s="361"/>
      <c r="F379" s="372" t="str">
        <f>IF(G379,"この従業員番号は、すでに他のセルで入力されています。",IF(入力シート!$C$5=入力リスト!$N$5,"",IF(AND(A379="",B379="",C379="",D379="",E379=""),"",IF(OR(A379="",B379="",C379="",D379=""),IF(A379="","従業員番号","")&amp;IF(AND(A379="",OR(B379="",C379="",D379="")),",","")&amp;IF(B379="","雇用形態","")&amp;IF(AND(B379="",OR(C379="",D379="")),",","")&amp;IF(OR(入力シート!$J$18=入力リスト!$K$4,入力シート!$J$22=入力リスト!$K$4),IF(C379="","入社年月日",""),"")&amp;IF(AND(C379="",D379=""),",","")&amp;IF(D379="","性別","")&amp;IF(IF(A379="","従業員番号","")&amp;IF(B379="","雇用形態","")&amp;IF(OR(入力シート!$J$18=入力リスト!$K$4,入力シート!$J$22=入力リスト!$K$4),IF(C379="","入社年月日",""),"")&amp;IF(D379="","性別","")="","","が空白です。"),IF(J379,"入社年月日に「基準日」の翌日以降の日付が入力されています。","")&amp;IF(I379,"入社年月日に数値以外（又は1900/1/1以前の日付）が入力されています。","")&amp;IF(H379,"雇用形態"&amp;IF(OR(K379,L379),",",""),"")&amp;IF(K379,"性別"&amp;IF(L379,",",""),"")&amp;IF(L379,"役職","")&amp;IF(OR(H379,K379,L379),"に、［入力シート］(4)「貴社」欄と異なる文言が入力されています。","")))))</f>
        <v/>
      </c>
      <c r="G379" s="236" t="b">
        <f>COUNTIF($A$4:A378,$A379)&gt;0</f>
        <v>0</v>
      </c>
      <c r="H379" s="237" t="b">
        <f>IF(COUNTIF(入力シート!$J$16:$S$23,入力リスト!$K$4)=0,FALSE,IF(入力シート!$J$16=入力リスト!$K$5,FALSE,ISERROR(VLOOKUP(B379,入力シート!$S$37:$V$62,1,0))))</f>
        <v>0</v>
      </c>
      <c r="I379" s="237" t="b">
        <f>IF(AND(OR(入力シート!$J$18=入力リスト!$K$4,入力シート!$J$22=入力リスト!$K$4),入力シート!$J$24&lt;&gt;""),IF(ISERROR(C379+1),TRUE,IF(ISNUMBER(C379),FALSE,TRUE)),FALSE)</f>
        <v>0</v>
      </c>
      <c r="J379" s="237" t="b">
        <f>IF(AND(入力シート!$J$18=入力リスト!$K$4,入力シート!$J$22=入力リスト!$K$4),FALSE,IF(I379=TRUE,FALSE,IF(ISERROR(C379+1),FALSE,C379&gt;入力シート!$J$24)))</f>
        <v>0</v>
      </c>
      <c r="K379" s="237" t="b">
        <f>IF(COUNTIF(入力シート!$J$16:$S$23,入力リスト!$K$4)=0,FALSE,IF(AND(入力シート!$J$16&lt;&gt;入力リスト!$K$5,入力シート!$J$18&lt;&gt;入力リスト!$K$5,入力シート!$J$20&lt;&gt;入力リスト!$K$5,入力シート!$J$22&lt;&gt;入力リスト!$K$5),FALSE,ISERROR(VLOOKUP(D379,入力シート!$AW$37:$AY$38,1,0))))</f>
        <v>0</v>
      </c>
      <c r="L379" s="237" t="b">
        <f>IF(COUNTIF(入力シート!$J$16:$S$23,入力リスト!$K$4)=0,FALSE,IF(入力シート!$J$20=入力リスト!$K$5,FALSE,IF(E379="",FALSE,ISERROR(VLOOKUP(E379,入力シート!$AH$37:$AK$62,1,0)))))</f>
        <v>0</v>
      </c>
      <c r="M379" s="238" t="str">
        <f t="shared" si="5"/>
        <v/>
      </c>
      <c r="N379" s="236" t="str">
        <f>IF(B379="","",VLOOKUP('従業員情報(給与以外)'!$B379,入力シート!$S$37:$Z$62,5,0))</f>
        <v/>
      </c>
      <c r="O379" s="182" t="str">
        <f>IF(ISNUMBER(C379)=FALSE,"",IF(C379&gt;入力シート!$J$24,"",_xlfn.DAYS(入力シート!$J$24,'従業員情報(給与以外)'!$C379)/365))</f>
        <v/>
      </c>
      <c r="P379" s="237" t="str">
        <f>IF(O379="","",VLOOKUP(_xlfn.DAYS(入力シート!$J$24,'従業員情報(給与以外)'!$C379)/365,入力リスト!$H$4:$I$12,2,2))</f>
        <v/>
      </c>
      <c r="Q379" s="236" t="str">
        <f>IF(D379="","",VLOOKUP('従業員情報(給与以外)'!$D379,入力シート!$AW$37:$BB$38,4,0))</f>
        <v/>
      </c>
      <c r="R379" s="236" t="str">
        <f>IF(A379="","",IF(E379="","非役職",VLOOKUP('従業員情報(給与以外)'!$E379,入力シート!$AH$37:$AO$62,5,0)))</f>
        <v/>
      </c>
      <c r="S379" s="116" t="str">
        <f>IF(OR(入力シート!$C$5&lt;&gt;入力リスト!$N$4,COUNTIF(入力シート!$J$16:$S$23,入力リスト!$K$4)=0),"",IF($A379="","",IF(ISERROR(AVERAGEIF(従業員の給与情報!$B:$B,$A379,従業員の給与情報!$C:$C)),0,IF(ISERROR(AVERAGEIF(従業員の給与情報!$B:$B,$A379,従業員の給与情報!$C:$C)),0,AVERAGEIF(従業員の給与情報!$B:$B,$A379,従業員の給与情報!$C:$C)))))</f>
        <v/>
      </c>
      <c r="T379" s="116" t="str">
        <f>IF(OR(入力シート!$C$5&lt;&gt;入力リスト!$N$4,COUNTIF(入力シート!$J$16:$S$23,入力リスト!$K$4)=0),"",IF(A379="","",IF(ISERROR(AVERAGEIF(従業員の給与情報!$B:$B,$A379,従業員の給与情報!$D:$D)),0,IF(ISERROR(AVERAGEIF(従業員の給与情報!$B:$B,$A379,従業員の給与情報!$D:$D)),0,AVERAGEIF(従業員の給与情報!$B:$B,$A379,従業員の給与情報!$D:$D)))))</f>
        <v/>
      </c>
      <c r="U379" s="116" t="str">
        <f>IF(OR(入力シート!$C$5&lt;&gt;入力リスト!$N$4,COUNTIF(入力シート!$J$16:$S$23,入力リスト!$K$4)=0),"",IF(A379="","",IF(ISERROR(AVERAGEIF(従業員の給与情報!$B:$B,$A379,従業員の給与情報!$E:$E)),0,IF(ISERROR(AVERAGEIF(従業員の給与情報!$B:$B,$A379,従業員の給与情報!$E:$E)),0,AVERAGEIF(従業員の給与情報!$B:$B,$A379,従業員の給与情報!$E:$E)))))</f>
        <v/>
      </c>
      <c r="V379" s="117" t="str">
        <f>IF(OR(入力シート!$C$5&lt;&gt;入力リスト!$N$4,COUNTIF(入力シート!$J$16:$S$23,入力リスト!$K$4)=0),"",IF(A379="","",IF(ISERROR(AVERAGEIF(従業員の給与情報!$B:$B,$A379,従業員の給与情報!$F:$F)),0,IF(ISERROR(AVERAGEIF(従業員の給与情報!$B:$B,$A379,従業員の給与情報!$F:$F)),0,AVERAGEIF(従業員の給与情報!$B:$B,$A379,従業員の給与情報!$F:$F)))))</f>
        <v/>
      </c>
      <c r="W379" s="182"/>
      <c r="X379" s="260"/>
    </row>
    <row r="380" spans="1:24">
      <c r="A380" s="368"/>
      <c r="B380" s="361"/>
      <c r="C380" s="362"/>
      <c r="D380" s="361"/>
      <c r="E380" s="361"/>
      <c r="F380" s="372" t="str">
        <f>IF(G380,"この従業員番号は、すでに他のセルで入力されています。",IF(入力シート!$C$5=入力リスト!$N$5,"",IF(AND(A380="",B380="",C380="",D380="",E380=""),"",IF(OR(A380="",B380="",C380="",D380=""),IF(A380="","従業員番号","")&amp;IF(AND(A380="",OR(B380="",C380="",D380="")),",","")&amp;IF(B380="","雇用形態","")&amp;IF(AND(B380="",OR(C380="",D380="")),",","")&amp;IF(OR(入力シート!$J$18=入力リスト!$K$4,入力シート!$J$22=入力リスト!$K$4),IF(C380="","入社年月日",""),"")&amp;IF(AND(C380="",D380=""),",","")&amp;IF(D380="","性別","")&amp;IF(IF(A380="","従業員番号","")&amp;IF(B380="","雇用形態","")&amp;IF(OR(入力シート!$J$18=入力リスト!$K$4,入力シート!$J$22=入力リスト!$K$4),IF(C380="","入社年月日",""),"")&amp;IF(D380="","性別","")="","","が空白です。"),IF(J380,"入社年月日に「基準日」の翌日以降の日付が入力されています。","")&amp;IF(I380,"入社年月日に数値以外（又は1900/1/1以前の日付）が入力されています。","")&amp;IF(H380,"雇用形態"&amp;IF(OR(K380,L380),",",""),"")&amp;IF(K380,"性別"&amp;IF(L380,",",""),"")&amp;IF(L380,"役職","")&amp;IF(OR(H380,K380,L380),"に、［入力シート］(4)「貴社」欄と異なる文言が入力されています。","")))))</f>
        <v/>
      </c>
      <c r="G380" s="236" t="b">
        <f>COUNTIF($A$4:A379,$A380)&gt;0</f>
        <v>0</v>
      </c>
      <c r="H380" s="237" t="b">
        <f>IF(COUNTIF(入力シート!$J$16:$S$23,入力リスト!$K$4)=0,FALSE,IF(入力シート!$J$16=入力リスト!$K$5,FALSE,ISERROR(VLOOKUP(B380,入力シート!$S$37:$V$62,1,0))))</f>
        <v>0</v>
      </c>
      <c r="I380" s="237" t="b">
        <f>IF(AND(OR(入力シート!$J$18=入力リスト!$K$4,入力シート!$J$22=入力リスト!$K$4),入力シート!$J$24&lt;&gt;""),IF(ISERROR(C380+1),TRUE,IF(ISNUMBER(C380),FALSE,TRUE)),FALSE)</f>
        <v>0</v>
      </c>
      <c r="J380" s="237" t="b">
        <f>IF(AND(入力シート!$J$18=入力リスト!$K$4,入力シート!$J$22=入力リスト!$K$4),FALSE,IF(I380=TRUE,FALSE,IF(ISERROR(C380+1),FALSE,C380&gt;入力シート!$J$24)))</f>
        <v>0</v>
      </c>
      <c r="K380" s="237" t="b">
        <f>IF(COUNTIF(入力シート!$J$16:$S$23,入力リスト!$K$4)=0,FALSE,IF(AND(入力シート!$J$16&lt;&gt;入力リスト!$K$5,入力シート!$J$18&lt;&gt;入力リスト!$K$5,入力シート!$J$20&lt;&gt;入力リスト!$K$5,入力シート!$J$22&lt;&gt;入力リスト!$K$5),FALSE,ISERROR(VLOOKUP(D380,入力シート!$AW$37:$AY$38,1,0))))</f>
        <v>0</v>
      </c>
      <c r="L380" s="237" t="b">
        <f>IF(COUNTIF(入力シート!$J$16:$S$23,入力リスト!$K$4)=0,FALSE,IF(入力シート!$J$20=入力リスト!$K$5,FALSE,IF(E380="",FALSE,ISERROR(VLOOKUP(E380,入力シート!$AH$37:$AK$62,1,0)))))</f>
        <v>0</v>
      </c>
      <c r="M380" s="238" t="str">
        <f t="shared" si="5"/>
        <v/>
      </c>
      <c r="N380" s="236" t="str">
        <f>IF(B380="","",VLOOKUP('従業員情報(給与以外)'!$B380,入力シート!$S$37:$Z$62,5,0))</f>
        <v/>
      </c>
      <c r="O380" s="182" t="str">
        <f>IF(ISNUMBER(C380)=FALSE,"",IF(C380&gt;入力シート!$J$24,"",_xlfn.DAYS(入力シート!$J$24,'従業員情報(給与以外)'!$C380)/365))</f>
        <v/>
      </c>
      <c r="P380" s="237" t="str">
        <f>IF(O380="","",VLOOKUP(_xlfn.DAYS(入力シート!$J$24,'従業員情報(給与以外)'!$C380)/365,入力リスト!$H$4:$I$12,2,2))</f>
        <v/>
      </c>
      <c r="Q380" s="236" t="str">
        <f>IF(D380="","",VLOOKUP('従業員情報(給与以外)'!$D380,入力シート!$AW$37:$BB$38,4,0))</f>
        <v/>
      </c>
      <c r="R380" s="236" t="str">
        <f>IF(A380="","",IF(E380="","非役職",VLOOKUP('従業員情報(給与以外)'!$E380,入力シート!$AH$37:$AO$62,5,0)))</f>
        <v/>
      </c>
      <c r="S380" s="116" t="str">
        <f>IF(OR(入力シート!$C$5&lt;&gt;入力リスト!$N$4,COUNTIF(入力シート!$J$16:$S$23,入力リスト!$K$4)=0),"",IF($A380="","",IF(ISERROR(AVERAGEIF(従業員の給与情報!$B:$B,$A380,従業員の給与情報!$C:$C)),0,IF(ISERROR(AVERAGEIF(従業員の給与情報!$B:$B,$A380,従業員の給与情報!$C:$C)),0,AVERAGEIF(従業員の給与情報!$B:$B,$A380,従業員の給与情報!$C:$C)))))</f>
        <v/>
      </c>
      <c r="T380" s="116" t="str">
        <f>IF(OR(入力シート!$C$5&lt;&gt;入力リスト!$N$4,COUNTIF(入力シート!$J$16:$S$23,入力リスト!$K$4)=0),"",IF(A380="","",IF(ISERROR(AVERAGEIF(従業員の給与情報!$B:$B,$A380,従業員の給与情報!$D:$D)),0,IF(ISERROR(AVERAGEIF(従業員の給与情報!$B:$B,$A380,従業員の給与情報!$D:$D)),0,AVERAGEIF(従業員の給与情報!$B:$B,$A380,従業員の給与情報!$D:$D)))))</f>
        <v/>
      </c>
      <c r="U380" s="116" t="str">
        <f>IF(OR(入力シート!$C$5&lt;&gt;入力リスト!$N$4,COUNTIF(入力シート!$J$16:$S$23,入力リスト!$K$4)=0),"",IF(A380="","",IF(ISERROR(AVERAGEIF(従業員の給与情報!$B:$B,$A380,従業員の給与情報!$E:$E)),0,IF(ISERROR(AVERAGEIF(従業員の給与情報!$B:$B,$A380,従業員の給与情報!$E:$E)),0,AVERAGEIF(従業員の給与情報!$B:$B,$A380,従業員の給与情報!$E:$E)))))</f>
        <v/>
      </c>
      <c r="V380" s="117" t="str">
        <f>IF(OR(入力シート!$C$5&lt;&gt;入力リスト!$N$4,COUNTIF(入力シート!$J$16:$S$23,入力リスト!$K$4)=0),"",IF(A380="","",IF(ISERROR(AVERAGEIF(従業員の給与情報!$B:$B,$A380,従業員の給与情報!$F:$F)),0,IF(ISERROR(AVERAGEIF(従業員の給与情報!$B:$B,$A380,従業員の給与情報!$F:$F)),0,AVERAGEIF(従業員の給与情報!$B:$B,$A380,従業員の給与情報!$F:$F)))))</f>
        <v/>
      </c>
      <c r="W380" s="182"/>
      <c r="X380" s="260"/>
    </row>
    <row r="381" spans="1:24">
      <c r="A381" s="368"/>
      <c r="B381" s="361"/>
      <c r="C381" s="362"/>
      <c r="D381" s="361"/>
      <c r="E381" s="361"/>
      <c r="F381" s="372" t="str">
        <f>IF(G381,"この従業員番号は、すでに他のセルで入力されています。",IF(入力シート!$C$5=入力リスト!$N$5,"",IF(AND(A381="",B381="",C381="",D381="",E381=""),"",IF(OR(A381="",B381="",C381="",D381=""),IF(A381="","従業員番号","")&amp;IF(AND(A381="",OR(B381="",C381="",D381="")),",","")&amp;IF(B381="","雇用形態","")&amp;IF(AND(B381="",OR(C381="",D381="")),",","")&amp;IF(OR(入力シート!$J$18=入力リスト!$K$4,入力シート!$J$22=入力リスト!$K$4),IF(C381="","入社年月日",""),"")&amp;IF(AND(C381="",D381=""),",","")&amp;IF(D381="","性別","")&amp;IF(IF(A381="","従業員番号","")&amp;IF(B381="","雇用形態","")&amp;IF(OR(入力シート!$J$18=入力リスト!$K$4,入力シート!$J$22=入力リスト!$K$4),IF(C381="","入社年月日",""),"")&amp;IF(D381="","性別","")="","","が空白です。"),IF(J381,"入社年月日に「基準日」の翌日以降の日付が入力されています。","")&amp;IF(I381,"入社年月日に数値以外（又は1900/1/1以前の日付）が入力されています。","")&amp;IF(H381,"雇用形態"&amp;IF(OR(K381,L381),",",""),"")&amp;IF(K381,"性別"&amp;IF(L381,",",""),"")&amp;IF(L381,"役職","")&amp;IF(OR(H381,K381,L381),"に、［入力シート］(4)「貴社」欄と異なる文言が入力されています。","")))))</f>
        <v/>
      </c>
      <c r="G381" s="236" t="b">
        <f>COUNTIF($A$4:A380,$A381)&gt;0</f>
        <v>0</v>
      </c>
      <c r="H381" s="237" t="b">
        <f>IF(COUNTIF(入力シート!$J$16:$S$23,入力リスト!$K$4)=0,FALSE,IF(入力シート!$J$16=入力リスト!$K$5,FALSE,ISERROR(VLOOKUP(B381,入力シート!$S$37:$V$62,1,0))))</f>
        <v>0</v>
      </c>
      <c r="I381" s="237" t="b">
        <f>IF(AND(OR(入力シート!$J$18=入力リスト!$K$4,入力シート!$J$22=入力リスト!$K$4),入力シート!$J$24&lt;&gt;""),IF(ISERROR(C381+1),TRUE,IF(ISNUMBER(C381),FALSE,TRUE)),FALSE)</f>
        <v>0</v>
      </c>
      <c r="J381" s="237" t="b">
        <f>IF(AND(入力シート!$J$18=入力リスト!$K$4,入力シート!$J$22=入力リスト!$K$4),FALSE,IF(I381=TRUE,FALSE,IF(ISERROR(C381+1),FALSE,C381&gt;入力シート!$J$24)))</f>
        <v>0</v>
      </c>
      <c r="K381" s="237" t="b">
        <f>IF(COUNTIF(入力シート!$J$16:$S$23,入力リスト!$K$4)=0,FALSE,IF(AND(入力シート!$J$16&lt;&gt;入力リスト!$K$5,入力シート!$J$18&lt;&gt;入力リスト!$K$5,入力シート!$J$20&lt;&gt;入力リスト!$K$5,入力シート!$J$22&lt;&gt;入力リスト!$K$5),FALSE,ISERROR(VLOOKUP(D381,入力シート!$AW$37:$AY$38,1,0))))</f>
        <v>0</v>
      </c>
      <c r="L381" s="237" t="b">
        <f>IF(COUNTIF(入力シート!$J$16:$S$23,入力リスト!$K$4)=0,FALSE,IF(入力シート!$J$20=入力リスト!$K$5,FALSE,IF(E381="",FALSE,ISERROR(VLOOKUP(E381,入力シート!$AH$37:$AK$62,1,0)))))</f>
        <v>0</v>
      </c>
      <c r="M381" s="238" t="str">
        <f t="shared" si="5"/>
        <v/>
      </c>
      <c r="N381" s="236" t="str">
        <f>IF(B381="","",VLOOKUP('従業員情報(給与以外)'!$B381,入力シート!$S$37:$Z$62,5,0))</f>
        <v/>
      </c>
      <c r="O381" s="182" t="str">
        <f>IF(ISNUMBER(C381)=FALSE,"",IF(C381&gt;入力シート!$J$24,"",_xlfn.DAYS(入力シート!$J$24,'従業員情報(給与以外)'!$C381)/365))</f>
        <v/>
      </c>
      <c r="P381" s="237" t="str">
        <f>IF(O381="","",VLOOKUP(_xlfn.DAYS(入力シート!$J$24,'従業員情報(給与以外)'!$C381)/365,入力リスト!$H$4:$I$12,2,2))</f>
        <v/>
      </c>
      <c r="Q381" s="236" t="str">
        <f>IF(D381="","",VLOOKUP('従業員情報(給与以外)'!$D381,入力シート!$AW$37:$BB$38,4,0))</f>
        <v/>
      </c>
      <c r="R381" s="236" t="str">
        <f>IF(A381="","",IF(E381="","非役職",VLOOKUP('従業員情報(給与以外)'!$E381,入力シート!$AH$37:$AO$62,5,0)))</f>
        <v/>
      </c>
      <c r="S381" s="116" t="str">
        <f>IF(OR(入力シート!$C$5&lt;&gt;入力リスト!$N$4,COUNTIF(入力シート!$J$16:$S$23,入力リスト!$K$4)=0),"",IF($A381="","",IF(ISERROR(AVERAGEIF(従業員の給与情報!$B:$B,$A381,従業員の給与情報!$C:$C)),0,IF(ISERROR(AVERAGEIF(従業員の給与情報!$B:$B,$A381,従業員の給与情報!$C:$C)),0,AVERAGEIF(従業員の給与情報!$B:$B,$A381,従業員の給与情報!$C:$C)))))</f>
        <v/>
      </c>
      <c r="T381" s="116" t="str">
        <f>IF(OR(入力シート!$C$5&lt;&gt;入力リスト!$N$4,COUNTIF(入力シート!$J$16:$S$23,入力リスト!$K$4)=0),"",IF(A381="","",IF(ISERROR(AVERAGEIF(従業員の給与情報!$B:$B,$A381,従業員の給与情報!$D:$D)),0,IF(ISERROR(AVERAGEIF(従業員の給与情報!$B:$B,$A381,従業員の給与情報!$D:$D)),0,AVERAGEIF(従業員の給与情報!$B:$B,$A381,従業員の給与情報!$D:$D)))))</f>
        <v/>
      </c>
      <c r="U381" s="116" t="str">
        <f>IF(OR(入力シート!$C$5&lt;&gt;入力リスト!$N$4,COUNTIF(入力シート!$J$16:$S$23,入力リスト!$K$4)=0),"",IF(A381="","",IF(ISERROR(AVERAGEIF(従業員の給与情報!$B:$B,$A381,従業員の給与情報!$E:$E)),0,IF(ISERROR(AVERAGEIF(従業員の給与情報!$B:$B,$A381,従業員の給与情報!$E:$E)),0,AVERAGEIF(従業員の給与情報!$B:$B,$A381,従業員の給与情報!$E:$E)))))</f>
        <v/>
      </c>
      <c r="V381" s="117" t="str">
        <f>IF(OR(入力シート!$C$5&lt;&gt;入力リスト!$N$4,COUNTIF(入力シート!$J$16:$S$23,入力リスト!$K$4)=0),"",IF(A381="","",IF(ISERROR(AVERAGEIF(従業員の給与情報!$B:$B,$A381,従業員の給与情報!$F:$F)),0,IF(ISERROR(AVERAGEIF(従業員の給与情報!$B:$B,$A381,従業員の給与情報!$F:$F)),0,AVERAGEIF(従業員の給与情報!$B:$B,$A381,従業員の給与情報!$F:$F)))))</f>
        <v/>
      </c>
      <c r="W381" s="182"/>
      <c r="X381" s="260"/>
    </row>
    <row r="382" spans="1:24">
      <c r="A382" s="368"/>
      <c r="B382" s="361"/>
      <c r="C382" s="362"/>
      <c r="D382" s="361"/>
      <c r="E382" s="361"/>
      <c r="F382" s="372" t="str">
        <f>IF(G382,"この従業員番号は、すでに他のセルで入力されています。",IF(入力シート!$C$5=入力リスト!$N$5,"",IF(AND(A382="",B382="",C382="",D382="",E382=""),"",IF(OR(A382="",B382="",C382="",D382=""),IF(A382="","従業員番号","")&amp;IF(AND(A382="",OR(B382="",C382="",D382="")),",","")&amp;IF(B382="","雇用形態","")&amp;IF(AND(B382="",OR(C382="",D382="")),",","")&amp;IF(OR(入力シート!$J$18=入力リスト!$K$4,入力シート!$J$22=入力リスト!$K$4),IF(C382="","入社年月日",""),"")&amp;IF(AND(C382="",D382=""),",","")&amp;IF(D382="","性別","")&amp;IF(IF(A382="","従業員番号","")&amp;IF(B382="","雇用形態","")&amp;IF(OR(入力シート!$J$18=入力リスト!$K$4,入力シート!$J$22=入力リスト!$K$4),IF(C382="","入社年月日",""),"")&amp;IF(D382="","性別","")="","","が空白です。"),IF(J382,"入社年月日に「基準日」の翌日以降の日付が入力されています。","")&amp;IF(I382,"入社年月日に数値以外（又は1900/1/1以前の日付）が入力されています。","")&amp;IF(H382,"雇用形態"&amp;IF(OR(K382,L382),",",""),"")&amp;IF(K382,"性別"&amp;IF(L382,",",""),"")&amp;IF(L382,"役職","")&amp;IF(OR(H382,K382,L382),"に、［入力シート］(4)「貴社」欄と異なる文言が入力されています。","")))))</f>
        <v/>
      </c>
      <c r="G382" s="236" t="b">
        <f>COUNTIF($A$4:A381,$A382)&gt;0</f>
        <v>0</v>
      </c>
      <c r="H382" s="237" t="b">
        <f>IF(COUNTIF(入力シート!$J$16:$S$23,入力リスト!$K$4)=0,FALSE,IF(入力シート!$J$16=入力リスト!$K$5,FALSE,ISERROR(VLOOKUP(B382,入力シート!$S$37:$V$62,1,0))))</f>
        <v>0</v>
      </c>
      <c r="I382" s="237" t="b">
        <f>IF(AND(OR(入力シート!$J$18=入力リスト!$K$4,入力シート!$J$22=入力リスト!$K$4),入力シート!$J$24&lt;&gt;""),IF(ISERROR(C382+1),TRUE,IF(ISNUMBER(C382),FALSE,TRUE)),FALSE)</f>
        <v>0</v>
      </c>
      <c r="J382" s="237" t="b">
        <f>IF(AND(入力シート!$J$18=入力リスト!$K$4,入力シート!$J$22=入力リスト!$K$4),FALSE,IF(I382=TRUE,FALSE,IF(ISERROR(C382+1),FALSE,C382&gt;入力シート!$J$24)))</f>
        <v>0</v>
      </c>
      <c r="K382" s="237" t="b">
        <f>IF(COUNTIF(入力シート!$J$16:$S$23,入力リスト!$K$4)=0,FALSE,IF(AND(入力シート!$J$16&lt;&gt;入力リスト!$K$5,入力シート!$J$18&lt;&gt;入力リスト!$K$5,入力シート!$J$20&lt;&gt;入力リスト!$K$5,入力シート!$J$22&lt;&gt;入力リスト!$K$5),FALSE,ISERROR(VLOOKUP(D382,入力シート!$AW$37:$AY$38,1,0))))</f>
        <v>0</v>
      </c>
      <c r="L382" s="237" t="b">
        <f>IF(COUNTIF(入力シート!$J$16:$S$23,入力リスト!$K$4)=0,FALSE,IF(入力シート!$J$20=入力リスト!$K$5,FALSE,IF(E382="",FALSE,ISERROR(VLOOKUP(E382,入力シート!$AH$37:$AK$62,1,0)))))</f>
        <v>0</v>
      </c>
      <c r="M382" s="238" t="str">
        <f t="shared" si="5"/>
        <v/>
      </c>
      <c r="N382" s="236" t="str">
        <f>IF(B382="","",VLOOKUP('従業員情報(給与以外)'!$B382,入力シート!$S$37:$Z$62,5,0))</f>
        <v/>
      </c>
      <c r="O382" s="182" t="str">
        <f>IF(ISNUMBER(C382)=FALSE,"",IF(C382&gt;入力シート!$J$24,"",_xlfn.DAYS(入力シート!$J$24,'従業員情報(給与以外)'!$C382)/365))</f>
        <v/>
      </c>
      <c r="P382" s="237" t="str">
        <f>IF(O382="","",VLOOKUP(_xlfn.DAYS(入力シート!$J$24,'従業員情報(給与以外)'!$C382)/365,入力リスト!$H$4:$I$12,2,2))</f>
        <v/>
      </c>
      <c r="Q382" s="236" t="str">
        <f>IF(D382="","",VLOOKUP('従業員情報(給与以外)'!$D382,入力シート!$AW$37:$BB$38,4,0))</f>
        <v/>
      </c>
      <c r="R382" s="236" t="str">
        <f>IF(A382="","",IF(E382="","非役職",VLOOKUP('従業員情報(給与以外)'!$E382,入力シート!$AH$37:$AO$62,5,0)))</f>
        <v/>
      </c>
      <c r="S382" s="116" t="str">
        <f>IF(OR(入力シート!$C$5&lt;&gt;入力リスト!$N$4,COUNTIF(入力シート!$J$16:$S$23,入力リスト!$K$4)=0),"",IF($A382="","",IF(ISERROR(AVERAGEIF(従業員の給与情報!$B:$B,$A382,従業員の給与情報!$C:$C)),0,IF(ISERROR(AVERAGEIF(従業員の給与情報!$B:$B,$A382,従業員の給与情報!$C:$C)),0,AVERAGEIF(従業員の給与情報!$B:$B,$A382,従業員の給与情報!$C:$C)))))</f>
        <v/>
      </c>
      <c r="T382" s="116" t="str">
        <f>IF(OR(入力シート!$C$5&lt;&gt;入力リスト!$N$4,COUNTIF(入力シート!$J$16:$S$23,入力リスト!$K$4)=0),"",IF(A382="","",IF(ISERROR(AVERAGEIF(従業員の給与情報!$B:$B,$A382,従業員の給与情報!$D:$D)),0,IF(ISERROR(AVERAGEIF(従業員の給与情報!$B:$B,$A382,従業員の給与情報!$D:$D)),0,AVERAGEIF(従業員の給与情報!$B:$B,$A382,従業員の給与情報!$D:$D)))))</f>
        <v/>
      </c>
      <c r="U382" s="116" t="str">
        <f>IF(OR(入力シート!$C$5&lt;&gt;入力リスト!$N$4,COUNTIF(入力シート!$J$16:$S$23,入力リスト!$K$4)=0),"",IF(A382="","",IF(ISERROR(AVERAGEIF(従業員の給与情報!$B:$B,$A382,従業員の給与情報!$E:$E)),0,IF(ISERROR(AVERAGEIF(従業員の給与情報!$B:$B,$A382,従業員の給与情報!$E:$E)),0,AVERAGEIF(従業員の給与情報!$B:$B,$A382,従業員の給与情報!$E:$E)))))</f>
        <v/>
      </c>
      <c r="V382" s="117" t="str">
        <f>IF(OR(入力シート!$C$5&lt;&gt;入力リスト!$N$4,COUNTIF(入力シート!$J$16:$S$23,入力リスト!$K$4)=0),"",IF(A382="","",IF(ISERROR(AVERAGEIF(従業員の給与情報!$B:$B,$A382,従業員の給与情報!$F:$F)),0,IF(ISERROR(AVERAGEIF(従業員の給与情報!$B:$B,$A382,従業員の給与情報!$F:$F)),0,AVERAGEIF(従業員の給与情報!$B:$B,$A382,従業員の給与情報!$F:$F)))))</f>
        <v/>
      </c>
      <c r="W382" s="182"/>
      <c r="X382" s="260"/>
    </row>
    <row r="383" spans="1:24">
      <c r="A383" s="368"/>
      <c r="B383" s="361"/>
      <c r="C383" s="362"/>
      <c r="D383" s="361"/>
      <c r="E383" s="361"/>
      <c r="F383" s="372" t="str">
        <f>IF(G383,"この従業員番号は、すでに他のセルで入力されています。",IF(入力シート!$C$5=入力リスト!$N$5,"",IF(AND(A383="",B383="",C383="",D383="",E383=""),"",IF(OR(A383="",B383="",C383="",D383=""),IF(A383="","従業員番号","")&amp;IF(AND(A383="",OR(B383="",C383="",D383="")),",","")&amp;IF(B383="","雇用形態","")&amp;IF(AND(B383="",OR(C383="",D383="")),",","")&amp;IF(OR(入力シート!$J$18=入力リスト!$K$4,入力シート!$J$22=入力リスト!$K$4),IF(C383="","入社年月日",""),"")&amp;IF(AND(C383="",D383=""),",","")&amp;IF(D383="","性別","")&amp;IF(IF(A383="","従業員番号","")&amp;IF(B383="","雇用形態","")&amp;IF(OR(入力シート!$J$18=入力リスト!$K$4,入力シート!$J$22=入力リスト!$K$4),IF(C383="","入社年月日",""),"")&amp;IF(D383="","性別","")="","","が空白です。"),IF(J383,"入社年月日に「基準日」の翌日以降の日付が入力されています。","")&amp;IF(I383,"入社年月日に数値以外（又は1900/1/1以前の日付）が入力されています。","")&amp;IF(H383,"雇用形態"&amp;IF(OR(K383,L383),",",""),"")&amp;IF(K383,"性別"&amp;IF(L383,",",""),"")&amp;IF(L383,"役職","")&amp;IF(OR(H383,K383,L383),"に、［入力シート］(4)「貴社」欄と異なる文言が入力されています。","")))))</f>
        <v/>
      </c>
      <c r="G383" s="236" t="b">
        <f>COUNTIF($A$4:A382,$A383)&gt;0</f>
        <v>0</v>
      </c>
      <c r="H383" s="237" t="b">
        <f>IF(COUNTIF(入力シート!$J$16:$S$23,入力リスト!$K$4)=0,FALSE,IF(入力シート!$J$16=入力リスト!$K$5,FALSE,ISERROR(VLOOKUP(B383,入力シート!$S$37:$V$62,1,0))))</f>
        <v>0</v>
      </c>
      <c r="I383" s="237" t="b">
        <f>IF(AND(OR(入力シート!$J$18=入力リスト!$K$4,入力シート!$J$22=入力リスト!$K$4),入力シート!$J$24&lt;&gt;""),IF(ISERROR(C383+1),TRUE,IF(ISNUMBER(C383),FALSE,TRUE)),FALSE)</f>
        <v>0</v>
      </c>
      <c r="J383" s="237" t="b">
        <f>IF(AND(入力シート!$J$18=入力リスト!$K$4,入力シート!$J$22=入力リスト!$K$4),FALSE,IF(I383=TRUE,FALSE,IF(ISERROR(C383+1),FALSE,C383&gt;入力シート!$J$24)))</f>
        <v>0</v>
      </c>
      <c r="K383" s="237" t="b">
        <f>IF(COUNTIF(入力シート!$J$16:$S$23,入力リスト!$K$4)=0,FALSE,IF(AND(入力シート!$J$16&lt;&gt;入力リスト!$K$5,入力シート!$J$18&lt;&gt;入力リスト!$K$5,入力シート!$J$20&lt;&gt;入力リスト!$K$5,入力シート!$J$22&lt;&gt;入力リスト!$K$5),FALSE,ISERROR(VLOOKUP(D383,入力シート!$AW$37:$AY$38,1,0))))</f>
        <v>0</v>
      </c>
      <c r="L383" s="237" t="b">
        <f>IF(COUNTIF(入力シート!$J$16:$S$23,入力リスト!$K$4)=0,FALSE,IF(入力シート!$J$20=入力リスト!$K$5,FALSE,IF(E383="",FALSE,ISERROR(VLOOKUP(E383,入力シート!$AH$37:$AK$62,1,0)))))</f>
        <v>0</v>
      </c>
      <c r="M383" s="238" t="str">
        <f t="shared" si="5"/>
        <v/>
      </c>
      <c r="N383" s="236" t="str">
        <f>IF(B383="","",VLOOKUP('従業員情報(給与以外)'!$B383,入力シート!$S$37:$Z$62,5,0))</f>
        <v/>
      </c>
      <c r="O383" s="182" t="str">
        <f>IF(ISNUMBER(C383)=FALSE,"",IF(C383&gt;入力シート!$J$24,"",_xlfn.DAYS(入力シート!$J$24,'従業員情報(給与以外)'!$C383)/365))</f>
        <v/>
      </c>
      <c r="P383" s="237" t="str">
        <f>IF(O383="","",VLOOKUP(_xlfn.DAYS(入力シート!$J$24,'従業員情報(給与以外)'!$C383)/365,入力リスト!$H$4:$I$12,2,2))</f>
        <v/>
      </c>
      <c r="Q383" s="236" t="str">
        <f>IF(D383="","",VLOOKUP('従業員情報(給与以外)'!$D383,入力シート!$AW$37:$BB$38,4,0))</f>
        <v/>
      </c>
      <c r="R383" s="236" t="str">
        <f>IF(A383="","",IF(E383="","非役職",VLOOKUP('従業員情報(給与以外)'!$E383,入力シート!$AH$37:$AO$62,5,0)))</f>
        <v/>
      </c>
      <c r="S383" s="116" t="str">
        <f>IF(OR(入力シート!$C$5&lt;&gt;入力リスト!$N$4,COUNTIF(入力シート!$J$16:$S$23,入力リスト!$K$4)=0),"",IF($A383="","",IF(ISERROR(AVERAGEIF(従業員の給与情報!$B:$B,$A383,従業員の給与情報!$C:$C)),0,IF(ISERROR(AVERAGEIF(従業員の給与情報!$B:$B,$A383,従業員の給与情報!$C:$C)),0,AVERAGEIF(従業員の給与情報!$B:$B,$A383,従業員の給与情報!$C:$C)))))</f>
        <v/>
      </c>
      <c r="T383" s="116" t="str">
        <f>IF(OR(入力シート!$C$5&lt;&gt;入力リスト!$N$4,COUNTIF(入力シート!$J$16:$S$23,入力リスト!$K$4)=0),"",IF(A383="","",IF(ISERROR(AVERAGEIF(従業員の給与情報!$B:$B,$A383,従業員の給与情報!$D:$D)),0,IF(ISERROR(AVERAGEIF(従業員の給与情報!$B:$B,$A383,従業員の給与情報!$D:$D)),0,AVERAGEIF(従業員の給与情報!$B:$B,$A383,従業員の給与情報!$D:$D)))))</f>
        <v/>
      </c>
      <c r="U383" s="116" t="str">
        <f>IF(OR(入力シート!$C$5&lt;&gt;入力リスト!$N$4,COUNTIF(入力シート!$J$16:$S$23,入力リスト!$K$4)=0),"",IF(A383="","",IF(ISERROR(AVERAGEIF(従業員の給与情報!$B:$B,$A383,従業員の給与情報!$E:$E)),0,IF(ISERROR(AVERAGEIF(従業員の給与情報!$B:$B,$A383,従業員の給与情報!$E:$E)),0,AVERAGEIF(従業員の給与情報!$B:$B,$A383,従業員の給与情報!$E:$E)))))</f>
        <v/>
      </c>
      <c r="V383" s="117" t="str">
        <f>IF(OR(入力シート!$C$5&lt;&gt;入力リスト!$N$4,COUNTIF(入力シート!$J$16:$S$23,入力リスト!$K$4)=0),"",IF(A383="","",IF(ISERROR(AVERAGEIF(従業員の給与情報!$B:$B,$A383,従業員の給与情報!$F:$F)),0,IF(ISERROR(AVERAGEIF(従業員の給与情報!$B:$B,$A383,従業員の給与情報!$F:$F)),0,AVERAGEIF(従業員の給与情報!$B:$B,$A383,従業員の給与情報!$F:$F)))))</f>
        <v/>
      </c>
      <c r="W383" s="182"/>
      <c r="X383" s="260"/>
    </row>
    <row r="384" spans="1:24">
      <c r="A384" s="368"/>
      <c r="B384" s="361"/>
      <c r="C384" s="362"/>
      <c r="D384" s="361"/>
      <c r="E384" s="361"/>
      <c r="F384" s="372" t="str">
        <f>IF(G384,"この従業員番号は、すでに他のセルで入力されています。",IF(入力シート!$C$5=入力リスト!$N$5,"",IF(AND(A384="",B384="",C384="",D384="",E384=""),"",IF(OR(A384="",B384="",C384="",D384=""),IF(A384="","従業員番号","")&amp;IF(AND(A384="",OR(B384="",C384="",D384="")),",","")&amp;IF(B384="","雇用形態","")&amp;IF(AND(B384="",OR(C384="",D384="")),",","")&amp;IF(OR(入力シート!$J$18=入力リスト!$K$4,入力シート!$J$22=入力リスト!$K$4),IF(C384="","入社年月日",""),"")&amp;IF(AND(C384="",D384=""),",","")&amp;IF(D384="","性別","")&amp;IF(IF(A384="","従業員番号","")&amp;IF(B384="","雇用形態","")&amp;IF(OR(入力シート!$J$18=入力リスト!$K$4,入力シート!$J$22=入力リスト!$K$4),IF(C384="","入社年月日",""),"")&amp;IF(D384="","性別","")="","","が空白です。"),IF(J384,"入社年月日に「基準日」の翌日以降の日付が入力されています。","")&amp;IF(I384,"入社年月日に数値以外（又は1900/1/1以前の日付）が入力されています。","")&amp;IF(H384,"雇用形態"&amp;IF(OR(K384,L384),",",""),"")&amp;IF(K384,"性別"&amp;IF(L384,",",""),"")&amp;IF(L384,"役職","")&amp;IF(OR(H384,K384,L384),"に、［入力シート］(4)「貴社」欄と異なる文言が入力されています。","")))))</f>
        <v/>
      </c>
      <c r="G384" s="236" t="b">
        <f>COUNTIF($A$4:A383,$A384)&gt;0</f>
        <v>0</v>
      </c>
      <c r="H384" s="237" t="b">
        <f>IF(COUNTIF(入力シート!$J$16:$S$23,入力リスト!$K$4)=0,FALSE,IF(入力シート!$J$16=入力リスト!$K$5,FALSE,ISERROR(VLOOKUP(B384,入力シート!$S$37:$V$62,1,0))))</f>
        <v>0</v>
      </c>
      <c r="I384" s="237" t="b">
        <f>IF(AND(OR(入力シート!$J$18=入力リスト!$K$4,入力シート!$J$22=入力リスト!$K$4),入力シート!$J$24&lt;&gt;""),IF(ISERROR(C384+1),TRUE,IF(ISNUMBER(C384),FALSE,TRUE)),FALSE)</f>
        <v>0</v>
      </c>
      <c r="J384" s="237" t="b">
        <f>IF(AND(入力シート!$J$18=入力リスト!$K$4,入力シート!$J$22=入力リスト!$K$4),FALSE,IF(I384=TRUE,FALSE,IF(ISERROR(C384+1),FALSE,C384&gt;入力シート!$J$24)))</f>
        <v>0</v>
      </c>
      <c r="K384" s="237" t="b">
        <f>IF(COUNTIF(入力シート!$J$16:$S$23,入力リスト!$K$4)=0,FALSE,IF(AND(入力シート!$J$16&lt;&gt;入力リスト!$K$5,入力シート!$J$18&lt;&gt;入力リスト!$K$5,入力シート!$J$20&lt;&gt;入力リスト!$K$5,入力シート!$J$22&lt;&gt;入力リスト!$K$5),FALSE,ISERROR(VLOOKUP(D384,入力シート!$AW$37:$AY$38,1,0))))</f>
        <v>0</v>
      </c>
      <c r="L384" s="237" t="b">
        <f>IF(COUNTIF(入力シート!$J$16:$S$23,入力リスト!$K$4)=0,FALSE,IF(入力シート!$J$20=入力リスト!$K$5,FALSE,IF(E384="",FALSE,ISERROR(VLOOKUP(E384,入力シート!$AH$37:$AK$62,1,0)))))</f>
        <v>0</v>
      </c>
      <c r="M384" s="238" t="str">
        <f t="shared" si="5"/>
        <v/>
      </c>
      <c r="N384" s="236" t="str">
        <f>IF(B384="","",VLOOKUP('従業員情報(給与以外)'!$B384,入力シート!$S$37:$Z$62,5,0))</f>
        <v/>
      </c>
      <c r="O384" s="182" t="str">
        <f>IF(ISNUMBER(C384)=FALSE,"",IF(C384&gt;入力シート!$J$24,"",_xlfn.DAYS(入力シート!$J$24,'従業員情報(給与以外)'!$C384)/365))</f>
        <v/>
      </c>
      <c r="P384" s="237" t="str">
        <f>IF(O384="","",VLOOKUP(_xlfn.DAYS(入力シート!$J$24,'従業員情報(給与以外)'!$C384)/365,入力リスト!$H$4:$I$12,2,2))</f>
        <v/>
      </c>
      <c r="Q384" s="236" t="str">
        <f>IF(D384="","",VLOOKUP('従業員情報(給与以外)'!$D384,入力シート!$AW$37:$BB$38,4,0))</f>
        <v/>
      </c>
      <c r="R384" s="236" t="str">
        <f>IF(A384="","",IF(E384="","非役職",VLOOKUP('従業員情報(給与以外)'!$E384,入力シート!$AH$37:$AO$62,5,0)))</f>
        <v/>
      </c>
      <c r="S384" s="116" t="str">
        <f>IF(OR(入力シート!$C$5&lt;&gt;入力リスト!$N$4,COUNTIF(入力シート!$J$16:$S$23,入力リスト!$K$4)=0),"",IF($A384="","",IF(ISERROR(AVERAGEIF(従業員の給与情報!$B:$B,$A384,従業員の給与情報!$C:$C)),0,IF(ISERROR(AVERAGEIF(従業員の給与情報!$B:$B,$A384,従業員の給与情報!$C:$C)),0,AVERAGEIF(従業員の給与情報!$B:$B,$A384,従業員の給与情報!$C:$C)))))</f>
        <v/>
      </c>
      <c r="T384" s="116" t="str">
        <f>IF(OR(入力シート!$C$5&lt;&gt;入力リスト!$N$4,COUNTIF(入力シート!$J$16:$S$23,入力リスト!$K$4)=0),"",IF(A384="","",IF(ISERROR(AVERAGEIF(従業員の給与情報!$B:$B,$A384,従業員の給与情報!$D:$D)),0,IF(ISERROR(AVERAGEIF(従業員の給与情報!$B:$B,$A384,従業員の給与情報!$D:$D)),0,AVERAGEIF(従業員の給与情報!$B:$B,$A384,従業員の給与情報!$D:$D)))))</f>
        <v/>
      </c>
      <c r="U384" s="116" t="str">
        <f>IF(OR(入力シート!$C$5&lt;&gt;入力リスト!$N$4,COUNTIF(入力シート!$J$16:$S$23,入力リスト!$K$4)=0),"",IF(A384="","",IF(ISERROR(AVERAGEIF(従業員の給与情報!$B:$B,$A384,従業員の給与情報!$E:$E)),0,IF(ISERROR(AVERAGEIF(従業員の給与情報!$B:$B,$A384,従業員の給与情報!$E:$E)),0,AVERAGEIF(従業員の給与情報!$B:$B,$A384,従業員の給与情報!$E:$E)))))</f>
        <v/>
      </c>
      <c r="V384" s="117" t="str">
        <f>IF(OR(入力シート!$C$5&lt;&gt;入力リスト!$N$4,COUNTIF(入力シート!$J$16:$S$23,入力リスト!$K$4)=0),"",IF(A384="","",IF(ISERROR(AVERAGEIF(従業員の給与情報!$B:$B,$A384,従業員の給与情報!$F:$F)),0,IF(ISERROR(AVERAGEIF(従業員の給与情報!$B:$B,$A384,従業員の給与情報!$F:$F)),0,AVERAGEIF(従業員の給与情報!$B:$B,$A384,従業員の給与情報!$F:$F)))))</f>
        <v/>
      </c>
      <c r="W384" s="182"/>
      <c r="X384" s="260"/>
    </row>
    <row r="385" spans="1:24">
      <c r="A385" s="368"/>
      <c r="B385" s="361"/>
      <c r="C385" s="362"/>
      <c r="D385" s="361"/>
      <c r="E385" s="361"/>
      <c r="F385" s="372" t="str">
        <f>IF(G385,"この従業員番号は、すでに他のセルで入力されています。",IF(入力シート!$C$5=入力リスト!$N$5,"",IF(AND(A385="",B385="",C385="",D385="",E385=""),"",IF(OR(A385="",B385="",C385="",D385=""),IF(A385="","従業員番号","")&amp;IF(AND(A385="",OR(B385="",C385="",D385="")),",","")&amp;IF(B385="","雇用形態","")&amp;IF(AND(B385="",OR(C385="",D385="")),",","")&amp;IF(OR(入力シート!$J$18=入力リスト!$K$4,入力シート!$J$22=入力リスト!$K$4),IF(C385="","入社年月日",""),"")&amp;IF(AND(C385="",D385=""),",","")&amp;IF(D385="","性別","")&amp;IF(IF(A385="","従業員番号","")&amp;IF(B385="","雇用形態","")&amp;IF(OR(入力シート!$J$18=入力リスト!$K$4,入力シート!$J$22=入力リスト!$K$4),IF(C385="","入社年月日",""),"")&amp;IF(D385="","性別","")="","","が空白です。"),IF(J385,"入社年月日に「基準日」の翌日以降の日付が入力されています。","")&amp;IF(I385,"入社年月日に数値以外（又は1900/1/1以前の日付）が入力されています。","")&amp;IF(H385,"雇用形態"&amp;IF(OR(K385,L385),",",""),"")&amp;IF(K385,"性別"&amp;IF(L385,",",""),"")&amp;IF(L385,"役職","")&amp;IF(OR(H385,K385,L385),"に、［入力シート］(4)「貴社」欄と異なる文言が入力されています。","")))))</f>
        <v/>
      </c>
      <c r="G385" s="236" t="b">
        <f>COUNTIF($A$4:A384,$A385)&gt;0</f>
        <v>0</v>
      </c>
      <c r="H385" s="237" t="b">
        <f>IF(COUNTIF(入力シート!$J$16:$S$23,入力リスト!$K$4)=0,FALSE,IF(入力シート!$J$16=入力リスト!$K$5,FALSE,ISERROR(VLOOKUP(B385,入力シート!$S$37:$V$62,1,0))))</f>
        <v>0</v>
      </c>
      <c r="I385" s="237" t="b">
        <f>IF(AND(OR(入力シート!$J$18=入力リスト!$K$4,入力シート!$J$22=入力リスト!$K$4),入力シート!$J$24&lt;&gt;""),IF(ISERROR(C385+1),TRUE,IF(ISNUMBER(C385),FALSE,TRUE)),FALSE)</f>
        <v>0</v>
      </c>
      <c r="J385" s="237" t="b">
        <f>IF(AND(入力シート!$J$18=入力リスト!$K$4,入力シート!$J$22=入力リスト!$K$4),FALSE,IF(I385=TRUE,FALSE,IF(ISERROR(C385+1),FALSE,C385&gt;入力シート!$J$24)))</f>
        <v>0</v>
      </c>
      <c r="K385" s="237" t="b">
        <f>IF(COUNTIF(入力シート!$J$16:$S$23,入力リスト!$K$4)=0,FALSE,IF(AND(入力シート!$J$16&lt;&gt;入力リスト!$K$5,入力シート!$J$18&lt;&gt;入力リスト!$K$5,入力シート!$J$20&lt;&gt;入力リスト!$K$5,入力シート!$J$22&lt;&gt;入力リスト!$K$5),FALSE,ISERROR(VLOOKUP(D385,入力シート!$AW$37:$AY$38,1,0))))</f>
        <v>0</v>
      </c>
      <c r="L385" s="237" t="b">
        <f>IF(COUNTIF(入力シート!$J$16:$S$23,入力リスト!$K$4)=0,FALSE,IF(入力シート!$J$20=入力リスト!$K$5,FALSE,IF(E385="",FALSE,ISERROR(VLOOKUP(E385,入力シート!$AH$37:$AK$62,1,0)))))</f>
        <v>0</v>
      </c>
      <c r="M385" s="238" t="str">
        <f t="shared" si="5"/>
        <v/>
      </c>
      <c r="N385" s="236" t="str">
        <f>IF(B385="","",VLOOKUP('従業員情報(給与以外)'!$B385,入力シート!$S$37:$Z$62,5,0))</f>
        <v/>
      </c>
      <c r="O385" s="182" t="str">
        <f>IF(ISNUMBER(C385)=FALSE,"",IF(C385&gt;入力シート!$J$24,"",_xlfn.DAYS(入力シート!$J$24,'従業員情報(給与以外)'!$C385)/365))</f>
        <v/>
      </c>
      <c r="P385" s="237" t="str">
        <f>IF(O385="","",VLOOKUP(_xlfn.DAYS(入力シート!$J$24,'従業員情報(給与以外)'!$C385)/365,入力リスト!$H$4:$I$12,2,2))</f>
        <v/>
      </c>
      <c r="Q385" s="236" t="str">
        <f>IF(D385="","",VLOOKUP('従業員情報(給与以外)'!$D385,入力シート!$AW$37:$BB$38,4,0))</f>
        <v/>
      </c>
      <c r="R385" s="236" t="str">
        <f>IF(A385="","",IF(E385="","非役職",VLOOKUP('従業員情報(給与以外)'!$E385,入力シート!$AH$37:$AO$62,5,0)))</f>
        <v/>
      </c>
      <c r="S385" s="116" t="str">
        <f>IF(OR(入力シート!$C$5&lt;&gt;入力リスト!$N$4,COUNTIF(入力シート!$J$16:$S$23,入力リスト!$K$4)=0),"",IF($A385="","",IF(ISERROR(AVERAGEIF(従業員の給与情報!$B:$B,$A385,従業員の給与情報!$C:$C)),0,IF(ISERROR(AVERAGEIF(従業員の給与情報!$B:$B,$A385,従業員の給与情報!$C:$C)),0,AVERAGEIF(従業員の給与情報!$B:$B,$A385,従業員の給与情報!$C:$C)))))</f>
        <v/>
      </c>
      <c r="T385" s="116" t="str">
        <f>IF(OR(入力シート!$C$5&lt;&gt;入力リスト!$N$4,COUNTIF(入力シート!$J$16:$S$23,入力リスト!$K$4)=0),"",IF(A385="","",IF(ISERROR(AVERAGEIF(従業員の給与情報!$B:$B,$A385,従業員の給与情報!$D:$D)),0,IF(ISERROR(AVERAGEIF(従業員の給与情報!$B:$B,$A385,従業員の給与情報!$D:$D)),0,AVERAGEIF(従業員の給与情報!$B:$B,$A385,従業員の給与情報!$D:$D)))))</f>
        <v/>
      </c>
      <c r="U385" s="116" t="str">
        <f>IF(OR(入力シート!$C$5&lt;&gt;入力リスト!$N$4,COUNTIF(入力シート!$J$16:$S$23,入力リスト!$K$4)=0),"",IF(A385="","",IF(ISERROR(AVERAGEIF(従業員の給与情報!$B:$B,$A385,従業員の給与情報!$E:$E)),0,IF(ISERROR(AVERAGEIF(従業員の給与情報!$B:$B,$A385,従業員の給与情報!$E:$E)),0,AVERAGEIF(従業員の給与情報!$B:$B,$A385,従業員の給与情報!$E:$E)))))</f>
        <v/>
      </c>
      <c r="V385" s="117" t="str">
        <f>IF(OR(入力シート!$C$5&lt;&gt;入力リスト!$N$4,COUNTIF(入力シート!$J$16:$S$23,入力リスト!$K$4)=0),"",IF(A385="","",IF(ISERROR(AVERAGEIF(従業員の給与情報!$B:$B,$A385,従業員の給与情報!$F:$F)),0,IF(ISERROR(AVERAGEIF(従業員の給与情報!$B:$B,$A385,従業員の給与情報!$F:$F)),0,AVERAGEIF(従業員の給与情報!$B:$B,$A385,従業員の給与情報!$F:$F)))))</f>
        <v/>
      </c>
      <c r="W385" s="182"/>
      <c r="X385" s="260"/>
    </row>
    <row r="386" spans="1:24">
      <c r="A386" s="368"/>
      <c r="B386" s="361"/>
      <c r="C386" s="362"/>
      <c r="D386" s="361"/>
      <c r="E386" s="361"/>
      <c r="F386" s="372" t="str">
        <f>IF(G386,"この従業員番号は、すでに他のセルで入力されています。",IF(入力シート!$C$5=入力リスト!$N$5,"",IF(AND(A386="",B386="",C386="",D386="",E386=""),"",IF(OR(A386="",B386="",C386="",D386=""),IF(A386="","従業員番号","")&amp;IF(AND(A386="",OR(B386="",C386="",D386="")),",","")&amp;IF(B386="","雇用形態","")&amp;IF(AND(B386="",OR(C386="",D386="")),",","")&amp;IF(OR(入力シート!$J$18=入力リスト!$K$4,入力シート!$J$22=入力リスト!$K$4),IF(C386="","入社年月日",""),"")&amp;IF(AND(C386="",D386=""),",","")&amp;IF(D386="","性別","")&amp;IF(IF(A386="","従業員番号","")&amp;IF(B386="","雇用形態","")&amp;IF(OR(入力シート!$J$18=入力リスト!$K$4,入力シート!$J$22=入力リスト!$K$4),IF(C386="","入社年月日",""),"")&amp;IF(D386="","性別","")="","","が空白です。"),IF(J386,"入社年月日に「基準日」の翌日以降の日付が入力されています。","")&amp;IF(I386,"入社年月日に数値以外（又は1900/1/1以前の日付）が入力されています。","")&amp;IF(H386,"雇用形態"&amp;IF(OR(K386,L386),",",""),"")&amp;IF(K386,"性別"&amp;IF(L386,",",""),"")&amp;IF(L386,"役職","")&amp;IF(OR(H386,K386,L386),"に、［入力シート］(4)「貴社」欄と異なる文言が入力されています。","")))))</f>
        <v/>
      </c>
      <c r="G386" s="236" t="b">
        <f>COUNTIF($A$4:A385,$A386)&gt;0</f>
        <v>0</v>
      </c>
      <c r="H386" s="237" t="b">
        <f>IF(COUNTIF(入力シート!$J$16:$S$23,入力リスト!$K$4)=0,FALSE,IF(入力シート!$J$16=入力リスト!$K$5,FALSE,ISERROR(VLOOKUP(B386,入力シート!$S$37:$V$62,1,0))))</f>
        <v>0</v>
      </c>
      <c r="I386" s="237" t="b">
        <f>IF(AND(OR(入力シート!$J$18=入力リスト!$K$4,入力シート!$J$22=入力リスト!$K$4),入力シート!$J$24&lt;&gt;""),IF(ISERROR(C386+1),TRUE,IF(ISNUMBER(C386),FALSE,TRUE)),FALSE)</f>
        <v>0</v>
      </c>
      <c r="J386" s="237" t="b">
        <f>IF(AND(入力シート!$J$18=入力リスト!$K$4,入力シート!$J$22=入力リスト!$K$4),FALSE,IF(I386=TRUE,FALSE,IF(ISERROR(C386+1),FALSE,C386&gt;入力シート!$J$24)))</f>
        <v>0</v>
      </c>
      <c r="K386" s="237" t="b">
        <f>IF(COUNTIF(入力シート!$J$16:$S$23,入力リスト!$K$4)=0,FALSE,IF(AND(入力シート!$J$16&lt;&gt;入力リスト!$K$5,入力シート!$J$18&lt;&gt;入力リスト!$K$5,入力シート!$J$20&lt;&gt;入力リスト!$K$5,入力シート!$J$22&lt;&gt;入力リスト!$K$5),FALSE,ISERROR(VLOOKUP(D386,入力シート!$AW$37:$AY$38,1,0))))</f>
        <v>0</v>
      </c>
      <c r="L386" s="237" t="b">
        <f>IF(COUNTIF(入力シート!$J$16:$S$23,入力リスト!$K$4)=0,FALSE,IF(入力シート!$J$20=入力リスト!$K$5,FALSE,IF(E386="",FALSE,ISERROR(VLOOKUP(E386,入力シート!$AH$37:$AK$62,1,0)))))</f>
        <v>0</v>
      </c>
      <c r="M386" s="238" t="str">
        <f t="shared" si="5"/>
        <v/>
      </c>
      <c r="N386" s="236" t="str">
        <f>IF(B386="","",VLOOKUP('従業員情報(給与以外)'!$B386,入力シート!$S$37:$Z$62,5,0))</f>
        <v/>
      </c>
      <c r="O386" s="182" t="str">
        <f>IF(ISNUMBER(C386)=FALSE,"",IF(C386&gt;入力シート!$J$24,"",_xlfn.DAYS(入力シート!$J$24,'従業員情報(給与以外)'!$C386)/365))</f>
        <v/>
      </c>
      <c r="P386" s="237" t="str">
        <f>IF(O386="","",VLOOKUP(_xlfn.DAYS(入力シート!$J$24,'従業員情報(給与以外)'!$C386)/365,入力リスト!$H$4:$I$12,2,2))</f>
        <v/>
      </c>
      <c r="Q386" s="236" t="str">
        <f>IF(D386="","",VLOOKUP('従業員情報(給与以外)'!$D386,入力シート!$AW$37:$BB$38,4,0))</f>
        <v/>
      </c>
      <c r="R386" s="236" t="str">
        <f>IF(A386="","",IF(E386="","非役職",VLOOKUP('従業員情報(給与以外)'!$E386,入力シート!$AH$37:$AO$62,5,0)))</f>
        <v/>
      </c>
      <c r="S386" s="116" t="str">
        <f>IF(OR(入力シート!$C$5&lt;&gt;入力リスト!$N$4,COUNTIF(入力シート!$J$16:$S$23,入力リスト!$K$4)=0),"",IF($A386="","",IF(ISERROR(AVERAGEIF(従業員の給与情報!$B:$B,$A386,従業員の給与情報!$C:$C)),0,IF(ISERROR(AVERAGEIF(従業員の給与情報!$B:$B,$A386,従業員の給与情報!$C:$C)),0,AVERAGEIF(従業員の給与情報!$B:$B,$A386,従業員の給与情報!$C:$C)))))</f>
        <v/>
      </c>
      <c r="T386" s="116" t="str">
        <f>IF(OR(入力シート!$C$5&lt;&gt;入力リスト!$N$4,COUNTIF(入力シート!$J$16:$S$23,入力リスト!$K$4)=0),"",IF(A386="","",IF(ISERROR(AVERAGEIF(従業員の給与情報!$B:$B,$A386,従業員の給与情報!$D:$D)),0,IF(ISERROR(AVERAGEIF(従業員の給与情報!$B:$B,$A386,従業員の給与情報!$D:$D)),0,AVERAGEIF(従業員の給与情報!$B:$B,$A386,従業員の給与情報!$D:$D)))))</f>
        <v/>
      </c>
      <c r="U386" s="116" t="str">
        <f>IF(OR(入力シート!$C$5&lt;&gt;入力リスト!$N$4,COUNTIF(入力シート!$J$16:$S$23,入力リスト!$K$4)=0),"",IF(A386="","",IF(ISERROR(AVERAGEIF(従業員の給与情報!$B:$B,$A386,従業員の給与情報!$E:$E)),0,IF(ISERROR(AVERAGEIF(従業員の給与情報!$B:$B,$A386,従業員の給与情報!$E:$E)),0,AVERAGEIF(従業員の給与情報!$B:$B,$A386,従業員の給与情報!$E:$E)))))</f>
        <v/>
      </c>
      <c r="V386" s="117" t="str">
        <f>IF(OR(入力シート!$C$5&lt;&gt;入力リスト!$N$4,COUNTIF(入力シート!$J$16:$S$23,入力リスト!$K$4)=0),"",IF(A386="","",IF(ISERROR(AVERAGEIF(従業員の給与情報!$B:$B,$A386,従業員の給与情報!$F:$F)),0,IF(ISERROR(AVERAGEIF(従業員の給与情報!$B:$B,$A386,従業員の給与情報!$F:$F)),0,AVERAGEIF(従業員の給与情報!$B:$B,$A386,従業員の給与情報!$F:$F)))))</f>
        <v/>
      </c>
      <c r="W386" s="182"/>
      <c r="X386" s="260"/>
    </row>
    <row r="387" spans="1:24">
      <c r="A387" s="368"/>
      <c r="B387" s="361"/>
      <c r="C387" s="362"/>
      <c r="D387" s="361"/>
      <c r="E387" s="361"/>
      <c r="F387" s="372" t="str">
        <f>IF(G387,"この従業員番号は、すでに他のセルで入力されています。",IF(入力シート!$C$5=入力リスト!$N$5,"",IF(AND(A387="",B387="",C387="",D387="",E387=""),"",IF(OR(A387="",B387="",C387="",D387=""),IF(A387="","従業員番号","")&amp;IF(AND(A387="",OR(B387="",C387="",D387="")),",","")&amp;IF(B387="","雇用形態","")&amp;IF(AND(B387="",OR(C387="",D387="")),",","")&amp;IF(OR(入力シート!$J$18=入力リスト!$K$4,入力シート!$J$22=入力リスト!$K$4),IF(C387="","入社年月日",""),"")&amp;IF(AND(C387="",D387=""),",","")&amp;IF(D387="","性別","")&amp;IF(IF(A387="","従業員番号","")&amp;IF(B387="","雇用形態","")&amp;IF(OR(入力シート!$J$18=入力リスト!$K$4,入力シート!$J$22=入力リスト!$K$4),IF(C387="","入社年月日",""),"")&amp;IF(D387="","性別","")="","","が空白です。"),IF(J387,"入社年月日に「基準日」の翌日以降の日付が入力されています。","")&amp;IF(I387,"入社年月日に数値以外（又は1900/1/1以前の日付）が入力されています。","")&amp;IF(H387,"雇用形態"&amp;IF(OR(K387,L387),",",""),"")&amp;IF(K387,"性別"&amp;IF(L387,",",""),"")&amp;IF(L387,"役職","")&amp;IF(OR(H387,K387,L387),"に、［入力シート］(4)「貴社」欄と異なる文言が入力されています。","")))))</f>
        <v/>
      </c>
      <c r="G387" s="236" t="b">
        <f>COUNTIF($A$4:A386,$A387)&gt;0</f>
        <v>0</v>
      </c>
      <c r="H387" s="237" t="b">
        <f>IF(COUNTIF(入力シート!$J$16:$S$23,入力リスト!$K$4)=0,FALSE,IF(入力シート!$J$16=入力リスト!$K$5,FALSE,ISERROR(VLOOKUP(B387,入力シート!$S$37:$V$62,1,0))))</f>
        <v>0</v>
      </c>
      <c r="I387" s="237" t="b">
        <f>IF(AND(OR(入力シート!$J$18=入力リスト!$K$4,入力シート!$J$22=入力リスト!$K$4),入力シート!$J$24&lt;&gt;""),IF(ISERROR(C387+1),TRUE,IF(ISNUMBER(C387),FALSE,TRUE)),FALSE)</f>
        <v>0</v>
      </c>
      <c r="J387" s="237" t="b">
        <f>IF(AND(入力シート!$J$18=入力リスト!$K$4,入力シート!$J$22=入力リスト!$K$4),FALSE,IF(I387=TRUE,FALSE,IF(ISERROR(C387+1),FALSE,C387&gt;入力シート!$J$24)))</f>
        <v>0</v>
      </c>
      <c r="K387" s="237" t="b">
        <f>IF(COUNTIF(入力シート!$J$16:$S$23,入力リスト!$K$4)=0,FALSE,IF(AND(入力シート!$J$16&lt;&gt;入力リスト!$K$5,入力シート!$J$18&lt;&gt;入力リスト!$K$5,入力シート!$J$20&lt;&gt;入力リスト!$K$5,入力シート!$J$22&lt;&gt;入力リスト!$K$5),FALSE,ISERROR(VLOOKUP(D387,入力シート!$AW$37:$AY$38,1,0))))</f>
        <v>0</v>
      </c>
      <c r="L387" s="237" t="b">
        <f>IF(COUNTIF(入力シート!$J$16:$S$23,入力リスト!$K$4)=0,FALSE,IF(入力シート!$J$20=入力リスト!$K$5,FALSE,IF(E387="",FALSE,ISERROR(VLOOKUP(E387,入力シート!$AH$37:$AK$62,1,0)))))</f>
        <v>0</v>
      </c>
      <c r="M387" s="238" t="str">
        <f t="shared" si="5"/>
        <v/>
      </c>
      <c r="N387" s="236" t="str">
        <f>IF(B387="","",VLOOKUP('従業員情報(給与以外)'!$B387,入力シート!$S$37:$Z$62,5,0))</f>
        <v/>
      </c>
      <c r="O387" s="182" t="str">
        <f>IF(ISNUMBER(C387)=FALSE,"",IF(C387&gt;入力シート!$J$24,"",_xlfn.DAYS(入力シート!$J$24,'従業員情報(給与以外)'!$C387)/365))</f>
        <v/>
      </c>
      <c r="P387" s="237" t="str">
        <f>IF(O387="","",VLOOKUP(_xlfn.DAYS(入力シート!$J$24,'従業員情報(給与以外)'!$C387)/365,入力リスト!$H$4:$I$12,2,2))</f>
        <v/>
      </c>
      <c r="Q387" s="236" t="str">
        <f>IF(D387="","",VLOOKUP('従業員情報(給与以外)'!$D387,入力シート!$AW$37:$BB$38,4,0))</f>
        <v/>
      </c>
      <c r="R387" s="236" t="str">
        <f>IF(A387="","",IF(E387="","非役職",VLOOKUP('従業員情報(給与以外)'!$E387,入力シート!$AH$37:$AO$62,5,0)))</f>
        <v/>
      </c>
      <c r="S387" s="116" t="str">
        <f>IF(OR(入力シート!$C$5&lt;&gt;入力リスト!$N$4,COUNTIF(入力シート!$J$16:$S$23,入力リスト!$K$4)=0),"",IF($A387="","",IF(ISERROR(AVERAGEIF(従業員の給与情報!$B:$B,$A387,従業員の給与情報!$C:$C)),0,IF(ISERROR(AVERAGEIF(従業員の給与情報!$B:$B,$A387,従業員の給与情報!$C:$C)),0,AVERAGEIF(従業員の給与情報!$B:$B,$A387,従業員の給与情報!$C:$C)))))</f>
        <v/>
      </c>
      <c r="T387" s="116" t="str">
        <f>IF(OR(入力シート!$C$5&lt;&gt;入力リスト!$N$4,COUNTIF(入力シート!$J$16:$S$23,入力リスト!$K$4)=0),"",IF(A387="","",IF(ISERROR(AVERAGEIF(従業員の給与情報!$B:$B,$A387,従業員の給与情報!$D:$D)),0,IF(ISERROR(AVERAGEIF(従業員の給与情報!$B:$B,$A387,従業員の給与情報!$D:$D)),0,AVERAGEIF(従業員の給与情報!$B:$B,$A387,従業員の給与情報!$D:$D)))))</f>
        <v/>
      </c>
      <c r="U387" s="116" t="str">
        <f>IF(OR(入力シート!$C$5&lt;&gt;入力リスト!$N$4,COUNTIF(入力シート!$J$16:$S$23,入力リスト!$K$4)=0),"",IF(A387="","",IF(ISERROR(AVERAGEIF(従業員の給与情報!$B:$B,$A387,従業員の給与情報!$E:$E)),0,IF(ISERROR(AVERAGEIF(従業員の給与情報!$B:$B,$A387,従業員の給与情報!$E:$E)),0,AVERAGEIF(従業員の給与情報!$B:$B,$A387,従業員の給与情報!$E:$E)))))</f>
        <v/>
      </c>
      <c r="V387" s="117" t="str">
        <f>IF(OR(入力シート!$C$5&lt;&gt;入力リスト!$N$4,COUNTIF(入力シート!$J$16:$S$23,入力リスト!$K$4)=0),"",IF(A387="","",IF(ISERROR(AVERAGEIF(従業員の給与情報!$B:$B,$A387,従業員の給与情報!$F:$F)),0,IF(ISERROR(AVERAGEIF(従業員の給与情報!$B:$B,$A387,従業員の給与情報!$F:$F)),0,AVERAGEIF(従業員の給与情報!$B:$B,$A387,従業員の給与情報!$F:$F)))))</f>
        <v/>
      </c>
      <c r="W387" s="182"/>
      <c r="X387" s="260"/>
    </row>
    <row r="388" spans="1:24">
      <c r="A388" s="368"/>
      <c r="B388" s="361"/>
      <c r="C388" s="362"/>
      <c r="D388" s="361"/>
      <c r="E388" s="361"/>
      <c r="F388" s="372" t="str">
        <f>IF(G388,"この従業員番号は、すでに他のセルで入力されています。",IF(入力シート!$C$5=入力リスト!$N$5,"",IF(AND(A388="",B388="",C388="",D388="",E388=""),"",IF(OR(A388="",B388="",C388="",D388=""),IF(A388="","従業員番号","")&amp;IF(AND(A388="",OR(B388="",C388="",D388="")),",","")&amp;IF(B388="","雇用形態","")&amp;IF(AND(B388="",OR(C388="",D388="")),",","")&amp;IF(OR(入力シート!$J$18=入力リスト!$K$4,入力シート!$J$22=入力リスト!$K$4),IF(C388="","入社年月日",""),"")&amp;IF(AND(C388="",D388=""),",","")&amp;IF(D388="","性別","")&amp;IF(IF(A388="","従業員番号","")&amp;IF(B388="","雇用形態","")&amp;IF(OR(入力シート!$J$18=入力リスト!$K$4,入力シート!$J$22=入力リスト!$K$4),IF(C388="","入社年月日",""),"")&amp;IF(D388="","性別","")="","","が空白です。"),IF(J388,"入社年月日に「基準日」の翌日以降の日付が入力されています。","")&amp;IF(I388,"入社年月日に数値以外（又は1900/1/1以前の日付）が入力されています。","")&amp;IF(H388,"雇用形態"&amp;IF(OR(K388,L388),",",""),"")&amp;IF(K388,"性別"&amp;IF(L388,",",""),"")&amp;IF(L388,"役職","")&amp;IF(OR(H388,K388,L388),"に、［入力シート］(4)「貴社」欄と異なる文言が入力されています。","")))))</f>
        <v/>
      </c>
      <c r="G388" s="236" t="b">
        <f>COUNTIF($A$4:A387,$A388)&gt;0</f>
        <v>0</v>
      </c>
      <c r="H388" s="237" t="b">
        <f>IF(COUNTIF(入力シート!$J$16:$S$23,入力リスト!$K$4)=0,FALSE,IF(入力シート!$J$16=入力リスト!$K$5,FALSE,ISERROR(VLOOKUP(B388,入力シート!$S$37:$V$62,1,0))))</f>
        <v>0</v>
      </c>
      <c r="I388" s="237" t="b">
        <f>IF(AND(OR(入力シート!$J$18=入力リスト!$K$4,入力シート!$J$22=入力リスト!$K$4),入力シート!$J$24&lt;&gt;""),IF(ISERROR(C388+1),TRUE,IF(ISNUMBER(C388),FALSE,TRUE)),FALSE)</f>
        <v>0</v>
      </c>
      <c r="J388" s="237" t="b">
        <f>IF(AND(入力シート!$J$18=入力リスト!$K$4,入力シート!$J$22=入力リスト!$K$4),FALSE,IF(I388=TRUE,FALSE,IF(ISERROR(C388+1),FALSE,C388&gt;入力シート!$J$24)))</f>
        <v>0</v>
      </c>
      <c r="K388" s="237" t="b">
        <f>IF(COUNTIF(入力シート!$J$16:$S$23,入力リスト!$K$4)=0,FALSE,IF(AND(入力シート!$J$16&lt;&gt;入力リスト!$K$5,入力シート!$J$18&lt;&gt;入力リスト!$K$5,入力シート!$J$20&lt;&gt;入力リスト!$K$5,入力シート!$J$22&lt;&gt;入力リスト!$K$5),FALSE,ISERROR(VLOOKUP(D388,入力シート!$AW$37:$AY$38,1,0))))</f>
        <v>0</v>
      </c>
      <c r="L388" s="237" t="b">
        <f>IF(COUNTIF(入力シート!$J$16:$S$23,入力リスト!$K$4)=0,FALSE,IF(入力シート!$J$20=入力リスト!$K$5,FALSE,IF(E388="",FALSE,ISERROR(VLOOKUP(E388,入力シート!$AH$37:$AK$62,1,0)))))</f>
        <v>0</v>
      </c>
      <c r="M388" s="238" t="str">
        <f t="shared" ref="M388:M451" si="6">IF(COUNTIF(F388,"*入社年月日に数値以外*"),"※1900/0/0以前は数値として認識されません。","")</f>
        <v/>
      </c>
      <c r="N388" s="236" t="str">
        <f>IF(B388="","",VLOOKUP('従業員情報(給与以外)'!$B388,入力シート!$S$37:$Z$62,5,0))</f>
        <v/>
      </c>
      <c r="O388" s="182" t="str">
        <f>IF(ISNUMBER(C388)=FALSE,"",IF(C388&gt;入力シート!$J$24,"",_xlfn.DAYS(入力シート!$J$24,'従業員情報(給与以外)'!$C388)/365))</f>
        <v/>
      </c>
      <c r="P388" s="237" t="str">
        <f>IF(O388="","",VLOOKUP(_xlfn.DAYS(入力シート!$J$24,'従業員情報(給与以外)'!$C388)/365,入力リスト!$H$4:$I$12,2,2))</f>
        <v/>
      </c>
      <c r="Q388" s="236" t="str">
        <f>IF(D388="","",VLOOKUP('従業員情報(給与以外)'!$D388,入力シート!$AW$37:$BB$38,4,0))</f>
        <v/>
      </c>
      <c r="R388" s="236" t="str">
        <f>IF(A388="","",IF(E388="","非役職",VLOOKUP('従業員情報(給与以外)'!$E388,入力シート!$AH$37:$AO$62,5,0)))</f>
        <v/>
      </c>
      <c r="S388" s="116" t="str">
        <f>IF(OR(入力シート!$C$5&lt;&gt;入力リスト!$N$4,COUNTIF(入力シート!$J$16:$S$23,入力リスト!$K$4)=0),"",IF($A388="","",IF(ISERROR(AVERAGEIF(従業員の給与情報!$B:$B,$A388,従業員の給与情報!$C:$C)),0,IF(ISERROR(AVERAGEIF(従業員の給与情報!$B:$B,$A388,従業員の給与情報!$C:$C)),0,AVERAGEIF(従業員の給与情報!$B:$B,$A388,従業員の給与情報!$C:$C)))))</f>
        <v/>
      </c>
      <c r="T388" s="116" t="str">
        <f>IF(OR(入力シート!$C$5&lt;&gt;入力リスト!$N$4,COUNTIF(入力シート!$J$16:$S$23,入力リスト!$K$4)=0),"",IF(A388="","",IF(ISERROR(AVERAGEIF(従業員の給与情報!$B:$B,$A388,従業員の給与情報!$D:$D)),0,IF(ISERROR(AVERAGEIF(従業員の給与情報!$B:$B,$A388,従業員の給与情報!$D:$D)),0,AVERAGEIF(従業員の給与情報!$B:$B,$A388,従業員の給与情報!$D:$D)))))</f>
        <v/>
      </c>
      <c r="U388" s="116" t="str">
        <f>IF(OR(入力シート!$C$5&lt;&gt;入力リスト!$N$4,COUNTIF(入力シート!$J$16:$S$23,入力リスト!$K$4)=0),"",IF(A388="","",IF(ISERROR(AVERAGEIF(従業員の給与情報!$B:$B,$A388,従業員の給与情報!$E:$E)),0,IF(ISERROR(AVERAGEIF(従業員の給与情報!$B:$B,$A388,従業員の給与情報!$E:$E)),0,AVERAGEIF(従業員の給与情報!$B:$B,$A388,従業員の給与情報!$E:$E)))))</f>
        <v/>
      </c>
      <c r="V388" s="117" t="str">
        <f>IF(OR(入力シート!$C$5&lt;&gt;入力リスト!$N$4,COUNTIF(入力シート!$J$16:$S$23,入力リスト!$K$4)=0),"",IF(A388="","",IF(ISERROR(AVERAGEIF(従業員の給与情報!$B:$B,$A388,従業員の給与情報!$F:$F)),0,IF(ISERROR(AVERAGEIF(従業員の給与情報!$B:$B,$A388,従業員の給与情報!$F:$F)),0,AVERAGEIF(従業員の給与情報!$B:$B,$A388,従業員の給与情報!$F:$F)))))</f>
        <v/>
      </c>
      <c r="W388" s="182"/>
      <c r="X388" s="260"/>
    </row>
    <row r="389" spans="1:24">
      <c r="A389" s="368"/>
      <c r="B389" s="361"/>
      <c r="C389" s="362"/>
      <c r="D389" s="361"/>
      <c r="E389" s="361"/>
      <c r="F389" s="372" t="str">
        <f>IF(G389,"この従業員番号は、すでに他のセルで入力されています。",IF(入力シート!$C$5=入力リスト!$N$5,"",IF(AND(A389="",B389="",C389="",D389="",E389=""),"",IF(OR(A389="",B389="",C389="",D389=""),IF(A389="","従業員番号","")&amp;IF(AND(A389="",OR(B389="",C389="",D389="")),",","")&amp;IF(B389="","雇用形態","")&amp;IF(AND(B389="",OR(C389="",D389="")),",","")&amp;IF(OR(入力シート!$J$18=入力リスト!$K$4,入力シート!$J$22=入力リスト!$K$4),IF(C389="","入社年月日",""),"")&amp;IF(AND(C389="",D389=""),",","")&amp;IF(D389="","性別","")&amp;IF(IF(A389="","従業員番号","")&amp;IF(B389="","雇用形態","")&amp;IF(OR(入力シート!$J$18=入力リスト!$K$4,入力シート!$J$22=入力リスト!$K$4),IF(C389="","入社年月日",""),"")&amp;IF(D389="","性別","")="","","が空白です。"),IF(J389,"入社年月日に「基準日」の翌日以降の日付が入力されています。","")&amp;IF(I389,"入社年月日に数値以外（又は1900/1/1以前の日付）が入力されています。","")&amp;IF(H389,"雇用形態"&amp;IF(OR(K389,L389),",",""),"")&amp;IF(K389,"性別"&amp;IF(L389,",",""),"")&amp;IF(L389,"役職","")&amp;IF(OR(H389,K389,L389),"に、［入力シート］(4)「貴社」欄と異なる文言が入力されています。","")))))</f>
        <v/>
      </c>
      <c r="G389" s="236" t="b">
        <f>COUNTIF($A$4:A388,$A389)&gt;0</f>
        <v>0</v>
      </c>
      <c r="H389" s="237" t="b">
        <f>IF(COUNTIF(入力シート!$J$16:$S$23,入力リスト!$K$4)=0,FALSE,IF(入力シート!$J$16=入力リスト!$K$5,FALSE,ISERROR(VLOOKUP(B389,入力シート!$S$37:$V$62,1,0))))</f>
        <v>0</v>
      </c>
      <c r="I389" s="237" t="b">
        <f>IF(AND(OR(入力シート!$J$18=入力リスト!$K$4,入力シート!$J$22=入力リスト!$K$4),入力シート!$J$24&lt;&gt;""),IF(ISERROR(C389+1),TRUE,IF(ISNUMBER(C389),FALSE,TRUE)),FALSE)</f>
        <v>0</v>
      </c>
      <c r="J389" s="237" t="b">
        <f>IF(AND(入力シート!$J$18=入力リスト!$K$4,入力シート!$J$22=入力リスト!$K$4),FALSE,IF(I389=TRUE,FALSE,IF(ISERROR(C389+1),FALSE,C389&gt;入力シート!$J$24)))</f>
        <v>0</v>
      </c>
      <c r="K389" s="237" t="b">
        <f>IF(COUNTIF(入力シート!$J$16:$S$23,入力リスト!$K$4)=0,FALSE,IF(AND(入力シート!$J$16&lt;&gt;入力リスト!$K$5,入力シート!$J$18&lt;&gt;入力リスト!$K$5,入力シート!$J$20&lt;&gt;入力リスト!$K$5,入力シート!$J$22&lt;&gt;入力リスト!$K$5),FALSE,ISERROR(VLOOKUP(D389,入力シート!$AW$37:$AY$38,1,0))))</f>
        <v>0</v>
      </c>
      <c r="L389" s="237" t="b">
        <f>IF(COUNTIF(入力シート!$J$16:$S$23,入力リスト!$K$4)=0,FALSE,IF(入力シート!$J$20=入力リスト!$K$5,FALSE,IF(E389="",FALSE,ISERROR(VLOOKUP(E389,入力シート!$AH$37:$AK$62,1,0)))))</f>
        <v>0</v>
      </c>
      <c r="M389" s="238" t="str">
        <f t="shared" si="6"/>
        <v/>
      </c>
      <c r="N389" s="236" t="str">
        <f>IF(B389="","",VLOOKUP('従業員情報(給与以外)'!$B389,入力シート!$S$37:$Z$62,5,0))</f>
        <v/>
      </c>
      <c r="O389" s="182" t="str">
        <f>IF(ISNUMBER(C389)=FALSE,"",IF(C389&gt;入力シート!$J$24,"",_xlfn.DAYS(入力シート!$J$24,'従業員情報(給与以外)'!$C389)/365))</f>
        <v/>
      </c>
      <c r="P389" s="237" t="str">
        <f>IF(O389="","",VLOOKUP(_xlfn.DAYS(入力シート!$J$24,'従業員情報(給与以外)'!$C389)/365,入力リスト!$H$4:$I$12,2,2))</f>
        <v/>
      </c>
      <c r="Q389" s="236" t="str">
        <f>IF(D389="","",VLOOKUP('従業員情報(給与以外)'!$D389,入力シート!$AW$37:$BB$38,4,0))</f>
        <v/>
      </c>
      <c r="R389" s="236" t="str">
        <f>IF(A389="","",IF(E389="","非役職",VLOOKUP('従業員情報(給与以外)'!$E389,入力シート!$AH$37:$AO$62,5,0)))</f>
        <v/>
      </c>
      <c r="S389" s="116" t="str">
        <f>IF(OR(入力シート!$C$5&lt;&gt;入力リスト!$N$4,COUNTIF(入力シート!$J$16:$S$23,入力リスト!$K$4)=0),"",IF($A389="","",IF(ISERROR(AVERAGEIF(従業員の給与情報!$B:$B,$A389,従業員の給与情報!$C:$C)),0,IF(ISERROR(AVERAGEIF(従業員の給与情報!$B:$B,$A389,従業員の給与情報!$C:$C)),0,AVERAGEIF(従業員の給与情報!$B:$B,$A389,従業員の給与情報!$C:$C)))))</f>
        <v/>
      </c>
      <c r="T389" s="116" t="str">
        <f>IF(OR(入力シート!$C$5&lt;&gt;入力リスト!$N$4,COUNTIF(入力シート!$J$16:$S$23,入力リスト!$K$4)=0),"",IF(A389="","",IF(ISERROR(AVERAGEIF(従業員の給与情報!$B:$B,$A389,従業員の給与情報!$D:$D)),0,IF(ISERROR(AVERAGEIF(従業員の給与情報!$B:$B,$A389,従業員の給与情報!$D:$D)),0,AVERAGEIF(従業員の給与情報!$B:$B,$A389,従業員の給与情報!$D:$D)))))</f>
        <v/>
      </c>
      <c r="U389" s="116" t="str">
        <f>IF(OR(入力シート!$C$5&lt;&gt;入力リスト!$N$4,COUNTIF(入力シート!$J$16:$S$23,入力リスト!$K$4)=0),"",IF(A389="","",IF(ISERROR(AVERAGEIF(従業員の給与情報!$B:$B,$A389,従業員の給与情報!$E:$E)),0,IF(ISERROR(AVERAGEIF(従業員の給与情報!$B:$B,$A389,従業員の給与情報!$E:$E)),0,AVERAGEIF(従業員の給与情報!$B:$B,$A389,従業員の給与情報!$E:$E)))))</f>
        <v/>
      </c>
      <c r="V389" s="117" t="str">
        <f>IF(OR(入力シート!$C$5&lt;&gt;入力リスト!$N$4,COUNTIF(入力シート!$J$16:$S$23,入力リスト!$K$4)=0),"",IF(A389="","",IF(ISERROR(AVERAGEIF(従業員の給与情報!$B:$B,$A389,従業員の給与情報!$F:$F)),0,IF(ISERROR(AVERAGEIF(従業員の給与情報!$B:$B,$A389,従業員の給与情報!$F:$F)),0,AVERAGEIF(従業員の給与情報!$B:$B,$A389,従業員の給与情報!$F:$F)))))</f>
        <v/>
      </c>
      <c r="W389" s="182"/>
      <c r="X389" s="260"/>
    </row>
    <row r="390" spans="1:24">
      <c r="A390" s="368"/>
      <c r="B390" s="361"/>
      <c r="C390" s="362"/>
      <c r="D390" s="361"/>
      <c r="E390" s="361"/>
      <c r="F390" s="372" t="str">
        <f>IF(G390,"この従業員番号は、すでに他のセルで入力されています。",IF(入力シート!$C$5=入力リスト!$N$5,"",IF(AND(A390="",B390="",C390="",D390="",E390=""),"",IF(OR(A390="",B390="",C390="",D390=""),IF(A390="","従業員番号","")&amp;IF(AND(A390="",OR(B390="",C390="",D390="")),",","")&amp;IF(B390="","雇用形態","")&amp;IF(AND(B390="",OR(C390="",D390="")),",","")&amp;IF(OR(入力シート!$J$18=入力リスト!$K$4,入力シート!$J$22=入力リスト!$K$4),IF(C390="","入社年月日",""),"")&amp;IF(AND(C390="",D390=""),",","")&amp;IF(D390="","性別","")&amp;IF(IF(A390="","従業員番号","")&amp;IF(B390="","雇用形態","")&amp;IF(OR(入力シート!$J$18=入力リスト!$K$4,入力シート!$J$22=入力リスト!$K$4),IF(C390="","入社年月日",""),"")&amp;IF(D390="","性別","")="","","が空白です。"),IF(J390,"入社年月日に「基準日」の翌日以降の日付が入力されています。","")&amp;IF(I390,"入社年月日に数値以外（又は1900/1/1以前の日付）が入力されています。","")&amp;IF(H390,"雇用形態"&amp;IF(OR(K390,L390),",",""),"")&amp;IF(K390,"性別"&amp;IF(L390,",",""),"")&amp;IF(L390,"役職","")&amp;IF(OR(H390,K390,L390),"に、［入力シート］(4)「貴社」欄と異なる文言が入力されています。","")))))</f>
        <v/>
      </c>
      <c r="G390" s="236" t="b">
        <f>COUNTIF($A$4:A389,$A390)&gt;0</f>
        <v>0</v>
      </c>
      <c r="H390" s="237" t="b">
        <f>IF(COUNTIF(入力シート!$J$16:$S$23,入力リスト!$K$4)=0,FALSE,IF(入力シート!$J$16=入力リスト!$K$5,FALSE,ISERROR(VLOOKUP(B390,入力シート!$S$37:$V$62,1,0))))</f>
        <v>0</v>
      </c>
      <c r="I390" s="237" t="b">
        <f>IF(AND(OR(入力シート!$J$18=入力リスト!$K$4,入力シート!$J$22=入力リスト!$K$4),入力シート!$J$24&lt;&gt;""),IF(ISERROR(C390+1),TRUE,IF(ISNUMBER(C390),FALSE,TRUE)),FALSE)</f>
        <v>0</v>
      </c>
      <c r="J390" s="237" t="b">
        <f>IF(AND(入力シート!$J$18=入力リスト!$K$4,入力シート!$J$22=入力リスト!$K$4),FALSE,IF(I390=TRUE,FALSE,IF(ISERROR(C390+1),FALSE,C390&gt;入力シート!$J$24)))</f>
        <v>0</v>
      </c>
      <c r="K390" s="237" t="b">
        <f>IF(COUNTIF(入力シート!$J$16:$S$23,入力リスト!$K$4)=0,FALSE,IF(AND(入力シート!$J$16&lt;&gt;入力リスト!$K$5,入力シート!$J$18&lt;&gt;入力リスト!$K$5,入力シート!$J$20&lt;&gt;入力リスト!$K$5,入力シート!$J$22&lt;&gt;入力リスト!$K$5),FALSE,ISERROR(VLOOKUP(D390,入力シート!$AW$37:$AY$38,1,0))))</f>
        <v>0</v>
      </c>
      <c r="L390" s="237" t="b">
        <f>IF(COUNTIF(入力シート!$J$16:$S$23,入力リスト!$K$4)=0,FALSE,IF(入力シート!$J$20=入力リスト!$K$5,FALSE,IF(E390="",FALSE,ISERROR(VLOOKUP(E390,入力シート!$AH$37:$AK$62,1,0)))))</f>
        <v>0</v>
      </c>
      <c r="M390" s="238" t="str">
        <f t="shared" si="6"/>
        <v/>
      </c>
      <c r="N390" s="236" t="str">
        <f>IF(B390="","",VLOOKUP('従業員情報(給与以外)'!$B390,入力シート!$S$37:$Z$62,5,0))</f>
        <v/>
      </c>
      <c r="O390" s="182" t="str">
        <f>IF(ISNUMBER(C390)=FALSE,"",IF(C390&gt;入力シート!$J$24,"",_xlfn.DAYS(入力シート!$J$24,'従業員情報(給与以外)'!$C390)/365))</f>
        <v/>
      </c>
      <c r="P390" s="237" t="str">
        <f>IF(O390="","",VLOOKUP(_xlfn.DAYS(入力シート!$J$24,'従業員情報(給与以外)'!$C390)/365,入力リスト!$H$4:$I$12,2,2))</f>
        <v/>
      </c>
      <c r="Q390" s="236" t="str">
        <f>IF(D390="","",VLOOKUP('従業員情報(給与以外)'!$D390,入力シート!$AW$37:$BB$38,4,0))</f>
        <v/>
      </c>
      <c r="R390" s="236" t="str">
        <f>IF(A390="","",IF(E390="","非役職",VLOOKUP('従業員情報(給与以外)'!$E390,入力シート!$AH$37:$AO$62,5,0)))</f>
        <v/>
      </c>
      <c r="S390" s="116" t="str">
        <f>IF(OR(入力シート!$C$5&lt;&gt;入力リスト!$N$4,COUNTIF(入力シート!$J$16:$S$23,入力リスト!$K$4)=0),"",IF($A390="","",IF(ISERROR(AVERAGEIF(従業員の給与情報!$B:$B,$A390,従業員の給与情報!$C:$C)),0,IF(ISERROR(AVERAGEIF(従業員の給与情報!$B:$B,$A390,従業員の給与情報!$C:$C)),0,AVERAGEIF(従業員の給与情報!$B:$B,$A390,従業員の給与情報!$C:$C)))))</f>
        <v/>
      </c>
      <c r="T390" s="116" t="str">
        <f>IF(OR(入力シート!$C$5&lt;&gt;入力リスト!$N$4,COUNTIF(入力シート!$J$16:$S$23,入力リスト!$K$4)=0),"",IF(A390="","",IF(ISERROR(AVERAGEIF(従業員の給与情報!$B:$B,$A390,従業員の給与情報!$D:$D)),0,IF(ISERROR(AVERAGEIF(従業員の給与情報!$B:$B,$A390,従業員の給与情報!$D:$D)),0,AVERAGEIF(従業員の給与情報!$B:$B,$A390,従業員の給与情報!$D:$D)))))</f>
        <v/>
      </c>
      <c r="U390" s="116" t="str">
        <f>IF(OR(入力シート!$C$5&lt;&gt;入力リスト!$N$4,COUNTIF(入力シート!$J$16:$S$23,入力リスト!$K$4)=0),"",IF(A390="","",IF(ISERROR(AVERAGEIF(従業員の給与情報!$B:$B,$A390,従業員の給与情報!$E:$E)),0,IF(ISERROR(AVERAGEIF(従業員の給与情報!$B:$B,$A390,従業員の給与情報!$E:$E)),0,AVERAGEIF(従業員の給与情報!$B:$B,$A390,従業員の給与情報!$E:$E)))))</f>
        <v/>
      </c>
      <c r="V390" s="117" t="str">
        <f>IF(OR(入力シート!$C$5&lt;&gt;入力リスト!$N$4,COUNTIF(入力シート!$J$16:$S$23,入力リスト!$K$4)=0),"",IF(A390="","",IF(ISERROR(AVERAGEIF(従業員の給与情報!$B:$B,$A390,従業員の給与情報!$F:$F)),0,IF(ISERROR(AVERAGEIF(従業員の給与情報!$B:$B,$A390,従業員の給与情報!$F:$F)),0,AVERAGEIF(従業員の給与情報!$B:$B,$A390,従業員の給与情報!$F:$F)))))</f>
        <v/>
      </c>
      <c r="W390" s="182"/>
      <c r="X390" s="260"/>
    </row>
    <row r="391" spans="1:24">
      <c r="A391" s="368"/>
      <c r="B391" s="361"/>
      <c r="C391" s="362"/>
      <c r="D391" s="361"/>
      <c r="E391" s="361"/>
      <c r="F391" s="372" t="str">
        <f>IF(G391,"この従業員番号は、すでに他のセルで入力されています。",IF(入力シート!$C$5=入力リスト!$N$5,"",IF(AND(A391="",B391="",C391="",D391="",E391=""),"",IF(OR(A391="",B391="",C391="",D391=""),IF(A391="","従業員番号","")&amp;IF(AND(A391="",OR(B391="",C391="",D391="")),",","")&amp;IF(B391="","雇用形態","")&amp;IF(AND(B391="",OR(C391="",D391="")),",","")&amp;IF(OR(入力シート!$J$18=入力リスト!$K$4,入力シート!$J$22=入力リスト!$K$4),IF(C391="","入社年月日",""),"")&amp;IF(AND(C391="",D391=""),",","")&amp;IF(D391="","性別","")&amp;IF(IF(A391="","従業員番号","")&amp;IF(B391="","雇用形態","")&amp;IF(OR(入力シート!$J$18=入力リスト!$K$4,入力シート!$J$22=入力リスト!$K$4),IF(C391="","入社年月日",""),"")&amp;IF(D391="","性別","")="","","が空白です。"),IF(J391,"入社年月日に「基準日」の翌日以降の日付が入力されています。","")&amp;IF(I391,"入社年月日に数値以外（又は1900/1/1以前の日付）が入力されています。","")&amp;IF(H391,"雇用形態"&amp;IF(OR(K391,L391),",",""),"")&amp;IF(K391,"性別"&amp;IF(L391,",",""),"")&amp;IF(L391,"役職","")&amp;IF(OR(H391,K391,L391),"に、［入力シート］(4)「貴社」欄と異なる文言が入力されています。","")))))</f>
        <v/>
      </c>
      <c r="G391" s="236" t="b">
        <f>COUNTIF($A$4:A390,$A391)&gt;0</f>
        <v>0</v>
      </c>
      <c r="H391" s="237" t="b">
        <f>IF(COUNTIF(入力シート!$J$16:$S$23,入力リスト!$K$4)=0,FALSE,IF(入力シート!$J$16=入力リスト!$K$5,FALSE,ISERROR(VLOOKUP(B391,入力シート!$S$37:$V$62,1,0))))</f>
        <v>0</v>
      </c>
      <c r="I391" s="237" t="b">
        <f>IF(AND(OR(入力シート!$J$18=入力リスト!$K$4,入力シート!$J$22=入力リスト!$K$4),入力シート!$J$24&lt;&gt;""),IF(ISERROR(C391+1),TRUE,IF(ISNUMBER(C391),FALSE,TRUE)),FALSE)</f>
        <v>0</v>
      </c>
      <c r="J391" s="237" t="b">
        <f>IF(AND(入力シート!$J$18=入力リスト!$K$4,入力シート!$J$22=入力リスト!$K$4),FALSE,IF(I391=TRUE,FALSE,IF(ISERROR(C391+1),FALSE,C391&gt;入力シート!$J$24)))</f>
        <v>0</v>
      </c>
      <c r="K391" s="237" t="b">
        <f>IF(COUNTIF(入力シート!$J$16:$S$23,入力リスト!$K$4)=0,FALSE,IF(AND(入力シート!$J$16&lt;&gt;入力リスト!$K$5,入力シート!$J$18&lt;&gt;入力リスト!$K$5,入力シート!$J$20&lt;&gt;入力リスト!$K$5,入力シート!$J$22&lt;&gt;入力リスト!$K$5),FALSE,ISERROR(VLOOKUP(D391,入力シート!$AW$37:$AY$38,1,0))))</f>
        <v>0</v>
      </c>
      <c r="L391" s="237" t="b">
        <f>IF(COUNTIF(入力シート!$J$16:$S$23,入力リスト!$K$4)=0,FALSE,IF(入力シート!$J$20=入力リスト!$K$5,FALSE,IF(E391="",FALSE,ISERROR(VLOOKUP(E391,入力シート!$AH$37:$AK$62,1,0)))))</f>
        <v>0</v>
      </c>
      <c r="M391" s="238" t="str">
        <f t="shared" si="6"/>
        <v/>
      </c>
      <c r="N391" s="236" t="str">
        <f>IF(B391="","",VLOOKUP('従業員情報(給与以外)'!$B391,入力シート!$S$37:$Z$62,5,0))</f>
        <v/>
      </c>
      <c r="O391" s="182" t="str">
        <f>IF(ISNUMBER(C391)=FALSE,"",IF(C391&gt;入力シート!$J$24,"",_xlfn.DAYS(入力シート!$J$24,'従業員情報(給与以外)'!$C391)/365))</f>
        <v/>
      </c>
      <c r="P391" s="237" t="str">
        <f>IF(O391="","",VLOOKUP(_xlfn.DAYS(入力シート!$J$24,'従業員情報(給与以外)'!$C391)/365,入力リスト!$H$4:$I$12,2,2))</f>
        <v/>
      </c>
      <c r="Q391" s="236" t="str">
        <f>IF(D391="","",VLOOKUP('従業員情報(給与以外)'!$D391,入力シート!$AW$37:$BB$38,4,0))</f>
        <v/>
      </c>
      <c r="R391" s="236" t="str">
        <f>IF(A391="","",IF(E391="","非役職",VLOOKUP('従業員情報(給与以外)'!$E391,入力シート!$AH$37:$AO$62,5,0)))</f>
        <v/>
      </c>
      <c r="S391" s="116" t="str">
        <f>IF(OR(入力シート!$C$5&lt;&gt;入力リスト!$N$4,COUNTIF(入力シート!$J$16:$S$23,入力リスト!$K$4)=0),"",IF($A391="","",IF(ISERROR(AVERAGEIF(従業員の給与情報!$B:$B,$A391,従業員の給与情報!$C:$C)),0,IF(ISERROR(AVERAGEIF(従業員の給与情報!$B:$B,$A391,従業員の給与情報!$C:$C)),0,AVERAGEIF(従業員の給与情報!$B:$B,$A391,従業員の給与情報!$C:$C)))))</f>
        <v/>
      </c>
      <c r="T391" s="116" t="str">
        <f>IF(OR(入力シート!$C$5&lt;&gt;入力リスト!$N$4,COUNTIF(入力シート!$J$16:$S$23,入力リスト!$K$4)=0),"",IF(A391="","",IF(ISERROR(AVERAGEIF(従業員の給与情報!$B:$B,$A391,従業員の給与情報!$D:$D)),0,IF(ISERROR(AVERAGEIF(従業員の給与情報!$B:$B,$A391,従業員の給与情報!$D:$D)),0,AVERAGEIF(従業員の給与情報!$B:$B,$A391,従業員の給与情報!$D:$D)))))</f>
        <v/>
      </c>
      <c r="U391" s="116" t="str">
        <f>IF(OR(入力シート!$C$5&lt;&gt;入力リスト!$N$4,COUNTIF(入力シート!$J$16:$S$23,入力リスト!$K$4)=0),"",IF(A391="","",IF(ISERROR(AVERAGEIF(従業員の給与情報!$B:$B,$A391,従業員の給与情報!$E:$E)),0,IF(ISERROR(AVERAGEIF(従業員の給与情報!$B:$B,$A391,従業員の給与情報!$E:$E)),0,AVERAGEIF(従業員の給与情報!$B:$B,$A391,従業員の給与情報!$E:$E)))))</f>
        <v/>
      </c>
      <c r="V391" s="117" t="str">
        <f>IF(OR(入力シート!$C$5&lt;&gt;入力リスト!$N$4,COUNTIF(入力シート!$J$16:$S$23,入力リスト!$K$4)=0),"",IF(A391="","",IF(ISERROR(AVERAGEIF(従業員の給与情報!$B:$B,$A391,従業員の給与情報!$F:$F)),0,IF(ISERROR(AVERAGEIF(従業員の給与情報!$B:$B,$A391,従業員の給与情報!$F:$F)),0,AVERAGEIF(従業員の給与情報!$B:$B,$A391,従業員の給与情報!$F:$F)))))</f>
        <v/>
      </c>
      <c r="W391" s="182"/>
      <c r="X391" s="260"/>
    </row>
    <row r="392" spans="1:24">
      <c r="A392" s="368"/>
      <c r="B392" s="361"/>
      <c r="C392" s="362"/>
      <c r="D392" s="361"/>
      <c r="E392" s="361"/>
      <c r="F392" s="372" t="str">
        <f>IF(G392,"この従業員番号は、すでに他のセルで入力されています。",IF(入力シート!$C$5=入力リスト!$N$5,"",IF(AND(A392="",B392="",C392="",D392="",E392=""),"",IF(OR(A392="",B392="",C392="",D392=""),IF(A392="","従業員番号","")&amp;IF(AND(A392="",OR(B392="",C392="",D392="")),",","")&amp;IF(B392="","雇用形態","")&amp;IF(AND(B392="",OR(C392="",D392="")),",","")&amp;IF(OR(入力シート!$J$18=入力リスト!$K$4,入力シート!$J$22=入力リスト!$K$4),IF(C392="","入社年月日",""),"")&amp;IF(AND(C392="",D392=""),",","")&amp;IF(D392="","性別","")&amp;IF(IF(A392="","従業員番号","")&amp;IF(B392="","雇用形態","")&amp;IF(OR(入力シート!$J$18=入力リスト!$K$4,入力シート!$J$22=入力リスト!$K$4),IF(C392="","入社年月日",""),"")&amp;IF(D392="","性別","")="","","が空白です。"),IF(J392,"入社年月日に「基準日」の翌日以降の日付が入力されています。","")&amp;IF(I392,"入社年月日に数値以外（又は1900/1/1以前の日付）が入力されています。","")&amp;IF(H392,"雇用形態"&amp;IF(OR(K392,L392),",",""),"")&amp;IF(K392,"性別"&amp;IF(L392,",",""),"")&amp;IF(L392,"役職","")&amp;IF(OR(H392,K392,L392),"に、［入力シート］(4)「貴社」欄と異なる文言が入力されています。","")))))</f>
        <v/>
      </c>
      <c r="G392" s="236" t="b">
        <f>COUNTIF($A$4:A391,$A392)&gt;0</f>
        <v>0</v>
      </c>
      <c r="H392" s="237" t="b">
        <f>IF(COUNTIF(入力シート!$J$16:$S$23,入力リスト!$K$4)=0,FALSE,IF(入力シート!$J$16=入力リスト!$K$5,FALSE,ISERROR(VLOOKUP(B392,入力シート!$S$37:$V$62,1,0))))</f>
        <v>0</v>
      </c>
      <c r="I392" s="237" t="b">
        <f>IF(AND(OR(入力シート!$J$18=入力リスト!$K$4,入力シート!$J$22=入力リスト!$K$4),入力シート!$J$24&lt;&gt;""),IF(ISERROR(C392+1),TRUE,IF(ISNUMBER(C392),FALSE,TRUE)),FALSE)</f>
        <v>0</v>
      </c>
      <c r="J392" s="237" t="b">
        <f>IF(AND(入力シート!$J$18=入力リスト!$K$4,入力シート!$J$22=入力リスト!$K$4),FALSE,IF(I392=TRUE,FALSE,IF(ISERROR(C392+1),FALSE,C392&gt;入力シート!$J$24)))</f>
        <v>0</v>
      </c>
      <c r="K392" s="237" t="b">
        <f>IF(COUNTIF(入力シート!$J$16:$S$23,入力リスト!$K$4)=0,FALSE,IF(AND(入力シート!$J$16&lt;&gt;入力リスト!$K$5,入力シート!$J$18&lt;&gt;入力リスト!$K$5,入力シート!$J$20&lt;&gt;入力リスト!$K$5,入力シート!$J$22&lt;&gt;入力リスト!$K$5),FALSE,ISERROR(VLOOKUP(D392,入力シート!$AW$37:$AY$38,1,0))))</f>
        <v>0</v>
      </c>
      <c r="L392" s="237" t="b">
        <f>IF(COUNTIF(入力シート!$J$16:$S$23,入力リスト!$K$4)=0,FALSE,IF(入力シート!$J$20=入力リスト!$K$5,FALSE,IF(E392="",FALSE,ISERROR(VLOOKUP(E392,入力シート!$AH$37:$AK$62,1,0)))))</f>
        <v>0</v>
      </c>
      <c r="M392" s="238" t="str">
        <f t="shared" si="6"/>
        <v/>
      </c>
      <c r="N392" s="236" t="str">
        <f>IF(B392="","",VLOOKUP('従業員情報(給与以外)'!$B392,入力シート!$S$37:$Z$62,5,0))</f>
        <v/>
      </c>
      <c r="O392" s="182" t="str">
        <f>IF(ISNUMBER(C392)=FALSE,"",IF(C392&gt;入力シート!$J$24,"",_xlfn.DAYS(入力シート!$J$24,'従業員情報(給与以外)'!$C392)/365))</f>
        <v/>
      </c>
      <c r="P392" s="237" t="str">
        <f>IF(O392="","",VLOOKUP(_xlfn.DAYS(入力シート!$J$24,'従業員情報(給与以外)'!$C392)/365,入力リスト!$H$4:$I$12,2,2))</f>
        <v/>
      </c>
      <c r="Q392" s="236" t="str">
        <f>IF(D392="","",VLOOKUP('従業員情報(給与以外)'!$D392,入力シート!$AW$37:$BB$38,4,0))</f>
        <v/>
      </c>
      <c r="R392" s="236" t="str">
        <f>IF(A392="","",IF(E392="","非役職",VLOOKUP('従業員情報(給与以外)'!$E392,入力シート!$AH$37:$AO$62,5,0)))</f>
        <v/>
      </c>
      <c r="S392" s="116" t="str">
        <f>IF(OR(入力シート!$C$5&lt;&gt;入力リスト!$N$4,COUNTIF(入力シート!$J$16:$S$23,入力リスト!$K$4)=0),"",IF($A392="","",IF(ISERROR(AVERAGEIF(従業員の給与情報!$B:$B,$A392,従業員の給与情報!$C:$C)),0,IF(ISERROR(AVERAGEIF(従業員の給与情報!$B:$B,$A392,従業員の給与情報!$C:$C)),0,AVERAGEIF(従業員の給与情報!$B:$B,$A392,従業員の給与情報!$C:$C)))))</f>
        <v/>
      </c>
      <c r="T392" s="116" t="str">
        <f>IF(OR(入力シート!$C$5&lt;&gt;入力リスト!$N$4,COUNTIF(入力シート!$J$16:$S$23,入力リスト!$K$4)=0),"",IF(A392="","",IF(ISERROR(AVERAGEIF(従業員の給与情報!$B:$B,$A392,従業員の給与情報!$D:$D)),0,IF(ISERROR(AVERAGEIF(従業員の給与情報!$B:$B,$A392,従業員の給与情報!$D:$D)),0,AVERAGEIF(従業員の給与情報!$B:$B,$A392,従業員の給与情報!$D:$D)))))</f>
        <v/>
      </c>
      <c r="U392" s="116" t="str">
        <f>IF(OR(入力シート!$C$5&lt;&gt;入力リスト!$N$4,COUNTIF(入力シート!$J$16:$S$23,入力リスト!$K$4)=0),"",IF(A392="","",IF(ISERROR(AVERAGEIF(従業員の給与情報!$B:$B,$A392,従業員の給与情報!$E:$E)),0,IF(ISERROR(AVERAGEIF(従業員の給与情報!$B:$B,$A392,従業員の給与情報!$E:$E)),0,AVERAGEIF(従業員の給与情報!$B:$B,$A392,従業員の給与情報!$E:$E)))))</f>
        <v/>
      </c>
      <c r="V392" s="117" t="str">
        <f>IF(OR(入力シート!$C$5&lt;&gt;入力リスト!$N$4,COUNTIF(入力シート!$J$16:$S$23,入力リスト!$K$4)=0),"",IF(A392="","",IF(ISERROR(AVERAGEIF(従業員の給与情報!$B:$B,$A392,従業員の給与情報!$F:$F)),0,IF(ISERROR(AVERAGEIF(従業員の給与情報!$B:$B,$A392,従業員の給与情報!$F:$F)),0,AVERAGEIF(従業員の給与情報!$B:$B,$A392,従業員の給与情報!$F:$F)))))</f>
        <v/>
      </c>
      <c r="W392" s="182"/>
      <c r="X392" s="260"/>
    </row>
    <row r="393" spans="1:24">
      <c r="A393" s="368"/>
      <c r="B393" s="361"/>
      <c r="C393" s="362"/>
      <c r="D393" s="361"/>
      <c r="E393" s="361"/>
      <c r="F393" s="372" t="str">
        <f>IF(G393,"この従業員番号は、すでに他のセルで入力されています。",IF(入力シート!$C$5=入力リスト!$N$5,"",IF(AND(A393="",B393="",C393="",D393="",E393=""),"",IF(OR(A393="",B393="",C393="",D393=""),IF(A393="","従業員番号","")&amp;IF(AND(A393="",OR(B393="",C393="",D393="")),",","")&amp;IF(B393="","雇用形態","")&amp;IF(AND(B393="",OR(C393="",D393="")),",","")&amp;IF(OR(入力シート!$J$18=入力リスト!$K$4,入力シート!$J$22=入力リスト!$K$4),IF(C393="","入社年月日",""),"")&amp;IF(AND(C393="",D393=""),",","")&amp;IF(D393="","性別","")&amp;IF(IF(A393="","従業員番号","")&amp;IF(B393="","雇用形態","")&amp;IF(OR(入力シート!$J$18=入力リスト!$K$4,入力シート!$J$22=入力リスト!$K$4),IF(C393="","入社年月日",""),"")&amp;IF(D393="","性別","")="","","が空白です。"),IF(J393,"入社年月日に「基準日」の翌日以降の日付が入力されています。","")&amp;IF(I393,"入社年月日に数値以外（又は1900/1/1以前の日付）が入力されています。","")&amp;IF(H393,"雇用形態"&amp;IF(OR(K393,L393),",",""),"")&amp;IF(K393,"性別"&amp;IF(L393,",",""),"")&amp;IF(L393,"役職","")&amp;IF(OR(H393,K393,L393),"に、［入力シート］(4)「貴社」欄と異なる文言が入力されています。","")))))</f>
        <v/>
      </c>
      <c r="G393" s="236" t="b">
        <f>COUNTIF($A$4:A392,$A393)&gt;0</f>
        <v>0</v>
      </c>
      <c r="H393" s="237" t="b">
        <f>IF(COUNTIF(入力シート!$J$16:$S$23,入力リスト!$K$4)=0,FALSE,IF(入力シート!$J$16=入力リスト!$K$5,FALSE,ISERROR(VLOOKUP(B393,入力シート!$S$37:$V$62,1,0))))</f>
        <v>0</v>
      </c>
      <c r="I393" s="237" t="b">
        <f>IF(AND(OR(入力シート!$J$18=入力リスト!$K$4,入力シート!$J$22=入力リスト!$K$4),入力シート!$J$24&lt;&gt;""),IF(ISERROR(C393+1),TRUE,IF(ISNUMBER(C393),FALSE,TRUE)),FALSE)</f>
        <v>0</v>
      </c>
      <c r="J393" s="237" t="b">
        <f>IF(AND(入力シート!$J$18=入力リスト!$K$4,入力シート!$J$22=入力リスト!$K$4),FALSE,IF(I393=TRUE,FALSE,IF(ISERROR(C393+1),FALSE,C393&gt;入力シート!$J$24)))</f>
        <v>0</v>
      </c>
      <c r="K393" s="237" t="b">
        <f>IF(COUNTIF(入力シート!$J$16:$S$23,入力リスト!$K$4)=0,FALSE,IF(AND(入力シート!$J$16&lt;&gt;入力リスト!$K$5,入力シート!$J$18&lt;&gt;入力リスト!$K$5,入力シート!$J$20&lt;&gt;入力リスト!$K$5,入力シート!$J$22&lt;&gt;入力リスト!$K$5),FALSE,ISERROR(VLOOKUP(D393,入力シート!$AW$37:$AY$38,1,0))))</f>
        <v>0</v>
      </c>
      <c r="L393" s="237" t="b">
        <f>IF(COUNTIF(入力シート!$J$16:$S$23,入力リスト!$K$4)=0,FALSE,IF(入力シート!$J$20=入力リスト!$K$5,FALSE,IF(E393="",FALSE,ISERROR(VLOOKUP(E393,入力シート!$AH$37:$AK$62,1,0)))))</f>
        <v>0</v>
      </c>
      <c r="M393" s="238" t="str">
        <f t="shared" si="6"/>
        <v/>
      </c>
      <c r="N393" s="236" t="str">
        <f>IF(B393="","",VLOOKUP('従業員情報(給与以外)'!$B393,入力シート!$S$37:$Z$62,5,0))</f>
        <v/>
      </c>
      <c r="O393" s="182" t="str">
        <f>IF(ISNUMBER(C393)=FALSE,"",IF(C393&gt;入力シート!$J$24,"",_xlfn.DAYS(入力シート!$J$24,'従業員情報(給与以外)'!$C393)/365))</f>
        <v/>
      </c>
      <c r="P393" s="237" t="str">
        <f>IF(O393="","",VLOOKUP(_xlfn.DAYS(入力シート!$J$24,'従業員情報(給与以外)'!$C393)/365,入力リスト!$H$4:$I$12,2,2))</f>
        <v/>
      </c>
      <c r="Q393" s="236" t="str">
        <f>IF(D393="","",VLOOKUP('従業員情報(給与以外)'!$D393,入力シート!$AW$37:$BB$38,4,0))</f>
        <v/>
      </c>
      <c r="R393" s="236" t="str">
        <f>IF(A393="","",IF(E393="","非役職",VLOOKUP('従業員情報(給与以外)'!$E393,入力シート!$AH$37:$AO$62,5,0)))</f>
        <v/>
      </c>
      <c r="S393" s="116" t="str">
        <f>IF(OR(入力シート!$C$5&lt;&gt;入力リスト!$N$4,COUNTIF(入力シート!$J$16:$S$23,入力リスト!$K$4)=0),"",IF($A393="","",IF(ISERROR(AVERAGEIF(従業員の給与情報!$B:$B,$A393,従業員の給与情報!$C:$C)),0,IF(ISERROR(AVERAGEIF(従業員の給与情報!$B:$B,$A393,従業員の給与情報!$C:$C)),0,AVERAGEIF(従業員の給与情報!$B:$B,$A393,従業員の給与情報!$C:$C)))))</f>
        <v/>
      </c>
      <c r="T393" s="116" t="str">
        <f>IF(OR(入力シート!$C$5&lt;&gt;入力リスト!$N$4,COUNTIF(入力シート!$J$16:$S$23,入力リスト!$K$4)=0),"",IF(A393="","",IF(ISERROR(AVERAGEIF(従業員の給与情報!$B:$B,$A393,従業員の給与情報!$D:$D)),0,IF(ISERROR(AVERAGEIF(従業員の給与情報!$B:$B,$A393,従業員の給与情報!$D:$D)),0,AVERAGEIF(従業員の給与情報!$B:$B,$A393,従業員の給与情報!$D:$D)))))</f>
        <v/>
      </c>
      <c r="U393" s="116" t="str">
        <f>IF(OR(入力シート!$C$5&lt;&gt;入力リスト!$N$4,COUNTIF(入力シート!$J$16:$S$23,入力リスト!$K$4)=0),"",IF(A393="","",IF(ISERROR(AVERAGEIF(従業員の給与情報!$B:$B,$A393,従業員の給与情報!$E:$E)),0,IF(ISERROR(AVERAGEIF(従業員の給与情報!$B:$B,$A393,従業員の給与情報!$E:$E)),0,AVERAGEIF(従業員の給与情報!$B:$B,$A393,従業員の給与情報!$E:$E)))))</f>
        <v/>
      </c>
      <c r="V393" s="117" t="str">
        <f>IF(OR(入力シート!$C$5&lt;&gt;入力リスト!$N$4,COUNTIF(入力シート!$J$16:$S$23,入力リスト!$K$4)=0),"",IF(A393="","",IF(ISERROR(AVERAGEIF(従業員の給与情報!$B:$B,$A393,従業員の給与情報!$F:$F)),0,IF(ISERROR(AVERAGEIF(従業員の給与情報!$B:$B,$A393,従業員の給与情報!$F:$F)),0,AVERAGEIF(従業員の給与情報!$B:$B,$A393,従業員の給与情報!$F:$F)))))</f>
        <v/>
      </c>
      <c r="W393" s="182"/>
      <c r="X393" s="260"/>
    </row>
    <row r="394" spans="1:24">
      <c r="A394" s="368"/>
      <c r="B394" s="361"/>
      <c r="C394" s="362"/>
      <c r="D394" s="361"/>
      <c r="E394" s="361"/>
      <c r="F394" s="372" t="str">
        <f>IF(G394,"この従業員番号は、すでに他のセルで入力されています。",IF(入力シート!$C$5=入力リスト!$N$5,"",IF(AND(A394="",B394="",C394="",D394="",E394=""),"",IF(OR(A394="",B394="",C394="",D394=""),IF(A394="","従業員番号","")&amp;IF(AND(A394="",OR(B394="",C394="",D394="")),",","")&amp;IF(B394="","雇用形態","")&amp;IF(AND(B394="",OR(C394="",D394="")),",","")&amp;IF(OR(入力シート!$J$18=入力リスト!$K$4,入力シート!$J$22=入力リスト!$K$4),IF(C394="","入社年月日",""),"")&amp;IF(AND(C394="",D394=""),",","")&amp;IF(D394="","性別","")&amp;IF(IF(A394="","従業員番号","")&amp;IF(B394="","雇用形態","")&amp;IF(OR(入力シート!$J$18=入力リスト!$K$4,入力シート!$J$22=入力リスト!$K$4),IF(C394="","入社年月日",""),"")&amp;IF(D394="","性別","")="","","が空白です。"),IF(J394,"入社年月日に「基準日」の翌日以降の日付が入力されています。","")&amp;IF(I394,"入社年月日に数値以外（又は1900/1/1以前の日付）が入力されています。","")&amp;IF(H394,"雇用形態"&amp;IF(OR(K394,L394),",",""),"")&amp;IF(K394,"性別"&amp;IF(L394,",",""),"")&amp;IF(L394,"役職","")&amp;IF(OR(H394,K394,L394),"に、［入力シート］(4)「貴社」欄と異なる文言が入力されています。","")))))</f>
        <v/>
      </c>
      <c r="G394" s="236" t="b">
        <f>COUNTIF($A$4:A393,$A394)&gt;0</f>
        <v>0</v>
      </c>
      <c r="H394" s="237" t="b">
        <f>IF(COUNTIF(入力シート!$J$16:$S$23,入力リスト!$K$4)=0,FALSE,IF(入力シート!$J$16=入力リスト!$K$5,FALSE,ISERROR(VLOOKUP(B394,入力シート!$S$37:$V$62,1,0))))</f>
        <v>0</v>
      </c>
      <c r="I394" s="237" t="b">
        <f>IF(AND(OR(入力シート!$J$18=入力リスト!$K$4,入力シート!$J$22=入力リスト!$K$4),入力シート!$J$24&lt;&gt;""),IF(ISERROR(C394+1),TRUE,IF(ISNUMBER(C394),FALSE,TRUE)),FALSE)</f>
        <v>0</v>
      </c>
      <c r="J394" s="237" t="b">
        <f>IF(AND(入力シート!$J$18=入力リスト!$K$4,入力シート!$J$22=入力リスト!$K$4),FALSE,IF(I394=TRUE,FALSE,IF(ISERROR(C394+1),FALSE,C394&gt;入力シート!$J$24)))</f>
        <v>0</v>
      </c>
      <c r="K394" s="237" t="b">
        <f>IF(COUNTIF(入力シート!$J$16:$S$23,入力リスト!$K$4)=0,FALSE,IF(AND(入力シート!$J$16&lt;&gt;入力リスト!$K$5,入力シート!$J$18&lt;&gt;入力リスト!$K$5,入力シート!$J$20&lt;&gt;入力リスト!$K$5,入力シート!$J$22&lt;&gt;入力リスト!$K$5),FALSE,ISERROR(VLOOKUP(D394,入力シート!$AW$37:$AY$38,1,0))))</f>
        <v>0</v>
      </c>
      <c r="L394" s="237" t="b">
        <f>IF(COUNTIF(入力シート!$J$16:$S$23,入力リスト!$K$4)=0,FALSE,IF(入力シート!$J$20=入力リスト!$K$5,FALSE,IF(E394="",FALSE,ISERROR(VLOOKUP(E394,入力シート!$AH$37:$AK$62,1,0)))))</f>
        <v>0</v>
      </c>
      <c r="M394" s="238" t="str">
        <f t="shared" si="6"/>
        <v/>
      </c>
      <c r="N394" s="236" t="str">
        <f>IF(B394="","",VLOOKUP('従業員情報(給与以外)'!$B394,入力シート!$S$37:$Z$62,5,0))</f>
        <v/>
      </c>
      <c r="O394" s="182" t="str">
        <f>IF(ISNUMBER(C394)=FALSE,"",IF(C394&gt;入力シート!$J$24,"",_xlfn.DAYS(入力シート!$J$24,'従業員情報(給与以外)'!$C394)/365))</f>
        <v/>
      </c>
      <c r="P394" s="237" t="str">
        <f>IF(O394="","",VLOOKUP(_xlfn.DAYS(入力シート!$J$24,'従業員情報(給与以外)'!$C394)/365,入力リスト!$H$4:$I$12,2,2))</f>
        <v/>
      </c>
      <c r="Q394" s="236" t="str">
        <f>IF(D394="","",VLOOKUP('従業員情報(給与以外)'!$D394,入力シート!$AW$37:$BB$38,4,0))</f>
        <v/>
      </c>
      <c r="R394" s="236" t="str">
        <f>IF(A394="","",IF(E394="","非役職",VLOOKUP('従業員情報(給与以外)'!$E394,入力シート!$AH$37:$AO$62,5,0)))</f>
        <v/>
      </c>
      <c r="S394" s="116" t="str">
        <f>IF(OR(入力シート!$C$5&lt;&gt;入力リスト!$N$4,COUNTIF(入力シート!$J$16:$S$23,入力リスト!$K$4)=0),"",IF($A394="","",IF(ISERROR(AVERAGEIF(従業員の給与情報!$B:$B,$A394,従業員の給与情報!$C:$C)),0,IF(ISERROR(AVERAGEIF(従業員の給与情報!$B:$B,$A394,従業員の給与情報!$C:$C)),0,AVERAGEIF(従業員の給与情報!$B:$B,$A394,従業員の給与情報!$C:$C)))))</f>
        <v/>
      </c>
      <c r="T394" s="116" t="str">
        <f>IF(OR(入力シート!$C$5&lt;&gt;入力リスト!$N$4,COUNTIF(入力シート!$J$16:$S$23,入力リスト!$K$4)=0),"",IF(A394="","",IF(ISERROR(AVERAGEIF(従業員の給与情報!$B:$B,$A394,従業員の給与情報!$D:$D)),0,IF(ISERROR(AVERAGEIF(従業員の給与情報!$B:$B,$A394,従業員の給与情報!$D:$D)),0,AVERAGEIF(従業員の給与情報!$B:$B,$A394,従業員の給与情報!$D:$D)))))</f>
        <v/>
      </c>
      <c r="U394" s="116" t="str">
        <f>IF(OR(入力シート!$C$5&lt;&gt;入力リスト!$N$4,COUNTIF(入力シート!$J$16:$S$23,入力リスト!$K$4)=0),"",IF(A394="","",IF(ISERROR(AVERAGEIF(従業員の給与情報!$B:$B,$A394,従業員の給与情報!$E:$E)),0,IF(ISERROR(AVERAGEIF(従業員の給与情報!$B:$B,$A394,従業員の給与情報!$E:$E)),0,AVERAGEIF(従業員の給与情報!$B:$B,$A394,従業員の給与情報!$E:$E)))))</f>
        <v/>
      </c>
      <c r="V394" s="117" t="str">
        <f>IF(OR(入力シート!$C$5&lt;&gt;入力リスト!$N$4,COUNTIF(入力シート!$J$16:$S$23,入力リスト!$K$4)=0),"",IF(A394="","",IF(ISERROR(AVERAGEIF(従業員の給与情報!$B:$B,$A394,従業員の給与情報!$F:$F)),0,IF(ISERROR(AVERAGEIF(従業員の給与情報!$B:$B,$A394,従業員の給与情報!$F:$F)),0,AVERAGEIF(従業員の給与情報!$B:$B,$A394,従業員の給与情報!$F:$F)))))</f>
        <v/>
      </c>
      <c r="W394" s="182"/>
      <c r="X394" s="260"/>
    </row>
    <row r="395" spans="1:24">
      <c r="A395" s="368"/>
      <c r="B395" s="361"/>
      <c r="C395" s="362"/>
      <c r="D395" s="361"/>
      <c r="E395" s="361"/>
      <c r="F395" s="372" t="str">
        <f>IF(G395,"この従業員番号は、すでに他のセルで入力されています。",IF(入力シート!$C$5=入力リスト!$N$5,"",IF(AND(A395="",B395="",C395="",D395="",E395=""),"",IF(OR(A395="",B395="",C395="",D395=""),IF(A395="","従業員番号","")&amp;IF(AND(A395="",OR(B395="",C395="",D395="")),",","")&amp;IF(B395="","雇用形態","")&amp;IF(AND(B395="",OR(C395="",D395="")),",","")&amp;IF(OR(入力シート!$J$18=入力リスト!$K$4,入力シート!$J$22=入力リスト!$K$4),IF(C395="","入社年月日",""),"")&amp;IF(AND(C395="",D395=""),",","")&amp;IF(D395="","性別","")&amp;IF(IF(A395="","従業員番号","")&amp;IF(B395="","雇用形態","")&amp;IF(OR(入力シート!$J$18=入力リスト!$K$4,入力シート!$J$22=入力リスト!$K$4),IF(C395="","入社年月日",""),"")&amp;IF(D395="","性別","")="","","が空白です。"),IF(J395,"入社年月日に「基準日」の翌日以降の日付が入力されています。","")&amp;IF(I395,"入社年月日に数値以外（又は1900/1/1以前の日付）が入力されています。","")&amp;IF(H395,"雇用形態"&amp;IF(OR(K395,L395),",",""),"")&amp;IF(K395,"性別"&amp;IF(L395,",",""),"")&amp;IF(L395,"役職","")&amp;IF(OR(H395,K395,L395),"に、［入力シート］(4)「貴社」欄と異なる文言が入力されています。","")))))</f>
        <v/>
      </c>
      <c r="G395" s="236" t="b">
        <f>COUNTIF($A$4:A394,$A395)&gt;0</f>
        <v>0</v>
      </c>
      <c r="H395" s="237" t="b">
        <f>IF(COUNTIF(入力シート!$J$16:$S$23,入力リスト!$K$4)=0,FALSE,IF(入力シート!$J$16=入力リスト!$K$5,FALSE,ISERROR(VLOOKUP(B395,入力シート!$S$37:$V$62,1,0))))</f>
        <v>0</v>
      </c>
      <c r="I395" s="237" t="b">
        <f>IF(AND(OR(入力シート!$J$18=入力リスト!$K$4,入力シート!$J$22=入力リスト!$K$4),入力シート!$J$24&lt;&gt;""),IF(ISERROR(C395+1),TRUE,IF(ISNUMBER(C395),FALSE,TRUE)),FALSE)</f>
        <v>0</v>
      </c>
      <c r="J395" s="237" t="b">
        <f>IF(AND(入力シート!$J$18=入力リスト!$K$4,入力シート!$J$22=入力リスト!$K$4),FALSE,IF(I395=TRUE,FALSE,IF(ISERROR(C395+1),FALSE,C395&gt;入力シート!$J$24)))</f>
        <v>0</v>
      </c>
      <c r="K395" s="237" t="b">
        <f>IF(COUNTIF(入力シート!$J$16:$S$23,入力リスト!$K$4)=0,FALSE,IF(AND(入力シート!$J$16&lt;&gt;入力リスト!$K$5,入力シート!$J$18&lt;&gt;入力リスト!$K$5,入力シート!$J$20&lt;&gt;入力リスト!$K$5,入力シート!$J$22&lt;&gt;入力リスト!$K$5),FALSE,ISERROR(VLOOKUP(D395,入力シート!$AW$37:$AY$38,1,0))))</f>
        <v>0</v>
      </c>
      <c r="L395" s="237" t="b">
        <f>IF(COUNTIF(入力シート!$J$16:$S$23,入力リスト!$K$4)=0,FALSE,IF(入力シート!$J$20=入力リスト!$K$5,FALSE,IF(E395="",FALSE,ISERROR(VLOOKUP(E395,入力シート!$AH$37:$AK$62,1,0)))))</f>
        <v>0</v>
      </c>
      <c r="M395" s="238" t="str">
        <f t="shared" si="6"/>
        <v/>
      </c>
      <c r="N395" s="236" t="str">
        <f>IF(B395="","",VLOOKUP('従業員情報(給与以外)'!$B395,入力シート!$S$37:$Z$62,5,0))</f>
        <v/>
      </c>
      <c r="O395" s="182" t="str">
        <f>IF(ISNUMBER(C395)=FALSE,"",IF(C395&gt;入力シート!$J$24,"",_xlfn.DAYS(入力シート!$J$24,'従業員情報(給与以外)'!$C395)/365))</f>
        <v/>
      </c>
      <c r="P395" s="237" t="str">
        <f>IF(O395="","",VLOOKUP(_xlfn.DAYS(入力シート!$J$24,'従業員情報(給与以外)'!$C395)/365,入力リスト!$H$4:$I$12,2,2))</f>
        <v/>
      </c>
      <c r="Q395" s="236" t="str">
        <f>IF(D395="","",VLOOKUP('従業員情報(給与以外)'!$D395,入力シート!$AW$37:$BB$38,4,0))</f>
        <v/>
      </c>
      <c r="R395" s="236" t="str">
        <f>IF(A395="","",IF(E395="","非役職",VLOOKUP('従業員情報(給与以外)'!$E395,入力シート!$AH$37:$AO$62,5,0)))</f>
        <v/>
      </c>
      <c r="S395" s="116" t="str">
        <f>IF(OR(入力シート!$C$5&lt;&gt;入力リスト!$N$4,COUNTIF(入力シート!$J$16:$S$23,入力リスト!$K$4)=0),"",IF($A395="","",IF(ISERROR(AVERAGEIF(従業員の給与情報!$B:$B,$A395,従業員の給与情報!$C:$C)),0,IF(ISERROR(AVERAGEIF(従業員の給与情報!$B:$B,$A395,従業員の給与情報!$C:$C)),0,AVERAGEIF(従業員の給与情報!$B:$B,$A395,従業員の給与情報!$C:$C)))))</f>
        <v/>
      </c>
      <c r="T395" s="116" t="str">
        <f>IF(OR(入力シート!$C$5&lt;&gt;入力リスト!$N$4,COUNTIF(入力シート!$J$16:$S$23,入力リスト!$K$4)=0),"",IF(A395="","",IF(ISERROR(AVERAGEIF(従業員の給与情報!$B:$B,$A395,従業員の給与情報!$D:$D)),0,IF(ISERROR(AVERAGEIF(従業員の給与情報!$B:$B,$A395,従業員の給与情報!$D:$D)),0,AVERAGEIF(従業員の給与情報!$B:$B,$A395,従業員の給与情報!$D:$D)))))</f>
        <v/>
      </c>
      <c r="U395" s="116" t="str">
        <f>IF(OR(入力シート!$C$5&lt;&gt;入力リスト!$N$4,COUNTIF(入力シート!$J$16:$S$23,入力リスト!$K$4)=0),"",IF(A395="","",IF(ISERROR(AVERAGEIF(従業員の給与情報!$B:$B,$A395,従業員の給与情報!$E:$E)),0,IF(ISERROR(AVERAGEIF(従業員の給与情報!$B:$B,$A395,従業員の給与情報!$E:$E)),0,AVERAGEIF(従業員の給与情報!$B:$B,$A395,従業員の給与情報!$E:$E)))))</f>
        <v/>
      </c>
      <c r="V395" s="117" t="str">
        <f>IF(OR(入力シート!$C$5&lt;&gt;入力リスト!$N$4,COUNTIF(入力シート!$J$16:$S$23,入力リスト!$K$4)=0),"",IF(A395="","",IF(ISERROR(AVERAGEIF(従業員の給与情報!$B:$B,$A395,従業員の給与情報!$F:$F)),0,IF(ISERROR(AVERAGEIF(従業員の給与情報!$B:$B,$A395,従業員の給与情報!$F:$F)),0,AVERAGEIF(従業員の給与情報!$B:$B,$A395,従業員の給与情報!$F:$F)))))</f>
        <v/>
      </c>
      <c r="W395" s="182"/>
      <c r="X395" s="260"/>
    </row>
    <row r="396" spans="1:24">
      <c r="A396" s="368"/>
      <c r="B396" s="361"/>
      <c r="C396" s="362"/>
      <c r="D396" s="361"/>
      <c r="E396" s="361"/>
      <c r="F396" s="372" t="str">
        <f>IF(G396,"この従業員番号は、すでに他のセルで入力されています。",IF(入力シート!$C$5=入力リスト!$N$5,"",IF(AND(A396="",B396="",C396="",D396="",E396=""),"",IF(OR(A396="",B396="",C396="",D396=""),IF(A396="","従業員番号","")&amp;IF(AND(A396="",OR(B396="",C396="",D396="")),",","")&amp;IF(B396="","雇用形態","")&amp;IF(AND(B396="",OR(C396="",D396="")),",","")&amp;IF(OR(入力シート!$J$18=入力リスト!$K$4,入力シート!$J$22=入力リスト!$K$4),IF(C396="","入社年月日",""),"")&amp;IF(AND(C396="",D396=""),",","")&amp;IF(D396="","性別","")&amp;IF(IF(A396="","従業員番号","")&amp;IF(B396="","雇用形態","")&amp;IF(OR(入力シート!$J$18=入力リスト!$K$4,入力シート!$J$22=入力リスト!$K$4),IF(C396="","入社年月日",""),"")&amp;IF(D396="","性別","")="","","が空白です。"),IF(J396,"入社年月日に「基準日」の翌日以降の日付が入力されています。","")&amp;IF(I396,"入社年月日に数値以外（又は1900/1/1以前の日付）が入力されています。","")&amp;IF(H396,"雇用形態"&amp;IF(OR(K396,L396),",",""),"")&amp;IF(K396,"性別"&amp;IF(L396,",",""),"")&amp;IF(L396,"役職","")&amp;IF(OR(H396,K396,L396),"に、［入力シート］(4)「貴社」欄と異なる文言が入力されています。","")))))</f>
        <v/>
      </c>
      <c r="G396" s="236" t="b">
        <f>COUNTIF($A$4:A395,$A396)&gt;0</f>
        <v>0</v>
      </c>
      <c r="H396" s="237" t="b">
        <f>IF(COUNTIF(入力シート!$J$16:$S$23,入力リスト!$K$4)=0,FALSE,IF(入力シート!$J$16=入力リスト!$K$5,FALSE,ISERROR(VLOOKUP(B396,入力シート!$S$37:$V$62,1,0))))</f>
        <v>0</v>
      </c>
      <c r="I396" s="237" t="b">
        <f>IF(AND(OR(入力シート!$J$18=入力リスト!$K$4,入力シート!$J$22=入力リスト!$K$4),入力シート!$J$24&lt;&gt;""),IF(ISERROR(C396+1),TRUE,IF(ISNUMBER(C396),FALSE,TRUE)),FALSE)</f>
        <v>0</v>
      </c>
      <c r="J396" s="237" t="b">
        <f>IF(AND(入力シート!$J$18=入力リスト!$K$4,入力シート!$J$22=入力リスト!$K$4),FALSE,IF(I396=TRUE,FALSE,IF(ISERROR(C396+1),FALSE,C396&gt;入力シート!$J$24)))</f>
        <v>0</v>
      </c>
      <c r="K396" s="237" t="b">
        <f>IF(COUNTIF(入力シート!$J$16:$S$23,入力リスト!$K$4)=0,FALSE,IF(AND(入力シート!$J$16&lt;&gt;入力リスト!$K$5,入力シート!$J$18&lt;&gt;入力リスト!$K$5,入力シート!$J$20&lt;&gt;入力リスト!$K$5,入力シート!$J$22&lt;&gt;入力リスト!$K$5),FALSE,ISERROR(VLOOKUP(D396,入力シート!$AW$37:$AY$38,1,0))))</f>
        <v>0</v>
      </c>
      <c r="L396" s="237" t="b">
        <f>IF(COUNTIF(入力シート!$J$16:$S$23,入力リスト!$K$4)=0,FALSE,IF(入力シート!$J$20=入力リスト!$K$5,FALSE,IF(E396="",FALSE,ISERROR(VLOOKUP(E396,入力シート!$AH$37:$AK$62,1,0)))))</f>
        <v>0</v>
      </c>
      <c r="M396" s="238" t="str">
        <f t="shared" si="6"/>
        <v/>
      </c>
      <c r="N396" s="236" t="str">
        <f>IF(B396="","",VLOOKUP('従業員情報(給与以外)'!$B396,入力シート!$S$37:$Z$62,5,0))</f>
        <v/>
      </c>
      <c r="O396" s="182" t="str">
        <f>IF(ISNUMBER(C396)=FALSE,"",IF(C396&gt;入力シート!$J$24,"",_xlfn.DAYS(入力シート!$J$24,'従業員情報(給与以外)'!$C396)/365))</f>
        <v/>
      </c>
      <c r="P396" s="237" t="str">
        <f>IF(O396="","",VLOOKUP(_xlfn.DAYS(入力シート!$J$24,'従業員情報(給与以外)'!$C396)/365,入力リスト!$H$4:$I$12,2,2))</f>
        <v/>
      </c>
      <c r="Q396" s="236" t="str">
        <f>IF(D396="","",VLOOKUP('従業員情報(給与以外)'!$D396,入力シート!$AW$37:$BB$38,4,0))</f>
        <v/>
      </c>
      <c r="R396" s="236" t="str">
        <f>IF(A396="","",IF(E396="","非役職",VLOOKUP('従業員情報(給与以外)'!$E396,入力シート!$AH$37:$AO$62,5,0)))</f>
        <v/>
      </c>
      <c r="S396" s="116" t="str">
        <f>IF(OR(入力シート!$C$5&lt;&gt;入力リスト!$N$4,COUNTIF(入力シート!$J$16:$S$23,入力リスト!$K$4)=0),"",IF($A396="","",IF(ISERROR(AVERAGEIF(従業員の給与情報!$B:$B,$A396,従業員の給与情報!$C:$C)),0,IF(ISERROR(AVERAGEIF(従業員の給与情報!$B:$B,$A396,従業員の給与情報!$C:$C)),0,AVERAGEIF(従業員の給与情報!$B:$B,$A396,従業員の給与情報!$C:$C)))))</f>
        <v/>
      </c>
      <c r="T396" s="116" t="str">
        <f>IF(OR(入力シート!$C$5&lt;&gt;入力リスト!$N$4,COUNTIF(入力シート!$J$16:$S$23,入力リスト!$K$4)=0),"",IF(A396="","",IF(ISERROR(AVERAGEIF(従業員の給与情報!$B:$B,$A396,従業員の給与情報!$D:$D)),0,IF(ISERROR(AVERAGEIF(従業員の給与情報!$B:$B,$A396,従業員の給与情報!$D:$D)),0,AVERAGEIF(従業員の給与情報!$B:$B,$A396,従業員の給与情報!$D:$D)))))</f>
        <v/>
      </c>
      <c r="U396" s="116" t="str">
        <f>IF(OR(入力シート!$C$5&lt;&gt;入力リスト!$N$4,COUNTIF(入力シート!$J$16:$S$23,入力リスト!$K$4)=0),"",IF(A396="","",IF(ISERROR(AVERAGEIF(従業員の給与情報!$B:$B,$A396,従業員の給与情報!$E:$E)),0,IF(ISERROR(AVERAGEIF(従業員の給与情報!$B:$B,$A396,従業員の給与情報!$E:$E)),0,AVERAGEIF(従業員の給与情報!$B:$B,$A396,従業員の給与情報!$E:$E)))))</f>
        <v/>
      </c>
      <c r="V396" s="117" t="str">
        <f>IF(OR(入力シート!$C$5&lt;&gt;入力リスト!$N$4,COUNTIF(入力シート!$J$16:$S$23,入力リスト!$K$4)=0),"",IF(A396="","",IF(ISERROR(AVERAGEIF(従業員の給与情報!$B:$B,$A396,従業員の給与情報!$F:$F)),0,IF(ISERROR(AVERAGEIF(従業員の給与情報!$B:$B,$A396,従業員の給与情報!$F:$F)),0,AVERAGEIF(従業員の給与情報!$B:$B,$A396,従業員の給与情報!$F:$F)))))</f>
        <v/>
      </c>
      <c r="W396" s="182"/>
      <c r="X396" s="260"/>
    </row>
    <row r="397" spans="1:24">
      <c r="A397" s="368"/>
      <c r="B397" s="361"/>
      <c r="C397" s="362"/>
      <c r="D397" s="361"/>
      <c r="E397" s="361"/>
      <c r="F397" s="372" t="str">
        <f>IF(G397,"この従業員番号は、すでに他のセルで入力されています。",IF(入力シート!$C$5=入力リスト!$N$5,"",IF(AND(A397="",B397="",C397="",D397="",E397=""),"",IF(OR(A397="",B397="",C397="",D397=""),IF(A397="","従業員番号","")&amp;IF(AND(A397="",OR(B397="",C397="",D397="")),",","")&amp;IF(B397="","雇用形態","")&amp;IF(AND(B397="",OR(C397="",D397="")),",","")&amp;IF(OR(入力シート!$J$18=入力リスト!$K$4,入力シート!$J$22=入力リスト!$K$4),IF(C397="","入社年月日",""),"")&amp;IF(AND(C397="",D397=""),",","")&amp;IF(D397="","性別","")&amp;IF(IF(A397="","従業員番号","")&amp;IF(B397="","雇用形態","")&amp;IF(OR(入力シート!$J$18=入力リスト!$K$4,入力シート!$J$22=入力リスト!$K$4),IF(C397="","入社年月日",""),"")&amp;IF(D397="","性別","")="","","が空白です。"),IF(J397,"入社年月日に「基準日」の翌日以降の日付が入力されています。","")&amp;IF(I397,"入社年月日に数値以外（又は1900/1/1以前の日付）が入力されています。","")&amp;IF(H397,"雇用形態"&amp;IF(OR(K397,L397),",",""),"")&amp;IF(K397,"性別"&amp;IF(L397,",",""),"")&amp;IF(L397,"役職","")&amp;IF(OR(H397,K397,L397),"に、［入力シート］(4)「貴社」欄と異なる文言が入力されています。","")))))</f>
        <v/>
      </c>
      <c r="G397" s="236" t="b">
        <f>COUNTIF($A$4:A396,$A397)&gt;0</f>
        <v>0</v>
      </c>
      <c r="H397" s="237" t="b">
        <f>IF(COUNTIF(入力シート!$J$16:$S$23,入力リスト!$K$4)=0,FALSE,IF(入力シート!$J$16=入力リスト!$K$5,FALSE,ISERROR(VLOOKUP(B397,入力シート!$S$37:$V$62,1,0))))</f>
        <v>0</v>
      </c>
      <c r="I397" s="237" t="b">
        <f>IF(AND(OR(入力シート!$J$18=入力リスト!$K$4,入力シート!$J$22=入力リスト!$K$4),入力シート!$J$24&lt;&gt;""),IF(ISERROR(C397+1),TRUE,IF(ISNUMBER(C397),FALSE,TRUE)),FALSE)</f>
        <v>0</v>
      </c>
      <c r="J397" s="237" t="b">
        <f>IF(AND(入力シート!$J$18=入力リスト!$K$4,入力シート!$J$22=入力リスト!$K$4),FALSE,IF(I397=TRUE,FALSE,IF(ISERROR(C397+1),FALSE,C397&gt;入力シート!$J$24)))</f>
        <v>0</v>
      </c>
      <c r="K397" s="237" t="b">
        <f>IF(COUNTIF(入力シート!$J$16:$S$23,入力リスト!$K$4)=0,FALSE,IF(AND(入力シート!$J$16&lt;&gt;入力リスト!$K$5,入力シート!$J$18&lt;&gt;入力リスト!$K$5,入力シート!$J$20&lt;&gt;入力リスト!$K$5,入力シート!$J$22&lt;&gt;入力リスト!$K$5),FALSE,ISERROR(VLOOKUP(D397,入力シート!$AW$37:$AY$38,1,0))))</f>
        <v>0</v>
      </c>
      <c r="L397" s="237" t="b">
        <f>IF(COUNTIF(入力シート!$J$16:$S$23,入力リスト!$K$4)=0,FALSE,IF(入力シート!$J$20=入力リスト!$K$5,FALSE,IF(E397="",FALSE,ISERROR(VLOOKUP(E397,入力シート!$AH$37:$AK$62,1,0)))))</f>
        <v>0</v>
      </c>
      <c r="M397" s="238" t="str">
        <f t="shared" si="6"/>
        <v/>
      </c>
      <c r="N397" s="236" t="str">
        <f>IF(B397="","",VLOOKUP('従業員情報(給与以外)'!$B397,入力シート!$S$37:$Z$62,5,0))</f>
        <v/>
      </c>
      <c r="O397" s="182" t="str">
        <f>IF(ISNUMBER(C397)=FALSE,"",IF(C397&gt;入力シート!$J$24,"",_xlfn.DAYS(入力シート!$J$24,'従業員情報(給与以外)'!$C397)/365))</f>
        <v/>
      </c>
      <c r="P397" s="237" t="str">
        <f>IF(O397="","",VLOOKUP(_xlfn.DAYS(入力シート!$J$24,'従業員情報(給与以外)'!$C397)/365,入力リスト!$H$4:$I$12,2,2))</f>
        <v/>
      </c>
      <c r="Q397" s="236" t="str">
        <f>IF(D397="","",VLOOKUP('従業員情報(給与以外)'!$D397,入力シート!$AW$37:$BB$38,4,0))</f>
        <v/>
      </c>
      <c r="R397" s="236" t="str">
        <f>IF(A397="","",IF(E397="","非役職",VLOOKUP('従業員情報(給与以外)'!$E397,入力シート!$AH$37:$AO$62,5,0)))</f>
        <v/>
      </c>
      <c r="S397" s="116" t="str">
        <f>IF(OR(入力シート!$C$5&lt;&gt;入力リスト!$N$4,COUNTIF(入力シート!$J$16:$S$23,入力リスト!$K$4)=0),"",IF($A397="","",IF(ISERROR(AVERAGEIF(従業員の給与情報!$B:$B,$A397,従業員の給与情報!$C:$C)),0,IF(ISERROR(AVERAGEIF(従業員の給与情報!$B:$B,$A397,従業員の給与情報!$C:$C)),0,AVERAGEIF(従業員の給与情報!$B:$B,$A397,従業員の給与情報!$C:$C)))))</f>
        <v/>
      </c>
      <c r="T397" s="116" t="str">
        <f>IF(OR(入力シート!$C$5&lt;&gt;入力リスト!$N$4,COUNTIF(入力シート!$J$16:$S$23,入力リスト!$K$4)=0),"",IF(A397="","",IF(ISERROR(AVERAGEIF(従業員の給与情報!$B:$B,$A397,従業員の給与情報!$D:$D)),0,IF(ISERROR(AVERAGEIF(従業員の給与情報!$B:$B,$A397,従業員の給与情報!$D:$D)),0,AVERAGEIF(従業員の給与情報!$B:$B,$A397,従業員の給与情報!$D:$D)))))</f>
        <v/>
      </c>
      <c r="U397" s="116" t="str">
        <f>IF(OR(入力シート!$C$5&lt;&gt;入力リスト!$N$4,COUNTIF(入力シート!$J$16:$S$23,入力リスト!$K$4)=0),"",IF(A397="","",IF(ISERROR(AVERAGEIF(従業員の給与情報!$B:$B,$A397,従業員の給与情報!$E:$E)),0,IF(ISERROR(AVERAGEIF(従業員の給与情報!$B:$B,$A397,従業員の給与情報!$E:$E)),0,AVERAGEIF(従業員の給与情報!$B:$B,$A397,従業員の給与情報!$E:$E)))))</f>
        <v/>
      </c>
      <c r="V397" s="117" t="str">
        <f>IF(OR(入力シート!$C$5&lt;&gt;入力リスト!$N$4,COUNTIF(入力シート!$J$16:$S$23,入力リスト!$K$4)=0),"",IF(A397="","",IF(ISERROR(AVERAGEIF(従業員の給与情報!$B:$B,$A397,従業員の給与情報!$F:$F)),0,IF(ISERROR(AVERAGEIF(従業員の給与情報!$B:$B,$A397,従業員の給与情報!$F:$F)),0,AVERAGEIF(従業員の給与情報!$B:$B,$A397,従業員の給与情報!$F:$F)))))</f>
        <v/>
      </c>
      <c r="W397" s="182"/>
      <c r="X397" s="260"/>
    </row>
    <row r="398" spans="1:24">
      <c r="A398" s="368"/>
      <c r="B398" s="361"/>
      <c r="C398" s="362"/>
      <c r="D398" s="361"/>
      <c r="E398" s="361"/>
      <c r="F398" s="372" t="str">
        <f>IF(G398,"この従業員番号は、すでに他のセルで入力されています。",IF(入力シート!$C$5=入力リスト!$N$5,"",IF(AND(A398="",B398="",C398="",D398="",E398=""),"",IF(OR(A398="",B398="",C398="",D398=""),IF(A398="","従業員番号","")&amp;IF(AND(A398="",OR(B398="",C398="",D398="")),",","")&amp;IF(B398="","雇用形態","")&amp;IF(AND(B398="",OR(C398="",D398="")),",","")&amp;IF(OR(入力シート!$J$18=入力リスト!$K$4,入力シート!$J$22=入力リスト!$K$4),IF(C398="","入社年月日",""),"")&amp;IF(AND(C398="",D398=""),",","")&amp;IF(D398="","性別","")&amp;IF(IF(A398="","従業員番号","")&amp;IF(B398="","雇用形態","")&amp;IF(OR(入力シート!$J$18=入力リスト!$K$4,入力シート!$J$22=入力リスト!$K$4),IF(C398="","入社年月日",""),"")&amp;IF(D398="","性別","")="","","が空白です。"),IF(J398,"入社年月日に「基準日」の翌日以降の日付が入力されています。","")&amp;IF(I398,"入社年月日に数値以外（又は1900/1/1以前の日付）が入力されています。","")&amp;IF(H398,"雇用形態"&amp;IF(OR(K398,L398),",",""),"")&amp;IF(K398,"性別"&amp;IF(L398,",",""),"")&amp;IF(L398,"役職","")&amp;IF(OR(H398,K398,L398),"に、［入力シート］(4)「貴社」欄と異なる文言が入力されています。","")))))</f>
        <v/>
      </c>
      <c r="G398" s="236" t="b">
        <f>COUNTIF($A$4:A397,$A398)&gt;0</f>
        <v>0</v>
      </c>
      <c r="H398" s="237" t="b">
        <f>IF(COUNTIF(入力シート!$J$16:$S$23,入力リスト!$K$4)=0,FALSE,IF(入力シート!$J$16=入力リスト!$K$5,FALSE,ISERROR(VLOOKUP(B398,入力シート!$S$37:$V$62,1,0))))</f>
        <v>0</v>
      </c>
      <c r="I398" s="237" t="b">
        <f>IF(AND(OR(入力シート!$J$18=入力リスト!$K$4,入力シート!$J$22=入力リスト!$K$4),入力シート!$J$24&lt;&gt;""),IF(ISERROR(C398+1),TRUE,IF(ISNUMBER(C398),FALSE,TRUE)),FALSE)</f>
        <v>0</v>
      </c>
      <c r="J398" s="237" t="b">
        <f>IF(AND(入力シート!$J$18=入力リスト!$K$4,入力シート!$J$22=入力リスト!$K$4),FALSE,IF(I398=TRUE,FALSE,IF(ISERROR(C398+1),FALSE,C398&gt;入力シート!$J$24)))</f>
        <v>0</v>
      </c>
      <c r="K398" s="237" t="b">
        <f>IF(COUNTIF(入力シート!$J$16:$S$23,入力リスト!$K$4)=0,FALSE,IF(AND(入力シート!$J$16&lt;&gt;入力リスト!$K$5,入力シート!$J$18&lt;&gt;入力リスト!$K$5,入力シート!$J$20&lt;&gt;入力リスト!$K$5,入力シート!$J$22&lt;&gt;入力リスト!$K$5),FALSE,ISERROR(VLOOKUP(D398,入力シート!$AW$37:$AY$38,1,0))))</f>
        <v>0</v>
      </c>
      <c r="L398" s="237" t="b">
        <f>IF(COUNTIF(入力シート!$J$16:$S$23,入力リスト!$K$4)=0,FALSE,IF(入力シート!$J$20=入力リスト!$K$5,FALSE,IF(E398="",FALSE,ISERROR(VLOOKUP(E398,入力シート!$AH$37:$AK$62,1,0)))))</f>
        <v>0</v>
      </c>
      <c r="M398" s="238" t="str">
        <f t="shared" si="6"/>
        <v/>
      </c>
      <c r="N398" s="236" t="str">
        <f>IF(B398="","",VLOOKUP('従業員情報(給与以外)'!$B398,入力シート!$S$37:$Z$62,5,0))</f>
        <v/>
      </c>
      <c r="O398" s="182" t="str">
        <f>IF(ISNUMBER(C398)=FALSE,"",IF(C398&gt;入力シート!$J$24,"",_xlfn.DAYS(入力シート!$J$24,'従業員情報(給与以外)'!$C398)/365))</f>
        <v/>
      </c>
      <c r="P398" s="237" t="str">
        <f>IF(O398="","",VLOOKUP(_xlfn.DAYS(入力シート!$J$24,'従業員情報(給与以外)'!$C398)/365,入力リスト!$H$4:$I$12,2,2))</f>
        <v/>
      </c>
      <c r="Q398" s="236" t="str">
        <f>IF(D398="","",VLOOKUP('従業員情報(給与以外)'!$D398,入力シート!$AW$37:$BB$38,4,0))</f>
        <v/>
      </c>
      <c r="R398" s="236" t="str">
        <f>IF(A398="","",IF(E398="","非役職",VLOOKUP('従業員情報(給与以外)'!$E398,入力シート!$AH$37:$AO$62,5,0)))</f>
        <v/>
      </c>
      <c r="S398" s="116" t="str">
        <f>IF(OR(入力シート!$C$5&lt;&gt;入力リスト!$N$4,COUNTIF(入力シート!$J$16:$S$23,入力リスト!$K$4)=0),"",IF($A398="","",IF(ISERROR(AVERAGEIF(従業員の給与情報!$B:$B,$A398,従業員の給与情報!$C:$C)),0,IF(ISERROR(AVERAGEIF(従業員の給与情報!$B:$B,$A398,従業員の給与情報!$C:$C)),0,AVERAGEIF(従業員の給与情報!$B:$B,$A398,従業員の給与情報!$C:$C)))))</f>
        <v/>
      </c>
      <c r="T398" s="116" t="str">
        <f>IF(OR(入力シート!$C$5&lt;&gt;入力リスト!$N$4,COUNTIF(入力シート!$J$16:$S$23,入力リスト!$K$4)=0),"",IF(A398="","",IF(ISERROR(AVERAGEIF(従業員の給与情報!$B:$B,$A398,従業員の給与情報!$D:$D)),0,IF(ISERROR(AVERAGEIF(従業員の給与情報!$B:$B,$A398,従業員の給与情報!$D:$D)),0,AVERAGEIF(従業員の給与情報!$B:$B,$A398,従業員の給与情報!$D:$D)))))</f>
        <v/>
      </c>
      <c r="U398" s="116" t="str">
        <f>IF(OR(入力シート!$C$5&lt;&gt;入力リスト!$N$4,COUNTIF(入力シート!$J$16:$S$23,入力リスト!$K$4)=0),"",IF(A398="","",IF(ISERROR(AVERAGEIF(従業員の給与情報!$B:$B,$A398,従業員の給与情報!$E:$E)),0,IF(ISERROR(AVERAGEIF(従業員の給与情報!$B:$B,$A398,従業員の給与情報!$E:$E)),0,AVERAGEIF(従業員の給与情報!$B:$B,$A398,従業員の給与情報!$E:$E)))))</f>
        <v/>
      </c>
      <c r="V398" s="117" t="str">
        <f>IF(OR(入力シート!$C$5&lt;&gt;入力リスト!$N$4,COUNTIF(入力シート!$J$16:$S$23,入力リスト!$K$4)=0),"",IF(A398="","",IF(ISERROR(AVERAGEIF(従業員の給与情報!$B:$B,$A398,従業員の給与情報!$F:$F)),0,IF(ISERROR(AVERAGEIF(従業員の給与情報!$B:$B,$A398,従業員の給与情報!$F:$F)),0,AVERAGEIF(従業員の給与情報!$B:$B,$A398,従業員の給与情報!$F:$F)))))</f>
        <v/>
      </c>
      <c r="W398" s="182"/>
      <c r="X398" s="260"/>
    </row>
    <row r="399" spans="1:24">
      <c r="A399" s="368"/>
      <c r="B399" s="361"/>
      <c r="C399" s="362"/>
      <c r="D399" s="361"/>
      <c r="E399" s="361"/>
      <c r="F399" s="372" t="str">
        <f>IF(G399,"この従業員番号は、すでに他のセルで入力されています。",IF(入力シート!$C$5=入力リスト!$N$5,"",IF(AND(A399="",B399="",C399="",D399="",E399=""),"",IF(OR(A399="",B399="",C399="",D399=""),IF(A399="","従業員番号","")&amp;IF(AND(A399="",OR(B399="",C399="",D399="")),",","")&amp;IF(B399="","雇用形態","")&amp;IF(AND(B399="",OR(C399="",D399="")),",","")&amp;IF(OR(入力シート!$J$18=入力リスト!$K$4,入力シート!$J$22=入力リスト!$K$4),IF(C399="","入社年月日",""),"")&amp;IF(AND(C399="",D399=""),",","")&amp;IF(D399="","性別","")&amp;IF(IF(A399="","従業員番号","")&amp;IF(B399="","雇用形態","")&amp;IF(OR(入力シート!$J$18=入力リスト!$K$4,入力シート!$J$22=入力リスト!$K$4),IF(C399="","入社年月日",""),"")&amp;IF(D399="","性別","")="","","が空白です。"),IF(J399,"入社年月日に「基準日」の翌日以降の日付が入力されています。","")&amp;IF(I399,"入社年月日に数値以外（又は1900/1/1以前の日付）が入力されています。","")&amp;IF(H399,"雇用形態"&amp;IF(OR(K399,L399),",",""),"")&amp;IF(K399,"性別"&amp;IF(L399,",",""),"")&amp;IF(L399,"役職","")&amp;IF(OR(H399,K399,L399),"に、［入力シート］(4)「貴社」欄と異なる文言が入力されています。","")))))</f>
        <v/>
      </c>
      <c r="G399" s="236" t="b">
        <f>COUNTIF($A$4:A398,$A399)&gt;0</f>
        <v>0</v>
      </c>
      <c r="H399" s="237" t="b">
        <f>IF(COUNTIF(入力シート!$J$16:$S$23,入力リスト!$K$4)=0,FALSE,IF(入力シート!$J$16=入力リスト!$K$5,FALSE,ISERROR(VLOOKUP(B399,入力シート!$S$37:$V$62,1,0))))</f>
        <v>0</v>
      </c>
      <c r="I399" s="237" t="b">
        <f>IF(AND(OR(入力シート!$J$18=入力リスト!$K$4,入力シート!$J$22=入力リスト!$K$4),入力シート!$J$24&lt;&gt;""),IF(ISERROR(C399+1),TRUE,IF(ISNUMBER(C399),FALSE,TRUE)),FALSE)</f>
        <v>0</v>
      </c>
      <c r="J399" s="237" t="b">
        <f>IF(AND(入力シート!$J$18=入力リスト!$K$4,入力シート!$J$22=入力リスト!$K$4),FALSE,IF(I399=TRUE,FALSE,IF(ISERROR(C399+1),FALSE,C399&gt;入力シート!$J$24)))</f>
        <v>0</v>
      </c>
      <c r="K399" s="237" t="b">
        <f>IF(COUNTIF(入力シート!$J$16:$S$23,入力リスト!$K$4)=0,FALSE,IF(AND(入力シート!$J$16&lt;&gt;入力リスト!$K$5,入力シート!$J$18&lt;&gt;入力リスト!$K$5,入力シート!$J$20&lt;&gt;入力リスト!$K$5,入力シート!$J$22&lt;&gt;入力リスト!$K$5),FALSE,ISERROR(VLOOKUP(D399,入力シート!$AW$37:$AY$38,1,0))))</f>
        <v>0</v>
      </c>
      <c r="L399" s="237" t="b">
        <f>IF(COUNTIF(入力シート!$J$16:$S$23,入力リスト!$K$4)=0,FALSE,IF(入力シート!$J$20=入力リスト!$K$5,FALSE,IF(E399="",FALSE,ISERROR(VLOOKUP(E399,入力シート!$AH$37:$AK$62,1,0)))))</f>
        <v>0</v>
      </c>
      <c r="M399" s="238" t="str">
        <f t="shared" si="6"/>
        <v/>
      </c>
      <c r="N399" s="236" t="str">
        <f>IF(B399="","",VLOOKUP('従業員情報(給与以外)'!$B399,入力シート!$S$37:$Z$62,5,0))</f>
        <v/>
      </c>
      <c r="O399" s="182" t="str">
        <f>IF(ISNUMBER(C399)=FALSE,"",IF(C399&gt;入力シート!$J$24,"",_xlfn.DAYS(入力シート!$J$24,'従業員情報(給与以外)'!$C399)/365))</f>
        <v/>
      </c>
      <c r="P399" s="237" t="str">
        <f>IF(O399="","",VLOOKUP(_xlfn.DAYS(入力シート!$J$24,'従業員情報(給与以外)'!$C399)/365,入力リスト!$H$4:$I$12,2,2))</f>
        <v/>
      </c>
      <c r="Q399" s="236" t="str">
        <f>IF(D399="","",VLOOKUP('従業員情報(給与以外)'!$D399,入力シート!$AW$37:$BB$38,4,0))</f>
        <v/>
      </c>
      <c r="R399" s="236" t="str">
        <f>IF(A399="","",IF(E399="","非役職",VLOOKUP('従業員情報(給与以外)'!$E399,入力シート!$AH$37:$AO$62,5,0)))</f>
        <v/>
      </c>
      <c r="S399" s="116" t="str">
        <f>IF(OR(入力シート!$C$5&lt;&gt;入力リスト!$N$4,COUNTIF(入力シート!$J$16:$S$23,入力リスト!$K$4)=0),"",IF($A399="","",IF(ISERROR(AVERAGEIF(従業員の給与情報!$B:$B,$A399,従業員の給与情報!$C:$C)),0,IF(ISERROR(AVERAGEIF(従業員の給与情報!$B:$B,$A399,従業員の給与情報!$C:$C)),0,AVERAGEIF(従業員の給与情報!$B:$B,$A399,従業員の給与情報!$C:$C)))))</f>
        <v/>
      </c>
      <c r="T399" s="116" t="str">
        <f>IF(OR(入力シート!$C$5&lt;&gt;入力リスト!$N$4,COUNTIF(入力シート!$J$16:$S$23,入力リスト!$K$4)=0),"",IF(A399="","",IF(ISERROR(AVERAGEIF(従業員の給与情報!$B:$B,$A399,従業員の給与情報!$D:$D)),0,IF(ISERROR(AVERAGEIF(従業員の給与情報!$B:$B,$A399,従業員の給与情報!$D:$D)),0,AVERAGEIF(従業員の給与情報!$B:$B,$A399,従業員の給与情報!$D:$D)))))</f>
        <v/>
      </c>
      <c r="U399" s="116" t="str">
        <f>IF(OR(入力シート!$C$5&lt;&gt;入力リスト!$N$4,COUNTIF(入力シート!$J$16:$S$23,入力リスト!$K$4)=0),"",IF(A399="","",IF(ISERROR(AVERAGEIF(従業員の給与情報!$B:$B,$A399,従業員の給与情報!$E:$E)),0,IF(ISERROR(AVERAGEIF(従業員の給与情報!$B:$B,$A399,従業員の給与情報!$E:$E)),0,AVERAGEIF(従業員の給与情報!$B:$B,$A399,従業員の給与情報!$E:$E)))))</f>
        <v/>
      </c>
      <c r="V399" s="117" t="str">
        <f>IF(OR(入力シート!$C$5&lt;&gt;入力リスト!$N$4,COUNTIF(入力シート!$J$16:$S$23,入力リスト!$K$4)=0),"",IF(A399="","",IF(ISERROR(AVERAGEIF(従業員の給与情報!$B:$B,$A399,従業員の給与情報!$F:$F)),0,IF(ISERROR(AVERAGEIF(従業員の給与情報!$B:$B,$A399,従業員の給与情報!$F:$F)),0,AVERAGEIF(従業員の給与情報!$B:$B,$A399,従業員の給与情報!$F:$F)))))</f>
        <v/>
      </c>
      <c r="W399" s="182"/>
      <c r="X399" s="260"/>
    </row>
    <row r="400" spans="1:24">
      <c r="A400" s="368"/>
      <c r="B400" s="361"/>
      <c r="C400" s="362"/>
      <c r="D400" s="361"/>
      <c r="E400" s="361"/>
      <c r="F400" s="372" t="str">
        <f>IF(G400,"この従業員番号は、すでに他のセルで入力されています。",IF(入力シート!$C$5=入力リスト!$N$5,"",IF(AND(A400="",B400="",C400="",D400="",E400=""),"",IF(OR(A400="",B400="",C400="",D400=""),IF(A400="","従業員番号","")&amp;IF(AND(A400="",OR(B400="",C400="",D400="")),",","")&amp;IF(B400="","雇用形態","")&amp;IF(AND(B400="",OR(C400="",D400="")),",","")&amp;IF(OR(入力シート!$J$18=入力リスト!$K$4,入力シート!$J$22=入力リスト!$K$4),IF(C400="","入社年月日",""),"")&amp;IF(AND(C400="",D400=""),",","")&amp;IF(D400="","性別","")&amp;IF(IF(A400="","従業員番号","")&amp;IF(B400="","雇用形態","")&amp;IF(OR(入力シート!$J$18=入力リスト!$K$4,入力シート!$J$22=入力リスト!$K$4),IF(C400="","入社年月日",""),"")&amp;IF(D400="","性別","")="","","が空白です。"),IF(J400,"入社年月日に「基準日」の翌日以降の日付が入力されています。","")&amp;IF(I400,"入社年月日に数値以外（又は1900/1/1以前の日付）が入力されています。","")&amp;IF(H400,"雇用形態"&amp;IF(OR(K400,L400),",",""),"")&amp;IF(K400,"性別"&amp;IF(L400,",",""),"")&amp;IF(L400,"役職","")&amp;IF(OR(H400,K400,L400),"に、［入力シート］(4)「貴社」欄と異なる文言が入力されています。","")))))</f>
        <v/>
      </c>
      <c r="G400" s="236" t="b">
        <f>COUNTIF($A$4:A399,$A400)&gt;0</f>
        <v>0</v>
      </c>
      <c r="H400" s="237" t="b">
        <f>IF(COUNTIF(入力シート!$J$16:$S$23,入力リスト!$K$4)=0,FALSE,IF(入力シート!$J$16=入力リスト!$K$5,FALSE,ISERROR(VLOOKUP(B400,入力シート!$S$37:$V$62,1,0))))</f>
        <v>0</v>
      </c>
      <c r="I400" s="237" t="b">
        <f>IF(AND(OR(入力シート!$J$18=入力リスト!$K$4,入力シート!$J$22=入力リスト!$K$4),入力シート!$J$24&lt;&gt;""),IF(ISERROR(C400+1),TRUE,IF(ISNUMBER(C400),FALSE,TRUE)),FALSE)</f>
        <v>0</v>
      </c>
      <c r="J400" s="237" t="b">
        <f>IF(AND(入力シート!$J$18=入力リスト!$K$4,入力シート!$J$22=入力リスト!$K$4),FALSE,IF(I400=TRUE,FALSE,IF(ISERROR(C400+1),FALSE,C400&gt;入力シート!$J$24)))</f>
        <v>0</v>
      </c>
      <c r="K400" s="237" t="b">
        <f>IF(COUNTIF(入力シート!$J$16:$S$23,入力リスト!$K$4)=0,FALSE,IF(AND(入力シート!$J$16&lt;&gt;入力リスト!$K$5,入力シート!$J$18&lt;&gt;入力リスト!$K$5,入力シート!$J$20&lt;&gt;入力リスト!$K$5,入力シート!$J$22&lt;&gt;入力リスト!$K$5),FALSE,ISERROR(VLOOKUP(D400,入力シート!$AW$37:$AY$38,1,0))))</f>
        <v>0</v>
      </c>
      <c r="L400" s="237" t="b">
        <f>IF(COUNTIF(入力シート!$J$16:$S$23,入力リスト!$K$4)=0,FALSE,IF(入力シート!$J$20=入力リスト!$K$5,FALSE,IF(E400="",FALSE,ISERROR(VLOOKUP(E400,入力シート!$AH$37:$AK$62,1,0)))))</f>
        <v>0</v>
      </c>
      <c r="M400" s="238" t="str">
        <f t="shared" si="6"/>
        <v/>
      </c>
      <c r="N400" s="236" t="str">
        <f>IF(B400="","",VLOOKUP('従業員情報(給与以外)'!$B400,入力シート!$S$37:$Z$62,5,0))</f>
        <v/>
      </c>
      <c r="O400" s="182" t="str">
        <f>IF(ISNUMBER(C400)=FALSE,"",IF(C400&gt;入力シート!$J$24,"",_xlfn.DAYS(入力シート!$J$24,'従業員情報(給与以外)'!$C400)/365))</f>
        <v/>
      </c>
      <c r="P400" s="237" t="str">
        <f>IF(O400="","",VLOOKUP(_xlfn.DAYS(入力シート!$J$24,'従業員情報(給与以外)'!$C400)/365,入力リスト!$H$4:$I$12,2,2))</f>
        <v/>
      </c>
      <c r="Q400" s="236" t="str">
        <f>IF(D400="","",VLOOKUP('従業員情報(給与以外)'!$D400,入力シート!$AW$37:$BB$38,4,0))</f>
        <v/>
      </c>
      <c r="R400" s="236" t="str">
        <f>IF(A400="","",IF(E400="","非役職",VLOOKUP('従業員情報(給与以外)'!$E400,入力シート!$AH$37:$AO$62,5,0)))</f>
        <v/>
      </c>
      <c r="S400" s="116" t="str">
        <f>IF(OR(入力シート!$C$5&lt;&gt;入力リスト!$N$4,COUNTIF(入力シート!$J$16:$S$23,入力リスト!$K$4)=0),"",IF($A400="","",IF(ISERROR(AVERAGEIF(従業員の給与情報!$B:$B,$A400,従業員の給与情報!$C:$C)),0,IF(ISERROR(AVERAGEIF(従業員の給与情報!$B:$B,$A400,従業員の給与情報!$C:$C)),0,AVERAGEIF(従業員の給与情報!$B:$B,$A400,従業員の給与情報!$C:$C)))))</f>
        <v/>
      </c>
      <c r="T400" s="116" t="str">
        <f>IF(OR(入力シート!$C$5&lt;&gt;入力リスト!$N$4,COUNTIF(入力シート!$J$16:$S$23,入力リスト!$K$4)=0),"",IF(A400="","",IF(ISERROR(AVERAGEIF(従業員の給与情報!$B:$B,$A400,従業員の給与情報!$D:$D)),0,IF(ISERROR(AVERAGEIF(従業員の給与情報!$B:$B,$A400,従業員の給与情報!$D:$D)),0,AVERAGEIF(従業員の給与情報!$B:$B,$A400,従業員の給与情報!$D:$D)))))</f>
        <v/>
      </c>
      <c r="U400" s="116" t="str">
        <f>IF(OR(入力シート!$C$5&lt;&gt;入力リスト!$N$4,COUNTIF(入力シート!$J$16:$S$23,入力リスト!$K$4)=0),"",IF(A400="","",IF(ISERROR(AVERAGEIF(従業員の給与情報!$B:$B,$A400,従業員の給与情報!$E:$E)),0,IF(ISERROR(AVERAGEIF(従業員の給与情報!$B:$B,$A400,従業員の給与情報!$E:$E)),0,AVERAGEIF(従業員の給与情報!$B:$B,$A400,従業員の給与情報!$E:$E)))))</f>
        <v/>
      </c>
      <c r="V400" s="117" t="str">
        <f>IF(OR(入力シート!$C$5&lt;&gt;入力リスト!$N$4,COUNTIF(入力シート!$J$16:$S$23,入力リスト!$K$4)=0),"",IF(A400="","",IF(ISERROR(AVERAGEIF(従業員の給与情報!$B:$B,$A400,従業員の給与情報!$F:$F)),0,IF(ISERROR(AVERAGEIF(従業員の給与情報!$B:$B,$A400,従業員の給与情報!$F:$F)),0,AVERAGEIF(従業員の給与情報!$B:$B,$A400,従業員の給与情報!$F:$F)))))</f>
        <v/>
      </c>
      <c r="W400" s="182"/>
      <c r="X400" s="260"/>
    </row>
    <row r="401" spans="1:24">
      <c r="A401" s="368"/>
      <c r="B401" s="361"/>
      <c r="C401" s="362"/>
      <c r="D401" s="361"/>
      <c r="E401" s="361"/>
      <c r="F401" s="372" t="str">
        <f>IF(G401,"この従業員番号は、すでに他のセルで入力されています。",IF(入力シート!$C$5=入力リスト!$N$5,"",IF(AND(A401="",B401="",C401="",D401="",E401=""),"",IF(OR(A401="",B401="",C401="",D401=""),IF(A401="","従業員番号","")&amp;IF(AND(A401="",OR(B401="",C401="",D401="")),",","")&amp;IF(B401="","雇用形態","")&amp;IF(AND(B401="",OR(C401="",D401="")),",","")&amp;IF(OR(入力シート!$J$18=入力リスト!$K$4,入力シート!$J$22=入力リスト!$K$4),IF(C401="","入社年月日",""),"")&amp;IF(AND(C401="",D401=""),",","")&amp;IF(D401="","性別","")&amp;IF(IF(A401="","従業員番号","")&amp;IF(B401="","雇用形態","")&amp;IF(OR(入力シート!$J$18=入力リスト!$K$4,入力シート!$J$22=入力リスト!$K$4),IF(C401="","入社年月日",""),"")&amp;IF(D401="","性別","")="","","が空白です。"),IF(J401,"入社年月日に「基準日」の翌日以降の日付が入力されています。","")&amp;IF(I401,"入社年月日に数値以外（又は1900/1/1以前の日付）が入力されています。","")&amp;IF(H401,"雇用形態"&amp;IF(OR(K401,L401),",",""),"")&amp;IF(K401,"性別"&amp;IF(L401,",",""),"")&amp;IF(L401,"役職","")&amp;IF(OR(H401,K401,L401),"に、［入力シート］(4)「貴社」欄と異なる文言が入力されています。","")))))</f>
        <v/>
      </c>
      <c r="G401" s="236" t="b">
        <f>COUNTIF($A$4:A400,$A401)&gt;0</f>
        <v>0</v>
      </c>
      <c r="H401" s="237" t="b">
        <f>IF(COUNTIF(入力シート!$J$16:$S$23,入力リスト!$K$4)=0,FALSE,IF(入力シート!$J$16=入力リスト!$K$5,FALSE,ISERROR(VLOOKUP(B401,入力シート!$S$37:$V$62,1,0))))</f>
        <v>0</v>
      </c>
      <c r="I401" s="237" t="b">
        <f>IF(AND(OR(入力シート!$J$18=入力リスト!$K$4,入力シート!$J$22=入力リスト!$K$4),入力シート!$J$24&lt;&gt;""),IF(ISERROR(C401+1),TRUE,IF(ISNUMBER(C401),FALSE,TRUE)),FALSE)</f>
        <v>0</v>
      </c>
      <c r="J401" s="237" t="b">
        <f>IF(AND(入力シート!$J$18=入力リスト!$K$4,入力シート!$J$22=入力リスト!$K$4),FALSE,IF(I401=TRUE,FALSE,IF(ISERROR(C401+1),FALSE,C401&gt;入力シート!$J$24)))</f>
        <v>0</v>
      </c>
      <c r="K401" s="237" t="b">
        <f>IF(COUNTIF(入力シート!$J$16:$S$23,入力リスト!$K$4)=0,FALSE,IF(AND(入力シート!$J$16&lt;&gt;入力リスト!$K$5,入力シート!$J$18&lt;&gt;入力リスト!$K$5,入力シート!$J$20&lt;&gt;入力リスト!$K$5,入力シート!$J$22&lt;&gt;入力リスト!$K$5),FALSE,ISERROR(VLOOKUP(D401,入力シート!$AW$37:$AY$38,1,0))))</f>
        <v>0</v>
      </c>
      <c r="L401" s="237" t="b">
        <f>IF(COUNTIF(入力シート!$J$16:$S$23,入力リスト!$K$4)=0,FALSE,IF(入力シート!$J$20=入力リスト!$K$5,FALSE,IF(E401="",FALSE,ISERROR(VLOOKUP(E401,入力シート!$AH$37:$AK$62,1,0)))))</f>
        <v>0</v>
      </c>
      <c r="M401" s="238" t="str">
        <f t="shared" si="6"/>
        <v/>
      </c>
      <c r="N401" s="236" t="str">
        <f>IF(B401="","",VLOOKUP('従業員情報(給与以外)'!$B401,入力シート!$S$37:$Z$62,5,0))</f>
        <v/>
      </c>
      <c r="O401" s="182" t="str">
        <f>IF(ISNUMBER(C401)=FALSE,"",IF(C401&gt;入力シート!$J$24,"",_xlfn.DAYS(入力シート!$J$24,'従業員情報(給与以外)'!$C401)/365))</f>
        <v/>
      </c>
      <c r="P401" s="237" t="str">
        <f>IF(O401="","",VLOOKUP(_xlfn.DAYS(入力シート!$J$24,'従業員情報(給与以外)'!$C401)/365,入力リスト!$H$4:$I$12,2,2))</f>
        <v/>
      </c>
      <c r="Q401" s="236" t="str">
        <f>IF(D401="","",VLOOKUP('従業員情報(給与以外)'!$D401,入力シート!$AW$37:$BB$38,4,0))</f>
        <v/>
      </c>
      <c r="R401" s="236" t="str">
        <f>IF(A401="","",IF(E401="","非役職",VLOOKUP('従業員情報(給与以外)'!$E401,入力シート!$AH$37:$AO$62,5,0)))</f>
        <v/>
      </c>
      <c r="S401" s="116" t="str">
        <f>IF(OR(入力シート!$C$5&lt;&gt;入力リスト!$N$4,COUNTIF(入力シート!$J$16:$S$23,入力リスト!$K$4)=0),"",IF($A401="","",IF(ISERROR(AVERAGEIF(従業員の給与情報!$B:$B,$A401,従業員の給与情報!$C:$C)),0,IF(ISERROR(AVERAGEIF(従業員の給与情報!$B:$B,$A401,従業員の給与情報!$C:$C)),0,AVERAGEIF(従業員の給与情報!$B:$B,$A401,従業員の給与情報!$C:$C)))))</f>
        <v/>
      </c>
      <c r="T401" s="116" t="str">
        <f>IF(OR(入力シート!$C$5&lt;&gt;入力リスト!$N$4,COUNTIF(入力シート!$J$16:$S$23,入力リスト!$K$4)=0),"",IF(A401="","",IF(ISERROR(AVERAGEIF(従業員の給与情報!$B:$B,$A401,従業員の給与情報!$D:$D)),0,IF(ISERROR(AVERAGEIF(従業員の給与情報!$B:$B,$A401,従業員の給与情報!$D:$D)),0,AVERAGEIF(従業員の給与情報!$B:$B,$A401,従業員の給与情報!$D:$D)))))</f>
        <v/>
      </c>
      <c r="U401" s="116" t="str">
        <f>IF(OR(入力シート!$C$5&lt;&gt;入力リスト!$N$4,COUNTIF(入力シート!$J$16:$S$23,入力リスト!$K$4)=0),"",IF(A401="","",IF(ISERROR(AVERAGEIF(従業員の給与情報!$B:$B,$A401,従業員の給与情報!$E:$E)),0,IF(ISERROR(AVERAGEIF(従業員の給与情報!$B:$B,$A401,従業員の給与情報!$E:$E)),0,AVERAGEIF(従業員の給与情報!$B:$B,$A401,従業員の給与情報!$E:$E)))))</f>
        <v/>
      </c>
      <c r="V401" s="117" t="str">
        <f>IF(OR(入力シート!$C$5&lt;&gt;入力リスト!$N$4,COUNTIF(入力シート!$J$16:$S$23,入力リスト!$K$4)=0),"",IF(A401="","",IF(ISERROR(AVERAGEIF(従業員の給与情報!$B:$B,$A401,従業員の給与情報!$F:$F)),0,IF(ISERROR(AVERAGEIF(従業員の給与情報!$B:$B,$A401,従業員の給与情報!$F:$F)),0,AVERAGEIF(従業員の給与情報!$B:$B,$A401,従業員の給与情報!$F:$F)))))</f>
        <v/>
      </c>
      <c r="W401" s="182"/>
      <c r="X401" s="260"/>
    </row>
    <row r="402" spans="1:24">
      <c r="A402" s="368"/>
      <c r="B402" s="361"/>
      <c r="C402" s="362"/>
      <c r="D402" s="361"/>
      <c r="E402" s="361"/>
      <c r="F402" s="372" t="str">
        <f>IF(G402,"この従業員番号は、すでに他のセルで入力されています。",IF(入力シート!$C$5=入力リスト!$N$5,"",IF(AND(A402="",B402="",C402="",D402="",E402=""),"",IF(OR(A402="",B402="",C402="",D402=""),IF(A402="","従業員番号","")&amp;IF(AND(A402="",OR(B402="",C402="",D402="")),",","")&amp;IF(B402="","雇用形態","")&amp;IF(AND(B402="",OR(C402="",D402="")),",","")&amp;IF(OR(入力シート!$J$18=入力リスト!$K$4,入力シート!$J$22=入力リスト!$K$4),IF(C402="","入社年月日",""),"")&amp;IF(AND(C402="",D402=""),",","")&amp;IF(D402="","性別","")&amp;IF(IF(A402="","従業員番号","")&amp;IF(B402="","雇用形態","")&amp;IF(OR(入力シート!$J$18=入力リスト!$K$4,入力シート!$J$22=入力リスト!$K$4),IF(C402="","入社年月日",""),"")&amp;IF(D402="","性別","")="","","が空白です。"),IF(J402,"入社年月日に「基準日」の翌日以降の日付が入力されています。","")&amp;IF(I402,"入社年月日に数値以外（又は1900/1/1以前の日付）が入力されています。","")&amp;IF(H402,"雇用形態"&amp;IF(OR(K402,L402),",",""),"")&amp;IF(K402,"性別"&amp;IF(L402,",",""),"")&amp;IF(L402,"役職","")&amp;IF(OR(H402,K402,L402),"に、［入力シート］(4)「貴社」欄と異なる文言が入力されています。","")))))</f>
        <v/>
      </c>
      <c r="G402" s="236" t="b">
        <f>COUNTIF($A$4:A401,$A402)&gt;0</f>
        <v>0</v>
      </c>
      <c r="H402" s="237" t="b">
        <f>IF(COUNTIF(入力シート!$J$16:$S$23,入力リスト!$K$4)=0,FALSE,IF(入力シート!$J$16=入力リスト!$K$5,FALSE,ISERROR(VLOOKUP(B402,入力シート!$S$37:$V$62,1,0))))</f>
        <v>0</v>
      </c>
      <c r="I402" s="237" t="b">
        <f>IF(AND(OR(入力シート!$J$18=入力リスト!$K$4,入力シート!$J$22=入力リスト!$K$4),入力シート!$J$24&lt;&gt;""),IF(ISERROR(C402+1),TRUE,IF(ISNUMBER(C402),FALSE,TRUE)),FALSE)</f>
        <v>0</v>
      </c>
      <c r="J402" s="237" t="b">
        <f>IF(AND(入力シート!$J$18=入力リスト!$K$4,入力シート!$J$22=入力リスト!$K$4),FALSE,IF(I402=TRUE,FALSE,IF(ISERROR(C402+1),FALSE,C402&gt;入力シート!$J$24)))</f>
        <v>0</v>
      </c>
      <c r="K402" s="237" t="b">
        <f>IF(COUNTIF(入力シート!$J$16:$S$23,入力リスト!$K$4)=0,FALSE,IF(AND(入力シート!$J$16&lt;&gt;入力リスト!$K$5,入力シート!$J$18&lt;&gt;入力リスト!$K$5,入力シート!$J$20&lt;&gt;入力リスト!$K$5,入力シート!$J$22&lt;&gt;入力リスト!$K$5),FALSE,ISERROR(VLOOKUP(D402,入力シート!$AW$37:$AY$38,1,0))))</f>
        <v>0</v>
      </c>
      <c r="L402" s="237" t="b">
        <f>IF(COUNTIF(入力シート!$J$16:$S$23,入力リスト!$K$4)=0,FALSE,IF(入力シート!$J$20=入力リスト!$K$5,FALSE,IF(E402="",FALSE,ISERROR(VLOOKUP(E402,入力シート!$AH$37:$AK$62,1,0)))))</f>
        <v>0</v>
      </c>
      <c r="M402" s="238" t="str">
        <f t="shared" si="6"/>
        <v/>
      </c>
      <c r="N402" s="236" t="str">
        <f>IF(B402="","",VLOOKUP('従業員情報(給与以外)'!$B402,入力シート!$S$37:$Z$62,5,0))</f>
        <v/>
      </c>
      <c r="O402" s="182" t="str">
        <f>IF(ISNUMBER(C402)=FALSE,"",IF(C402&gt;入力シート!$J$24,"",_xlfn.DAYS(入力シート!$J$24,'従業員情報(給与以外)'!$C402)/365))</f>
        <v/>
      </c>
      <c r="P402" s="237" t="str">
        <f>IF(O402="","",VLOOKUP(_xlfn.DAYS(入力シート!$J$24,'従業員情報(給与以外)'!$C402)/365,入力リスト!$H$4:$I$12,2,2))</f>
        <v/>
      </c>
      <c r="Q402" s="236" t="str">
        <f>IF(D402="","",VLOOKUP('従業員情報(給与以外)'!$D402,入力シート!$AW$37:$BB$38,4,0))</f>
        <v/>
      </c>
      <c r="R402" s="236" t="str">
        <f>IF(A402="","",IF(E402="","非役職",VLOOKUP('従業員情報(給与以外)'!$E402,入力シート!$AH$37:$AO$62,5,0)))</f>
        <v/>
      </c>
      <c r="S402" s="116" t="str">
        <f>IF(OR(入力シート!$C$5&lt;&gt;入力リスト!$N$4,COUNTIF(入力シート!$J$16:$S$23,入力リスト!$K$4)=0),"",IF($A402="","",IF(ISERROR(AVERAGEIF(従業員の給与情報!$B:$B,$A402,従業員の給与情報!$C:$C)),0,IF(ISERROR(AVERAGEIF(従業員の給与情報!$B:$B,$A402,従業員の給与情報!$C:$C)),0,AVERAGEIF(従業員の給与情報!$B:$B,$A402,従業員の給与情報!$C:$C)))))</f>
        <v/>
      </c>
      <c r="T402" s="116" t="str">
        <f>IF(OR(入力シート!$C$5&lt;&gt;入力リスト!$N$4,COUNTIF(入力シート!$J$16:$S$23,入力リスト!$K$4)=0),"",IF(A402="","",IF(ISERROR(AVERAGEIF(従業員の給与情報!$B:$B,$A402,従業員の給与情報!$D:$D)),0,IF(ISERROR(AVERAGEIF(従業員の給与情報!$B:$B,$A402,従業員の給与情報!$D:$D)),0,AVERAGEIF(従業員の給与情報!$B:$B,$A402,従業員の給与情報!$D:$D)))))</f>
        <v/>
      </c>
      <c r="U402" s="116" t="str">
        <f>IF(OR(入力シート!$C$5&lt;&gt;入力リスト!$N$4,COUNTIF(入力シート!$J$16:$S$23,入力リスト!$K$4)=0),"",IF(A402="","",IF(ISERROR(AVERAGEIF(従業員の給与情報!$B:$B,$A402,従業員の給与情報!$E:$E)),0,IF(ISERROR(AVERAGEIF(従業員の給与情報!$B:$B,$A402,従業員の給与情報!$E:$E)),0,AVERAGEIF(従業員の給与情報!$B:$B,$A402,従業員の給与情報!$E:$E)))))</f>
        <v/>
      </c>
      <c r="V402" s="117" t="str">
        <f>IF(OR(入力シート!$C$5&lt;&gt;入力リスト!$N$4,COUNTIF(入力シート!$J$16:$S$23,入力リスト!$K$4)=0),"",IF(A402="","",IF(ISERROR(AVERAGEIF(従業員の給与情報!$B:$B,$A402,従業員の給与情報!$F:$F)),0,IF(ISERROR(AVERAGEIF(従業員の給与情報!$B:$B,$A402,従業員の給与情報!$F:$F)),0,AVERAGEIF(従業員の給与情報!$B:$B,$A402,従業員の給与情報!$F:$F)))))</f>
        <v/>
      </c>
      <c r="W402" s="182"/>
      <c r="X402" s="260"/>
    </row>
    <row r="403" spans="1:24">
      <c r="A403" s="368"/>
      <c r="B403" s="361"/>
      <c r="C403" s="362"/>
      <c r="D403" s="361"/>
      <c r="E403" s="361"/>
      <c r="F403" s="372" t="str">
        <f>IF(G403,"この従業員番号は、すでに他のセルで入力されています。",IF(入力シート!$C$5=入力リスト!$N$5,"",IF(AND(A403="",B403="",C403="",D403="",E403=""),"",IF(OR(A403="",B403="",C403="",D403=""),IF(A403="","従業員番号","")&amp;IF(AND(A403="",OR(B403="",C403="",D403="")),",","")&amp;IF(B403="","雇用形態","")&amp;IF(AND(B403="",OR(C403="",D403="")),",","")&amp;IF(OR(入力シート!$J$18=入力リスト!$K$4,入力シート!$J$22=入力リスト!$K$4),IF(C403="","入社年月日",""),"")&amp;IF(AND(C403="",D403=""),",","")&amp;IF(D403="","性別","")&amp;IF(IF(A403="","従業員番号","")&amp;IF(B403="","雇用形態","")&amp;IF(OR(入力シート!$J$18=入力リスト!$K$4,入力シート!$J$22=入力リスト!$K$4),IF(C403="","入社年月日",""),"")&amp;IF(D403="","性別","")="","","が空白です。"),IF(J403,"入社年月日に「基準日」の翌日以降の日付が入力されています。","")&amp;IF(I403,"入社年月日に数値以外（又は1900/1/1以前の日付）が入力されています。","")&amp;IF(H403,"雇用形態"&amp;IF(OR(K403,L403),",",""),"")&amp;IF(K403,"性別"&amp;IF(L403,",",""),"")&amp;IF(L403,"役職","")&amp;IF(OR(H403,K403,L403),"に、［入力シート］(4)「貴社」欄と異なる文言が入力されています。","")))))</f>
        <v/>
      </c>
      <c r="G403" s="236" t="b">
        <f>COUNTIF($A$4:A402,$A403)&gt;0</f>
        <v>0</v>
      </c>
      <c r="H403" s="237" t="b">
        <f>IF(COUNTIF(入力シート!$J$16:$S$23,入力リスト!$K$4)=0,FALSE,IF(入力シート!$J$16=入力リスト!$K$5,FALSE,ISERROR(VLOOKUP(B403,入力シート!$S$37:$V$62,1,0))))</f>
        <v>0</v>
      </c>
      <c r="I403" s="237" t="b">
        <f>IF(AND(OR(入力シート!$J$18=入力リスト!$K$4,入力シート!$J$22=入力リスト!$K$4),入力シート!$J$24&lt;&gt;""),IF(ISERROR(C403+1),TRUE,IF(ISNUMBER(C403),FALSE,TRUE)),FALSE)</f>
        <v>0</v>
      </c>
      <c r="J403" s="237" t="b">
        <f>IF(AND(入力シート!$J$18=入力リスト!$K$4,入力シート!$J$22=入力リスト!$K$4),FALSE,IF(I403=TRUE,FALSE,IF(ISERROR(C403+1),FALSE,C403&gt;入力シート!$J$24)))</f>
        <v>0</v>
      </c>
      <c r="K403" s="237" t="b">
        <f>IF(COUNTIF(入力シート!$J$16:$S$23,入力リスト!$K$4)=0,FALSE,IF(AND(入力シート!$J$16&lt;&gt;入力リスト!$K$5,入力シート!$J$18&lt;&gt;入力リスト!$K$5,入力シート!$J$20&lt;&gt;入力リスト!$K$5,入力シート!$J$22&lt;&gt;入力リスト!$K$5),FALSE,ISERROR(VLOOKUP(D403,入力シート!$AW$37:$AY$38,1,0))))</f>
        <v>0</v>
      </c>
      <c r="L403" s="237" t="b">
        <f>IF(COUNTIF(入力シート!$J$16:$S$23,入力リスト!$K$4)=0,FALSE,IF(入力シート!$J$20=入力リスト!$K$5,FALSE,IF(E403="",FALSE,ISERROR(VLOOKUP(E403,入力シート!$AH$37:$AK$62,1,0)))))</f>
        <v>0</v>
      </c>
      <c r="M403" s="238" t="str">
        <f t="shared" si="6"/>
        <v/>
      </c>
      <c r="N403" s="236" t="str">
        <f>IF(B403="","",VLOOKUP('従業員情報(給与以外)'!$B403,入力シート!$S$37:$Z$62,5,0))</f>
        <v/>
      </c>
      <c r="O403" s="182" t="str">
        <f>IF(ISNUMBER(C403)=FALSE,"",IF(C403&gt;入力シート!$J$24,"",_xlfn.DAYS(入力シート!$J$24,'従業員情報(給与以外)'!$C403)/365))</f>
        <v/>
      </c>
      <c r="P403" s="237" t="str">
        <f>IF(O403="","",VLOOKUP(_xlfn.DAYS(入力シート!$J$24,'従業員情報(給与以外)'!$C403)/365,入力リスト!$H$4:$I$12,2,2))</f>
        <v/>
      </c>
      <c r="Q403" s="236" t="str">
        <f>IF(D403="","",VLOOKUP('従業員情報(給与以外)'!$D403,入力シート!$AW$37:$BB$38,4,0))</f>
        <v/>
      </c>
      <c r="R403" s="236" t="str">
        <f>IF(A403="","",IF(E403="","非役職",VLOOKUP('従業員情報(給与以外)'!$E403,入力シート!$AH$37:$AO$62,5,0)))</f>
        <v/>
      </c>
      <c r="S403" s="116" t="str">
        <f>IF(OR(入力シート!$C$5&lt;&gt;入力リスト!$N$4,COUNTIF(入力シート!$J$16:$S$23,入力リスト!$K$4)=0),"",IF($A403="","",IF(ISERROR(AVERAGEIF(従業員の給与情報!$B:$B,$A403,従業員の給与情報!$C:$C)),0,IF(ISERROR(AVERAGEIF(従業員の給与情報!$B:$B,$A403,従業員の給与情報!$C:$C)),0,AVERAGEIF(従業員の給与情報!$B:$B,$A403,従業員の給与情報!$C:$C)))))</f>
        <v/>
      </c>
      <c r="T403" s="116" t="str">
        <f>IF(OR(入力シート!$C$5&lt;&gt;入力リスト!$N$4,COUNTIF(入力シート!$J$16:$S$23,入力リスト!$K$4)=0),"",IF(A403="","",IF(ISERROR(AVERAGEIF(従業員の給与情報!$B:$B,$A403,従業員の給与情報!$D:$D)),0,IF(ISERROR(AVERAGEIF(従業員の給与情報!$B:$B,$A403,従業員の給与情報!$D:$D)),0,AVERAGEIF(従業員の給与情報!$B:$B,$A403,従業員の給与情報!$D:$D)))))</f>
        <v/>
      </c>
      <c r="U403" s="116" t="str">
        <f>IF(OR(入力シート!$C$5&lt;&gt;入力リスト!$N$4,COUNTIF(入力シート!$J$16:$S$23,入力リスト!$K$4)=0),"",IF(A403="","",IF(ISERROR(AVERAGEIF(従業員の給与情報!$B:$B,$A403,従業員の給与情報!$E:$E)),0,IF(ISERROR(AVERAGEIF(従業員の給与情報!$B:$B,$A403,従業員の給与情報!$E:$E)),0,AVERAGEIF(従業員の給与情報!$B:$B,$A403,従業員の給与情報!$E:$E)))))</f>
        <v/>
      </c>
      <c r="V403" s="117" t="str">
        <f>IF(OR(入力シート!$C$5&lt;&gt;入力リスト!$N$4,COUNTIF(入力シート!$J$16:$S$23,入力リスト!$K$4)=0),"",IF(A403="","",IF(ISERROR(AVERAGEIF(従業員の給与情報!$B:$B,$A403,従業員の給与情報!$F:$F)),0,IF(ISERROR(AVERAGEIF(従業員の給与情報!$B:$B,$A403,従業員の給与情報!$F:$F)),0,AVERAGEIF(従業員の給与情報!$B:$B,$A403,従業員の給与情報!$F:$F)))))</f>
        <v/>
      </c>
      <c r="W403" s="182"/>
      <c r="X403" s="260"/>
    </row>
    <row r="404" spans="1:24">
      <c r="A404" s="368"/>
      <c r="B404" s="361"/>
      <c r="C404" s="362"/>
      <c r="D404" s="361"/>
      <c r="E404" s="361"/>
      <c r="F404" s="372" t="str">
        <f>IF(G404,"この従業員番号は、すでに他のセルで入力されています。",IF(入力シート!$C$5=入力リスト!$N$5,"",IF(AND(A404="",B404="",C404="",D404="",E404=""),"",IF(OR(A404="",B404="",C404="",D404=""),IF(A404="","従業員番号","")&amp;IF(AND(A404="",OR(B404="",C404="",D404="")),",","")&amp;IF(B404="","雇用形態","")&amp;IF(AND(B404="",OR(C404="",D404="")),",","")&amp;IF(OR(入力シート!$J$18=入力リスト!$K$4,入力シート!$J$22=入力リスト!$K$4),IF(C404="","入社年月日",""),"")&amp;IF(AND(C404="",D404=""),",","")&amp;IF(D404="","性別","")&amp;IF(IF(A404="","従業員番号","")&amp;IF(B404="","雇用形態","")&amp;IF(OR(入力シート!$J$18=入力リスト!$K$4,入力シート!$J$22=入力リスト!$K$4),IF(C404="","入社年月日",""),"")&amp;IF(D404="","性別","")="","","が空白です。"),IF(J404,"入社年月日に「基準日」の翌日以降の日付が入力されています。","")&amp;IF(I404,"入社年月日に数値以外（又は1900/1/1以前の日付）が入力されています。","")&amp;IF(H404,"雇用形態"&amp;IF(OR(K404,L404),",",""),"")&amp;IF(K404,"性別"&amp;IF(L404,",",""),"")&amp;IF(L404,"役職","")&amp;IF(OR(H404,K404,L404),"に、［入力シート］(4)「貴社」欄と異なる文言が入力されています。","")))))</f>
        <v/>
      </c>
      <c r="G404" s="236" t="b">
        <f>COUNTIF($A$4:A403,$A404)&gt;0</f>
        <v>0</v>
      </c>
      <c r="H404" s="237" t="b">
        <f>IF(COUNTIF(入力シート!$J$16:$S$23,入力リスト!$K$4)=0,FALSE,IF(入力シート!$J$16=入力リスト!$K$5,FALSE,ISERROR(VLOOKUP(B404,入力シート!$S$37:$V$62,1,0))))</f>
        <v>0</v>
      </c>
      <c r="I404" s="237" t="b">
        <f>IF(AND(OR(入力シート!$J$18=入力リスト!$K$4,入力シート!$J$22=入力リスト!$K$4),入力シート!$J$24&lt;&gt;""),IF(ISERROR(C404+1),TRUE,IF(ISNUMBER(C404),FALSE,TRUE)),FALSE)</f>
        <v>0</v>
      </c>
      <c r="J404" s="237" t="b">
        <f>IF(AND(入力シート!$J$18=入力リスト!$K$4,入力シート!$J$22=入力リスト!$K$4),FALSE,IF(I404=TRUE,FALSE,IF(ISERROR(C404+1),FALSE,C404&gt;入力シート!$J$24)))</f>
        <v>0</v>
      </c>
      <c r="K404" s="237" t="b">
        <f>IF(COUNTIF(入力シート!$J$16:$S$23,入力リスト!$K$4)=0,FALSE,IF(AND(入力シート!$J$16&lt;&gt;入力リスト!$K$5,入力シート!$J$18&lt;&gt;入力リスト!$K$5,入力シート!$J$20&lt;&gt;入力リスト!$K$5,入力シート!$J$22&lt;&gt;入力リスト!$K$5),FALSE,ISERROR(VLOOKUP(D404,入力シート!$AW$37:$AY$38,1,0))))</f>
        <v>0</v>
      </c>
      <c r="L404" s="237" t="b">
        <f>IF(COUNTIF(入力シート!$J$16:$S$23,入力リスト!$K$4)=0,FALSE,IF(入力シート!$J$20=入力リスト!$K$5,FALSE,IF(E404="",FALSE,ISERROR(VLOOKUP(E404,入力シート!$AH$37:$AK$62,1,0)))))</f>
        <v>0</v>
      </c>
      <c r="M404" s="238" t="str">
        <f t="shared" si="6"/>
        <v/>
      </c>
      <c r="N404" s="236" t="str">
        <f>IF(B404="","",VLOOKUP('従業員情報(給与以外)'!$B404,入力シート!$S$37:$Z$62,5,0))</f>
        <v/>
      </c>
      <c r="O404" s="182" t="str">
        <f>IF(ISNUMBER(C404)=FALSE,"",IF(C404&gt;入力シート!$J$24,"",_xlfn.DAYS(入力シート!$J$24,'従業員情報(給与以外)'!$C404)/365))</f>
        <v/>
      </c>
      <c r="P404" s="237" t="str">
        <f>IF(O404="","",VLOOKUP(_xlfn.DAYS(入力シート!$J$24,'従業員情報(給与以外)'!$C404)/365,入力リスト!$H$4:$I$12,2,2))</f>
        <v/>
      </c>
      <c r="Q404" s="236" t="str">
        <f>IF(D404="","",VLOOKUP('従業員情報(給与以外)'!$D404,入力シート!$AW$37:$BB$38,4,0))</f>
        <v/>
      </c>
      <c r="R404" s="236" t="str">
        <f>IF(A404="","",IF(E404="","非役職",VLOOKUP('従業員情報(給与以外)'!$E404,入力シート!$AH$37:$AO$62,5,0)))</f>
        <v/>
      </c>
      <c r="S404" s="116" t="str">
        <f>IF(OR(入力シート!$C$5&lt;&gt;入力リスト!$N$4,COUNTIF(入力シート!$J$16:$S$23,入力リスト!$K$4)=0),"",IF($A404="","",IF(ISERROR(AVERAGEIF(従業員の給与情報!$B:$B,$A404,従業員の給与情報!$C:$C)),0,IF(ISERROR(AVERAGEIF(従業員の給与情報!$B:$B,$A404,従業員の給与情報!$C:$C)),0,AVERAGEIF(従業員の給与情報!$B:$B,$A404,従業員の給与情報!$C:$C)))))</f>
        <v/>
      </c>
      <c r="T404" s="116" t="str">
        <f>IF(OR(入力シート!$C$5&lt;&gt;入力リスト!$N$4,COUNTIF(入力シート!$J$16:$S$23,入力リスト!$K$4)=0),"",IF(A404="","",IF(ISERROR(AVERAGEIF(従業員の給与情報!$B:$B,$A404,従業員の給与情報!$D:$D)),0,IF(ISERROR(AVERAGEIF(従業員の給与情報!$B:$B,$A404,従業員の給与情報!$D:$D)),0,AVERAGEIF(従業員の給与情報!$B:$B,$A404,従業員の給与情報!$D:$D)))))</f>
        <v/>
      </c>
      <c r="U404" s="116" t="str">
        <f>IF(OR(入力シート!$C$5&lt;&gt;入力リスト!$N$4,COUNTIF(入力シート!$J$16:$S$23,入力リスト!$K$4)=0),"",IF(A404="","",IF(ISERROR(AVERAGEIF(従業員の給与情報!$B:$B,$A404,従業員の給与情報!$E:$E)),0,IF(ISERROR(AVERAGEIF(従業員の給与情報!$B:$B,$A404,従業員の給与情報!$E:$E)),0,AVERAGEIF(従業員の給与情報!$B:$B,$A404,従業員の給与情報!$E:$E)))))</f>
        <v/>
      </c>
      <c r="V404" s="117" t="str">
        <f>IF(OR(入力シート!$C$5&lt;&gt;入力リスト!$N$4,COUNTIF(入力シート!$J$16:$S$23,入力リスト!$K$4)=0),"",IF(A404="","",IF(ISERROR(AVERAGEIF(従業員の給与情報!$B:$B,$A404,従業員の給与情報!$F:$F)),0,IF(ISERROR(AVERAGEIF(従業員の給与情報!$B:$B,$A404,従業員の給与情報!$F:$F)),0,AVERAGEIF(従業員の給与情報!$B:$B,$A404,従業員の給与情報!$F:$F)))))</f>
        <v/>
      </c>
      <c r="W404" s="182"/>
      <c r="X404" s="260"/>
    </row>
    <row r="405" spans="1:24">
      <c r="A405" s="368"/>
      <c r="B405" s="361"/>
      <c r="C405" s="362"/>
      <c r="D405" s="361"/>
      <c r="E405" s="361"/>
      <c r="F405" s="372" t="str">
        <f>IF(G405,"この従業員番号は、すでに他のセルで入力されています。",IF(入力シート!$C$5=入力リスト!$N$5,"",IF(AND(A405="",B405="",C405="",D405="",E405=""),"",IF(OR(A405="",B405="",C405="",D405=""),IF(A405="","従業員番号","")&amp;IF(AND(A405="",OR(B405="",C405="",D405="")),",","")&amp;IF(B405="","雇用形態","")&amp;IF(AND(B405="",OR(C405="",D405="")),",","")&amp;IF(OR(入力シート!$J$18=入力リスト!$K$4,入力シート!$J$22=入力リスト!$K$4),IF(C405="","入社年月日",""),"")&amp;IF(AND(C405="",D405=""),",","")&amp;IF(D405="","性別","")&amp;IF(IF(A405="","従業員番号","")&amp;IF(B405="","雇用形態","")&amp;IF(OR(入力シート!$J$18=入力リスト!$K$4,入力シート!$J$22=入力リスト!$K$4),IF(C405="","入社年月日",""),"")&amp;IF(D405="","性別","")="","","が空白です。"),IF(J405,"入社年月日に「基準日」の翌日以降の日付が入力されています。","")&amp;IF(I405,"入社年月日に数値以外（又は1900/1/1以前の日付）が入力されています。","")&amp;IF(H405,"雇用形態"&amp;IF(OR(K405,L405),",",""),"")&amp;IF(K405,"性別"&amp;IF(L405,",",""),"")&amp;IF(L405,"役職","")&amp;IF(OR(H405,K405,L405),"に、［入力シート］(4)「貴社」欄と異なる文言が入力されています。","")))))</f>
        <v/>
      </c>
      <c r="G405" s="236" t="b">
        <f>COUNTIF($A$4:A404,$A405)&gt;0</f>
        <v>0</v>
      </c>
      <c r="H405" s="237" t="b">
        <f>IF(COUNTIF(入力シート!$J$16:$S$23,入力リスト!$K$4)=0,FALSE,IF(入力シート!$J$16=入力リスト!$K$5,FALSE,ISERROR(VLOOKUP(B405,入力シート!$S$37:$V$62,1,0))))</f>
        <v>0</v>
      </c>
      <c r="I405" s="237" t="b">
        <f>IF(AND(OR(入力シート!$J$18=入力リスト!$K$4,入力シート!$J$22=入力リスト!$K$4),入力シート!$J$24&lt;&gt;""),IF(ISERROR(C405+1),TRUE,IF(ISNUMBER(C405),FALSE,TRUE)),FALSE)</f>
        <v>0</v>
      </c>
      <c r="J405" s="237" t="b">
        <f>IF(AND(入力シート!$J$18=入力リスト!$K$4,入力シート!$J$22=入力リスト!$K$4),FALSE,IF(I405=TRUE,FALSE,IF(ISERROR(C405+1),FALSE,C405&gt;入力シート!$J$24)))</f>
        <v>0</v>
      </c>
      <c r="K405" s="237" t="b">
        <f>IF(COUNTIF(入力シート!$J$16:$S$23,入力リスト!$K$4)=0,FALSE,IF(AND(入力シート!$J$16&lt;&gt;入力リスト!$K$5,入力シート!$J$18&lt;&gt;入力リスト!$K$5,入力シート!$J$20&lt;&gt;入力リスト!$K$5,入力シート!$J$22&lt;&gt;入力リスト!$K$5),FALSE,ISERROR(VLOOKUP(D405,入力シート!$AW$37:$AY$38,1,0))))</f>
        <v>0</v>
      </c>
      <c r="L405" s="237" t="b">
        <f>IF(COUNTIF(入力シート!$J$16:$S$23,入力リスト!$K$4)=0,FALSE,IF(入力シート!$J$20=入力リスト!$K$5,FALSE,IF(E405="",FALSE,ISERROR(VLOOKUP(E405,入力シート!$AH$37:$AK$62,1,0)))))</f>
        <v>0</v>
      </c>
      <c r="M405" s="238" t="str">
        <f t="shared" si="6"/>
        <v/>
      </c>
      <c r="N405" s="236" t="str">
        <f>IF(B405="","",VLOOKUP('従業員情報(給与以外)'!$B405,入力シート!$S$37:$Z$62,5,0))</f>
        <v/>
      </c>
      <c r="O405" s="182" t="str">
        <f>IF(ISNUMBER(C405)=FALSE,"",IF(C405&gt;入力シート!$J$24,"",_xlfn.DAYS(入力シート!$J$24,'従業員情報(給与以外)'!$C405)/365))</f>
        <v/>
      </c>
      <c r="P405" s="237" t="str">
        <f>IF(O405="","",VLOOKUP(_xlfn.DAYS(入力シート!$J$24,'従業員情報(給与以外)'!$C405)/365,入力リスト!$H$4:$I$12,2,2))</f>
        <v/>
      </c>
      <c r="Q405" s="236" t="str">
        <f>IF(D405="","",VLOOKUP('従業員情報(給与以外)'!$D405,入力シート!$AW$37:$BB$38,4,0))</f>
        <v/>
      </c>
      <c r="R405" s="236" t="str">
        <f>IF(A405="","",IF(E405="","非役職",VLOOKUP('従業員情報(給与以外)'!$E405,入力シート!$AH$37:$AO$62,5,0)))</f>
        <v/>
      </c>
      <c r="S405" s="116" t="str">
        <f>IF(OR(入力シート!$C$5&lt;&gt;入力リスト!$N$4,COUNTIF(入力シート!$J$16:$S$23,入力リスト!$K$4)=0),"",IF($A405="","",IF(ISERROR(AVERAGEIF(従業員の給与情報!$B:$B,$A405,従業員の給与情報!$C:$C)),0,IF(ISERROR(AVERAGEIF(従業員の給与情報!$B:$B,$A405,従業員の給与情報!$C:$C)),0,AVERAGEIF(従業員の給与情報!$B:$B,$A405,従業員の給与情報!$C:$C)))))</f>
        <v/>
      </c>
      <c r="T405" s="116" t="str">
        <f>IF(OR(入力シート!$C$5&lt;&gt;入力リスト!$N$4,COUNTIF(入力シート!$J$16:$S$23,入力リスト!$K$4)=0),"",IF(A405="","",IF(ISERROR(AVERAGEIF(従業員の給与情報!$B:$B,$A405,従業員の給与情報!$D:$D)),0,IF(ISERROR(AVERAGEIF(従業員の給与情報!$B:$B,$A405,従業員の給与情報!$D:$D)),0,AVERAGEIF(従業員の給与情報!$B:$B,$A405,従業員の給与情報!$D:$D)))))</f>
        <v/>
      </c>
      <c r="U405" s="116" t="str">
        <f>IF(OR(入力シート!$C$5&lt;&gt;入力リスト!$N$4,COUNTIF(入力シート!$J$16:$S$23,入力リスト!$K$4)=0),"",IF(A405="","",IF(ISERROR(AVERAGEIF(従業員の給与情報!$B:$B,$A405,従業員の給与情報!$E:$E)),0,IF(ISERROR(AVERAGEIF(従業員の給与情報!$B:$B,$A405,従業員の給与情報!$E:$E)),0,AVERAGEIF(従業員の給与情報!$B:$B,$A405,従業員の給与情報!$E:$E)))))</f>
        <v/>
      </c>
      <c r="V405" s="117" t="str">
        <f>IF(OR(入力シート!$C$5&lt;&gt;入力リスト!$N$4,COUNTIF(入力シート!$J$16:$S$23,入力リスト!$K$4)=0),"",IF(A405="","",IF(ISERROR(AVERAGEIF(従業員の給与情報!$B:$B,$A405,従業員の給与情報!$F:$F)),0,IF(ISERROR(AVERAGEIF(従業員の給与情報!$B:$B,$A405,従業員の給与情報!$F:$F)),0,AVERAGEIF(従業員の給与情報!$B:$B,$A405,従業員の給与情報!$F:$F)))))</f>
        <v/>
      </c>
      <c r="W405" s="182"/>
      <c r="X405" s="260"/>
    </row>
    <row r="406" spans="1:24">
      <c r="A406" s="368"/>
      <c r="B406" s="361"/>
      <c r="C406" s="362"/>
      <c r="D406" s="361"/>
      <c r="E406" s="361"/>
      <c r="F406" s="372" t="str">
        <f>IF(G406,"この従業員番号は、すでに他のセルで入力されています。",IF(入力シート!$C$5=入力リスト!$N$5,"",IF(AND(A406="",B406="",C406="",D406="",E406=""),"",IF(OR(A406="",B406="",C406="",D406=""),IF(A406="","従業員番号","")&amp;IF(AND(A406="",OR(B406="",C406="",D406="")),",","")&amp;IF(B406="","雇用形態","")&amp;IF(AND(B406="",OR(C406="",D406="")),",","")&amp;IF(OR(入力シート!$J$18=入力リスト!$K$4,入力シート!$J$22=入力リスト!$K$4),IF(C406="","入社年月日",""),"")&amp;IF(AND(C406="",D406=""),",","")&amp;IF(D406="","性別","")&amp;IF(IF(A406="","従業員番号","")&amp;IF(B406="","雇用形態","")&amp;IF(OR(入力シート!$J$18=入力リスト!$K$4,入力シート!$J$22=入力リスト!$K$4),IF(C406="","入社年月日",""),"")&amp;IF(D406="","性別","")="","","が空白です。"),IF(J406,"入社年月日に「基準日」の翌日以降の日付が入力されています。","")&amp;IF(I406,"入社年月日に数値以外（又は1900/1/1以前の日付）が入力されています。","")&amp;IF(H406,"雇用形態"&amp;IF(OR(K406,L406),",",""),"")&amp;IF(K406,"性別"&amp;IF(L406,",",""),"")&amp;IF(L406,"役職","")&amp;IF(OR(H406,K406,L406),"に、［入力シート］(4)「貴社」欄と異なる文言が入力されています。","")))))</f>
        <v/>
      </c>
      <c r="G406" s="236" t="b">
        <f>COUNTIF($A$4:A405,$A406)&gt;0</f>
        <v>0</v>
      </c>
      <c r="H406" s="237" t="b">
        <f>IF(COUNTIF(入力シート!$J$16:$S$23,入力リスト!$K$4)=0,FALSE,IF(入力シート!$J$16=入力リスト!$K$5,FALSE,ISERROR(VLOOKUP(B406,入力シート!$S$37:$V$62,1,0))))</f>
        <v>0</v>
      </c>
      <c r="I406" s="237" t="b">
        <f>IF(AND(OR(入力シート!$J$18=入力リスト!$K$4,入力シート!$J$22=入力リスト!$K$4),入力シート!$J$24&lt;&gt;""),IF(ISERROR(C406+1),TRUE,IF(ISNUMBER(C406),FALSE,TRUE)),FALSE)</f>
        <v>0</v>
      </c>
      <c r="J406" s="237" t="b">
        <f>IF(AND(入力シート!$J$18=入力リスト!$K$4,入力シート!$J$22=入力リスト!$K$4),FALSE,IF(I406=TRUE,FALSE,IF(ISERROR(C406+1),FALSE,C406&gt;入力シート!$J$24)))</f>
        <v>0</v>
      </c>
      <c r="K406" s="237" t="b">
        <f>IF(COUNTIF(入力シート!$J$16:$S$23,入力リスト!$K$4)=0,FALSE,IF(AND(入力シート!$J$16&lt;&gt;入力リスト!$K$5,入力シート!$J$18&lt;&gt;入力リスト!$K$5,入力シート!$J$20&lt;&gt;入力リスト!$K$5,入力シート!$J$22&lt;&gt;入力リスト!$K$5),FALSE,ISERROR(VLOOKUP(D406,入力シート!$AW$37:$AY$38,1,0))))</f>
        <v>0</v>
      </c>
      <c r="L406" s="237" t="b">
        <f>IF(COUNTIF(入力シート!$J$16:$S$23,入力リスト!$K$4)=0,FALSE,IF(入力シート!$J$20=入力リスト!$K$5,FALSE,IF(E406="",FALSE,ISERROR(VLOOKUP(E406,入力シート!$AH$37:$AK$62,1,0)))))</f>
        <v>0</v>
      </c>
      <c r="M406" s="238" t="str">
        <f t="shared" si="6"/>
        <v/>
      </c>
      <c r="N406" s="236" t="str">
        <f>IF(B406="","",VLOOKUP('従業員情報(給与以外)'!$B406,入力シート!$S$37:$Z$62,5,0))</f>
        <v/>
      </c>
      <c r="O406" s="182" t="str">
        <f>IF(ISNUMBER(C406)=FALSE,"",IF(C406&gt;入力シート!$J$24,"",_xlfn.DAYS(入力シート!$J$24,'従業員情報(給与以外)'!$C406)/365))</f>
        <v/>
      </c>
      <c r="P406" s="237" t="str">
        <f>IF(O406="","",VLOOKUP(_xlfn.DAYS(入力シート!$J$24,'従業員情報(給与以外)'!$C406)/365,入力リスト!$H$4:$I$12,2,2))</f>
        <v/>
      </c>
      <c r="Q406" s="236" t="str">
        <f>IF(D406="","",VLOOKUP('従業員情報(給与以外)'!$D406,入力シート!$AW$37:$BB$38,4,0))</f>
        <v/>
      </c>
      <c r="R406" s="236" t="str">
        <f>IF(A406="","",IF(E406="","非役職",VLOOKUP('従業員情報(給与以外)'!$E406,入力シート!$AH$37:$AO$62,5,0)))</f>
        <v/>
      </c>
      <c r="S406" s="116" t="str">
        <f>IF(OR(入力シート!$C$5&lt;&gt;入力リスト!$N$4,COUNTIF(入力シート!$J$16:$S$23,入力リスト!$K$4)=0),"",IF($A406="","",IF(ISERROR(AVERAGEIF(従業員の給与情報!$B:$B,$A406,従業員の給与情報!$C:$C)),0,IF(ISERROR(AVERAGEIF(従業員の給与情報!$B:$B,$A406,従業員の給与情報!$C:$C)),0,AVERAGEIF(従業員の給与情報!$B:$B,$A406,従業員の給与情報!$C:$C)))))</f>
        <v/>
      </c>
      <c r="T406" s="116" t="str">
        <f>IF(OR(入力シート!$C$5&lt;&gt;入力リスト!$N$4,COUNTIF(入力シート!$J$16:$S$23,入力リスト!$K$4)=0),"",IF(A406="","",IF(ISERROR(AVERAGEIF(従業員の給与情報!$B:$B,$A406,従業員の給与情報!$D:$D)),0,IF(ISERROR(AVERAGEIF(従業員の給与情報!$B:$B,$A406,従業員の給与情報!$D:$D)),0,AVERAGEIF(従業員の給与情報!$B:$B,$A406,従業員の給与情報!$D:$D)))))</f>
        <v/>
      </c>
      <c r="U406" s="116" t="str">
        <f>IF(OR(入力シート!$C$5&lt;&gt;入力リスト!$N$4,COUNTIF(入力シート!$J$16:$S$23,入力リスト!$K$4)=0),"",IF(A406="","",IF(ISERROR(AVERAGEIF(従業員の給与情報!$B:$B,$A406,従業員の給与情報!$E:$E)),0,IF(ISERROR(AVERAGEIF(従業員の給与情報!$B:$B,$A406,従業員の給与情報!$E:$E)),0,AVERAGEIF(従業員の給与情報!$B:$B,$A406,従業員の給与情報!$E:$E)))))</f>
        <v/>
      </c>
      <c r="V406" s="117" t="str">
        <f>IF(OR(入力シート!$C$5&lt;&gt;入力リスト!$N$4,COUNTIF(入力シート!$J$16:$S$23,入力リスト!$K$4)=0),"",IF(A406="","",IF(ISERROR(AVERAGEIF(従業員の給与情報!$B:$B,$A406,従業員の給与情報!$F:$F)),0,IF(ISERROR(AVERAGEIF(従業員の給与情報!$B:$B,$A406,従業員の給与情報!$F:$F)),0,AVERAGEIF(従業員の給与情報!$B:$B,$A406,従業員の給与情報!$F:$F)))))</f>
        <v/>
      </c>
      <c r="W406" s="182"/>
      <c r="X406" s="260"/>
    </row>
    <row r="407" spans="1:24">
      <c r="A407" s="368"/>
      <c r="B407" s="361"/>
      <c r="C407" s="362"/>
      <c r="D407" s="361"/>
      <c r="E407" s="361"/>
      <c r="F407" s="372" t="str">
        <f>IF(G407,"この従業員番号は、すでに他のセルで入力されています。",IF(入力シート!$C$5=入力リスト!$N$5,"",IF(AND(A407="",B407="",C407="",D407="",E407=""),"",IF(OR(A407="",B407="",C407="",D407=""),IF(A407="","従業員番号","")&amp;IF(AND(A407="",OR(B407="",C407="",D407="")),",","")&amp;IF(B407="","雇用形態","")&amp;IF(AND(B407="",OR(C407="",D407="")),",","")&amp;IF(OR(入力シート!$J$18=入力リスト!$K$4,入力シート!$J$22=入力リスト!$K$4),IF(C407="","入社年月日",""),"")&amp;IF(AND(C407="",D407=""),",","")&amp;IF(D407="","性別","")&amp;IF(IF(A407="","従業員番号","")&amp;IF(B407="","雇用形態","")&amp;IF(OR(入力シート!$J$18=入力リスト!$K$4,入力シート!$J$22=入力リスト!$K$4),IF(C407="","入社年月日",""),"")&amp;IF(D407="","性別","")="","","が空白です。"),IF(J407,"入社年月日に「基準日」の翌日以降の日付が入力されています。","")&amp;IF(I407,"入社年月日に数値以外（又は1900/1/1以前の日付）が入力されています。","")&amp;IF(H407,"雇用形態"&amp;IF(OR(K407,L407),",",""),"")&amp;IF(K407,"性別"&amp;IF(L407,",",""),"")&amp;IF(L407,"役職","")&amp;IF(OR(H407,K407,L407),"に、［入力シート］(4)「貴社」欄と異なる文言が入力されています。","")))))</f>
        <v/>
      </c>
      <c r="G407" s="236" t="b">
        <f>COUNTIF($A$4:A406,$A407)&gt;0</f>
        <v>0</v>
      </c>
      <c r="H407" s="237" t="b">
        <f>IF(COUNTIF(入力シート!$J$16:$S$23,入力リスト!$K$4)=0,FALSE,IF(入力シート!$J$16=入力リスト!$K$5,FALSE,ISERROR(VLOOKUP(B407,入力シート!$S$37:$V$62,1,0))))</f>
        <v>0</v>
      </c>
      <c r="I407" s="237" t="b">
        <f>IF(AND(OR(入力シート!$J$18=入力リスト!$K$4,入力シート!$J$22=入力リスト!$K$4),入力シート!$J$24&lt;&gt;""),IF(ISERROR(C407+1),TRUE,IF(ISNUMBER(C407),FALSE,TRUE)),FALSE)</f>
        <v>0</v>
      </c>
      <c r="J407" s="237" t="b">
        <f>IF(AND(入力シート!$J$18=入力リスト!$K$4,入力シート!$J$22=入力リスト!$K$4),FALSE,IF(I407=TRUE,FALSE,IF(ISERROR(C407+1),FALSE,C407&gt;入力シート!$J$24)))</f>
        <v>0</v>
      </c>
      <c r="K407" s="237" t="b">
        <f>IF(COUNTIF(入力シート!$J$16:$S$23,入力リスト!$K$4)=0,FALSE,IF(AND(入力シート!$J$16&lt;&gt;入力リスト!$K$5,入力シート!$J$18&lt;&gt;入力リスト!$K$5,入力シート!$J$20&lt;&gt;入力リスト!$K$5,入力シート!$J$22&lt;&gt;入力リスト!$K$5),FALSE,ISERROR(VLOOKUP(D407,入力シート!$AW$37:$AY$38,1,0))))</f>
        <v>0</v>
      </c>
      <c r="L407" s="237" t="b">
        <f>IF(COUNTIF(入力シート!$J$16:$S$23,入力リスト!$K$4)=0,FALSE,IF(入力シート!$J$20=入力リスト!$K$5,FALSE,IF(E407="",FALSE,ISERROR(VLOOKUP(E407,入力シート!$AH$37:$AK$62,1,0)))))</f>
        <v>0</v>
      </c>
      <c r="M407" s="238" t="str">
        <f t="shared" si="6"/>
        <v/>
      </c>
      <c r="N407" s="236" t="str">
        <f>IF(B407="","",VLOOKUP('従業員情報(給与以外)'!$B407,入力シート!$S$37:$Z$62,5,0))</f>
        <v/>
      </c>
      <c r="O407" s="182" t="str">
        <f>IF(ISNUMBER(C407)=FALSE,"",IF(C407&gt;入力シート!$J$24,"",_xlfn.DAYS(入力シート!$J$24,'従業員情報(給与以外)'!$C407)/365))</f>
        <v/>
      </c>
      <c r="P407" s="237" t="str">
        <f>IF(O407="","",VLOOKUP(_xlfn.DAYS(入力シート!$J$24,'従業員情報(給与以外)'!$C407)/365,入力リスト!$H$4:$I$12,2,2))</f>
        <v/>
      </c>
      <c r="Q407" s="236" t="str">
        <f>IF(D407="","",VLOOKUP('従業員情報(給与以外)'!$D407,入力シート!$AW$37:$BB$38,4,0))</f>
        <v/>
      </c>
      <c r="R407" s="236" t="str">
        <f>IF(A407="","",IF(E407="","非役職",VLOOKUP('従業員情報(給与以外)'!$E407,入力シート!$AH$37:$AO$62,5,0)))</f>
        <v/>
      </c>
      <c r="S407" s="116" t="str">
        <f>IF(OR(入力シート!$C$5&lt;&gt;入力リスト!$N$4,COUNTIF(入力シート!$J$16:$S$23,入力リスト!$K$4)=0),"",IF($A407="","",IF(ISERROR(AVERAGEIF(従業員の給与情報!$B:$B,$A407,従業員の給与情報!$C:$C)),0,IF(ISERROR(AVERAGEIF(従業員の給与情報!$B:$B,$A407,従業員の給与情報!$C:$C)),0,AVERAGEIF(従業員の給与情報!$B:$B,$A407,従業員の給与情報!$C:$C)))))</f>
        <v/>
      </c>
      <c r="T407" s="116" t="str">
        <f>IF(OR(入力シート!$C$5&lt;&gt;入力リスト!$N$4,COUNTIF(入力シート!$J$16:$S$23,入力リスト!$K$4)=0),"",IF(A407="","",IF(ISERROR(AVERAGEIF(従業員の給与情報!$B:$B,$A407,従業員の給与情報!$D:$D)),0,IF(ISERROR(AVERAGEIF(従業員の給与情報!$B:$B,$A407,従業員の給与情報!$D:$D)),0,AVERAGEIF(従業員の給与情報!$B:$B,$A407,従業員の給与情報!$D:$D)))))</f>
        <v/>
      </c>
      <c r="U407" s="116" t="str">
        <f>IF(OR(入力シート!$C$5&lt;&gt;入力リスト!$N$4,COUNTIF(入力シート!$J$16:$S$23,入力リスト!$K$4)=0),"",IF(A407="","",IF(ISERROR(AVERAGEIF(従業員の給与情報!$B:$B,$A407,従業員の給与情報!$E:$E)),0,IF(ISERROR(AVERAGEIF(従業員の給与情報!$B:$B,$A407,従業員の給与情報!$E:$E)),0,AVERAGEIF(従業員の給与情報!$B:$B,$A407,従業員の給与情報!$E:$E)))))</f>
        <v/>
      </c>
      <c r="V407" s="117" t="str">
        <f>IF(OR(入力シート!$C$5&lt;&gt;入力リスト!$N$4,COUNTIF(入力シート!$J$16:$S$23,入力リスト!$K$4)=0),"",IF(A407="","",IF(ISERROR(AVERAGEIF(従業員の給与情報!$B:$B,$A407,従業員の給与情報!$F:$F)),0,IF(ISERROR(AVERAGEIF(従業員の給与情報!$B:$B,$A407,従業員の給与情報!$F:$F)),0,AVERAGEIF(従業員の給与情報!$B:$B,$A407,従業員の給与情報!$F:$F)))))</f>
        <v/>
      </c>
      <c r="W407" s="182"/>
      <c r="X407" s="260"/>
    </row>
    <row r="408" spans="1:24">
      <c r="A408" s="368"/>
      <c r="B408" s="361"/>
      <c r="C408" s="362"/>
      <c r="D408" s="361"/>
      <c r="E408" s="361"/>
      <c r="F408" s="372" t="str">
        <f>IF(G408,"この従業員番号は、すでに他のセルで入力されています。",IF(入力シート!$C$5=入力リスト!$N$5,"",IF(AND(A408="",B408="",C408="",D408="",E408=""),"",IF(OR(A408="",B408="",C408="",D408=""),IF(A408="","従業員番号","")&amp;IF(AND(A408="",OR(B408="",C408="",D408="")),",","")&amp;IF(B408="","雇用形態","")&amp;IF(AND(B408="",OR(C408="",D408="")),",","")&amp;IF(OR(入力シート!$J$18=入力リスト!$K$4,入力シート!$J$22=入力リスト!$K$4),IF(C408="","入社年月日",""),"")&amp;IF(AND(C408="",D408=""),",","")&amp;IF(D408="","性別","")&amp;IF(IF(A408="","従業員番号","")&amp;IF(B408="","雇用形態","")&amp;IF(OR(入力シート!$J$18=入力リスト!$K$4,入力シート!$J$22=入力リスト!$K$4),IF(C408="","入社年月日",""),"")&amp;IF(D408="","性別","")="","","が空白です。"),IF(J408,"入社年月日に「基準日」の翌日以降の日付が入力されています。","")&amp;IF(I408,"入社年月日に数値以外（又は1900/1/1以前の日付）が入力されています。","")&amp;IF(H408,"雇用形態"&amp;IF(OR(K408,L408),",",""),"")&amp;IF(K408,"性別"&amp;IF(L408,",",""),"")&amp;IF(L408,"役職","")&amp;IF(OR(H408,K408,L408),"に、［入力シート］(4)「貴社」欄と異なる文言が入力されています。","")))))</f>
        <v/>
      </c>
      <c r="G408" s="236" t="b">
        <f>COUNTIF($A$4:A407,$A408)&gt;0</f>
        <v>0</v>
      </c>
      <c r="H408" s="237" t="b">
        <f>IF(COUNTIF(入力シート!$J$16:$S$23,入力リスト!$K$4)=0,FALSE,IF(入力シート!$J$16=入力リスト!$K$5,FALSE,ISERROR(VLOOKUP(B408,入力シート!$S$37:$V$62,1,0))))</f>
        <v>0</v>
      </c>
      <c r="I408" s="237" t="b">
        <f>IF(AND(OR(入力シート!$J$18=入力リスト!$K$4,入力シート!$J$22=入力リスト!$K$4),入力シート!$J$24&lt;&gt;""),IF(ISERROR(C408+1),TRUE,IF(ISNUMBER(C408),FALSE,TRUE)),FALSE)</f>
        <v>0</v>
      </c>
      <c r="J408" s="237" t="b">
        <f>IF(AND(入力シート!$J$18=入力リスト!$K$4,入力シート!$J$22=入力リスト!$K$4),FALSE,IF(I408=TRUE,FALSE,IF(ISERROR(C408+1),FALSE,C408&gt;入力シート!$J$24)))</f>
        <v>0</v>
      </c>
      <c r="K408" s="237" t="b">
        <f>IF(COUNTIF(入力シート!$J$16:$S$23,入力リスト!$K$4)=0,FALSE,IF(AND(入力シート!$J$16&lt;&gt;入力リスト!$K$5,入力シート!$J$18&lt;&gt;入力リスト!$K$5,入力シート!$J$20&lt;&gt;入力リスト!$K$5,入力シート!$J$22&lt;&gt;入力リスト!$K$5),FALSE,ISERROR(VLOOKUP(D408,入力シート!$AW$37:$AY$38,1,0))))</f>
        <v>0</v>
      </c>
      <c r="L408" s="237" t="b">
        <f>IF(COUNTIF(入力シート!$J$16:$S$23,入力リスト!$K$4)=0,FALSE,IF(入力シート!$J$20=入力リスト!$K$5,FALSE,IF(E408="",FALSE,ISERROR(VLOOKUP(E408,入力シート!$AH$37:$AK$62,1,0)))))</f>
        <v>0</v>
      </c>
      <c r="M408" s="238" t="str">
        <f t="shared" si="6"/>
        <v/>
      </c>
      <c r="N408" s="236" t="str">
        <f>IF(B408="","",VLOOKUP('従業員情報(給与以外)'!$B408,入力シート!$S$37:$Z$62,5,0))</f>
        <v/>
      </c>
      <c r="O408" s="182" t="str">
        <f>IF(ISNUMBER(C408)=FALSE,"",IF(C408&gt;入力シート!$J$24,"",_xlfn.DAYS(入力シート!$J$24,'従業員情報(給与以外)'!$C408)/365))</f>
        <v/>
      </c>
      <c r="P408" s="237" t="str">
        <f>IF(O408="","",VLOOKUP(_xlfn.DAYS(入力シート!$J$24,'従業員情報(給与以外)'!$C408)/365,入力リスト!$H$4:$I$12,2,2))</f>
        <v/>
      </c>
      <c r="Q408" s="236" t="str">
        <f>IF(D408="","",VLOOKUP('従業員情報(給与以外)'!$D408,入力シート!$AW$37:$BB$38,4,0))</f>
        <v/>
      </c>
      <c r="R408" s="236" t="str">
        <f>IF(A408="","",IF(E408="","非役職",VLOOKUP('従業員情報(給与以外)'!$E408,入力シート!$AH$37:$AO$62,5,0)))</f>
        <v/>
      </c>
      <c r="S408" s="116" t="str">
        <f>IF(OR(入力シート!$C$5&lt;&gt;入力リスト!$N$4,COUNTIF(入力シート!$J$16:$S$23,入力リスト!$K$4)=0),"",IF($A408="","",IF(ISERROR(AVERAGEIF(従業員の給与情報!$B:$B,$A408,従業員の給与情報!$C:$C)),0,IF(ISERROR(AVERAGEIF(従業員の給与情報!$B:$B,$A408,従業員の給与情報!$C:$C)),0,AVERAGEIF(従業員の給与情報!$B:$B,$A408,従業員の給与情報!$C:$C)))))</f>
        <v/>
      </c>
      <c r="T408" s="116" t="str">
        <f>IF(OR(入力シート!$C$5&lt;&gt;入力リスト!$N$4,COUNTIF(入力シート!$J$16:$S$23,入力リスト!$K$4)=0),"",IF(A408="","",IF(ISERROR(AVERAGEIF(従業員の給与情報!$B:$B,$A408,従業員の給与情報!$D:$D)),0,IF(ISERROR(AVERAGEIF(従業員の給与情報!$B:$B,$A408,従業員の給与情報!$D:$D)),0,AVERAGEIF(従業員の給与情報!$B:$B,$A408,従業員の給与情報!$D:$D)))))</f>
        <v/>
      </c>
      <c r="U408" s="116" t="str">
        <f>IF(OR(入力シート!$C$5&lt;&gt;入力リスト!$N$4,COUNTIF(入力シート!$J$16:$S$23,入力リスト!$K$4)=0),"",IF(A408="","",IF(ISERROR(AVERAGEIF(従業員の給与情報!$B:$B,$A408,従業員の給与情報!$E:$E)),0,IF(ISERROR(AVERAGEIF(従業員の給与情報!$B:$B,$A408,従業員の給与情報!$E:$E)),0,AVERAGEIF(従業員の給与情報!$B:$B,$A408,従業員の給与情報!$E:$E)))))</f>
        <v/>
      </c>
      <c r="V408" s="117" t="str">
        <f>IF(OR(入力シート!$C$5&lt;&gt;入力リスト!$N$4,COUNTIF(入力シート!$J$16:$S$23,入力リスト!$K$4)=0),"",IF(A408="","",IF(ISERROR(AVERAGEIF(従業員の給与情報!$B:$B,$A408,従業員の給与情報!$F:$F)),0,IF(ISERROR(AVERAGEIF(従業員の給与情報!$B:$B,$A408,従業員の給与情報!$F:$F)),0,AVERAGEIF(従業員の給与情報!$B:$B,$A408,従業員の給与情報!$F:$F)))))</f>
        <v/>
      </c>
      <c r="W408" s="182"/>
      <c r="X408" s="260"/>
    </row>
    <row r="409" spans="1:24">
      <c r="A409" s="368"/>
      <c r="B409" s="361"/>
      <c r="C409" s="362"/>
      <c r="D409" s="361"/>
      <c r="E409" s="361"/>
      <c r="F409" s="372" t="str">
        <f>IF(G409,"この従業員番号は、すでに他のセルで入力されています。",IF(入力シート!$C$5=入力リスト!$N$5,"",IF(AND(A409="",B409="",C409="",D409="",E409=""),"",IF(OR(A409="",B409="",C409="",D409=""),IF(A409="","従業員番号","")&amp;IF(AND(A409="",OR(B409="",C409="",D409="")),",","")&amp;IF(B409="","雇用形態","")&amp;IF(AND(B409="",OR(C409="",D409="")),",","")&amp;IF(OR(入力シート!$J$18=入力リスト!$K$4,入力シート!$J$22=入力リスト!$K$4),IF(C409="","入社年月日",""),"")&amp;IF(AND(C409="",D409=""),",","")&amp;IF(D409="","性別","")&amp;IF(IF(A409="","従業員番号","")&amp;IF(B409="","雇用形態","")&amp;IF(OR(入力シート!$J$18=入力リスト!$K$4,入力シート!$J$22=入力リスト!$K$4),IF(C409="","入社年月日",""),"")&amp;IF(D409="","性別","")="","","が空白です。"),IF(J409,"入社年月日に「基準日」の翌日以降の日付が入力されています。","")&amp;IF(I409,"入社年月日に数値以外（又は1900/1/1以前の日付）が入力されています。","")&amp;IF(H409,"雇用形態"&amp;IF(OR(K409,L409),",",""),"")&amp;IF(K409,"性別"&amp;IF(L409,",",""),"")&amp;IF(L409,"役職","")&amp;IF(OR(H409,K409,L409),"に、［入力シート］(4)「貴社」欄と異なる文言が入力されています。","")))))</f>
        <v/>
      </c>
      <c r="G409" s="236" t="b">
        <f>COUNTIF($A$4:A408,$A409)&gt;0</f>
        <v>0</v>
      </c>
      <c r="H409" s="237" t="b">
        <f>IF(COUNTIF(入力シート!$J$16:$S$23,入力リスト!$K$4)=0,FALSE,IF(入力シート!$J$16=入力リスト!$K$5,FALSE,ISERROR(VLOOKUP(B409,入力シート!$S$37:$V$62,1,0))))</f>
        <v>0</v>
      </c>
      <c r="I409" s="237" t="b">
        <f>IF(AND(OR(入力シート!$J$18=入力リスト!$K$4,入力シート!$J$22=入力リスト!$K$4),入力シート!$J$24&lt;&gt;""),IF(ISERROR(C409+1),TRUE,IF(ISNUMBER(C409),FALSE,TRUE)),FALSE)</f>
        <v>0</v>
      </c>
      <c r="J409" s="237" t="b">
        <f>IF(AND(入力シート!$J$18=入力リスト!$K$4,入力シート!$J$22=入力リスト!$K$4),FALSE,IF(I409=TRUE,FALSE,IF(ISERROR(C409+1),FALSE,C409&gt;入力シート!$J$24)))</f>
        <v>0</v>
      </c>
      <c r="K409" s="237" t="b">
        <f>IF(COUNTIF(入力シート!$J$16:$S$23,入力リスト!$K$4)=0,FALSE,IF(AND(入力シート!$J$16&lt;&gt;入力リスト!$K$5,入力シート!$J$18&lt;&gt;入力リスト!$K$5,入力シート!$J$20&lt;&gt;入力リスト!$K$5,入力シート!$J$22&lt;&gt;入力リスト!$K$5),FALSE,ISERROR(VLOOKUP(D409,入力シート!$AW$37:$AY$38,1,0))))</f>
        <v>0</v>
      </c>
      <c r="L409" s="237" t="b">
        <f>IF(COUNTIF(入力シート!$J$16:$S$23,入力リスト!$K$4)=0,FALSE,IF(入力シート!$J$20=入力リスト!$K$5,FALSE,IF(E409="",FALSE,ISERROR(VLOOKUP(E409,入力シート!$AH$37:$AK$62,1,0)))))</f>
        <v>0</v>
      </c>
      <c r="M409" s="238" t="str">
        <f t="shared" si="6"/>
        <v/>
      </c>
      <c r="N409" s="236" t="str">
        <f>IF(B409="","",VLOOKUP('従業員情報(給与以外)'!$B409,入力シート!$S$37:$Z$62,5,0))</f>
        <v/>
      </c>
      <c r="O409" s="182" t="str">
        <f>IF(ISNUMBER(C409)=FALSE,"",IF(C409&gt;入力シート!$J$24,"",_xlfn.DAYS(入力シート!$J$24,'従業員情報(給与以外)'!$C409)/365))</f>
        <v/>
      </c>
      <c r="P409" s="237" t="str">
        <f>IF(O409="","",VLOOKUP(_xlfn.DAYS(入力シート!$J$24,'従業員情報(給与以外)'!$C409)/365,入力リスト!$H$4:$I$12,2,2))</f>
        <v/>
      </c>
      <c r="Q409" s="236" t="str">
        <f>IF(D409="","",VLOOKUP('従業員情報(給与以外)'!$D409,入力シート!$AW$37:$BB$38,4,0))</f>
        <v/>
      </c>
      <c r="R409" s="236" t="str">
        <f>IF(A409="","",IF(E409="","非役職",VLOOKUP('従業員情報(給与以外)'!$E409,入力シート!$AH$37:$AO$62,5,0)))</f>
        <v/>
      </c>
      <c r="S409" s="116" t="str">
        <f>IF(OR(入力シート!$C$5&lt;&gt;入力リスト!$N$4,COUNTIF(入力シート!$J$16:$S$23,入力リスト!$K$4)=0),"",IF($A409="","",IF(ISERROR(AVERAGEIF(従業員の給与情報!$B:$B,$A409,従業員の給与情報!$C:$C)),0,IF(ISERROR(AVERAGEIF(従業員の給与情報!$B:$B,$A409,従業員の給与情報!$C:$C)),0,AVERAGEIF(従業員の給与情報!$B:$B,$A409,従業員の給与情報!$C:$C)))))</f>
        <v/>
      </c>
      <c r="T409" s="116" t="str">
        <f>IF(OR(入力シート!$C$5&lt;&gt;入力リスト!$N$4,COUNTIF(入力シート!$J$16:$S$23,入力リスト!$K$4)=0),"",IF(A409="","",IF(ISERROR(AVERAGEIF(従業員の給与情報!$B:$B,$A409,従業員の給与情報!$D:$D)),0,IF(ISERROR(AVERAGEIF(従業員の給与情報!$B:$B,$A409,従業員の給与情報!$D:$D)),0,AVERAGEIF(従業員の給与情報!$B:$B,$A409,従業員の給与情報!$D:$D)))))</f>
        <v/>
      </c>
      <c r="U409" s="116" t="str">
        <f>IF(OR(入力シート!$C$5&lt;&gt;入力リスト!$N$4,COUNTIF(入力シート!$J$16:$S$23,入力リスト!$K$4)=0),"",IF(A409="","",IF(ISERROR(AVERAGEIF(従業員の給与情報!$B:$B,$A409,従業員の給与情報!$E:$E)),0,IF(ISERROR(AVERAGEIF(従業員の給与情報!$B:$B,$A409,従業員の給与情報!$E:$E)),0,AVERAGEIF(従業員の給与情報!$B:$B,$A409,従業員の給与情報!$E:$E)))))</f>
        <v/>
      </c>
      <c r="V409" s="117" t="str">
        <f>IF(OR(入力シート!$C$5&lt;&gt;入力リスト!$N$4,COUNTIF(入力シート!$J$16:$S$23,入力リスト!$K$4)=0),"",IF(A409="","",IF(ISERROR(AVERAGEIF(従業員の給与情報!$B:$B,$A409,従業員の給与情報!$F:$F)),0,IF(ISERROR(AVERAGEIF(従業員の給与情報!$B:$B,$A409,従業員の給与情報!$F:$F)),0,AVERAGEIF(従業員の給与情報!$B:$B,$A409,従業員の給与情報!$F:$F)))))</f>
        <v/>
      </c>
      <c r="W409" s="182"/>
      <c r="X409" s="260"/>
    </row>
    <row r="410" spans="1:24">
      <c r="A410" s="368"/>
      <c r="B410" s="361"/>
      <c r="C410" s="362"/>
      <c r="D410" s="361"/>
      <c r="E410" s="361"/>
      <c r="F410" s="372" t="str">
        <f>IF(G410,"この従業員番号は、すでに他のセルで入力されています。",IF(入力シート!$C$5=入力リスト!$N$5,"",IF(AND(A410="",B410="",C410="",D410="",E410=""),"",IF(OR(A410="",B410="",C410="",D410=""),IF(A410="","従業員番号","")&amp;IF(AND(A410="",OR(B410="",C410="",D410="")),",","")&amp;IF(B410="","雇用形態","")&amp;IF(AND(B410="",OR(C410="",D410="")),",","")&amp;IF(OR(入力シート!$J$18=入力リスト!$K$4,入力シート!$J$22=入力リスト!$K$4),IF(C410="","入社年月日",""),"")&amp;IF(AND(C410="",D410=""),",","")&amp;IF(D410="","性別","")&amp;IF(IF(A410="","従業員番号","")&amp;IF(B410="","雇用形態","")&amp;IF(OR(入力シート!$J$18=入力リスト!$K$4,入力シート!$J$22=入力リスト!$K$4),IF(C410="","入社年月日",""),"")&amp;IF(D410="","性別","")="","","が空白です。"),IF(J410,"入社年月日に「基準日」の翌日以降の日付が入力されています。","")&amp;IF(I410,"入社年月日に数値以外（又は1900/1/1以前の日付）が入力されています。","")&amp;IF(H410,"雇用形態"&amp;IF(OR(K410,L410),",",""),"")&amp;IF(K410,"性別"&amp;IF(L410,",",""),"")&amp;IF(L410,"役職","")&amp;IF(OR(H410,K410,L410),"に、［入力シート］(4)「貴社」欄と異なる文言が入力されています。","")))))</f>
        <v/>
      </c>
      <c r="G410" s="236" t="b">
        <f>COUNTIF($A$4:A409,$A410)&gt;0</f>
        <v>0</v>
      </c>
      <c r="H410" s="237" t="b">
        <f>IF(COUNTIF(入力シート!$J$16:$S$23,入力リスト!$K$4)=0,FALSE,IF(入力シート!$J$16=入力リスト!$K$5,FALSE,ISERROR(VLOOKUP(B410,入力シート!$S$37:$V$62,1,0))))</f>
        <v>0</v>
      </c>
      <c r="I410" s="237" t="b">
        <f>IF(AND(OR(入力シート!$J$18=入力リスト!$K$4,入力シート!$J$22=入力リスト!$K$4),入力シート!$J$24&lt;&gt;""),IF(ISERROR(C410+1),TRUE,IF(ISNUMBER(C410),FALSE,TRUE)),FALSE)</f>
        <v>0</v>
      </c>
      <c r="J410" s="237" t="b">
        <f>IF(AND(入力シート!$J$18=入力リスト!$K$4,入力シート!$J$22=入力リスト!$K$4),FALSE,IF(I410=TRUE,FALSE,IF(ISERROR(C410+1),FALSE,C410&gt;入力シート!$J$24)))</f>
        <v>0</v>
      </c>
      <c r="K410" s="237" t="b">
        <f>IF(COUNTIF(入力シート!$J$16:$S$23,入力リスト!$K$4)=0,FALSE,IF(AND(入力シート!$J$16&lt;&gt;入力リスト!$K$5,入力シート!$J$18&lt;&gt;入力リスト!$K$5,入力シート!$J$20&lt;&gt;入力リスト!$K$5,入力シート!$J$22&lt;&gt;入力リスト!$K$5),FALSE,ISERROR(VLOOKUP(D410,入力シート!$AW$37:$AY$38,1,0))))</f>
        <v>0</v>
      </c>
      <c r="L410" s="237" t="b">
        <f>IF(COUNTIF(入力シート!$J$16:$S$23,入力リスト!$K$4)=0,FALSE,IF(入力シート!$J$20=入力リスト!$K$5,FALSE,IF(E410="",FALSE,ISERROR(VLOOKUP(E410,入力シート!$AH$37:$AK$62,1,0)))))</f>
        <v>0</v>
      </c>
      <c r="M410" s="238" t="str">
        <f t="shared" si="6"/>
        <v/>
      </c>
      <c r="N410" s="236" t="str">
        <f>IF(B410="","",VLOOKUP('従業員情報(給与以外)'!$B410,入力シート!$S$37:$Z$62,5,0))</f>
        <v/>
      </c>
      <c r="O410" s="182" t="str">
        <f>IF(ISNUMBER(C410)=FALSE,"",IF(C410&gt;入力シート!$J$24,"",_xlfn.DAYS(入力シート!$J$24,'従業員情報(給与以外)'!$C410)/365))</f>
        <v/>
      </c>
      <c r="P410" s="237" t="str">
        <f>IF(O410="","",VLOOKUP(_xlfn.DAYS(入力シート!$J$24,'従業員情報(給与以外)'!$C410)/365,入力リスト!$H$4:$I$12,2,2))</f>
        <v/>
      </c>
      <c r="Q410" s="236" t="str">
        <f>IF(D410="","",VLOOKUP('従業員情報(給与以外)'!$D410,入力シート!$AW$37:$BB$38,4,0))</f>
        <v/>
      </c>
      <c r="R410" s="236" t="str">
        <f>IF(A410="","",IF(E410="","非役職",VLOOKUP('従業員情報(給与以外)'!$E410,入力シート!$AH$37:$AO$62,5,0)))</f>
        <v/>
      </c>
      <c r="S410" s="116" t="str">
        <f>IF(OR(入力シート!$C$5&lt;&gt;入力リスト!$N$4,COUNTIF(入力シート!$J$16:$S$23,入力リスト!$K$4)=0),"",IF($A410="","",IF(ISERROR(AVERAGEIF(従業員の給与情報!$B:$B,$A410,従業員の給与情報!$C:$C)),0,IF(ISERROR(AVERAGEIF(従業員の給与情報!$B:$B,$A410,従業員の給与情報!$C:$C)),0,AVERAGEIF(従業員の給与情報!$B:$B,$A410,従業員の給与情報!$C:$C)))))</f>
        <v/>
      </c>
      <c r="T410" s="116" t="str">
        <f>IF(OR(入力シート!$C$5&lt;&gt;入力リスト!$N$4,COUNTIF(入力シート!$J$16:$S$23,入力リスト!$K$4)=0),"",IF(A410="","",IF(ISERROR(AVERAGEIF(従業員の給与情報!$B:$B,$A410,従業員の給与情報!$D:$D)),0,IF(ISERROR(AVERAGEIF(従業員の給与情報!$B:$B,$A410,従業員の給与情報!$D:$D)),0,AVERAGEIF(従業員の給与情報!$B:$B,$A410,従業員の給与情報!$D:$D)))))</f>
        <v/>
      </c>
      <c r="U410" s="116" t="str">
        <f>IF(OR(入力シート!$C$5&lt;&gt;入力リスト!$N$4,COUNTIF(入力シート!$J$16:$S$23,入力リスト!$K$4)=0),"",IF(A410="","",IF(ISERROR(AVERAGEIF(従業員の給与情報!$B:$B,$A410,従業員の給与情報!$E:$E)),0,IF(ISERROR(AVERAGEIF(従業員の給与情報!$B:$B,$A410,従業員の給与情報!$E:$E)),0,AVERAGEIF(従業員の給与情報!$B:$B,$A410,従業員の給与情報!$E:$E)))))</f>
        <v/>
      </c>
      <c r="V410" s="117" t="str">
        <f>IF(OR(入力シート!$C$5&lt;&gt;入力リスト!$N$4,COUNTIF(入力シート!$J$16:$S$23,入力リスト!$K$4)=0),"",IF(A410="","",IF(ISERROR(AVERAGEIF(従業員の給与情報!$B:$B,$A410,従業員の給与情報!$F:$F)),0,IF(ISERROR(AVERAGEIF(従業員の給与情報!$B:$B,$A410,従業員の給与情報!$F:$F)),0,AVERAGEIF(従業員の給与情報!$B:$B,$A410,従業員の給与情報!$F:$F)))))</f>
        <v/>
      </c>
      <c r="W410" s="182"/>
      <c r="X410" s="260"/>
    </row>
    <row r="411" spans="1:24">
      <c r="A411" s="368"/>
      <c r="B411" s="361"/>
      <c r="C411" s="362"/>
      <c r="D411" s="361"/>
      <c r="E411" s="361"/>
      <c r="F411" s="372" t="str">
        <f>IF(G411,"この従業員番号は、すでに他のセルで入力されています。",IF(入力シート!$C$5=入力リスト!$N$5,"",IF(AND(A411="",B411="",C411="",D411="",E411=""),"",IF(OR(A411="",B411="",C411="",D411=""),IF(A411="","従業員番号","")&amp;IF(AND(A411="",OR(B411="",C411="",D411="")),",","")&amp;IF(B411="","雇用形態","")&amp;IF(AND(B411="",OR(C411="",D411="")),",","")&amp;IF(OR(入力シート!$J$18=入力リスト!$K$4,入力シート!$J$22=入力リスト!$K$4),IF(C411="","入社年月日",""),"")&amp;IF(AND(C411="",D411=""),",","")&amp;IF(D411="","性別","")&amp;IF(IF(A411="","従業員番号","")&amp;IF(B411="","雇用形態","")&amp;IF(OR(入力シート!$J$18=入力リスト!$K$4,入力シート!$J$22=入力リスト!$K$4),IF(C411="","入社年月日",""),"")&amp;IF(D411="","性別","")="","","が空白です。"),IF(J411,"入社年月日に「基準日」の翌日以降の日付が入力されています。","")&amp;IF(I411,"入社年月日に数値以外（又は1900/1/1以前の日付）が入力されています。","")&amp;IF(H411,"雇用形態"&amp;IF(OR(K411,L411),",",""),"")&amp;IF(K411,"性別"&amp;IF(L411,",",""),"")&amp;IF(L411,"役職","")&amp;IF(OR(H411,K411,L411),"に、［入力シート］(4)「貴社」欄と異なる文言が入力されています。","")))))</f>
        <v/>
      </c>
      <c r="G411" s="236" t="b">
        <f>COUNTIF($A$4:A410,$A411)&gt;0</f>
        <v>0</v>
      </c>
      <c r="H411" s="237" t="b">
        <f>IF(COUNTIF(入力シート!$J$16:$S$23,入力リスト!$K$4)=0,FALSE,IF(入力シート!$J$16=入力リスト!$K$5,FALSE,ISERROR(VLOOKUP(B411,入力シート!$S$37:$V$62,1,0))))</f>
        <v>0</v>
      </c>
      <c r="I411" s="237" t="b">
        <f>IF(AND(OR(入力シート!$J$18=入力リスト!$K$4,入力シート!$J$22=入力リスト!$K$4),入力シート!$J$24&lt;&gt;""),IF(ISERROR(C411+1),TRUE,IF(ISNUMBER(C411),FALSE,TRUE)),FALSE)</f>
        <v>0</v>
      </c>
      <c r="J411" s="237" t="b">
        <f>IF(AND(入力シート!$J$18=入力リスト!$K$4,入力シート!$J$22=入力リスト!$K$4),FALSE,IF(I411=TRUE,FALSE,IF(ISERROR(C411+1),FALSE,C411&gt;入力シート!$J$24)))</f>
        <v>0</v>
      </c>
      <c r="K411" s="237" t="b">
        <f>IF(COUNTIF(入力シート!$J$16:$S$23,入力リスト!$K$4)=0,FALSE,IF(AND(入力シート!$J$16&lt;&gt;入力リスト!$K$5,入力シート!$J$18&lt;&gt;入力リスト!$K$5,入力シート!$J$20&lt;&gt;入力リスト!$K$5,入力シート!$J$22&lt;&gt;入力リスト!$K$5),FALSE,ISERROR(VLOOKUP(D411,入力シート!$AW$37:$AY$38,1,0))))</f>
        <v>0</v>
      </c>
      <c r="L411" s="237" t="b">
        <f>IF(COUNTIF(入力シート!$J$16:$S$23,入力リスト!$K$4)=0,FALSE,IF(入力シート!$J$20=入力リスト!$K$5,FALSE,IF(E411="",FALSE,ISERROR(VLOOKUP(E411,入力シート!$AH$37:$AK$62,1,0)))))</f>
        <v>0</v>
      </c>
      <c r="M411" s="238" t="str">
        <f t="shared" si="6"/>
        <v/>
      </c>
      <c r="N411" s="236" t="str">
        <f>IF(B411="","",VLOOKUP('従業員情報(給与以外)'!$B411,入力シート!$S$37:$Z$62,5,0))</f>
        <v/>
      </c>
      <c r="O411" s="182" t="str">
        <f>IF(ISNUMBER(C411)=FALSE,"",IF(C411&gt;入力シート!$J$24,"",_xlfn.DAYS(入力シート!$J$24,'従業員情報(給与以外)'!$C411)/365))</f>
        <v/>
      </c>
      <c r="P411" s="237" t="str">
        <f>IF(O411="","",VLOOKUP(_xlfn.DAYS(入力シート!$J$24,'従業員情報(給与以外)'!$C411)/365,入力リスト!$H$4:$I$12,2,2))</f>
        <v/>
      </c>
      <c r="Q411" s="236" t="str">
        <f>IF(D411="","",VLOOKUP('従業員情報(給与以外)'!$D411,入力シート!$AW$37:$BB$38,4,0))</f>
        <v/>
      </c>
      <c r="R411" s="236" t="str">
        <f>IF(A411="","",IF(E411="","非役職",VLOOKUP('従業員情報(給与以外)'!$E411,入力シート!$AH$37:$AO$62,5,0)))</f>
        <v/>
      </c>
      <c r="S411" s="116" t="str">
        <f>IF(OR(入力シート!$C$5&lt;&gt;入力リスト!$N$4,COUNTIF(入力シート!$J$16:$S$23,入力リスト!$K$4)=0),"",IF($A411="","",IF(ISERROR(AVERAGEIF(従業員の給与情報!$B:$B,$A411,従業員の給与情報!$C:$C)),0,IF(ISERROR(AVERAGEIF(従業員の給与情報!$B:$B,$A411,従業員の給与情報!$C:$C)),0,AVERAGEIF(従業員の給与情報!$B:$B,$A411,従業員の給与情報!$C:$C)))))</f>
        <v/>
      </c>
      <c r="T411" s="116" t="str">
        <f>IF(OR(入力シート!$C$5&lt;&gt;入力リスト!$N$4,COUNTIF(入力シート!$J$16:$S$23,入力リスト!$K$4)=0),"",IF(A411="","",IF(ISERROR(AVERAGEIF(従業員の給与情報!$B:$B,$A411,従業員の給与情報!$D:$D)),0,IF(ISERROR(AVERAGEIF(従業員の給与情報!$B:$B,$A411,従業員の給与情報!$D:$D)),0,AVERAGEIF(従業員の給与情報!$B:$B,$A411,従業員の給与情報!$D:$D)))))</f>
        <v/>
      </c>
      <c r="U411" s="116" t="str">
        <f>IF(OR(入力シート!$C$5&lt;&gt;入力リスト!$N$4,COUNTIF(入力シート!$J$16:$S$23,入力リスト!$K$4)=0),"",IF(A411="","",IF(ISERROR(AVERAGEIF(従業員の給与情報!$B:$B,$A411,従業員の給与情報!$E:$E)),0,IF(ISERROR(AVERAGEIF(従業員の給与情報!$B:$B,$A411,従業員の給与情報!$E:$E)),0,AVERAGEIF(従業員の給与情報!$B:$B,$A411,従業員の給与情報!$E:$E)))))</f>
        <v/>
      </c>
      <c r="V411" s="117" t="str">
        <f>IF(OR(入力シート!$C$5&lt;&gt;入力リスト!$N$4,COUNTIF(入力シート!$J$16:$S$23,入力リスト!$K$4)=0),"",IF(A411="","",IF(ISERROR(AVERAGEIF(従業員の給与情報!$B:$B,$A411,従業員の給与情報!$F:$F)),0,IF(ISERROR(AVERAGEIF(従業員の給与情報!$B:$B,$A411,従業員の給与情報!$F:$F)),0,AVERAGEIF(従業員の給与情報!$B:$B,$A411,従業員の給与情報!$F:$F)))))</f>
        <v/>
      </c>
      <c r="W411" s="182"/>
      <c r="X411" s="260"/>
    </row>
    <row r="412" spans="1:24">
      <c r="A412" s="368"/>
      <c r="B412" s="361"/>
      <c r="C412" s="362"/>
      <c r="D412" s="361"/>
      <c r="E412" s="361"/>
      <c r="F412" s="372" t="str">
        <f>IF(G412,"この従業員番号は、すでに他のセルで入力されています。",IF(入力シート!$C$5=入力リスト!$N$5,"",IF(AND(A412="",B412="",C412="",D412="",E412=""),"",IF(OR(A412="",B412="",C412="",D412=""),IF(A412="","従業員番号","")&amp;IF(AND(A412="",OR(B412="",C412="",D412="")),",","")&amp;IF(B412="","雇用形態","")&amp;IF(AND(B412="",OR(C412="",D412="")),",","")&amp;IF(OR(入力シート!$J$18=入力リスト!$K$4,入力シート!$J$22=入力リスト!$K$4),IF(C412="","入社年月日",""),"")&amp;IF(AND(C412="",D412=""),",","")&amp;IF(D412="","性別","")&amp;IF(IF(A412="","従業員番号","")&amp;IF(B412="","雇用形態","")&amp;IF(OR(入力シート!$J$18=入力リスト!$K$4,入力シート!$J$22=入力リスト!$K$4),IF(C412="","入社年月日",""),"")&amp;IF(D412="","性別","")="","","が空白です。"),IF(J412,"入社年月日に「基準日」の翌日以降の日付が入力されています。","")&amp;IF(I412,"入社年月日に数値以外（又は1900/1/1以前の日付）が入力されています。","")&amp;IF(H412,"雇用形態"&amp;IF(OR(K412,L412),",",""),"")&amp;IF(K412,"性別"&amp;IF(L412,",",""),"")&amp;IF(L412,"役職","")&amp;IF(OR(H412,K412,L412),"に、［入力シート］(4)「貴社」欄と異なる文言が入力されています。","")))))</f>
        <v/>
      </c>
      <c r="G412" s="236" t="b">
        <f>COUNTIF($A$4:A411,$A412)&gt;0</f>
        <v>0</v>
      </c>
      <c r="H412" s="237" t="b">
        <f>IF(COUNTIF(入力シート!$J$16:$S$23,入力リスト!$K$4)=0,FALSE,IF(入力シート!$J$16=入力リスト!$K$5,FALSE,ISERROR(VLOOKUP(B412,入力シート!$S$37:$V$62,1,0))))</f>
        <v>0</v>
      </c>
      <c r="I412" s="237" t="b">
        <f>IF(AND(OR(入力シート!$J$18=入力リスト!$K$4,入力シート!$J$22=入力リスト!$K$4),入力シート!$J$24&lt;&gt;""),IF(ISERROR(C412+1),TRUE,IF(ISNUMBER(C412),FALSE,TRUE)),FALSE)</f>
        <v>0</v>
      </c>
      <c r="J412" s="237" t="b">
        <f>IF(AND(入力シート!$J$18=入力リスト!$K$4,入力シート!$J$22=入力リスト!$K$4),FALSE,IF(I412=TRUE,FALSE,IF(ISERROR(C412+1),FALSE,C412&gt;入力シート!$J$24)))</f>
        <v>0</v>
      </c>
      <c r="K412" s="237" t="b">
        <f>IF(COUNTIF(入力シート!$J$16:$S$23,入力リスト!$K$4)=0,FALSE,IF(AND(入力シート!$J$16&lt;&gt;入力リスト!$K$5,入力シート!$J$18&lt;&gt;入力リスト!$K$5,入力シート!$J$20&lt;&gt;入力リスト!$K$5,入力シート!$J$22&lt;&gt;入力リスト!$K$5),FALSE,ISERROR(VLOOKUP(D412,入力シート!$AW$37:$AY$38,1,0))))</f>
        <v>0</v>
      </c>
      <c r="L412" s="237" t="b">
        <f>IF(COUNTIF(入力シート!$J$16:$S$23,入力リスト!$K$4)=0,FALSE,IF(入力シート!$J$20=入力リスト!$K$5,FALSE,IF(E412="",FALSE,ISERROR(VLOOKUP(E412,入力シート!$AH$37:$AK$62,1,0)))))</f>
        <v>0</v>
      </c>
      <c r="M412" s="238" t="str">
        <f t="shared" si="6"/>
        <v/>
      </c>
      <c r="N412" s="236" t="str">
        <f>IF(B412="","",VLOOKUP('従業員情報(給与以外)'!$B412,入力シート!$S$37:$Z$62,5,0))</f>
        <v/>
      </c>
      <c r="O412" s="182" t="str">
        <f>IF(ISNUMBER(C412)=FALSE,"",IF(C412&gt;入力シート!$J$24,"",_xlfn.DAYS(入力シート!$J$24,'従業員情報(給与以外)'!$C412)/365))</f>
        <v/>
      </c>
      <c r="P412" s="237" t="str">
        <f>IF(O412="","",VLOOKUP(_xlfn.DAYS(入力シート!$J$24,'従業員情報(給与以外)'!$C412)/365,入力リスト!$H$4:$I$12,2,2))</f>
        <v/>
      </c>
      <c r="Q412" s="236" t="str">
        <f>IF(D412="","",VLOOKUP('従業員情報(給与以外)'!$D412,入力シート!$AW$37:$BB$38,4,0))</f>
        <v/>
      </c>
      <c r="R412" s="236" t="str">
        <f>IF(A412="","",IF(E412="","非役職",VLOOKUP('従業員情報(給与以外)'!$E412,入力シート!$AH$37:$AO$62,5,0)))</f>
        <v/>
      </c>
      <c r="S412" s="116" t="str">
        <f>IF(OR(入力シート!$C$5&lt;&gt;入力リスト!$N$4,COUNTIF(入力シート!$J$16:$S$23,入力リスト!$K$4)=0),"",IF($A412="","",IF(ISERROR(AVERAGEIF(従業員の給与情報!$B:$B,$A412,従業員の給与情報!$C:$C)),0,IF(ISERROR(AVERAGEIF(従業員の給与情報!$B:$B,$A412,従業員の給与情報!$C:$C)),0,AVERAGEIF(従業員の給与情報!$B:$B,$A412,従業員の給与情報!$C:$C)))))</f>
        <v/>
      </c>
      <c r="T412" s="116" t="str">
        <f>IF(OR(入力シート!$C$5&lt;&gt;入力リスト!$N$4,COUNTIF(入力シート!$J$16:$S$23,入力リスト!$K$4)=0),"",IF(A412="","",IF(ISERROR(AVERAGEIF(従業員の給与情報!$B:$B,$A412,従業員の給与情報!$D:$D)),0,IF(ISERROR(AVERAGEIF(従業員の給与情報!$B:$B,$A412,従業員の給与情報!$D:$D)),0,AVERAGEIF(従業員の給与情報!$B:$B,$A412,従業員の給与情報!$D:$D)))))</f>
        <v/>
      </c>
      <c r="U412" s="116" t="str">
        <f>IF(OR(入力シート!$C$5&lt;&gt;入力リスト!$N$4,COUNTIF(入力シート!$J$16:$S$23,入力リスト!$K$4)=0),"",IF(A412="","",IF(ISERROR(AVERAGEIF(従業員の給与情報!$B:$B,$A412,従業員の給与情報!$E:$E)),0,IF(ISERROR(AVERAGEIF(従業員の給与情報!$B:$B,$A412,従業員の給与情報!$E:$E)),0,AVERAGEIF(従業員の給与情報!$B:$B,$A412,従業員の給与情報!$E:$E)))))</f>
        <v/>
      </c>
      <c r="V412" s="117" t="str">
        <f>IF(OR(入力シート!$C$5&lt;&gt;入力リスト!$N$4,COUNTIF(入力シート!$J$16:$S$23,入力リスト!$K$4)=0),"",IF(A412="","",IF(ISERROR(AVERAGEIF(従業員の給与情報!$B:$B,$A412,従業員の給与情報!$F:$F)),0,IF(ISERROR(AVERAGEIF(従業員の給与情報!$B:$B,$A412,従業員の給与情報!$F:$F)),0,AVERAGEIF(従業員の給与情報!$B:$B,$A412,従業員の給与情報!$F:$F)))))</f>
        <v/>
      </c>
      <c r="W412" s="182"/>
      <c r="X412" s="260"/>
    </row>
    <row r="413" spans="1:24">
      <c r="A413" s="368"/>
      <c r="B413" s="361"/>
      <c r="C413" s="362"/>
      <c r="D413" s="361"/>
      <c r="E413" s="361"/>
      <c r="F413" s="372" t="str">
        <f>IF(G413,"この従業員番号は、すでに他のセルで入力されています。",IF(入力シート!$C$5=入力リスト!$N$5,"",IF(AND(A413="",B413="",C413="",D413="",E413=""),"",IF(OR(A413="",B413="",C413="",D413=""),IF(A413="","従業員番号","")&amp;IF(AND(A413="",OR(B413="",C413="",D413="")),",","")&amp;IF(B413="","雇用形態","")&amp;IF(AND(B413="",OR(C413="",D413="")),",","")&amp;IF(OR(入力シート!$J$18=入力リスト!$K$4,入力シート!$J$22=入力リスト!$K$4),IF(C413="","入社年月日",""),"")&amp;IF(AND(C413="",D413=""),",","")&amp;IF(D413="","性別","")&amp;IF(IF(A413="","従業員番号","")&amp;IF(B413="","雇用形態","")&amp;IF(OR(入力シート!$J$18=入力リスト!$K$4,入力シート!$J$22=入力リスト!$K$4),IF(C413="","入社年月日",""),"")&amp;IF(D413="","性別","")="","","が空白です。"),IF(J413,"入社年月日に「基準日」の翌日以降の日付が入力されています。","")&amp;IF(I413,"入社年月日に数値以外（又は1900/1/1以前の日付）が入力されています。","")&amp;IF(H413,"雇用形態"&amp;IF(OR(K413,L413),",",""),"")&amp;IF(K413,"性別"&amp;IF(L413,",",""),"")&amp;IF(L413,"役職","")&amp;IF(OR(H413,K413,L413),"に、［入力シート］(4)「貴社」欄と異なる文言が入力されています。","")))))</f>
        <v/>
      </c>
      <c r="G413" s="236" t="b">
        <f>COUNTIF($A$4:A412,$A413)&gt;0</f>
        <v>0</v>
      </c>
      <c r="H413" s="237" t="b">
        <f>IF(COUNTIF(入力シート!$J$16:$S$23,入力リスト!$K$4)=0,FALSE,IF(入力シート!$J$16=入力リスト!$K$5,FALSE,ISERROR(VLOOKUP(B413,入力シート!$S$37:$V$62,1,0))))</f>
        <v>0</v>
      </c>
      <c r="I413" s="237" t="b">
        <f>IF(AND(OR(入力シート!$J$18=入力リスト!$K$4,入力シート!$J$22=入力リスト!$K$4),入力シート!$J$24&lt;&gt;""),IF(ISERROR(C413+1),TRUE,IF(ISNUMBER(C413),FALSE,TRUE)),FALSE)</f>
        <v>0</v>
      </c>
      <c r="J413" s="237" t="b">
        <f>IF(AND(入力シート!$J$18=入力リスト!$K$4,入力シート!$J$22=入力リスト!$K$4),FALSE,IF(I413=TRUE,FALSE,IF(ISERROR(C413+1),FALSE,C413&gt;入力シート!$J$24)))</f>
        <v>0</v>
      </c>
      <c r="K413" s="237" t="b">
        <f>IF(COUNTIF(入力シート!$J$16:$S$23,入力リスト!$K$4)=0,FALSE,IF(AND(入力シート!$J$16&lt;&gt;入力リスト!$K$5,入力シート!$J$18&lt;&gt;入力リスト!$K$5,入力シート!$J$20&lt;&gt;入力リスト!$K$5,入力シート!$J$22&lt;&gt;入力リスト!$K$5),FALSE,ISERROR(VLOOKUP(D413,入力シート!$AW$37:$AY$38,1,0))))</f>
        <v>0</v>
      </c>
      <c r="L413" s="237" t="b">
        <f>IF(COUNTIF(入力シート!$J$16:$S$23,入力リスト!$K$4)=0,FALSE,IF(入力シート!$J$20=入力リスト!$K$5,FALSE,IF(E413="",FALSE,ISERROR(VLOOKUP(E413,入力シート!$AH$37:$AK$62,1,0)))))</f>
        <v>0</v>
      </c>
      <c r="M413" s="238" t="str">
        <f t="shared" si="6"/>
        <v/>
      </c>
      <c r="N413" s="236" t="str">
        <f>IF(B413="","",VLOOKUP('従業員情報(給与以外)'!$B413,入力シート!$S$37:$Z$62,5,0))</f>
        <v/>
      </c>
      <c r="O413" s="182" t="str">
        <f>IF(ISNUMBER(C413)=FALSE,"",IF(C413&gt;入力シート!$J$24,"",_xlfn.DAYS(入力シート!$J$24,'従業員情報(給与以外)'!$C413)/365))</f>
        <v/>
      </c>
      <c r="P413" s="237" t="str">
        <f>IF(O413="","",VLOOKUP(_xlfn.DAYS(入力シート!$J$24,'従業員情報(給与以外)'!$C413)/365,入力リスト!$H$4:$I$12,2,2))</f>
        <v/>
      </c>
      <c r="Q413" s="236" t="str">
        <f>IF(D413="","",VLOOKUP('従業員情報(給与以外)'!$D413,入力シート!$AW$37:$BB$38,4,0))</f>
        <v/>
      </c>
      <c r="R413" s="236" t="str">
        <f>IF(A413="","",IF(E413="","非役職",VLOOKUP('従業員情報(給与以外)'!$E413,入力シート!$AH$37:$AO$62,5,0)))</f>
        <v/>
      </c>
      <c r="S413" s="116" t="str">
        <f>IF(OR(入力シート!$C$5&lt;&gt;入力リスト!$N$4,COUNTIF(入力シート!$J$16:$S$23,入力リスト!$K$4)=0),"",IF($A413="","",IF(ISERROR(AVERAGEIF(従業員の給与情報!$B:$B,$A413,従業員の給与情報!$C:$C)),0,IF(ISERROR(AVERAGEIF(従業員の給与情報!$B:$B,$A413,従業員の給与情報!$C:$C)),0,AVERAGEIF(従業員の給与情報!$B:$B,$A413,従業員の給与情報!$C:$C)))))</f>
        <v/>
      </c>
      <c r="T413" s="116" t="str">
        <f>IF(OR(入力シート!$C$5&lt;&gt;入力リスト!$N$4,COUNTIF(入力シート!$J$16:$S$23,入力リスト!$K$4)=0),"",IF(A413="","",IF(ISERROR(AVERAGEIF(従業員の給与情報!$B:$B,$A413,従業員の給与情報!$D:$D)),0,IF(ISERROR(AVERAGEIF(従業員の給与情報!$B:$B,$A413,従業員の給与情報!$D:$D)),0,AVERAGEIF(従業員の給与情報!$B:$B,$A413,従業員の給与情報!$D:$D)))))</f>
        <v/>
      </c>
      <c r="U413" s="116" t="str">
        <f>IF(OR(入力シート!$C$5&lt;&gt;入力リスト!$N$4,COUNTIF(入力シート!$J$16:$S$23,入力リスト!$K$4)=0),"",IF(A413="","",IF(ISERROR(AVERAGEIF(従業員の給与情報!$B:$B,$A413,従業員の給与情報!$E:$E)),0,IF(ISERROR(AVERAGEIF(従業員の給与情報!$B:$B,$A413,従業員の給与情報!$E:$E)),0,AVERAGEIF(従業員の給与情報!$B:$B,$A413,従業員の給与情報!$E:$E)))))</f>
        <v/>
      </c>
      <c r="V413" s="117" t="str">
        <f>IF(OR(入力シート!$C$5&lt;&gt;入力リスト!$N$4,COUNTIF(入力シート!$J$16:$S$23,入力リスト!$K$4)=0),"",IF(A413="","",IF(ISERROR(AVERAGEIF(従業員の給与情報!$B:$B,$A413,従業員の給与情報!$F:$F)),0,IF(ISERROR(AVERAGEIF(従業員の給与情報!$B:$B,$A413,従業員の給与情報!$F:$F)),0,AVERAGEIF(従業員の給与情報!$B:$B,$A413,従業員の給与情報!$F:$F)))))</f>
        <v/>
      </c>
      <c r="W413" s="182"/>
      <c r="X413" s="260"/>
    </row>
    <row r="414" spans="1:24">
      <c r="A414" s="368"/>
      <c r="B414" s="361"/>
      <c r="C414" s="362"/>
      <c r="D414" s="361"/>
      <c r="E414" s="361"/>
      <c r="F414" s="372" t="str">
        <f>IF(G414,"この従業員番号は、すでに他のセルで入力されています。",IF(入力シート!$C$5=入力リスト!$N$5,"",IF(AND(A414="",B414="",C414="",D414="",E414=""),"",IF(OR(A414="",B414="",C414="",D414=""),IF(A414="","従業員番号","")&amp;IF(AND(A414="",OR(B414="",C414="",D414="")),",","")&amp;IF(B414="","雇用形態","")&amp;IF(AND(B414="",OR(C414="",D414="")),",","")&amp;IF(OR(入力シート!$J$18=入力リスト!$K$4,入力シート!$J$22=入力リスト!$K$4),IF(C414="","入社年月日",""),"")&amp;IF(AND(C414="",D414=""),",","")&amp;IF(D414="","性別","")&amp;IF(IF(A414="","従業員番号","")&amp;IF(B414="","雇用形態","")&amp;IF(OR(入力シート!$J$18=入力リスト!$K$4,入力シート!$J$22=入力リスト!$K$4),IF(C414="","入社年月日",""),"")&amp;IF(D414="","性別","")="","","が空白です。"),IF(J414,"入社年月日に「基準日」の翌日以降の日付が入力されています。","")&amp;IF(I414,"入社年月日に数値以外（又は1900/1/1以前の日付）が入力されています。","")&amp;IF(H414,"雇用形態"&amp;IF(OR(K414,L414),",",""),"")&amp;IF(K414,"性別"&amp;IF(L414,",",""),"")&amp;IF(L414,"役職","")&amp;IF(OR(H414,K414,L414),"に、［入力シート］(4)「貴社」欄と異なる文言が入力されています。","")))))</f>
        <v/>
      </c>
      <c r="G414" s="236" t="b">
        <f>COUNTIF($A$4:A413,$A414)&gt;0</f>
        <v>0</v>
      </c>
      <c r="H414" s="237" t="b">
        <f>IF(COUNTIF(入力シート!$J$16:$S$23,入力リスト!$K$4)=0,FALSE,IF(入力シート!$J$16=入力リスト!$K$5,FALSE,ISERROR(VLOOKUP(B414,入力シート!$S$37:$V$62,1,0))))</f>
        <v>0</v>
      </c>
      <c r="I414" s="237" t="b">
        <f>IF(AND(OR(入力シート!$J$18=入力リスト!$K$4,入力シート!$J$22=入力リスト!$K$4),入力シート!$J$24&lt;&gt;""),IF(ISERROR(C414+1),TRUE,IF(ISNUMBER(C414),FALSE,TRUE)),FALSE)</f>
        <v>0</v>
      </c>
      <c r="J414" s="237" t="b">
        <f>IF(AND(入力シート!$J$18=入力リスト!$K$4,入力シート!$J$22=入力リスト!$K$4),FALSE,IF(I414=TRUE,FALSE,IF(ISERROR(C414+1),FALSE,C414&gt;入力シート!$J$24)))</f>
        <v>0</v>
      </c>
      <c r="K414" s="237" t="b">
        <f>IF(COUNTIF(入力シート!$J$16:$S$23,入力リスト!$K$4)=0,FALSE,IF(AND(入力シート!$J$16&lt;&gt;入力リスト!$K$5,入力シート!$J$18&lt;&gt;入力リスト!$K$5,入力シート!$J$20&lt;&gt;入力リスト!$K$5,入力シート!$J$22&lt;&gt;入力リスト!$K$5),FALSE,ISERROR(VLOOKUP(D414,入力シート!$AW$37:$AY$38,1,0))))</f>
        <v>0</v>
      </c>
      <c r="L414" s="237" t="b">
        <f>IF(COUNTIF(入力シート!$J$16:$S$23,入力リスト!$K$4)=0,FALSE,IF(入力シート!$J$20=入力リスト!$K$5,FALSE,IF(E414="",FALSE,ISERROR(VLOOKUP(E414,入力シート!$AH$37:$AK$62,1,0)))))</f>
        <v>0</v>
      </c>
      <c r="M414" s="238" t="str">
        <f t="shared" si="6"/>
        <v/>
      </c>
      <c r="N414" s="236" t="str">
        <f>IF(B414="","",VLOOKUP('従業員情報(給与以外)'!$B414,入力シート!$S$37:$Z$62,5,0))</f>
        <v/>
      </c>
      <c r="O414" s="182" t="str">
        <f>IF(ISNUMBER(C414)=FALSE,"",IF(C414&gt;入力シート!$J$24,"",_xlfn.DAYS(入力シート!$J$24,'従業員情報(給与以外)'!$C414)/365))</f>
        <v/>
      </c>
      <c r="P414" s="237" t="str">
        <f>IF(O414="","",VLOOKUP(_xlfn.DAYS(入力シート!$J$24,'従業員情報(給与以外)'!$C414)/365,入力リスト!$H$4:$I$12,2,2))</f>
        <v/>
      </c>
      <c r="Q414" s="236" t="str">
        <f>IF(D414="","",VLOOKUP('従業員情報(給与以外)'!$D414,入力シート!$AW$37:$BB$38,4,0))</f>
        <v/>
      </c>
      <c r="R414" s="236" t="str">
        <f>IF(A414="","",IF(E414="","非役職",VLOOKUP('従業員情報(給与以外)'!$E414,入力シート!$AH$37:$AO$62,5,0)))</f>
        <v/>
      </c>
      <c r="S414" s="116" t="str">
        <f>IF(OR(入力シート!$C$5&lt;&gt;入力リスト!$N$4,COUNTIF(入力シート!$J$16:$S$23,入力リスト!$K$4)=0),"",IF($A414="","",IF(ISERROR(AVERAGEIF(従業員の給与情報!$B:$B,$A414,従業員の給与情報!$C:$C)),0,IF(ISERROR(AVERAGEIF(従業員の給与情報!$B:$B,$A414,従業員の給与情報!$C:$C)),0,AVERAGEIF(従業員の給与情報!$B:$B,$A414,従業員の給与情報!$C:$C)))))</f>
        <v/>
      </c>
      <c r="T414" s="116" t="str">
        <f>IF(OR(入力シート!$C$5&lt;&gt;入力リスト!$N$4,COUNTIF(入力シート!$J$16:$S$23,入力リスト!$K$4)=0),"",IF(A414="","",IF(ISERROR(AVERAGEIF(従業員の給与情報!$B:$B,$A414,従業員の給与情報!$D:$D)),0,IF(ISERROR(AVERAGEIF(従業員の給与情報!$B:$B,$A414,従業員の給与情報!$D:$D)),0,AVERAGEIF(従業員の給与情報!$B:$B,$A414,従業員の給与情報!$D:$D)))))</f>
        <v/>
      </c>
      <c r="U414" s="116" t="str">
        <f>IF(OR(入力シート!$C$5&lt;&gt;入力リスト!$N$4,COUNTIF(入力シート!$J$16:$S$23,入力リスト!$K$4)=0),"",IF(A414="","",IF(ISERROR(AVERAGEIF(従業員の給与情報!$B:$B,$A414,従業員の給与情報!$E:$E)),0,IF(ISERROR(AVERAGEIF(従業員の給与情報!$B:$B,$A414,従業員の給与情報!$E:$E)),0,AVERAGEIF(従業員の給与情報!$B:$B,$A414,従業員の給与情報!$E:$E)))))</f>
        <v/>
      </c>
      <c r="V414" s="117" t="str">
        <f>IF(OR(入力シート!$C$5&lt;&gt;入力リスト!$N$4,COUNTIF(入力シート!$J$16:$S$23,入力リスト!$K$4)=0),"",IF(A414="","",IF(ISERROR(AVERAGEIF(従業員の給与情報!$B:$B,$A414,従業員の給与情報!$F:$F)),0,IF(ISERROR(AVERAGEIF(従業員の給与情報!$B:$B,$A414,従業員の給与情報!$F:$F)),0,AVERAGEIF(従業員の給与情報!$B:$B,$A414,従業員の給与情報!$F:$F)))))</f>
        <v/>
      </c>
      <c r="W414" s="182"/>
      <c r="X414" s="260"/>
    </row>
    <row r="415" spans="1:24">
      <c r="A415" s="368"/>
      <c r="B415" s="361"/>
      <c r="C415" s="362"/>
      <c r="D415" s="361"/>
      <c r="E415" s="361"/>
      <c r="F415" s="372" t="str">
        <f>IF(G415,"この従業員番号は、すでに他のセルで入力されています。",IF(入力シート!$C$5=入力リスト!$N$5,"",IF(AND(A415="",B415="",C415="",D415="",E415=""),"",IF(OR(A415="",B415="",C415="",D415=""),IF(A415="","従業員番号","")&amp;IF(AND(A415="",OR(B415="",C415="",D415="")),",","")&amp;IF(B415="","雇用形態","")&amp;IF(AND(B415="",OR(C415="",D415="")),",","")&amp;IF(OR(入力シート!$J$18=入力リスト!$K$4,入力シート!$J$22=入力リスト!$K$4),IF(C415="","入社年月日",""),"")&amp;IF(AND(C415="",D415=""),",","")&amp;IF(D415="","性別","")&amp;IF(IF(A415="","従業員番号","")&amp;IF(B415="","雇用形態","")&amp;IF(OR(入力シート!$J$18=入力リスト!$K$4,入力シート!$J$22=入力リスト!$K$4),IF(C415="","入社年月日",""),"")&amp;IF(D415="","性別","")="","","が空白です。"),IF(J415,"入社年月日に「基準日」の翌日以降の日付が入力されています。","")&amp;IF(I415,"入社年月日に数値以外（又は1900/1/1以前の日付）が入力されています。","")&amp;IF(H415,"雇用形態"&amp;IF(OR(K415,L415),",",""),"")&amp;IF(K415,"性別"&amp;IF(L415,",",""),"")&amp;IF(L415,"役職","")&amp;IF(OR(H415,K415,L415),"に、［入力シート］(4)「貴社」欄と異なる文言が入力されています。","")))))</f>
        <v/>
      </c>
      <c r="G415" s="236" t="b">
        <f>COUNTIF($A$4:A414,$A415)&gt;0</f>
        <v>0</v>
      </c>
      <c r="H415" s="237" t="b">
        <f>IF(COUNTIF(入力シート!$J$16:$S$23,入力リスト!$K$4)=0,FALSE,IF(入力シート!$J$16=入力リスト!$K$5,FALSE,ISERROR(VLOOKUP(B415,入力シート!$S$37:$V$62,1,0))))</f>
        <v>0</v>
      </c>
      <c r="I415" s="237" t="b">
        <f>IF(AND(OR(入力シート!$J$18=入力リスト!$K$4,入力シート!$J$22=入力リスト!$K$4),入力シート!$J$24&lt;&gt;""),IF(ISERROR(C415+1),TRUE,IF(ISNUMBER(C415),FALSE,TRUE)),FALSE)</f>
        <v>0</v>
      </c>
      <c r="J415" s="237" t="b">
        <f>IF(AND(入力シート!$J$18=入力リスト!$K$4,入力シート!$J$22=入力リスト!$K$4),FALSE,IF(I415=TRUE,FALSE,IF(ISERROR(C415+1),FALSE,C415&gt;入力シート!$J$24)))</f>
        <v>0</v>
      </c>
      <c r="K415" s="237" t="b">
        <f>IF(COUNTIF(入力シート!$J$16:$S$23,入力リスト!$K$4)=0,FALSE,IF(AND(入力シート!$J$16&lt;&gt;入力リスト!$K$5,入力シート!$J$18&lt;&gt;入力リスト!$K$5,入力シート!$J$20&lt;&gt;入力リスト!$K$5,入力シート!$J$22&lt;&gt;入力リスト!$K$5),FALSE,ISERROR(VLOOKUP(D415,入力シート!$AW$37:$AY$38,1,0))))</f>
        <v>0</v>
      </c>
      <c r="L415" s="237" t="b">
        <f>IF(COUNTIF(入力シート!$J$16:$S$23,入力リスト!$K$4)=0,FALSE,IF(入力シート!$J$20=入力リスト!$K$5,FALSE,IF(E415="",FALSE,ISERROR(VLOOKUP(E415,入力シート!$AH$37:$AK$62,1,0)))))</f>
        <v>0</v>
      </c>
      <c r="M415" s="238" t="str">
        <f t="shared" si="6"/>
        <v/>
      </c>
      <c r="N415" s="236" t="str">
        <f>IF(B415="","",VLOOKUP('従業員情報(給与以外)'!$B415,入力シート!$S$37:$Z$62,5,0))</f>
        <v/>
      </c>
      <c r="O415" s="182" t="str">
        <f>IF(ISNUMBER(C415)=FALSE,"",IF(C415&gt;入力シート!$J$24,"",_xlfn.DAYS(入力シート!$J$24,'従業員情報(給与以外)'!$C415)/365))</f>
        <v/>
      </c>
      <c r="P415" s="237" t="str">
        <f>IF(O415="","",VLOOKUP(_xlfn.DAYS(入力シート!$J$24,'従業員情報(給与以外)'!$C415)/365,入力リスト!$H$4:$I$12,2,2))</f>
        <v/>
      </c>
      <c r="Q415" s="236" t="str">
        <f>IF(D415="","",VLOOKUP('従業員情報(給与以外)'!$D415,入力シート!$AW$37:$BB$38,4,0))</f>
        <v/>
      </c>
      <c r="R415" s="236" t="str">
        <f>IF(A415="","",IF(E415="","非役職",VLOOKUP('従業員情報(給与以外)'!$E415,入力シート!$AH$37:$AO$62,5,0)))</f>
        <v/>
      </c>
      <c r="S415" s="116" t="str">
        <f>IF(OR(入力シート!$C$5&lt;&gt;入力リスト!$N$4,COUNTIF(入力シート!$J$16:$S$23,入力リスト!$K$4)=0),"",IF($A415="","",IF(ISERROR(AVERAGEIF(従業員の給与情報!$B:$B,$A415,従業員の給与情報!$C:$C)),0,IF(ISERROR(AVERAGEIF(従業員の給与情報!$B:$B,$A415,従業員の給与情報!$C:$C)),0,AVERAGEIF(従業員の給与情報!$B:$B,$A415,従業員の給与情報!$C:$C)))))</f>
        <v/>
      </c>
      <c r="T415" s="116" t="str">
        <f>IF(OR(入力シート!$C$5&lt;&gt;入力リスト!$N$4,COUNTIF(入力シート!$J$16:$S$23,入力リスト!$K$4)=0),"",IF(A415="","",IF(ISERROR(AVERAGEIF(従業員の給与情報!$B:$B,$A415,従業員の給与情報!$D:$D)),0,IF(ISERROR(AVERAGEIF(従業員の給与情報!$B:$B,$A415,従業員の給与情報!$D:$D)),0,AVERAGEIF(従業員の給与情報!$B:$B,$A415,従業員の給与情報!$D:$D)))))</f>
        <v/>
      </c>
      <c r="U415" s="116" t="str">
        <f>IF(OR(入力シート!$C$5&lt;&gt;入力リスト!$N$4,COUNTIF(入力シート!$J$16:$S$23,入力リスト!$K$4)=0),"",IF(A415="","",IF(ISERROR(AVERAGEIF(従業員の給与情報!$B:$B,$A415,従業員の給与情報!$E:$E)),0,IF(ISERROR(AVERAGEIF(従業員の給与情報!$B:$B,$A415,従業員の給与情報!$E:$E)),0,AVERAGEIF(従業員の給与情報!$B:$B,$A415,従業員の給与情報!$E:$E)))))</f>
        <v/>
      </c>
      <c r="V415" s="117" t="str">
        <f>IF(OR(入力シート!$C$5&lt;&gt;入力リスト!$N$4,COUNTIF(入力シート!$J$16:$S$23,入力リスト!$K$4)=0),"",IF(A415="","",IF(ISERROR(AVERAGEIF(従業員の給与情報!$B:$B,$A415,従業員の給与情報!$F:$F)),0,IF(ISERROR(AVERAGEIF(従業員の給与情報!$B:$B,$A415,従業員の給与情報!$F:$F)),0,AVERAGEIF(従業員の給与情報!$B:$B,$A415,従業員の給与情報!$F:$F)))))</f>
        <v/>
      </c>
      <c r="W415" s="182"/>
      <c r="X415" s="260"/>
    </row>
    <row r="416" spans="1:24">
      <c r="A416" s="368"/>
      <c r="B416" s="361"/>
      <c r="C416" s="362"/>
      <c r="D416" s="361"/>
      <c r="E416" s="361"/>
      <c r="F416" s="372" t="str">
        <f>IF(G416,"この従業員番号は、すでに他のセルで入力されています。",IF(入力シート!$C$5=入力リスト!$N$5,"",IF(AND(A416="",B416="",C416="",D416="",E416=""),"",IF(OR(A416="",B416="",C416="",D416=""),IF(A416="","従業員番号","")&amp;IF(AND(A416="",OR(B416="",C416="",D416="")),",","")&amp;IF(B416="","雇用形態","")&amp;IF(AND(B416="",OR(C416="",D416="")),",","")&amp;IF(OR(入力シート!$J$18=入力リスト!$K$4,入力シート!$J$22=入力リスト!$K$4),IF(C416="","入社年月日",""),"")&amp;IF(AND(C416="",D416=""),",","")&amp;IF(D416="","性別","")&amp;IF(IF(A416="","従業員番号","")&amp;IF(B416="","雇用形態","")&amp;IF(OR(入力シート!$J$18=入力リスト!$K$4,入力シート!$J$22=入力リスト!$K$4),IF(C416="","入社年月日",""),"")&amp;IF(D416="","性別","")="","","が空白です。"),IF(J416,"入社年月日に「基準日」の翌日以降の日付が入力されています。","")&amp;IF(I416,"入社年月日に数値以外（又は1900/1/1以前の日付）が入力されています。","")&amp;IF(H416,"雇用形態"&amp;IF(OR(K416,L416),",",""),"")&amp;IF(K416,"性別"&amp;IF(L416,",",""),"")&amp;IF(L416,"役職","")&amp;IF(OR(H416,K416,L416),"に、［入力シート］(4)「貴社」欄と異なる文言が入力されています。","")))))</f>
        <v/>
      </c>
      <c r="G416" s="236" t="b">
        <f>COUNTIF($A$4:A415,$A416)&gt;0</f>
        <v>0</v>
      </c>
      <c r="H416" s="237" t="b">
        <f>IF(COUNTIF(入力シート!$J$16:$S$23,入力リスト!$K$4)=0,FALSE,IF(入力シート!$J$16=入力リスト!$K$5,FALSE,ISERROR(VLOOKUP(B416,入力シート!$S$37:$V$62,1,0))))</f>
        <v>0</v>
      </c>
      <c r="I416" s="237" t="b">
        <f>IF(AND(OR(入力シート!$J$18=入力リスト!$K$4,入力シート!$J$22=入力リスト!$K$4),入力シート!$J$24&lt;&gt;""),IF(ISERROR(C416+1),TRUE,IF(ISNUMBER(C416),FALSE,TRUE)),FALSE)</f>
        <v>0</v>
      </c>
      <c r="J416" s="237" t="b">
        <f>IF(AND(入力シート!$J$18=入力リスト!$K$4,入力シート!$J$22=入力リスト!$K$4),FALSE,IF(I416=TRUE,FALSE,IF(ISERROR(C416+1),FALSE,C416&gt;入力シート!$J$24)))</f>
        <v>0</v>
      </c>
      <c r="K416" s="237" t="b">
        <f>IF(COUNTIF(入力シート!$J$16:$S$23,入力リスト!$K$4)=0,FALSE,IF(AND(入力シート!$J$16&lt;&gt;入力リスト!$K$5,入力シート!$J$18&lt;&gt;入力リスト!$K$5,入力シート!$J$20&lt;&gt;入力リスト!$K$5,入力シート!$J$22&lt;&gt;入力リスト!$K$5),FALSE,ISERROR(VLOOKUP(D416,入力シート!$AW$37:$AY$38,1,0))))</f>
        <v>0</v>
      </c>
      <c r="L416" s="237" t="b">
        <f>IF(COUNTIF(入力シート!$J$16:$S$23,入力リスト!$K$4)=0,FALSE,IF(入力シート!$J$20=入力リスト!$K$5,FALSE,IF(E416="",FALSE,ISERROR(VLOOKUP(E416,入力シート!$AH$37:$AK$62,1,0)))))</f>
        <v>0</v>
      </c>
      <c r="M416" s="238" t="str">
        <f t="shared" si="6"/>
        <v/>
      </c>
      <c r="N416" s="236" t="str">
        <f>IF(B416="","",VLOOKUP('従業員情報(給与以外)'!$B416,入力シート!$S$37:$Z$62,5,0))</f>
        <v/>
      </c>
      <c r="O416" s="182" t="str">
        <f>IF(ISNUMBER(C416)=FALSE,"",IF(C416&gt;入力シート!$J$24,"",_xlfn.DAYS(入力シート!$J$24,'従業員情報(給与以外)'!$C416)/365))</f>
        <v/>
      </c>
      <c r="P416" s="237" t="str">
        <f>IF(O416="","",VLOOKUP(_xlfn.DAYS(入力シート!$J$24,'従業員情報(給与以外)'!$C416)/365,入力リスト!$H$4:$I$12,2,2))</f>
        <v/>
      </c>
      <c r="Q416" s="236" t="str">
        <f>IF(D416="","",VLOOKUP('従業員情報(給与以外)'!$D416,入力シート!$AW$37:$BB$38,4,0))</f>
        <v/>
      </c>
      <c r="R416" s="236" t="str">
        <f>IF(A416="","",IF(E416="","非役職",VLOOKUP('従業員情報(給与以外)'!$E416,入力シート!$AH$37:$AO$62,5,0)))</f>
        <v/>
      </c>
      <c r="S416" s="116" t="str">
        <f>IF(OR(入力シート!$C$5&lt;&gt;入力リスト!$N$4,COUNTIF(入力シート!$J$16:$S$23,入力リスト!$K$4)=0),"",IF($A416="","",IF(ISERROR(AVERAGEIF(従業員の給与情報!$B:$B,$A416,従業員の給与情報!$C:$C)),0,IF(ISERROR(AVERAGEIF(従業員の給与情報!$B:$B,$A416,従業員の給与情報!$C:$C)),0,AVERAGEIF(従業員の給与情報!$B:$B,$A416,従業員の給与情報!$C:$C)))))</f>
        <v/>
      </c>
      <c r="T416" s="116" t="str">
        <f>IF(OR(入力シート!$C$5&lt;&gt;入力リスト!$N$4,COUNTIF(入力シート!$J$16:$S$23,入力リスト!$K$4)=0),"",IF(A416="","",IF(ISERROR(AVERAGEIF(従業員の給与情報!$B:$B,$A416,従業員の給与情報!$D:$D)),0,IF(ISERROR(AVERAGEIF(従業員の給与情報!$B:$B,$A416,従業員の給与情報!$D:$D)),0,AVERAGEIF(従業員の給与情報!$B:$B,$A416,従業員の給与情報!$D:$D)))))</f>
        <v/>
      </c>
      <c r="U416" s="116" t="str">
        <f>IF(OR(入力シート!$C$5&lt;&gt;入力リスト!$N$4,COUNTIF(入力シート!$J$16:$S$23,入力リスト!$K$4)=0),"",IF(A416="","",IF(ISERROR(AVERAGEIF(従業員の給与情報!$B:$B,$A416,従業員の給与情報!$E:$E)),0,IF(ISERROR(AVERAGEIF(従業員の給与情報!$B:$B,$A416,従業員の給与情報!$E:$E)),0,AVERAGEIF(従業員の給与情報!$B:$B,$A416,従業員の給与情報!$E:$E)))))</f>
        <v/>
      </c>
      <c r="V416" s="117" t="str">
        <f>IF(OR(入力シート!$C$5&lt;&gt;入力リスト!$N$4,COUNTIF(入力シート!$J$16:$S$23,入力リスト!$K$4)=0),"",IF(A416="","",IF(ISERROR(AVERAGEIF(従業員の給与情報!$B:$B,$A416,従業員の給与情報!$F:$F)),0,IF(ISERROR(AVERAGEIF(従業員の給与情報!$B:$B,$A416,従業員の給与情報!$F:$F)),0,AVERAGEIF(従業員の給与情報!$B:$B,$A416,従業員の給与情報!$F:$F)))))</f>
        <v/>
      </c>
      <c r="W416" s="182"/>
      <c r="X416" s="260"/>
    </row>
    <row r="417" spans="1:24">
      <c r="A417" s="368"/>
      <c r="B417" s="361"/>
      <c r="C417" s="362"/>
      <c r="D417" s="361"/>
      <c r="E417" s="361"/>
      <c r="F417" s="372" t="str">
        <f>IF(G417,"この従業員番号は、すでに他のセルで入力されています。",IF(入力シート!$C$5=入力リスト!$N$5,"",IF(AND(A417="",B417="",C417="",D417="",E417=""),"",IF(OR(A417="",B417="",C417="",D417=""),IF(A417="","従業員番号","")&amp;IF(AND(A417="",OR(B417="",C417="",D417="")),",","")&amp;IF(B417="","雇用形態","")&amp;IF(AND(B417="",OR(C417="",D417="")),",","")&amp;IF(OR(入力シート!$J$18=入力リスト!$K$4,入力シート!$J$22=入力リスト!$K$4),IF(C417="","入社年月日",""),"")&amp;IF(AND(C417="",D417=""),",","")&amp;IF(D417="","性別","")&amp;IF(IF(A417="","従業員番号","")&amp;IF(B417="","雇用形態","")&amp;IF(OR(入力シート!$J$18=入力リスト!$K$4,入力シート!$J$22=入力リスト!$K$4),IF(C417="","入社年月日",""),"")&amp;IF(D417="","性別","")="","","が空白です。"),IF(J417,"入社年月日に「基準日」の翌日以降の日付が入力されています。","")&amp;IF(I417,"入社年月日に数値以外（又は1900/1/1以前の日付）が入力されています。","")&amp;IF(H417,"雇用形態"&amp;IF(OR(K417,L417),",",""),"")&amp;IF(K417,"性別"&amp;IF(L417,",",""),"")&amp;IF(L417,"役職","")&amp;IF(OR(H417,K417,L417),"に、［入力シート］(4)「貴社」欄と異なる文言が入力されています。","")))))</f>
        <v/>
      </c>
      <c r="G417" s="236" t="b">
        <f>COUNTIF($A$4:A416,$A417)&gt;0</f>
        <v>0</v>
      </c>
      <c r="H417" s="237" t="b">
        <f>IF(COUNTIF(入力シート!$J$16:$S$23,入力リスト!$K$4)=0,FALSE,IF(入力シート!$J$16=入力リスト!$K$5,FALSE,ISERROR(VLOOKUP(B417,入力シート!$S$37:$V$62,1,0))))</f>
        <v>0</v>
      </c>
      <c r="I417" s="237" t="b">
        <f>IF(AND(OR(入力シート!$J$18=入力リスト!$K$4,入力シート!$J$22=入力リスト!$K$4),入力シート!$J$24&lt;&gt;""),IF(ISERROR(C417+1),TRUE,IF(ISNUMBER(C417),FALSE,TRUE)),FALSE)</f>
        <v>0</v>
      </c>
      <c r="J417" s="237" t="b">
        <f>IF(AND(入力シート!$J$18=入力リスト!$K$4,入力シート!$J$22=入力リスト!$K$4),FALSE,IF(I417=TRUE,FALSE,IF(ISERROR(C417+1),FALSE,C417&gt;入力シート!$J$24)))</f>
        <v>0</v>
      </c>
      <c r="K417" s="237" t="b">
        <f>IF(COUNTIF(入力シート!$J$16:$S$23,入力リスト!$K$4)=0,FALSE,IF(AND(入力シート!$J$16&lt;&gt;入力リスト!$K$5,入力シート!$J$18&lt;&gt;入力リスト!$K$5,入力シート!$J$20&lt;&gt;入力リスト!$K$5,入力シート!$J$22&lt;&gt;入力リスト!$K$5),FALSE,ISERROR(VLOOKUP(D417,入力シート!$AW$37:$AY$38,1,0))))</f>
        <v>0</v>
      </c>
      <c r="L417" s="237" t="b">
        <f>IF(COUNTIF(入力シート!$J$16:$S$23,入力リスト!$K$4)=0,FALSE,IF(入力シート!$J$20=入力リスト!$K$5,FALSE,IF(E417="",FALSE,ISERROR(VLOOKUP(E417,入力シート!$AH$37:$AK$62,1,0)))))</f>
        <v>0</v>
      </c>
      <c r="M417" s="238" t="str">
        <f t="shared" si="6"/>
        <v/>
      </c>
      <c r="N417" s="236" t="str">
        <f>IF(B417="","",VLOOKUP('従業員情報(給与以外)'!$B417,入力シート!$S$37:$Z$62,5,0))</f>
        <v/>
      </c>
      <c r="O417" s="182" t="str">
        <f>IF(ISNUMBER(C417)=FALSE,"",IF(C417&gt;入力シート!$J$24,"",_xlfn.DAYS(入力シート!$J$24,'従業員情報(給与以外)'!$C417)/365))</f>
        <v/>
      </c>
      <c r="P417" s="237" t="str">
        <f>IF(O417="","",VLOOKUP(_xlfn.DAYS(入力シート!$J$24,'従業員情報(給与以外)'!$C417)/365,入力リスト!$H$4:$I$12,2,2))</f>
        <v/>
      </c>
      <c r="Q417" s="236" t="str">
        <f>IF(D417="","",VLOOKUP('従業員情報(給与以外)'!$D417,入力シート!$AW$37:$BB$38,4,0))</f>
        <v/>
      </c>
      <c r="R417" s="236" t="str">
        <f>IF(A417="","",IF(E417="","非役職",VLOOKUP('従業員情報(給与以外)'!$E417,入力シート!$AH$37:$AO$62,5,0)))</f>
        <v/>
      </c>
      <c r="S417" s="116" t="str">
        <f>IF(OR(入力シート!$C$5&lt;&gt;入力リスト!$N$4,COUNTIF(入力シート!$J$16:$S$23,入力リスト!$K$4)=0),"",IF($A417="","",IF(ISERROR(AVERAGEIF(従業員の給与情報!$B:$B,$A417,従業員の給与情報!$C:$C)),0,IF(ISERROR(AVERAGEIF(従業員の給与情報!$B:$B,$A417,従業員の給与情報!$C:$C)),0,AVERAGEIF(従業員の給与情報!$B:$B,$A417,従業員の給与情報!$C:$C)))))</f>
        <v/>
      </c>
      <c r="T417" s="116" t="str">
        <f>IF(OR(入力シート!$C$5&lt;&gt;入力リスト!$N$4,COUNTIF(入力シート!$J$16:$S$23,入力リスト!$K$4)=0),"",IF(A417="","",IF(ISERROR(AVERAGEIF(従業員の給与情報!$B:$B,$A417,従業員の給与情報!$D:$D)),0,IF(ISERROR(AVERAGEIF(従業員の給与情報!$B:$B,$A417,従業員の給与情報!$D:$D)),0,AVERAGEIF(従業員の給与情報!$B:$B,$A417,従業員の給与情報!$D:$D)))))</f>
        <v/>
      </c>
      <c r="U417" s="116" t="str">
        <f>IF(OR(入力シート!$C$5&lt;&gt;入力リスト!$N$4,COUNTIF(入力シート!$J$16:$S$23,入力リスト!$K$4)=0),"",IF(A417="","",IF(ISERROR(AVERAGEIF(従業員の給与情報!$B:$B,$A417,従業員の給与情報!$E:$E)),0,IF(ISERROR(AVERAGEIF(従業員の給与情報!$B:$B,$A417,従業員の給与情報!$E:$E)),0,AVERAGEIF(従業員の給与情報!$B:$B,$A417,従業員の給与情報!$E:$E)))))</f>
        <v/>
      </c>
      <c r="V417" s="117" t="str">
        <f>IF(OR(入力シート!$C$5&lt;&gt;入力リスト!$N$4,COUNTIF(入力シート!$J$16:$S$23,入力リスト!$K$4)=0),"",IF(A417="","",IF(ISERROR(AVERAGEIF(従業員の給与情報!$B:$B,$A417,従業員の給与情報!$F:$F)),0,IF(ISERROR(AVERAGEIF(従業員の給与情報!$B:$B,$A417,従業員の給与情報!$F:$F)),0,AVERAGEIF(従業員の給与情報!$B:$B,$A417,従業員の給与情報!$F:$F)))))</f>
        <v/>
      </c>
      <c r="W417" s="182"/>
      <c r="X417" s="260"/>
    </row>
    <row r="418" spans="1:24">
      <c r="A418" s="368"/>
      <c r="B418" s="361"/>
      <c r="C418" s="362"/>
      <c r="D418" s="361"/>
      <c r="E418" s="361"/>
      <c r="F418" s="372" t="str">
        <f>IF(G418,"この従業員番号は、すでに他のセルで入力されています。",IF(入力シート!$C$5=入力リスト!$N$5,"",IF(AND(A418="",B418="",C418="",D418="",E418=""),"",IF(OR(A418="",B418="",C418="",D418=""),IF(A418="","従業員番号","")&amp;IF(AND(A418="",OR(B418="",C418="",D418="")),",","")&amp;IF(B418="","雇用形態","")&amp;IF(AND(B418="",OR(C418="",D418="")),",","")&amp;IF(OR(入力シート!$J$18=入力リスト!$K$4,入力シート!$J$22=入力リスト!$K$4),IF(C418="","入社年月日",""),"")&amp;IF(AND(C418="",D418=""),",","")&amp;IF(D418="","性別","")&amp;IF(IF(A418="","従業員番号","")&amp;IF(B418="","雇用形態","")&amp;IF(OR(入力シート!$J$18=入力リスト!$K$4,入力シート!$J$22=入力リスト!$K$4),IF(C418="","入社年月日",""),"")&amp;IF(D418="","性別","")="","","が空白です。"),IF(J418,"入社年月日に「基準日」の翌日以降の日付が入力されています。","")&amp;IF(I418,"入社年月日に数値以外（又は1900/1/1以前の日付）が入力されています。","")&amp;IF(H418,"雇用形態"&amp;IF(OR(K418,L418),",",""),"")&amp;IF(K418,"性別"&amp;IF(L418,",",""),"")&amp;IF(L418,"役職","")&amp;IF(OR(H418,K418,L418),"に、［入力シート］(4)「貴社」欄と異なる文言が入力されています。","")))))</f>
        <v/>
      </c>
      <c r="G418" s="236" t="b">
        <f>COUNTIF($A$4:A417,$A418)&gt;0</f>
        <v>0</v>
      </c>
      <c r="H418" s="237" t="b">
        <f>IF(COUNTIF(入力シート!$J$16:$S$23,入力リスト!$K$4)=0,FALSE,IF(入力シート!$J$16=入力リスト!$K$5,FALSE,ISERROR(VLOOKUP(B418,入力シート!$S$37:$V$62,1,0))))</f>
        <v>0</v>
      </c>
      <c r="I418" s="237" t="b">
        <f>IF(AND(OR(入力シート!$J$18=入力リスト!$K$4,入力シート!$J$22=入力リスト!$K$4),入力シート!$J$24&lt;&gt;""),IF(ISERROR(C418+1),TRUE,IF(ISNUMBER(C418),FALSE,TRUE)),FALSE)</f>
        <v>0</v>
      </c>
      <c r="J418" s="237" t="b">
        <f>IF(AND(入力シート!$J$18=入力リスト!$K$4,入力シート!$J$22=入力リスト!$K$4),FALSE,IF(I418=TRUE,FALSE,IF(ISERROR(C418+1),FALSE,C418&gt;入力シート!$J$24)))</f>
        <v>0</v>
      </c>
      <c r="K418" s="237" t="b">
        <f>IF(COUNTIF(入力シート!$J$16:$S$23,入力リスト!$K$4)=0,FALSE,IF(AND(入力シート!$J$16&lt;&gt;入力リスト!$K$5,入力シート!$J$18&lt;&gt;入力リスト!$K$5,入力シート!$J$20&lt;&gt;入力リスト!$K$5,入力シート!$J$22&lt;&gt;入力リスト!$K$5),FALSE,ISERROR(VLOOKUP(D418,入力シート!$AW$37:$AY$38,1,0))))</f>
        <v>0</v>
      </c>
      <c r="L418" s="237" t="b">
        <f>IF(COUNTIF(入力シート!$J$16:$S$23,入力リスト!$K$4)=0,FALSE,IF(入力シート!$J$20=入力リスト!$K$5,FALSE,IF(E418="",FALSE,ISERROR(VLOOKUP(E418,入力シート!$AH$37:$AK$62,1,0)))))</f>
        <v>0</v>
      </c>
      <c r="M418" s="238" t="str">
        <f t="shared" si="6"/>
        <v/>
      </c>
      <c r="N418" s="236" t="str">
        <f>IF(B418="","",VLOOKUP('従業員情報(給与以外)'!$B418,入力シート!$S$37:$Z$62,5,0))</f>
        <v/>
      </c>
      <c r="O418" s="182" t="str">
        <f>IF(ISNUMBER(C418)=FALSE,"",IF(C418&gt;入力シート!$J$24,"",_xlfn.DAYS(入力シート!$J$24,'従業員情報(給与以外)'!$C418)/365))</f>
        <v/>
      </c>
      <c r="P418" s="237" t="str">
        <f>IF(O418="","",VLOOKUP(_xlfn.DAYS(入力シート!$J$24,'従業員情報(給与以外)'!$C418)/365,入力リスト!$H$4:$I$12,2,2))</f>
        <v/>
      </c>
      <c r="Q418" s="236" t="str">
        <f>IF(D418="","",VLOOKUP('従業員情報(給与以外)'!$D418,入力シート!$AW$37:$BB$38,4,0))</f>
        <v/>
      </c>
      <c r="R418" s="236" t="str">
        <f>IF(A418="","",IF(E418="","非役職",VLOOKUP('従業員情報(給与以外)'!$E418,入力シート!$AH$37:$AO$62,5,0)))</f>
        <v/>
      </c>
      <c r="S418" s="116" t="str">
        <f>IF(OR(入力シート!$C$5&lt;&gt;入力リスト!$N$4,COUNTIF(入力シート!$J$16:$S$23,入力リスト!$K$4)=0),"",IF($A418="","",IF(ISERROR(AVERAGEIF(従業員の給与情報!$B:$B,$A418,従業員の給与情報!$C:$C)),0,IF(ISERROR(AVERAGEIF(従業員の給与情報!$B:$B,$A418,従業員の給与情報!$C:$C)),0,AVERAGEIF(従業員の給与情報!$B:$B,$A418,従業員の給与情報!$C:$C)))))</f>
        <v/>
      </c>
      <c r="T418" s="116" t="str">
        <f>IF(OR(入力シート!$C$5&lt;&gt;入力リスト!$N$4,COUNTIF(入力シート!$J$16:$S$23,入力リスト!$K$4)=0),"",IF(A418="","",IF(ISERROR(AVERAGEIF(従業員の給与情報!$B:$B,$A418,従業員の給与情報!$D:$D)),0,IF(ISERROR(AVERAGEIF(従業員の給与情報!$B:$B,$A418,従業員の給与情報!$D:$D)),0,AVERAGEIF(従業員の給与情報!$B:$B,$A418,従業員の給与情報!$D:$D)))))</f>
        <v/>
      </c>
      <c r="U418" s="116" t="str">
        <f>IF(OR(入力シート!$C$5&lt;&gt;入力リスト!$N$4,COUNTIF(入力シート!$J$16:$S$23,入力リスト!$K$4)=0),"",IF(A418="","",IF(ISERROR(AVERAGEIF(従業員の給与情報!$B:$B,$A418,従業員の給与情報!$E:$E)),0,IF(ISERROR(AVERAGEIF(従業員の給与情報!$B:$B,$A418,従業員の給与情報!$E:$E)),0,AVERAGEIF(従業員の給与情報!$B:$B,$A418,従業員の給与情報!$E:$E)))))</f>
        <v/>
      </c>
      <c r="V418" s="117" t="str">
        <f>IF(OR(入力シート!$C$5&lt;&gt;入力リスト!$N$4,COUNTIF(入力シート!$J$16:$S$23,入力リスト!$K$4)=0),"",IF(A418="","",IF(ISERROR(AVERAGEIF(従業員の給与情報!$B:$B,$A418,従業員の給与情報!$F:$F)),0,IF(ISERROR(AVERAGEIF(従業員の給与情報!$B:$B,$A418,従業員の給与情報!$F:$F)),0,AVERAGEIF(従業員の給与情報!$B:$B,$A418,従業員の給与情報!$F:$F)))))</f>
        <v/>
      </c>
      <c r="W418" s="182"/>
      <c r="X418" s="260"/>
    </row>
    <row r="419" spans="1:24">
      <c r="A419" s="368"/>
      <c r="B419" s="361"/>
      <c r="C419" s="362"/>
      <c r="D419" s="361"/>
      <c r="E419" s="361"/>
      <c r="F419" s="372" t="str">
        <f>IF(G419,"この従業員番号は、すでに他のセルで入力されています。",IF(入力シート!$C$5=入力リスト!$N$5,"",IF(AND(A419="",B419="",C419="",D419="",E419=""),"",IF(OR(A419="",B419="",C419="",D419=""),IF(A419="","従業員番号","")&amp;IF(AND(A419="",OR(B419="",C419="",D419="")),",","")&amp;IF(B419="","雇用形態","")&amp;IF(AND(B419="",OR(C419="",D419="")),",","")&amp;IF(OR(入力シート!$J$18=入力リスト!$K$4,入力シート!$J$22=入力リスト!$K$4),IF(C419="","入社年月日",""),"")&amp;IF(AND(C419="",D419=""),",","")&amp;IF(D419="","性別","")&amp;IF(IF(A419="","従業員番号","")&amp;IF(B419="","雇用形態","")&amp;IF(OR(入力シート!$J$18=入力リスト!$K$4,入力シート!$J$22=入力リスト!$K$4),IF(C419="","入社年月日",""),"")&amp;IF(D419="","性別","")="","","が空白です。"),IF(J419,"入社年月日に「基準日」の翌日以降の日付が入力されています。","")&amp;IF(I419,"入社年月日に数値以外（又は1900/1/1以前の日付）が入力されています。","")&amp;IF(H419,"雇用形態"&amp;IF(OR(K419,L419),",",""),"")&amp;IF(K419,"性別"&amp;IF(L419,",",""),"")&amp;IF(L419,"役職","")&amp;IF(OR(H419,K419,L419),"に、［入力シート］(4)「貴社」欄と異なる文言が入力されています。","")))))</f>
        <v/>
      </c>
      <c r="G419" s="236" t="b">
        <f>COUNTIF($A$4:A418,$A419)&gt;0</f>
        <v>0</v>
      </c>
      <c r="H419" s="237" t="b">
        <f>IF(COUNTIF(入力シート!$J$16:$S$23,入力リスト!$K$4)=0,FALSE,IF(入力シート!$J$16=入力リスト!$K$5,FALSE,ISERROR(VLOOKUP(B419,入力シート!$S$37:$V$62,1,0))))</f>
        <v>0</v>
      </c>
      <c r="I419" s="237" t="b">
        <f>IF(AND(OR(入力シート!$J$18=入力リスト!$K$4,入力シート!$J$22=入力リスト!$K$4),入力シート!$J$24&lt;&gt;""),IF(ISERROR(C419+1),TRUE,IF(ISNUMBER(C419),FALSE,TRUE)),FALSE)</f>
        <v>0</v>
      </c>
      <c r="J419" s="237" t="b">
        <f>IF(AND(入力シート!$J$18=入力リスト!$K$4,入力シート!$J$22=入力リスト!$K$4),FALSE,IF(I419=TRUE,FALSE,IF(ISERROR(C419+1),FALSE,C419&gt;入力シート!$J$24)))</f>
        <v>0</v>
      </c>
      <c r="K419" s="237" t="b">
        <f>IF(COUNTIF(入力シート!$J$16:$S$23,入力リスト!$K$4)=0,FALSE,IF(AND(入力シート!$J$16&lt;&gt;入力リスト!$K$5,入力シート!$J$18&lt;&gt;入力リスト!$K$5,入力シート!$J$20&lt;&gt;入力リスト!$K$5,入力シート!$J$22&lt;&gt;入力リスト!$K$5),FALSE,ISERROR(VLOOKUP(D419,入力シート!$AW$37:$AY$38,1,0))))</f>
        <v>0</v>
      </c>
      <c r="L419" s="237" t="b">
        <f>IF(COUNTIF(入力シート!$J$16:$S$23,入力リスト!$K$4)=0,FALSE,IF(入力シート!$J$20=入力リスト!$K$5,FALSE,IF(E419="",FALSE,ISERROR(VLOOKUP(E419,入力シート!$AH$37:$AK$62,1,0)))))</f>
        <v>0</v>
      </c>
      <c r="M419" s="238" t="str">
        <f t="shared" si="6"/>
        <v/>
      </c>
      <c r="N419" s="236" t="str">
        <f>IF(B419="","",VLOOKUP('従業員情報(給与以外)'!$B419,入力シート!$S$37:$Z$62,5,0))</f>
        <v/>
      </c>
      <c r="O419" s="182" t="str">
        <f>IF(ISNUMBER(C419)=FALSE,"",IF(C419&gt;入力シート!$J$24,"",_xlfn.DAYS(入力シート!$J$24,'従業員情報(給与以外)'!$C419)/365))</f>
        <v/>
      </c>
      <c r="P419" s="237" t="str">
        <f>IF(O419="","",VLOOKUP(_xlfn.DAYS(入力シート!$J$24,'従業員情報(給与以外)'!$C419)/365,入力リスト!$H$4:$I$12,2,2))</f>
        <v/>
      </c>
      <c r="Q419" s="236" t="str">
        <f>IF(D419="","",VLOOKUP('従業員情報(給与以外)'!$D419,入力シート!$AW$37:$BB$38,4,0))</f>
        <v/>
      </c>
      <c r="R419" s="236" t="str">
        <f>IF(A419="","",IF(E419="","非役職",VLOOKUP('従業員情報(給与以外)'!$E419,入力シート!$AH$37:$AO$62,5,0)))</f>
        <v/>
      </c>
      <c r="S419" s="116" t="str">
        <f>IF(OR(入力シート!$C$5&lt;&gt;入力リスト!$N$4,COUNTIF(入力シート!$J$16:$S$23,入力リスト!$K$4)=0),"",IF($A419="","",IF(ISERROR(AVERAGEIF(従業員の給与情報!$B:$B,$A419,従業員の給与情報!$C:$C)),0,IF(ISERROR(AVERAGEIF(従業員の給与情報!$B:$B,$A419,従業員の給与情報!$C:$C)),0,AVERAGEIF(従業員の給与情報!$B:$B,$A419,従業員の給与情報!$C:$C)))))</f>
        <v/>
      </c>
      <c r="T419" s="116" t="str">
        <f>IF(OR(入力シート!$C$5&lt;&gt;入力リスト!$N$4,COUNTIF(入力シート!$J$16:$S$23,入力リスト!$K$4)=0),"",IF(A419="","",IF(ISERROR(AVERAGEIF(従業員の給与情報!$B:$B,$A419,従業員の給与情報!$D:$D)),0,IF(ISERROR(AVERAGEIF(従業員の給与情報!$B:$B,$A419,従業員の給与情報!$D:$D)),0,AVERAGEIF(従業員の給与情報!$B:$B,$A419,従業員の給与情報!$D:$D)))))</f>
        <v/>
      </c>
      <c r="U419" s="116" t="str">
        <f>IF(OR(入力シート!$C$5&lt;&gt;入力リスト!$N$4,COUNTIF(入力シート!$J$16:$S$23,入力リスト!$K$4)=0),"",IF(A419="","",IF(ISERROR(AVERAGEIF(従業員の給与情報!$B:$B,$A419,従業員の給与情報!$E:$E)),0,IF(ISERROR(AVERAGEIF(従業員の給与情報!$B:$B,$A419,従業員の給与情報!$E:$E)),0,AVERAGEIF(従業員の給与情報!$B:$B,$A419,従業員の給与情報!$E:$E)))))</f>
        <v/>
      </c>
      <c r="V419" s="117" t="str">
        <f>IF(OR(入力シート!$C$5&lt;&gt;入力リスト!$N$4,COUNTIF(入力シート!$J$16:$S$23,入力リスト!$K$4)=0),"",IF(A419="","",IF(ISERROR(AVERAGEIF(従業員の給与情報!$B:$B,$A419,従業員の給与情報!$F:$F)),0,IF(ISERROR(AVERAGEIF(従業員の給与情報!$B:$B,$A419,従業員の給与情報!$F:$F)),0,AVERAGEIF(従業員の給与情報!$B:$B,$A419,従業員の給与情報!$F:$F)))))</f>
        <v/>
      </c>
      <c r="W419" s="182"/>
      <c r="X419" s="260"/>
    </row>
    <row r="420" spans="1:24">
      <c r="A420" s="368"/>
      <c r="B420" s="361"/>
      <c r="C420" s="362"/>
      <c r="D420" s="361"/>
      <c r="E420" s="361"/>
      <c r="F420" s="372" t="str">
        <f>IF(G420,"この従業員番号は、すでに他のセルで入力されています。",IF(入力シート!$C$5=入力リスト!$N$5,"",IF(AND(A420="",B420="",C420="",D420="",E420=""),"",IF(OR(A420="",B420="",C420="",D420=""),IF(A420="","従業員番号","")&amp;IF(AND(A420="",OR(B420="",C420="",D420="")),",","")&amp;IF(B420="","雇用形態","")&amp;IF(AND(B420="",OR(C420="",D420="")),",","")&amp;IF(OR(入力シート!$J$18=入力リスト!$K$4,入力シート!$J$22=入力リスト!$K$4),IF(C420="","入社年月日",""),"")&amp;IF(AND(C420="",D420=""),",","")&amp;IF(D420="","性別","")&amp;IF(IF(A420="","従業員番号","")&amp;IF(B420="","雇用形態","")&amp;IF(OR(入力シート!$J$18=入力リスト!$K$4,入力シート!$J$22=入力リスト!$K$4),IF(C420="","入社年月日",""),"")&amp;IF(D420="","性別","")="","","が空白です。"),IF(J420,"入社年月日に「基準日」の翌日以降の日付が入力されています。","")&amp;IF(I420,"入社年月日に数値以外（又は1900/1/1以前の日付）が入力されています。","")&amp;IF(H420,"雇用形態"&amp;IF(OR(K420,L420),",",""),"")&amp;IF(K420,"性別"&amp;IF(L420,",",""),"")&amp;IF(L420,"役職","")&amp;IF(OR(H420,K420,L420),"に、［入力シート］(4)「貴社」欄と異なる文言が入力されています。","")))))</f>
        <v/>
      </c>
      <c r="G420" s="236" t="b">
        <f>COUNTIF($A$4:A419,$A420)&gt;0</f>
        <v>0</v>
      </c>
      <c r="H420" s="237" t="b">
        <f>IF(COUNTIF(入力シート!$J$16:$S$23,入力リスト!$K$4)=0,FALSE,IF(入力シート!$J$16=入力リスト!$K$5,FALSE,ISERROR(VLOOKUP(B420,入力シート!$S$37:$V$62,1,0))))</f>
        <v>0</v>
      </c>
      <c r="I420" s="237" t="b">
        <f>IF(AND(OR(入力シート!$J$18=入力リスト!$K$4,入力シート!$J$22=入力リスト!$K$4),入力シート!$J$24&lt;&gt;""),IF(ISERROR(C420+1),TRUE,IF(ISNUMBER(C420),FALSE,TRUE)),FALSE)</f>
        <v>0</v>
      </c>
      <c r="J420" s="237" t="b">
        <f>IF(AND(入力シート!$J$18=入力リスト!$K$4,入力シート!$J$22=入力リスト!$K$4),FALSE,IF(I420=TRUE,FALSE,IF(ISERROR(C420+1),FALSE,C420&gt;入力シート!$J$24)))</f>
        <v>0</v>
      </c>
      <c r="K420" s="237" t="b">
        <f>IF(COUNTIF(入力シート!$J$16:$S$23,入力リスト!$K$4)=0,FALSE,IF(AND(入力シート!$J$16&lt;&gt;入力リスト!$K$5,入力シート!$J$18&lt;&gt;入力リスト!$K$5,入力シート!$J$20&lt;&gt;入力リスト!$K$5,入力シート!$J$22&lt;&gt;入力リスト!$K$5),FALSE,ISERROR(VLOOKUP(D420,入力シート!$AW$37:$AY$38,1,0))))</f>
        <v>0</v>
      </c>
      <c r="L420" s="237" t="b">
        <f>IF(COUNTIF(入力シート!$J$16:$S$23,入力リスト!$K$4)=0,FALSE,IF(入力シート!$J$20=入力リスト!$K$5,FALSE,IF(E420="",FALSE,ISERROR(VLOOKUP(E420,入力シート!$AH$37:$AK$62,1,0)))))</f>
        <v>0</v>
      </c>
      <c r="M420" s="238" t="str">
        <f t="shared" si="6"/>
        <v/>
      </c>
      <c r="N420" s="236" t="str">
        <f>IF(B420="","",VLOOKUP('従業員情報(給与以外)'!$B420,入力シート!$S$37:$Z$62,5,0))</f>
        <v/>
      </c>
      <c r="O420" s="182" t="str">
        <f>IF(ISNUMBER(C420)=FALSE,"",IF(C420&gt;入力シート!$J$24,"",_xlfn.DAYS(入力シート!$J$24,'従業員情報(給与以外)'!$C420)/365))</f>
        <v/>
      </c>
      <c r="P420" s="237" t="str">
        <f>IF(O420="","",VLOOKUP(_xlfn.DAYS(入力シート!$J$24,'従業員情報(給与以外)'!$C420)/365,入力リスト!$H$4:$I$12,2,2))</f>
        <v/>
      </c>
      <c r="Q420" s="236" t="str">
        <f>IF(D420="","",VLOOKUP('従業員情報(給与以外)'!$D420,入力シート!$AW$37:$BB$38,4,0))</f>
        <v/>
      </c>
      <c r="R420" s="236" t="str">
        <f>IF(A420="","",IF(E420="","非役職",VLOOKUP('従業員情報(給与以外)'!$E420,入力シート!$AH$37:$AO$62,5,0)))</f>
        <v/>
      </c>
      <c r="S420" s="116" t="str">
        <f>IF(OR(入力シート!$C$5&lt;&gt;入力リスト!$N$4,COUNTIF(入力シート!$J$16:$S$23,入力リスト!$K$4)=0),"",IF($A420="","",IF(ISERROR(AVERAGEIF(従業員の給与情報!$B:$B,$A420,従業員の給与情報!$C:$C)),0,IF(ISERROR(AVERAGEIF(従業員の給与情報!$B:$B,$A420,従業員の給与情報!$C:$C)),0,AVERAGEIF(従業員の給与情報!$B:$B,$A420,従業員の給与情報!$C:$C)))))</f>
        <v/>
      </c>
      <c r="T420" s="116" t="str">
        <f>IF(OR(入力シート!$C$5&lt;&gt;入力リスト!$N$4,COUNTIF(入力シート!$J$16:$S$23,入力リスト!$K$4)=0),"",IF(A420="","",IF(ISERROR(AVERAGEIF(従業員の給与情報!$B:$B,$A420,従業員の給与情報!$D:$D)),0,IF(ISERROR(AVERAGEIF(従業員の給与情報!$B:$B,$A420,従業員の給与情報!$D:$D)),0,AVERAGEIF(従業員の給与情報!$B:$B,$A420,従業員の給与情報!$D:$D)))))</f>
        <v/>
      </c>
      <c r="U420" s="116" t="str">
        <f>IF(OR(入力シート!$C$5&lt;&gt;入力リスト!$N$4,COUNTIF(入力シート!$J$16:$S$23,入力リスト!$K$4)=0),"",IF(A420="","",IF(ISERROR(AVERAGEIF(従業員の給与情報!$B:$B,$A420,従業員の給与情報!$E:$E)),0,IF(ISERROR(AVERAGEIF(従業員の給与情報!$B:$B,$A420,従業員の給与情報!$E:$E)),0,AVERAGEIF(従業員の給与情報!$B:$B,$A420,従業員の給与情報!$E:$E)))))</f>
        <v/>
      </c>
      <c r="V420" s="117" t="str">
        <f>IF(OR(入力シート!$C$5&lt;&gt;入力リスト!$N$4,COUNTIF(入力シート!$J$16:$S$23,入力リスト!$K$4)=0),"",IF(A420="","",IF(ISERROR(AVERAGEIF(従業員の給与情報!$B:$B,$A420,従業員の給与情報!$F:$F)),0,IF(ISERROR(AVERAGEIF(従業員の給与情報!$B:$B,$A420,従業員の給与情報!$F:$F)),0,AVERAGEIF(従業員の給与情報!$B:$B,$A420,従業員の給与情報!$F:$F)))))</f>
        <v/>
      </c>
      <c r="W420" s="182"/>
      <c r="X420" s="260"/>
    </row>
    <row r="421" spans="1:24">
      <c r="A421" s="368"/>
      <c r="B421" s="361"/>
      <c r="C421" s="362"/>
      <c r="D421" s="361"/>
      <c r="E421" s="361"/>
      <c r="F421" s="372" t="str">
        <f>IF(G421,"この従業員番号は、すでに他のセルで入力されています。",IF(入力シート!$C$5=入力リスト!$N$5,"",IF(AND(A421="",B421="",C421="",D421="",E421=""),"",IF(OR(A421="",B421="",C421="",D421=""),IF(A421="","従業員番号","")&amp;IF(AND(A421="",OR(B421="",C421="",D421="")),",","")&amp;IF(B421="","雇用形態","")&amp;IF(AND(B421="",OR(C421="",D421="")),",","")&amp;IF(OR(入力シート!$J$18=入力リスト!$K$4,入力シート!$J$22=入力リスト!$K$4),IF(C421="","入社年月日",""),"")&amp;IF(AND(C421="",D421=""),",","")&amp;IF(D421="","性別","")&amp;IF(IF(A421="","従業員番号","")&amp;IF(B421="","雇用形態","")&amp;IF(OR(入力シート!$J$18=入力リスト!$K$4,入力シート!$J$22=入力リスト!$K$4),IF(C421="","入社年月日",""),"")&amp;IF(D421="","性別","")="","","が空白です。"),IF(J421,"入社年月日に「基準日」の翌日以降の日付が入力されています。","")&amp;IF(I421,"入社年月日に数値以外（又は1900/1/1以前の日付）が入力されています。","")&amp;IF(H421,"雇用形態"&amp;IF(OR(K421,L421),",",""),"")&amp;IF(K421,"性別"&amp;IF(L421,",",""),"")&amp;IF(L421,"役職","")&amp;IF(OR(H421,K421,L421),"に、［入力シート］(4)「貴社」欄と異なる文言が入力されています。","")))))</f>
        <v/>
      </c>
      <c r="G421" s="236" t="b">
        <f>COUNTIF($A$4:A420,$A421)&gt;0</f>
        <v>0</v>
      </c>
      <c r="H421" s="237" t="b">
        <f>IF(COUNTIF(入力シート!$J$16:$S$23,入力リスト!$K$4)=0,FALSE,IF(入力シート!$J$16=入力リスト!$K$5,FALSE,ISERROR(VLOOKUP(B421,入力シート!$S$37:$V$62,1,0))))</f>
        <v>0</v>
      </c>
      <c r="I421" s="237" t="b">
        <f>IF(AND(OR(入力シート!$J$18=入力リスト!$K$4,入力シート!$J$22=入力リスト!$K$4),入力シート!$J$24&lt;&gt;""),IF(ISERROR(C421+1),TRUE,IF(ISNUMBER(C421),FALSE,TRUE)),FALSE)</f>
        <v>0</v>
      </c>
      <c r="J421" s="237" t="b">
        <f>IF(AND(入力シート!$J$18=入力リスト!$K$4,入力シート!$J$22=入力リスト!$K$4),FALSE,IF(I421=TRUE,FALSE,IF(ISERROR(C421+1),FALSE,C421&gt;入力シート!$J$24)))</f>
        <v>0</v>
      </c>
      <c r="K421" s="237" t="b">
        <f>IF(COUNTIF(入力シート!$J$16:$S$23,入力リスト!$K$4)=0,FALSE,IF(AND(入力シート!$J$16&lt;&gt;入力リスト!$K$5,入力シート!$J$18&lt;&gt;入力リスト!$K$5,入力シート!$J$20&lt;&gt;入力リスト!$K$5,入力シート!$J$22&lt;&gt;入力リスト!$K$5),FALSE,ISERROR(VLOOKUP(D421,入力シート!$AW$37:$AY$38,1,0))))</f>
        <v>0</v>
      </c>
      <c r="L421" s="237" t="b">
        <f>IF(COUNTIF(入力シート!$J$16:$S$23,入力リスト!$K$4)=0,FALSE,IF(入力シート!$J$20=入力リスト!$K$5,FALSE,IF(E421="",FALSE,ISERROR(VLOOKUP(E421,入力シート!$AH$37:$AK$62,1,0)))))</f>
        <v>0</v>
      </c>
      <c r="M421" s="238" t="str">
        <f t="shared" si="6"/>
        <v/>
      </c>
      <c r="N421" s="236" t="str">
        <f>IF(B421="","",VLOOKUP('従業員情報(給与以外)'!$B421,入力シート!$S$37:$Z$62,5,0))</f>
        <v/>
      </c>
      <c r="O421" s="182" t="str">
        <f>IF(ISNUMBER(C421)=FALSE,"",IF(C421&gt;入力シート!$J$24,"",_xlfn.DAYS(入力シート!$J$24,'従業員情報(給与以外)'!$C421)/365))</f>
        <v/>
      </c>
      <c r="P421" s="237" t="str">
        <f>IF(O421="","",VLOOKUP(_xlfn.DAYS(入力シート!$J$24,'従業員情報(給与以外)'!$C421)/365,入力リスト!$H$4:$I$12,2,2))</f>
        <v/>
      </c>
      <c r="Q421" s="236" t="str">
        <f>IF(D421="","",VLOOKUP('従業員情報(給与以外)'!$D421,入力シート!$AW$37:$BB$38,4,0))</f>
        <v/>
      </c>
      <c r="R421" s="236" t="str">
        <f>IF(A421="","",IF(E421="","非役職",VLOOKUP('従業員情報(給与以外)'!$E421,入力シート!$AH$37:$AO$62,5,0)))</f>
        <v/>
      </c>
      <c r="S421" s="116" t="str">
        <f>IF(OR(入力シート!$C$5&lt;&gt;入力リスト!$N$4,COUNTIF(入力シート!$J$16:$S$23,入力リスト!$K$4)=0),"",IF($A421="","",IF(ISERROR(AVERAGEIF(従業員の給与情報!$B:$B,$A421,従業員の給与情報!$C:$C)),0,IF(ISERROR(AVERAGEIF(従業員の給与情報!$B:$B,$A421,従業員の給与情報!$C:$C)),0,AVERAGEIF(従業員の給与情報!$B:$B,$A421,従業員の給与情報!$C:$C)))))</f>
        <v/>
      </c>
      <c r="T421" s="116" t="str">
        <f>IF(OR(入力シート!$C$5&lt;&gt;入力リスト!$N$4,COUNTIF(入力シート!$J$16:$S$23,入力リスト!$K$4)=0),"",IF(A421="","",IF(ISERROR(AVERAGEIF(従業員の給与情報!$B:$B,$A421,従業員の給与情報!$D:$D)),0,IF(ISERROR(AVERAGEIF(従業員の給与情報!$B:$B,$A421,従業員の給与情報!$D:$D)),0,AVERAGEIF(従業員の給与情報!$B:$B,$A421,従業員の給与情報!$D:$D)))))</f>
        <v/>
      </c>
      <c r="U421" s="116" t="str">
        <f>IF(OR(入力シート!$C$5&lt;&gt;入力リスト!$N$4,COUNTIF(入力シート!$J$16:$S$23,入力リスト!$K$4)=0),"",IF(A421="","",IF(ISERROR(AVERAGEIF(従業員の給与情報!$B:$B,$A421,従業員の給与情報!$E:$E)),0,IF(ISERROR(AVERAGEIF(従業員の給与情報!$B:$B,$A421,従業員の給与情報!$E:$E)),0,AVERAGEIF(従業員の給与情報!$B:$B,$A421,従業員の給与情報!$E:$E)))))</f>
        <v/>
      </c>
      <c r="V421" s="117" t="str">
        <f>IF(OR(入力シート!$C$5&lt;&gt;入力リスト!$N$4,COUNTIF(入力シート!$J$16:$S$23,入力リスト!$K$4)=0),"",IF(A421="","",IF(ISERROR(AVERAGEIF(従業員の給与情報!$B:$B,$A421,従業員の給与情報!$F:$F)),0,IF(ISERROR(AVERAGEIF(従業員の給与情報!$B:$B,$A421,従業員の給与情報!$F:$F)),0,AVERAGEIF(従業員の給与情報!$B:$B,$A421,従業員の給与情報!$F:$F)))))</f>
        <v/>
      </c>
      <c r="W421" s="182"/>
      <c r="X421" s="260"/>
    </row>
    <row r="422" spans="1:24">
      <c r="A422" s="368"/>
      <c r="B422" s="361"/>
      <c r="C422" s="362"/>
      <c r="D422" s="361"/>
      <c r="E422" s="361"/>
      <c r="F422" s="372" t="str">
        <f>IF(G422,"この従業員番号は、すでに他のセルで入力されています。",IF(入力シート!$C$5=入力リスト!$N$5,"",IF(AND(A422="",B422="",C422="",D422="",E422=""),"",IF(OR(A422="",B422="",C422="",D422=""),IF(A422="","従業員番号","")&amp;IF(AND(A422="",OR(B422="",C422="",D422="")),",","")&amp;IF(B422="","雇用形態","")&amp;IF(AND(B422="",OR(C422="",D422="")),",","")&amp;IF(OR(入力シート!$J$18=入力リスト!$K$4,入力シート!$J$22=入力リスト!$K$4),IF(C422="","入社年月日",""),"")&amp;IF(AND(C422="",D422=""),",","")&amp;IF(D422="","性別","")&amp;IF(IF(A422="","従業員番号","")&amp;IF(B422="","雇用形態","")&amp;IF(OR(入力シート!$J$18=入力リスト!$K$4,入力シート!$J$22=入力リスト!$K$4),IF(C422="","入社年月日",""),"")&amp;IF(D422="","性別","")="","","が空白です。"),IF(J422,"入社年月日に「基準日」の翌日以降の日付が入力されています。","")&amp;IF(I422,"入社年月日に数値以外（又は1900/1/1以前の日付）が入力されています。","")&amp;IF(H422,"雇用形態"&amp;IF(OR(K422,L422),",",""),"")&amp;IF(K422,"性別"&amp;IF(L422,",",""),"")&amp;IF(L422,"役職","")&amp;IF(OR(H422,K422,L422),"に、［入力シート］(4)「貴社」欄と異なる文言が入力されています。","")))))</f>
        <v/>
      </c>
      <c r="G422" s="236" t="b">
        <f>COUNTIF($A$4:A421,$A422)&gt;0</f>
        <v>0</v>
      </c>
      <c r="H422" s="237" t="b">
        <f>IF(COUNTIF(入力シート!$J$16:$S$23,入力リスト!$K$4)=0,FALSE,IF(入力シート!$J$16=入力リスト!$K$5,FALSE,ISERROR(VLOOKUP(B422,入力シート!$S$37:$V$62,1,0))))</f>
        <v>0</v>
      </c>
      <c r="I422" s="237" t="b">
        <f>IF(AND(OR(入力シート!$J$18=入力リスト!$K$4,入力シート!$J$22=入力リスト!$K$4),入力シート!$J$24&lt;&gt;""),IF(ISERROR(C422+1),TRUE,IF(ISNUMBER(C422),FALSE,TRUE)),FALSE)</f>
        <v>0</v>
      </c>
      <c r="J422" s="237" t="b">
        <f>IF(AND(入力シート!$J$18=入力リスト!$K$4,入力シート!$J$22=入力リスト!$K$4),FALSE,IF(I422=TRUE,FALSE,IF(ISERROR(C422+1),FALSE,C422&gt;入力シート!$J$24)))</f>
        <v>0</v>
      </c>
      <c r="K422" s="237" t="b">
        <f>IF(COUNTIF(入力シート!$J$16:$S$23,入力リスト!$K$4)=0,FALSE,IF(AND(入力シート!$J$16&lt;&gt;入力リスト!$K$5,入力シート!$J$18&lt;&gt;入力リスト!$K$5,入力シート!$J$20&lt;&gt;入力リスト!$K$5,入力シート!$J$22&lt;&gt;入力リスト!$K$5),FALSE,ISERROR(VLOOKUP(D422,入力シート!$AW$37:$AY$38,1,0))))</f>
        <v>0</v>
      </c>
      <c r="L422" s="237" t="b">
        <f>IF(COUNTIF(入力シート!$J$16:$S$23,入力リスト!$K$4)=0,FALSE,IF(入力シート!$J$20=入力リスト!$K$5,FALSE,IF(E422="",FALSE,ISERROR(VLOOKUP(E422,入力シート!$AH$37:$AK$62,1,0)))))</f>
        <v>0</v>
      </c>
      <c r="M422" s="238" t="str">
        <f t="shared" si="6"/>
        <v/>
      </c>
      <c r="N422" s="236" t="str">
        <f>IF(B422="","",VLOOKUP('従業員情報(給与以外)'!$B422,入力シート!$S$37:$Z$62,5,0))</f>
        <v/>
      </c>
      <c r="O422" s="182" t="str">
        <f>IF(ISNUMBER(C422)=FALSE,"",IF(C422&gt;入力シート!$J$24,"",_xlfn.DAYS(入力シート!$J$24,'従業員情報(給与以外)'!$C422)/365))</f>
        <v/>
      </c>
      <c r="P422" s="237" t="str">
        <f>IF(O422="","",VLOOKUP(_xlfn.DAYS(入力シート!$J$24,'従業員情報(給与以外)'!$C422)/365,入力リスト!$H$4:$I$12,2,2))</f>
        <v/>
      </c>
      <c r="Q422" s="236" t="str">
        <f>IF(D422="","",VLOOKUP('従業員情報(給与以外)'!$D422,入力シート!$AW$37:$BB$38,4,0))</f>
        <v/>
      </c>
      <c r="R422" s="236" t="str">
        <f>IF(A422="","",IF(E422="","非役職",VLOOKUP('従業員情報(給与以外)'!$E422,入力シート!$AH$37:$AO$62,5,0)))</f>
        <v/>
      </c>
      <c r="S422" s="116" t="str">
        <f>IF(OR(入力シート!$C$5&lt;&gt;入力リスト!$N$4,COUNTIF(入力シート!$J$16:$S$23,入力リスト!$K$4)=0),"",IF($A422="","",IF(ISERROR(AVERAGEIF(従業員の給与情報!$B:$B,$A422,従業員の給与情報!$C:$C)),0,IF(ISERROR(AVERAGEIF(従業員の給与情報!$B:$B,$A422,従業員の給与情報!$C:$C)),0,AVERAGEIF(従業員の給与情報!$B:$B,$A422,従業員の給与情報!$C:$C)))))</f>
        <v/>
      </c>
      <c r="T422" s="116" t="str">
        <f>IF(OR(入力シート!$C$5&lt;&gt;入力リスト!$N$4,COUNTIF(入力シート!$J$16:$S$23,入力リスト!$K$4)=0),"",IF(A422="","",IF(ISERROR(AVERAGEIF(従業員の給与情報!$B:$B,$A422,従業員の給与情報!$D:$D)),0,IF(ISERROR(AVERAGEIF(従業員の給与情報!$B:$B,$A422,従業員の給与情報!$D:$D)),0,AVERAGEIF(従業員の給与情報!$B:$B,$A422,従業員の給与情報!$D:$D)))))</f>
        <v/>
      </c>
      <c r="U422" s="116" t="str">
        <f>IF(OR(入力シート!$C$5&lt;&gt;入力リスト!$N$4,COUNTIF(入力シート!$J$16:$S$23,入力リスト!$K$4)=0),"",IF(A422="","",IF(ISERROR(AVERAGEIF(従業員の給与情報!$B:$B,$A422,従業員の給与情報!$E:$E)),0,IF(ISERROR(AVERAGEIF(従業員の給与情報!$B:$B,$A422,従業員の給与情報!$E:$E)),0,AVERAGEIF(従業員の給与情報!$B:$B,$A422,従業員の給与情報!$E:$E)))))</f>
        <v/>
      </c>
      <c r="V422" s="117" t="str">
        <f>IF(OR(入力シート!$C$5&lt;&gt;入力リスト!$N$4,COUNTIF(入力シート!$J$16:$S$23,入力リスト!$K$4)=0),"",IF(A422="","",IF(ISERROR(AVERAGEIF(従業員の給与情報!$B:$B,$A422,従業員の給与情報!$F:$F)),0,IF(ISERROR(AVERAGEIF(従業員の給与情報!$B:$B,$A422,従業員の給与情報!$F:$F)),0,AVERAGEIF(従業員の給与情報!$B:$B,$A422,従業員の給与情報!$F:$F)))))</f>
        <v/>
      </c>
      <c r="W422" s="182"/>
      <c r="X422" s="260"/>
    </row>
    <row r="423" spans="1:24">
      <c r="A423" s="368"/>
      <c r="B423" s="361"/>
      <c r="C423" s="362"/>
      <c r="D423" s="361"/>
      <c r="E423" s="361"/>
      <c r="F423" s="372" t="str">
        <f>IF(G423,"この従業員番号は、すでに他のセルで入力されています。",IF(入力シート!$C$5=入力リスト!$N$5,"",IF(AND(A423="",B423="",C423="",D423="",E423=""),"",IF(OR(A423="",B423="",C423="",D423=""),IF(A423="","従業員番号","")&amp;IF(AND(A423="",OR(B423="",C423="",D423="")),",","")&amp;IF(B423="","雇用形態","")&amp;IF(AND(B423="",OR(C423="",D423="")),",","")&amp;IF(OR(入力シート!$J$18=入力リスト!$K$4,入力シート!$J$22=入力リスト!$K$4),IF(C423="","入社年月日",""),"")&amp;IF(AND(C423="",D423=""),",","")&amp;IF(D423="","性別","")&amp;IF(IF(A423="","従業員番号","")&amp;IF(B423="","雇用形態","")&amp;IF(OR(入力シート!$J$18=入力リスト!$K$4,入力シート!$J$22=入力リスト!$K$4),IF(C423="","入社年月日",""),"")&amp;IF(D423="","性別","")="","","が空白です。"),IF(J423,"入社年月日に「基準日」の翌日以降の日付が入力されています。","")&amp;IF(I423,"入社年月日に数値以外（又は1900/1/1以前の日付）が入力されています。","")&amp;IF(H423,"雇用形態"&amp;IF(OR(K423,L423),",",""),"")&amp;IF(K423,"性別"&amp;IF(L423,",",""),"")&amp;IF(L423,"役職","")&amp;IF(OR(H423,K423,L423),"に、［入力シート］(4)「貴社」欄と異なる文言が入力されています。","")))))</f>
        <v/>
      </c>
      <c r="G423" s="236" t="b">
        <f>COUNTIF($A$4:A422,$A423)&gt;0</f>
        <v>0</v>
      </c>
      <c r="H423" s="237" t="b">
        <f>IF(COUNTIF(入力シート!$J$16:$S$23,入力リスト!$K$4)=0,FALSE,IF(入力シート!$J$16=入力リスト!$K$5,FALSE,ISERROR(VLOOKUP(B423,入力シート!$S$37:$V$62,1,0))))</f>
        <v>0</v>
      </c>
      <c r="I423" s="237" t="b">
        <f>IF(AND(OR(入力シート!$J$18=入力リスト!$K$4,入力シート!$J$22=入力リスト!$K$4),入力シート!$J$24&lt;&gt;""),IF(ISERROR(C423+1),TRUE,IF(ISNUMBER(C423),FALSE,TRUE)),FALSE)</f>
        <v>0</v>
      </c>
      <c r="J423" s="237" t="b">
        <f>IF(AND(入力シート!$J$18=入力リスト!$K$4,入力シート!$J$22=入力リスト!$K$4),FALSE,IF(I423=TRUE,FALSE,IF(ISERROR(C423+1),FALSE,C423&gt;入力シート!$J$24)))</f>
        <v>0</v>
      </c>
      <c r="K423" s="237" t="b">
        <f>IF(COUNTIF(入力シート!$J$16:$S$23,入力リスト!$K$4)=0,FALSE,IF(AND(入力シート!$J$16&lt;&gt;入力リスト!$K$5,入力シート!$J$18&lt;&gt;入力リスト!$K$5,入力シート!$J$20&lt;&gt;入力リスト!$K$5,入力シート!$J$22&lt;&gt;入力リスト!$K$5),FALSE,ISERROR(VLOOKUP(D423,入力シート!$AW$37:$AY$38,1,0))))</f>
        <v>0</v>
      </c>
      <c r="L423" s="237" t="b">
        <f>IF(COUNTIF(入力シート!$J$16:$S$23,入力リスト!$K$4)=0,FALSE,IF(入力シート!$J$20=入力リスト!$K$5,FALSE,IF(E423="",FALSE,ISERROR(VLOOKUP(E423,入力シート!$AH$37:$AK$62,1,0)))))</f>
        <v>0</v>
      </c>
      <c r="M423" s="238" t="str">
        <f t="shared" si="6"/>
        <v/>
      </c>
      <c r="N423" s="236" t="str">
        <f>IF(B423="","",VLOOKUP('従業員情報(給与以外)'!$B423,入力シート!$S$37:$Z$62,5,0))</f>
        <v/>
      </c>
      <c r="O423" s="182" t="str">
        <f>IF(ISNUMBER(C423)=FALSE,"",IF(C423&gt;入力シート!$J$24,"",_xlfn.DAYS(入力シート!$J$24,'従業員情報(給与以外)'!$C423)/365))</f>
        <v/>
      </c>
      <c r="P423" s="237" t="str">
        <f>IF(O423="","",VLOOKUP(_xlfn.DAYS(入力シート!$J$24,'従業員情報(給与以外)'!$C423)/365,入力リスト!$H$4:$I$12,2,2))</f>
        <v/>
      </c>
      <c r="Q423" s="236" t="str">
        <f>IF(D423="","",VLOOKUP('従業員情報(給与以外)'!$D423,入力シート!$AW$37:$BB$38,4,0))</f>
        <v/>
      </c>
      <c r="R423" s="236" t="str">
        <f>IF(A423="","",IF(E423="","非役職",VLOOKUP('従業員情報(給与以外)'!$E423,入力シート!$AH$37:$AO$62,5,0)))</f>
        <v/>
      </c>
      <c r="S423" s="116" t="str">
        <f>IF(OR(入力シート!$C$5&lt;&gt;入力リスト!$N$4,COUNTIF(入力シート!$J$16:$S$23,入力リスト!$K$4)=0),"",IF($A423="","",IF(ISERROR(AVERAGEIF(従業員の給与情報!$B:$B,$A423,従業員の給与情報!$C:$C)),0,IF(ISERROR(AVERAGEIF(従業員の給与情報!$B:$B,$A423,従業員の給与情報!$C:$C)),0,AVERAGEIF(従業員の給与情報!$B:$B,$A423,従業員の給与情報!$C:$C)))))</f>
        <v/>
      </c>
      <c r="T423" s="116" t="str">
        <f>IF(OR(入力シート!$C$5&lt;&gt;入力リスト!$N$4,COUNTIF(入力シート!$J$16:$S$23,入力リスト!$K$4)=0),"",IF(A423="","",IF(ISERROR(AVERAGEIF(従業員の給与情報!$B:$B,$A423,従業員の給与情報!$D:$D)),0,IF(ISERROR(AVERAGEIF(従業員の給与情報!$B:$B,$A423,従業員の給与情報!$D:$D)),0,AVERAGEIF(従業員の給与情報!$B:$B,$A423,従業員の給与情報!$D:$D)))))</f>
        <v/>
      </c>
      <c r="U423" s="116" t="str">
        <f>IF(OR(入力シート!$C$5&lt;&gt;入力リスト!$N$4,COUNTIF(入力シート!$J$16:$S$23,入力リスト!$K$4)=0),"",IF(A423="","",IF(ISERROR(AVERAGEIF(従業員の給与情報!$B:$B,$A423,従業員の給与情報!$E:$E)),0,IF(ISERROR(AVERAGEIF(従業員の給与情報!$B:$B,$A423,従業員の給与情報!$E:$E)),0,AVERAGEIF(従業員の給与情報!$B:$B,$A423,従業員の給与情報!$E:$E)))))</f>
        <v/>
      </c>
      <c r="V423" s="117" t="str">
        <f>IF(OR(入力シート!$C$5&lt;&gt;入力リスト!$N$4,COUNTIF(入力シート!$J$16:$S$23,入力リスト!$K$4)=0),"",IF(A423="","",IF(ISERROR(AVERAGEIF(従業員の給与情報!$B:$B,$A423,従業員の給与情報!$F:$F)),0,IF(ISERROR(AVERAGEIF(従業員の給与情報!$B:$B,$A423,従業員の給与情報!$F:$F)),0,AVERAGEIF(従業員の給与情報!$B:$B,$A423,従業員の給与情報!$F:$F)))))</f>
        <v/>
      </c>
      <c r="W423" s="182"/>
      <c r="X423" s="260"/>
    </row>
    <row r="424" spans="1:24">
      <c r="A424" s="368"/>
      <c r="B424" s="361"/>
      <c r="C424" s="362"/>
      <c r="D424" s="361"/>
      <c r="E424" s="361"/>
      <c r="F424" s="372" t="str">
        <f>IF(G424,"この従業員番号は、すでに他のセルで入力されています。",IF(入力シート!$C$5=入力リスト!$N$5,"",IF(AND(A424="",B424="",C424="",D424="",E424=""),"",IF(OR(A424="",B424="",C424="",D424=""),IF(A424="","従業員番号","")&amp;IF(AND(A424="",OR(B424="",C424="",D424="")),",","")&amp;IF(B424="","雇用形態","")&amp;IF(AND(B424="",OR(C424="",D424="")),",","")&amp;IF(OR(入力シート!$J$18=入力リスト!$K$4,入力シート!$J$22=入力リスト!$K$4),IF(C424="","入社年月日",""),"")&amp;IF(AND(C424="",D424=""),",","")&amp;IF(D424="","性別","")&amp;IF(IF(A424="","従業員番号","")&amp;IF(B424="","雇用形態","")&amp;IF(OR(入力シート!$J$18=入力リスト!$K$4,入力シート!$J$22=入力リスト!$K$4),IF(C424="","入社年月日",""),"")&amp;IF(D424="","性別","")="","","が空白です。"),IF(J424,"入社年月日に「基準日」の翌日以降の日付が入力されています。","")&amp;IF(I424,"入社年月日に数値以外（又は1900/1/1以前の日付）が入力されています。","")&amp;IF(H424,"雇用形態"&amp;IF(OR(K424,L424),",",""),"")&amp;IF(K424,"性別"&amp;IF(L424,",",""),"")&amp;IF(L424,"役職","")&amp;IF(OR(H424,K424,L424),"に、［入力シート］(4)「貴社」欄と異なる文言が入力されています。","")))))</f>
        <v/>
      </c>
      <c r="G424" s="236" t="b">
        <f>COUNTIF($A$4:A423,$A424)&gt;0</f>
        <v>0</v>
      </c>
      <c r="H424" s="237" t="b">
        <f>IF(COUNTIF(入力シート!$J$16:$S$23,入力リスト!$K$4)=0,FALSE,IF(入力シート!$J$16=入力リスト!$K$5,FALSE,ISERROR(VLOOKUP(B424,入力シート!$S$37:$V$62,1,0))))</f>
        <v>0</v>
      </c>
      <c r="I424" s="237" t="b">
        <f>IF(AND(OR(入力シート!$J$18=入力リスト!$K$4,入力シート!$J$22=入力リスト!$K$4),入力シート!$J$24&lt;&gt;""),IF(ISERROR(C424+1),TRUE,IF(ISNUMBER(C424),FALSE,TRUE)),FALSE)</f>
        <v>0</v>
      </c>
      <c r="J424" s="237" t="b">
        <f>IF(AND(入力シート!$J$18=入力リスト!$K$4,入力シート!$J$22=入力リスト!$K$4),FALSE,IF(I424=TRUE,FALSE,IF(ISERROR(C424+1),FALSE,C424&gt;入力シート!$J$24)))</f>
        <v>0</v>
      </c>
      <c r="K424" s="237" t="b">
        <f>IF(COUNTIF(入力シート!$J$16:$S$23,入力リスト!$K$4)=0,FALSE,IF(AND(入力シート!$J$16&lt;&gt;入力リスト!$K$5,入力シート!$J$18&lt;&gt;入力リスト!$K$5,入力シート!$J$20&lt;&gt;入力リスト!$K$5,入力シート!$J$22&lt;&gt;入力リスト!$K$5),FALSE,ISERROR(VLOOKUP(D424,入力シート!$AW$37:$AY$38,1,0))))</f>
        <v>0</v>
      </c>
      <c r="L424" s="237" t="b">
        <f>IF(COUNTIF(入力シート!$J$16:$S$23,入力リスト!$K$4)=0,FALSE,IF(入力シート!$J$20=入力リスト!$K$5,FALSE,IF(E424="",FALSE,ISERROR(VLOOKUP(E424,入力シート!$AH$37:$AK$62,1,0)))))</f>
        <v>0</v>
      </c>
      <c r="M424" s="238" t="str">
        <f t="shared" si="6"/>
        <v/>
      </c>
      <c r="N424" s="236" t="str">
        <f>IF(B424="","",VLOOKUP('従業員情報(給与以外)'!$B424,入力シート!$S$37:$Z$62,5,0))</f>
        <v/>
      </c>
      <c r="O424" s="182" t="str">
        <f>IF(ISNUMBER(C424)=FALSE,"",IF(C424&gt;入力シート!$J$24,"",_xlfn.DAYS(入力シート!$J$24,'従業員情報(給与以外)'!$C424)/365))</f>
        <v/>
      </c>
      <c r="P424" s="237" t="str">
        <f>IF(O424="","",VLOOKUP(_xlfn.DAYS(入力シート!$J$24,'従業員情報(給与以外)'!$C424)/365,入力リスト!$H$4:$I$12,2,2))</f>
        <v/>
      </c>
      <c r="Q424" s="236" t="str">
        <f>IF(D424="","",VLOOKUP('従業員情報(給与以外)'!$D424,入力シート!$AW$37:$BB$38,4,0))</f>
        <v/>
      </c>
      <c r="R424" s="236" t="str">
        <f>IF(A424="","",IF(E424="","非役職",VLOOKUP('従業員情報(給与以外)'!$E424,入力シート!$AH$37:$AO$62,5,0)))</f>
        <v/>
      </c>
      <c r="S424" s="116" t="str">
        <f>IF(OR(入力シート!$C$5&lt;&gt;入力リスト!$N$4,COUNTIF(入力シート!$J$16:$S$23,入力リスト!$K$4)=0),"",IF($A424="","",IF(ISERROR(AVERAGEIF(従業員の給与情報!$B:$B,$A424,従業員の給与情報!$C:$C)),0,IF(ISERROR(AVERAGEIF(従業員の給与情報!$B:$B,$A424,従業員の給与情報!$C:$C)),0,AVERAGEIF(従業員の給与情報!$B:$B,$A424,従業員の給与情報!$C:$C)))))</f>
        <v/>
      </c>
      <c r="T424" s="116" t="str">
        <f>IF(OR(入力シート!$C$5&lt;&gt;入力リスト!$N$4,COUNTIF(入力シート!$J$16:$S$23,入力リスト!$K$4)=0),"",IF(A424="","",IF(ISERROR(AVERAGEIF(従業員の給与情報!$B:$B,$A424,従業員の給与情報!$D:$D)),0,IF(ISERROR(AVERAGEIF(従業員の給与情報!$B:$B,$A424,従業員の給与情報!$D:$D)),0,AVERAGEIF(従業員の給与情報!$B:$B,$A424,従業員の給与情報!$D:$D)))))</f>
        <v/>
      </c>
      <c r="U424" s="116" t="str">
        <f>IF(OR(入力シート!$C$5&lt;&gt;入力リスト!$N$4,COUNTIF(入力シート!$J$16:$S$23,入力リスト!$K$4)=0),"",IF(A424="","",IF(ISERROR(AVERAGEIF(従業員の給与情報!$B:$B,$A424,従業員の給与情報!$E:$E)),0,IF(ISERROR(AVERAGEIF(従業員の給与情報!$B:$B,$A424,従業員の給与情報!$E:$E)),0,AVERAGEIF(従業員の給与情報!$B:$B,$A424,従業員の給与情報!$E:$E)))))</f>
        <v/>
      </c>
      <c r="V424" s="117" t="str">
        <f>IF(OR(入力シート!$C$5&lt;&gt;入力リスト!$N$4,COUNTIF(入力シート!$J$16:$S$23,入力リスト!$K$4)=0),"",IF(A424="","",IF(ISERROR(AVERAGEIF(従業員の給与情報!$B:$B,$A424,従業員の給与情報!$F:$F)),0,IF(ISERROR(AVERAGEIF(従業員の給与情報!$B:$B,$A424,従業員の給与情報!$F:$F)),0,AVERAGEIF(従業員の給与情報!$B:$B,$A424,従業員の給与情報!$F:$F)))))</f>
        <v/>
      </c>
      <c r="W424" s="182"/>
      <c r="X424" s="260"/>
    </row>
    <row r="425" spans="1:24">
      <c r="A425" s="368"/>
      <c r="B425" s="361"/>
      <c r="C425" s="362"/>
      <c r="D425" s="361"/>
      <c r="E425" s="361"/>
      <c r="F425" s="372" t="str">
        <f>IF(G425,"この従業員番号は、すでに他のセルで入力されています。",IF(入力シート!$C$5=入力リスト!$N$5,"",IF(AND(A425="",B425="",C425="",D425="",E425=""),"",IF(OR(A425="",B425="",C425="",D425=""),IF(A425="","従業員番号","")&amp;IF(AND(A425="",OR(B425="",C425="",D425="")),",","")&amp;IF(B425="","雇用形態","")&amp;IF(AND(B425="",OR(C425="",D425="")),",","")&amp;IF(OR(入力シート!$J$18=入力リスト!$K$4,入力シート!$J$22=入力リスト!$K$4),IF(C425="","入社年月日",""),"")&amp;IF(AND(C425="",D425=""),",","")&amp;IF(D425="","性別","")&amp;IF(IF(A425="","従業員番号","")&amp;IF(B425="","雇用形態","")&amp;IF(OR(入力シート!$J$18=入力リスト!$K$4,入力シート!$J$22=入力リスト!$K$4),IF(C425="","入社年月日",""),"")&amp;IF(D425="","性別","")="","","が空白です。"),IF(J425,"入社年月日に「基準日」の翌日以降の日付が入力されています。","")&amp;IF(I425,"入社年月日に数値以外（又は1900/1/1以前の日付）が入力されています。","")&amp;IF(H425,"雇用形態"&amp;IF(OR(K425,L425),",",""),"")&amp;IF(K425,"性別"&amp;IF(L425,",",""),"")&amp;IF(L425,"役職","")&amp;IF(OR(H425,K425,L425),"に、［入力シート］(4)「貴社」欄と異なる文言が入力されています。","")))))</f>
        <v/>
      </c>
      <c r="G425" s="236" t="b">
        <f>COUNTIF($A$4:A424,$A425)&gt;0</f>
        <v>0</v>
      </c>
      <c r="H425" s="237" t="b">
        <f>IF(COUNTIF(入力シート!$J$16:$S$23,入力リスト!$K$4)=0,FALSE,IF(入力シート!$J$16=入力リスト!$K$5,FALSE,ISERROR(VLOOKUP(B425,入力シート!$S$37:$V$62,1,0))))</f>
        <v>0</v>
      </c>
      <c r="I425" s="237" t="b">
        <f>IF(AND(OR(入力シート!$J$18=入力リスト!$K$4,入力シート!$J$22=入力リスト!$K$4),入力シート!$J$24&lt;&gt;""),IF(ISERROR(C425+1),TRUE,IF(ISNUMBER(C425),FALSE,TRUE)),FALSE)</f>
        <v>0</v>
      </c>
      <c r="J425" s="237" t="b">
        <f>IF(AND(入力シート!$J$18=入力リスト!$K$4,入力シート!$J$22=入力リスト!$K$4),FALSE,IF(I425=TRUE,FALSE,IF(ISERROR(C425+1),FALSE,C425&gt;入力シート!$J$24)))</f>
        <v>0</v>
      </c>
      <c r="K425" s="237" t="b">
        <f>IF(COUNTIF(入力シート!$J$16:$S$23,入力リスト!$K$4)=0,FALSE,IF(AND(入力シート!$J$16&lt;&gt;入力リスト!$K$5,入力シート!$J$18&lt;&gt;入力リスト!$K$5,入力シート!$J$20&lt;&gt;入力リスト!$K$5,入力シート!$J$22&lt;&gt;入力リスト!$K$5),FALSE,ISERROR(VLOOKUP(D425,入力シート!$AW$37:$AY$38,1,0))))</f>
        <v>0</v>
      </c>
      <c r="L425" s="237" t="b">
        <f>IF(COUNTIF(入力シート!$J$16:$S$23,入力リスト!$K$4)=0,FALSE,IF(入力シート!$J$20=入力リスト!$K$5,FALSE,IF(E425="",FALSE,ISERROR(VLOOKUP(E425,入力シート!$AH$37:$AK$62,1,0)))))</f>
        <v>0</v>
      </c>
      <c r="M425" s="238" t="str">
        <f t="shared" si="6"/>
        <v/>
      </c>
      <c r="N425" s="236" t="str">
        <f>IF(B425="","",VLOOKUP('従業員情報(給与以外)'!$B425,入力シート!$S$37:$Z$62,5,0))</f>
        <v/>
      </c>
      <c r="O425" s="182" t="str">
        <f>IF(ISNUMBER(C425)=FALSE,"",IF(C425&gt;入力シート!$J$24,"",_xlfn.DAYS(入力シート!$J$24,'従業員情報(給与以外)'!$C425)/365))</f>
        <v/>
      </c>
      <c r="P425" s="237" t="str">
        <f>IF(O425="","",VLOOKUP(_xlfn.DAYS(入力シート!$J$24,'従業員情報(給与以外)'!$C425)/365,入力リスト!$H$4:$I$12,2,2))</f>
        <v/>
      </c>
      <c r="Q425" s="236" t="str">
        <f>IF(D425="","",VLOOKUP('従業員情報(給与以外)'!$D425,入力シート!$AW$37:$BB$38,4,0))</f>
        <v/>
      </c>
      <c r="R425" s="236" t="str">
        <f>IF(A425="","",IF(E425="","非役職",VLOOKUP('従業員情報(給与以外)'!$E425,入力シート!$AH$37:$AO$62,5,0)))</f>
        <v/>
      </c>
      <c r="S425" s="116" t="str">
        <f>IF(OR(入力シート!$C$5&lt;&gt;入力リスト!$N$4,COUNTIF(入力シート!$J$16:$S$23,入力リスト!$K$4)=0),"",IF($A425="","",IF(ISERROR(AVERAGEIF(従業員の給与情報!$B:$B,$A425,従業員の給与情報!$C:$C)),0,IF(ISERROR(AVERAGEIF(従業員の給与情報!$B:$B,$A425,従業員の給与情報!$C:$C)),0,AVERAGEIF(従業員の給与情報!$B:$B,$A425,従業員の給与情報!$C:$C)))))</f>
        <v/>
      </c>
      <c r="T425" s="116" t="str">
        <f>IF(OR(入力シート!$C$5&lt;&gt;入力リスト!$N$4,COUNTIF(入力シート!$J$16:$S$23,入力リスト!$K$4)=0),"",IF(A425="","",IF(ISERROR(AVERAGEIF(従業員の給与情報!$B:$B,$A425,従業員の給与情報!$D:$D)),0,IF(ISERROR(AVERAGEIF(従業員の給与情報!$B:$B,$A425,従業員の給与情報!$D:$D)),0,AVERAGEIF(従業員の給与情報!$B:$B,$A425,従業員の給与情報!$D:$D)))))</f>
        <v/>
      </c>
      <c r="U425" s="116" t="str">
        <f>IF(OR(入力シート!$C$5&lt;&gt;入力リスト!$N$4,COUNTIF(入力シート!$J$16:$S$23,入力リスト!$K$4)=0),"",IF(A425="","",IF(ISERROR(AVERAGEIF(従業員の給与情報!$B:$B,$A425,従業員の給与情報!$E:$E)),0,IF(ISERROR(AVERAGEIF(従業員の給与情報!$B:$B,$A425,従業員の給与情報!$E:$E)),0,AVERAGEIF(従業員の給与情報!$B:$B,$A425,従業員の給与情報!$E:$E)))))</f>
        <v/>
      </c>
      <c r="V425" s="117" t="str">
        <f>IF(OR(入力シート!$C$5&lt;&gt;入力リスト!$N$4,COUNTIF(入力シート!$J$16:$S$23,入力リスト!$K$4)=0),"",IF(A425="","",IF(ISERROR(AVERAGEIF(従業員の給与情報!$B:$B,$A425,従業員の給与情報!$F:$F)),0,IF(ISERROR(AVERAGEIF(従業員の給与情報!$B:$B,$A425,従業員の給与情報!$F:$F)),0,AVERAGEIF(従業員の給与情報!$B:$B,$A425,従業員の給与情報!$F:$F)))))</f>
        <v/>
      </c>
      <c r="W425" s="182"/>
      <c r="X425" s="260"/>
    </row>
    <row r="426" spans="1:24">
      <c r="A426" s="368"/>
      <c r="B426" s="361"/>
      <c r="C426" s="362"/>
      <c r="D426" s="361"/>
      <c r="E426" s="361"/>
      <c r="F426" s="372" t="str">
        <f>IF(G426,"この従業員番号は、すでに他のセルで入力されています。",IF(入力シート!$C$5=入力リスト!$N$5,"",IF(AND(A426="",B426="",C426="",D426="",E426=""),"",IF(OR(A426="",B426="",C426="",D426=""),IF(A426="","従業員番号","")&amp;IF(AND(A426="",OR(B426="",C426="",D426="")),",","")&amp;IF(B426="","雇用形態","")&amp;IF(AND(B426="",OR(C426="",D426="")),",","")&amp;IF(OR(入力シート!$J$18=入力リスト!$K$4,入力シート!$J$22=入力リスト!$K$4),IF(C426="","入社年月日",""),"")&amp;IF(AND(C426="",D426=""),",","")&amp;IF(D426="","性別","")&amp;IF(IF(A426="","従業員番号","")&amp;IF(B426="","雇用形態","")&amp;IF(OR(入力シート!$J$18=入力リスト!$K$4,入力シート!$J$22=入力リスト!$K$4),IF(C426="","入社年月日",""),"")&amp;IF(D426="","性別","")="","","が空白です。"),IF(J426,"入社年月日に「基準日」の翌日以降の日付が入力されています。","")&amp;IF(I426,"入社年月日に数値以外（又は1900/1/1以前の日付）が入力されています。","")&amp;IF(H426,"雇用形態"&amp;IF(OR(K426,L426),",",""),"")&amp;IF(K426,"性別"&amp;IF(L426,",",""),"")&amp;IF(L426,"役職","")&amp;IF(OR(H426,K426,L426),"に、［入力シート］(4)「貴社」欄と異なる文言が入力されています。","")))))</f>
        <v/>
      </c>
      <c r="G426" s="236" t="b">
        <f>COUNTIF($A$4:A425,$A426)&gt;0</f>
        <v>0</v>
      </c>
      <c r="H426" s="237" t="b">
        <f>IF(COUNTIF(入力シート!$J$16:$S$23,入力リスト!$K$4)=0,FALSE,IF(入力シート!$J$16=入力リスト!$K$5,FALSE,ISERROR(VLOOKUP(B426,入力シート!$S$37:$V$62,1,0))))</f>
        <v>0</v>
      </c>
      <c r="I426" s="237" t="b">
        <f>IF(AND(OR(入力シート!$J$18=入力リスト!$K$4,入力シート!$J$22=入力リスト!$K$4),入力シート!$J$24&lt;&gt;""),IF(ISERROR(C426+1),TRUE,IF(ISNUMBER(C426),FALSE,TRUE)),FALSE)</f>
        <v>0</v>
      </c>
      <c r="J426" s="237" t="b">
        <f>IF(AND(入力シート!$J$18=入力リスト!$K$4,入力シート!$J$22=入力リスト!$K$4),FALSE,IF(I426=TRUE,FALSE,IF(ISERROR(C426+1),FALSE,C426&gt;入力シート!$J$24)))</f>
        <v>0</v>
      </c>
      <c r="K426" s="237" t="b">
        <f>IF(COUNTIF(入力シート!$J$16:$S$23,入力リスト!$K$4)=0,FALSE,IF(AND(入力シート!$J$16&lt;&gt;入力リスト!$K$5,入力シート!$J$18&lt;&gt;入力リスト!$K$5,入力シート!$J$20&lt;&gt;入力リスト!$K$5,入力シート!$J$22&lt;&gt;入力リスト!$K$5),FALSE,ISERROR(VLOOKUP(D426,入力シート!$AW$37:$AY$38,1,0))))</f>
        <v>0</v>
      </c>
      <c r="L426" s="237" t="b">
        <f>IF(COUNTIF(入力シート!$J$16:$S$23,入力リスト!$K$4)=0,FALSE,IF(入力シート!$J$20=入力リスト!$K$5,FALSE,IF(E426="",FALSE,ISERROR(VLOOKUP(E426,入力シート!$AH$37:$AK$62,1,0)))))</f>
        <v>0</v>
      </c>
      <c r="M426" s="238" t="str">
        <f t="shared" si="6"/>
        <v/>
      </c>
      <c r="N426" s="236" t="str">
        <f>IF(B426="","",VLOOKUP('従業員情報(給与以外)'!$B426,入力シート!$S$37:$Z$62,5,0))</f>
        <v/>
      </c>
      <c r="O426" s="182" t="str">
        <f>IF(ISNUMBER(C426)=FALSE,"",IF(C426&gt;入力シート!$J$24,"",_xlfn.DAYS(入力シート!$J$24,'従業員情報(給与以外)'!$C426)/365))</f>
        <v/>
      </c>
      <c r="P426" s="237" t="str">
        <f>IF(O426="","",VLOOKUP(_xlfn.DAYS(入力シート!$J$24,'従業員情報(給与以外)'!$C426)/365,入力リスト!$H$4:$I$12,2,2))</f>
        <v/>
      </c>
      <c r="Q426" s="236" t="str">
        <f>IF(D426="","",VLOOKUP('従業員情報(給与以外)'!$D426,入力シート!$AW$37:$BB$38,4,0))</f>
        <v/>
      </c>
      <c r="R426" s="236" t="str">
        <f>IF(A426="","",IF(E426="","非役職",VLOOKUP('従業員情報(給与以外)'!$E426,入力シート!$AH$37:$AO$62,5,0)))</f>
        <v/>
      </c>
      <c r="S426" s="116" t="str">
        <f>IF(OR(入力シート!$C$5&lt;&gt;入力リスト!$N$4,COUNTIF(入力シート!$J$16:$S$23,入力リスト!$K$4)=0),"",IF($A426="","",IF(ISERROR(AVERAGEIF(従業員の給与情報!$B:$B,$A426,従業員の給与情報!$C:$C)),0,IF(ISERROR(AVERAGEIF(従業員の給与情報!$B:$B,$A426,従業員の給与情報!$C:$C)),0,AVERAGEIF(従業員の給与情報!$B:$B,$A426,従業員の給与情報!$C:$C)))))</f>
        <v/>
      </c>
      <c r="T426" s="116" t="str">
        <f>IF(OR(入力シート!$C$5&lt;&gt;入力リスト!$N$4,COUNTIF(入力シート!$J$16:$S$23,入力リスト!$K$4)=0),"",IF(A426="","",IF(ISERROR(AVERAGEIF(従業員の給与情報!$B:$B,$A426,従業員の給与情報!$D:$D)),0,IF(ISERROR(AVERAGEIF(従業員の給与情報!$B:$B,$A426,従業員の給与情報!$D:$D)),0,AVERAGEIF(従業員の給与情報!$B:$B,$A426,従業員の給与情報!$D:$D)))))</f>
        <v/>
      </c>
      <c r="U426" s="116" t="str">
        <f>IF(OR(入力シート!$C$5&lt;&gt;入力リスト!$N$4,COUNTIF(入力シート!$J$16:$S$23,入力リスト!$K$4)=0),"",IF(A426="","",IF(ISERROR(AVERAGEIF(従業員の給与情報!$B:$B,$A426,従業員の給与情報!$E:$E)),0,IF(ISERROR(AVERAGEIF(従業員の給与情報!$B:$B,$A426,従業員の給与情報!$E:$E)),0,AVERAGEIF(従業員の給与情報!$B:$B,$A426,従業員の給与情報!$E:$E)))))</f>
        <v/>
      </c>
      <c r="V426" s="117" t="str">
        <f>IF(OR(入力シート!$C$5&lt;&gt;入力リスト!$N$4,COUNTIF(入力シート!$J$16:$S$23,入力リスト!$K$4)=0),"",IF(A426="","",IF(ISERROR(AVERAGEIF(従業員の給与情報!$B:$B,$A426,従業員の給与情報!$F:$F)),0,IF(ISERROR(AVERAGEIF(従業員の給与情報!$B:$B,$A426,従業員の給与情報!$F:$F)),0,AVERAGEIF(従業員の給与情報!$B:$B,$A426,従業員の給与情報!$F:$F)))))</f>
        <v/>
      </c>
      <c r="W426" s="182"/>
      <c r="X426" s="260"/>
    </row>
    <row r="427" spans="1:24">
      <c r="A427" s="368"/>
      <c r="B427" s="361"/>
      <c r="C427" s="362"/>
      <c r="D427" s="361"/>
      <c r="E427" s="361"/>
      <c r="F427" s="372" t="str">
        <f>IF(G427,"この従業員番号は、すでに他のセルで入力されています。",IF(入力シート!$C$5=入力リスト!$N$5,"",IF(AND(A427="",B427="",C427="",D427="",E427=""),"",IF(OR(A427="",B427="",C427="",D427=""),IF(A427="","従業員番号","")&amp;IF(AND(A427="",OR(B427="",C427="",D427="")),",","")&amp;IF(B427="","雇用形態","")&amp;IF(AND(B427="",OR(C427="",D427="")),",","")&amp;IF(OR(入力シート!$J$18=入力リスト!$K$4,入力シート!$J$22=入力リスト!$K$4),IF(C427="","入社年月日",""),"")&amp;IF(AND(C427="",D427=""),",","")&amp;IF(D427="","性別","")&amp;IF(IF(A427="","従業員番号","")&amp;IF(B427="","雇用形態","")&amp;IF(OR(入力シート!$J$18=入力リスト!$K$4,入力シート!$J$22=入力リスト!$K$4),IF(C427="","入社年月日",""),"")&amp;IF(D427="","性別","")="","","が空白です。"),IF(J427,"入社年月日に「基準日」の翌日以降の日付が入力されています。","")&amp;IF(I427,"入社年月日に数値以外（又は1900/1/1以前の日付）が入力されています。","")&amp;IF(H427,"雇用形態"&amp;IF(OR(K427,L427),",",""),"")&amp;IF(K427,"性別"&amp;IF(L427,",",""),"")&amp;IF(L427,"役職","")&amp;IF(OR(H427,K427,L427),"に、［入力シート］(4)「貴社」欄と異なる文言が入力されています。","")))))</f>
        <v/>
      </c>
      <c r="G427" s="236" t="b">
        <f>COUNTIF($A$4:A426,$A427)&gt;0</f>
        <v>0</v>
      </c>
      <c r="H427" s="237" t="b">
        <f>IF(COUNTIF(入力シート!$J$16:$S$23,入力リスト!$K$4)=0,FALSE,IF(入力シート!$J$16=入力リスト!$K$5,FALSE,ISERROR(VLOOKUP(B427,入力シート!$S$37:$V$62,1,0))))</f>
        <v>0</v>
      </c>
      <c r="I427" s="237" t="b">
        <f>IF(AND(OR(入力シート!$J$18=入力リスト!$K$4,入力シート!$J$22=入力リスト!$K$4),入力シート!$J$24&lt;&gt;""),IF(ISERROR(C427+1),TRUE,IF(ISNUMBER(C427),FALSE,TRUE)),FALSE)</f>
        <v>0</v>
      </c>
      <c r="J427" s="237" t="b">
        <f>IF(AND(入力シート!$J$18=入力リスト!$K$4,入力シート!$J$22=入力リスト!$K$4),FALSE,IF(I427=TRUE,FALSE,IF(ISERROR(C427+1),FALSE,C427&gt;入力シート!$J$24)))</f>
        <v>0</v>
      </c>
      <c r="K427" s="237" t="b">
        <f>IF(COUNTIF(入力シート!$J$16:$S$23,入力リスト!$K$4)=0,FALSE,IF(AND(入力シート!$J$16&lt;&gt;入力リスト!$K$5,入力シート!$J$18&lt;&gt;入力リスト!$K$5,入力シート!$J$20&lt;&gt;入力リスト!$K$5,入力シート!$J$22&lt;&gt;入力リスト!$K$5),FALSE,ISERROR(VLOOKUP(D427,入力シート!$AW$37:$AY$38,1,0))))</f>
        <v>0</v>
      </c>
      <c r="L427" s="237" t="b">
        <f>IF(COUNTIF(入力シート!$J$16:$S$23,入力リスト!$K$4)=0,FALSE,IF(入力シート!$J$20=入力リスト!$K$5,FALSE,IF(E427="",FALSE,ISERROR(VLOOKUP(E427,入力シート!$AH$37:$AK$62,1,0)))))</f>
        <v>0</v>
      </c>
      <c r="M427" s="238" t="str">
        <f t="shared" si="6"/>
        <v/>
      </c>
      <c r="N427" s="236" t="str">
        <f>IF(B427="","",VLOOKUP('従業員情報(給与以外)'!$B427,入力シート!$S$37:$Z$62,5,0))</f>
        <v/>
      </c>
      <c r="O427" s="182" t="str">
        <f>IF(ISNUMBER(C427)=FALSE,"",IF(C427&gt;入力シート!$J$24,"",_xlfn.DAYS(入力シート!$J$24,'従業員情報(給与以外)'!$C427)/365))</f>
        <v/>
      </c>
      <c r="P427" s="237" t="str">
        <f>IF(O427="","",VLOOKUP(_xlfn.DAYS(入力シート!$J$24,'従業員情報(給与以外)'!$C427)/365,入力リスト!$H$4:$I$12,2,2))</f>
        <v/>
      </c>
      <c r="Q427" s="236" t="str">
        <f>IF(D427="","",VLOOKUP('従業員情報(給与以外)'!$D427,入力シート!$AW$37:$BB$38,4,0))</f>
        <v/>
      </c>
      <c r="R427" s="236" t="str">
        <f>IF(A427="","",IF(E427="","非役職",VLOOKUP('従業員情報(給与以外)'!$E427,入力シート!$AH$37:$AO$62,5,0)))</f>
        <v/>
      </c>
      <c r="S427" s="116" t="str">
        <f>IF(OR(入力シート!$C$5&lt;&gt;入力リスト!$N$4,COUNTIF(入力シート!$J$16:$S$23,入力リスト!$K$4)=0),"",IF($A427="","",IF(ISERROR(AVERAGEIF(従業員の給与情報!$B:$B,$A427,従業員の給与情報!$C:$C)),0,IF(ISERROR(AVERAGEIF(従業員の給与情報!$B:$B,$A427,従業員の給与情報!$C:$C)),0,AVERAGEIF(従業員の給与情報!$B:$B,$A427,従業員の給与情報!$C:$C)))))</f>
        <v/>
      </c>
      <c r="T427" s="116" t="str">
        <f>IF(OR(入力シート!$C$5&lt;&gt;入力リスト!$N$4,COUNTIF(入力シート!$J$16:$S$23,入力リスト!$K$4)=0),"",IF(A427="","",IF(ISERROR(AVERAGEIF(従業員の給与情報!$B:$B,$A427,従業員の給与情報!$D:$D)),0,IF(ISERROR(AVERAGEIF(従業員の給与情報!$B:$B,$A427,従業員の給与情報!$D:$D)),0,AVERAGEIF(従業員の給与情報!$B:$B,$A427,従業員の給与情報!$D:$D)))))</f>
        <v/>
      </c>
      <c r="U427" s="116" t="str">
        <f>IF(OR(入力シート!$C$5&lt;&gt;入力リスト!$N$4,COUNTIF(入力シート!$J$16:$S$23,入力リスト!$K$4)=0),"",IF(A427="","",IF(ISERROR(AVERAGEIF(従業員の給与情報!$B:$B,$A427,従業員の給与情報!$E:$E)),0,IF(ISERROR(AVERAGEIF(従業員の給与情報!$B:$B,$A427,従業員の給与情報!$E:$E)),0,AVERAGEIF(従業員の給与情報!$B:$B,$A427,従業員の給与情報!$E:$E)))))</f>
        <v/>
      </c>
      <c r="V427" s="117" t="str">
        <f>IF(OR(入力シート!$C$5&lt;&gt;入力リスト!$N$4,COUNTIF(入力シート!$J$16:$S$23,入力リスト!$K$4)=0),"",IF(A427="","",IF(ISERROR(AVERAGEIF(従業員の給与情報!$B:$B,$A427,従業員の給与情報!$F:$F)),0,IF(ISERROR(AVERAGEIF(従業員の給与情報!$B:$B,$A427,従業員の給与情報!$F:$F)),0,AVERAGEIF(従業員の給与情報!$B:$B,$A427,従業員の給与情報!$F:$F)))))</f>
        <v/>
      </c>
      <c r="W427" s="182"/>
      <c r="X427" s="260"/>
    </row>
    <row r="428" spans="1:24">
      <c r="A428" s="368"/>
      <c r="B428" s="361"/>
      <c r="C428" s="362"/>
      <c r="D428" s="361"/>
      <c r="E428" s="361"/>
      <c r="F428" s="372" t="str">
        <f>IF(G428,"この従業員番号は、すでに他のセルで入力されています。",IF(入力シート!$C$5=入力リスト!$N$5,"",IF(AND(A428="",B428="",C428="",D428="",E428=""),"",IF(OR(A428="",B428="",C428="",D428=""),IF(A428="","従業員番号","")&amp;IF(AND(A428="",OR(B428="",C428="",D428="")),",","")&amp;IF(B428="","雇用形態","")&amp;IF(AND(B428="",OR(C428="",D428="")),",","")&amp;IF(OR(入力シート!$J$18=入力リスト!$K$4,入力シート!$J$22=入力リスト!$K$4),IF(C428="","入社年月日",""),"")&amp;IF(AND(C428="",D428=""),",","")&amp;IF(D428="","性別","")&amp;IF(IF(A428="","従業員番号","")&amp;IF(B428="","雇用形態","")&amp;IF(OR(入力シート!$J$18=入力リスト!$K$4,入力シート!$J$22=入力リスト!$K$4),IF(C428="","入社年月日",""),"")&amp;IF(D428="","性別","")="","","が空白です。"),IF(J428,"入社年月日に「基準日」の翌日以降の日付が入力されています。","")&amp;IF(I428,"入社年月日に数値以外（又は1900/1/1以前の日付）が入力されています。","")&amp;IF(H428,"雇用形態"&amp;IF(OR(K428,L428),",",""),"")&amp;IF(K428,"性別"&amp;IF(L428,",",""),"")&amp;IF(L428,"役職","")&amp;IF(OR(H428,K428,L428),"に、［入力シート］(4)「貴社」欄と異なる文言が入力されています。","")))))</f>
        <v/>
      </c>
      <c r="G428" s="236" t="b">
        <f>COUNTIF($A$4:A427,$A428)&gt;0</f>
        <v>0</v>
      </c>
      <c r="H428" s="237" t="b">
        <f>IF(COUNTIF(入力シート!$J$16:$S$23,入力リスト!$K$4)=0,FALSE,IF(入力シート!$J$16=入力リスト!$K$5,FALSE,ISERROR(VLOOKUP(B428,入力シート!$S$37:$V$62,1,0))))</f>
        <v>0</v>
      </c>
      <c r="I428" s="237" t="b">
        <f>IF(AND(OR(入力シート!$J$18=入力リスト!$K$4,入力シート!$J$22=入力リスト!$K$4),入力シート!$J$24&lt;&gt;""),IF(ISERROR(C428+1),TRUE,IF(ISNUMBER(C428),FALSE,TRUE)),FALSE)</f>
        <v>0</v>
      </c>
      <c r="J428" s="237" t="b">
        <f>IF(AND(入力シート!$J$18=入力リスト!$K$4,入力シート!$J$22=入力リスト!$K$4),FALSE,IF(I428=TRUE,FALSE,IF(ISERROR(C428+1),FALSE,C428&gt;入力シート!$J$24)))</f>
        <v>0</v>
      </c>
      <c r="K428" s="237" t="b">
        <f>IF(COUNTIF(入力シート!$J$16:$S$23,入力リスト!$K$4)=0,FALSE,IF(AND(入力シート!$J$16&lt;&gt;入力リスト!$K$5,入力シート!$J$18&lt;&gt;入力リスト!$K$5,入力シート!$J$20&lt;&gt;入力リスト!$K$5,入力シート!$J$22&lt;&gt;入力リスト!$K$5),FALSE,ISERROR(VLOOKUP(D428,入力シート!$AW$37:$AY$38,1,0))))</f>
        <v>0</v>
      </c>
      <c r="L428" s="237" t="b">
        <f>IF(COUNTIF(入力シート!$J$16:$S$23,入力リスト!$K$4)=0,FALSE,IF(入力シート!$J$20=入力リスト!$K$5,FALSE,IF(E428="",FALSE,ISERROR(VLOOKUP(E428,入力シート!$AH$37:$AK$62,1,0)))))</f>
        <v>0</v>
      </c>
      <c r="M428" s="238" t="str">
        <f t="shared" si="6"/>
        <v/>
      </c>
      <c r="N428" s="236" t="str">
        <f>IF(B428="","",VLOOKUP('従業員情報(給与以外)'!$B428,入力シート!$S$37:$Z$62,5,0))</f>
        <v/>
      </c>
      <c r="O428" s="182" t="str">
        <f>IF(ISNUMBER(C428)=FALSE,"",IF(C428&gt;入力シート!$J$24,"",_xlfn.DAYS(入力シート!$J$24,'従業員情報(給与以外)'!$C428)/365))</f>
        <v/>
      </c>
      <c r="P428" s="237" t="str">
        <f>IF(O428="","",VLOOKUP(_xlfn.DAYS(入力シート!$J$24,'従業員情報(給与以外)'!$C428)/365,入力リスト!$H$4:$I$12,2,2))</f>
        <v/>
      </c>
      <c r="Q428" s="236" t="str">
        <f>IF(D428="","",VLOOKUP('従業員情報(給与以外)'!$D428,入力シート!$AW$37:$BB$38,4,0))</f>
        <v/>
      </c>
      <c r="R428" s="236" t="str">
        <f>IF(A428="","",IF(E428="","非役職",VLOOKUP('従業員情報(給与以外)'!$E428,入力シート!$AH$37:$AO$62,5,0)))</f>
        <v/>
      </c>
      <c r="S428" s="116" t="str">
        <f>IF(OR(入力シート!$C$5&lt;&gt;入力リスト!$N$4,COUNTIF(入力シート!$J$16:$S$23,入力リスト!$K$4)=0),"",IF($A428="","",IF(ISERROR(AVERAGEIF(従業員の給与情報!$B:$B,$A428,従業員の給与情報!$C:$C)),0,IF(ISERROR(AVERAGEIF(従業員の給与情報!$B:$B,$A428,従業員の給与情報!$C:$C)),0,AVERAGEIF(従業員の給与情報!$B:$B,$A428,従業員の給与情報!$C:$C)))))</f>
        <v/>
      </c>
      <c r="T428" s="116" t="str">
        <f>IF(OR(入力シート!$C$5&lt;&gt;入力リスト!$N$4,COUNTIF(入力シート!$J$16:$S$23,入力リスト!$K$4)=0),"",IF(A428="","",IF(ISERROR(AVERAGEIF(従業員の給与情報!$B:$B,$A428,従業員の給与情報!$D:$D)),0,IF(ISERROR(AVERAGEIF(従業員の給与情報!$B:$B,$A428,従業員の給与情報!$D:$D)),0,AVERAGEIF(従業員の給与情報!$B:$B,$A428,従業員の給与情報!$D:$D)))))</f>
        <v/>
      </c>
      <c r="U428" s="116" t="str">
        <f>IF(OR(入力シート!$C$5&lt;&gt;入力リスト!$N$4,COUNTIF(入力シート!$J$16:$S$23,入力リスト!$K$4)=0),"",IF(A428="","",IF(ISERROR(AVERAGEIF(従業員の給与情報!$B:$B,$A428,従業員の給与情報!$E:$E)),0,IF(ISERROR(AVERAGEIF(従業員の給与情報!$B:$B,$A428,従業員の給与情報!$E:$E)),0,AVERAGEIF(従業員の給与情報!$B:$B,$A428,従業員の給与情報!$E:$E)))))</f>
        <v/>
      </c>
      <c r="V428" s="117" t="str">
        <f>IF(OR(入力シート!$C$5&lt;&gt;入力リスト!$N$4,COUNTIF(入力シート!$J$16:$S$23,入力リスト!$K$4)=0),"",IF(A428="","",IF(ISERROR(AVERAGEIF(従業員の給与情報!$B:$B,$A428,従業員の給与情報!$F:$F)),0,IF(ISERROR(AVERAGEIF(従業員の給与情報!$B:$B,$A428,従業員の給与情報!$F:$F)),0,AVERAGEIF(従業員の給与情報!$B:$B,$A428,従業員の給与情報!$F:$F)))))</f>
        <v/>
      </c>
      <c r="W428" s="182"/>
      <c r="X428" s="260"/>
    </row>
    <row r="429" spans="1:24">
      <c r="A429" s="368"/>
      <c r="B429" s="361"/>
      <c r="C429" s="362"/>
      <c r="D429" s="361"/>
      <c r="E429" s="361"/>
      <c r="F429" s="372" t="str">
        <f>IF(G429,"この従業員番号は、すでに他のセルで入力されています。",IF(入力シート!$C$5=入力リスト!$N$5,"",IF(AND(A429="",B429="",C429="",D429="",E429=""),"",IF(OR(A429="",B429="",C429="",D429=""),IF(A429="","従業員番号","")&amp;IF(AND(A429="",OR(B429="",C429="",D429="")),",","")&amp;IF(B429="","雇用形態","")&amp;IF(AND(B429="",OR(C429="",D429="")),",","")&amp;IF(OR(入力シート!$J$18=入力リスト!$K$4,入力シート!$J$22=入力リスト!$K$4),IF(C429="","入社年月日",""),"")&amp;IF(AND(C429="",D429=""),",","")&amp;IF(D429="","性別","")&amp;IF(IF(A429="","従業員番号","")&amp;IF(B429="","雇用形態","")&amp;IF(OR(入力シート!$J$18=入力リスト!$K$4,入力シート!$J$22=入力リスト!$K$4),IF(C429="","入社年月日",""),"")&amp;IF(D429="","性別","")="","","が空白です。"),IF(J429,"入社年月日に「基準日」の翌日以降の日付が入力されています。","")&amp;IF(I429,"入社年月日に数値以外（又は1900/1/1以前の日付）が入力されています。","")&amp;IF(H429,"雇用形態"&amp;IF(OR(K429,L429),",",""),"")&amp;IF(K429,"性別"&amp;IF(L429,",",""),"")&amp;IF(L429,"役職","")&amp;IF(OR(H429,K429,L429),"に、［入力シート］(4)「貴社」欄と異なる文言が入力されています。","")))))</f>
        <v/>
      </c>
      <c r="G429" s="236" t="b">
        <f>COUNTIF($A$4:A428,$A429)&gt;0</f>
        <v>0</v>
      </c>
      <c r="H429" s="237" t="b">
        <f>IF(COUNTIF(入力シート!$J$16:$S$23,入力リスト!$K$4)=0,FALSE,IF(入力シート!$J$16=入力リスト!$K$5,FALSE,ISERROR(VLOOKUP(B429,入力シート!$S$37:$V$62,1,0))))</f>
        <v>0</v>
      </c>
      <c r="I429" s="237" t="b">
        <f>IF(AND(OR(入力シート!$J$18=入力リスト!$K$4,入力シート!$J$22=入力リスト!$K$4),入力シート!$J$24&lt;&gt;""),IF(ISERROR(C429+1),TRUE,IF(ISNUMBER(C429),FALSE,TRUE)),FALSE)</f>
        <v>0</v>
      </c>
      <c r="J429" s="237" t="b">
        <f>IF(AND(入力シート!$J$18=入力リスト!$K$4,入力シート!$J$22=入力リスト!$K$4),FALSE,IF(I429=TRUE,FALSE,IF(ISERROR(C429+1),FALSE,C429&gt;入力シート!$J$24)))</f>
        <v>0</v>
      </c>
      <c r="K429" s="237" t="b">
        <f>IF(COUNTIF(入力シート!$J$16:$S$23,入力リスト!$K$4)=0,FALSE,IF(AND(入力シート!$J$16&lt;&gt;入力リスト!$K$5,入力シート!$J$18&lt;&gt;入力リスト!$K$5,入力シート!$J$20&lt;&gt;入力リスト!$K$5,入力シート!$J$22&lt;&gt;入力リスト!$K$5),FALSE,ISERROR(VLOOKUP(D429,入力シート!$AW$37:$AY$38,1,0))))</f>
        <v>0</v>
      </c>
      <c r="L429" s="237" t="b">
        <f>IF(COUNTIF(入力シート!$J$16:$S$23,入力リスト!$K$4)=0,FALSE,IF(入力シート!$J$20=入力リスト!$K$5,FALSE,IF(E429="",FALSE,ISERROR(VLOOKUP(E429,入力シート!$AH$37:$AK$62,1,0)))))</f>
        <v>0</v>
      </c>
      <c r="M429" s="238" t="str">
        <f t="shared" si="6"/>
        <v/>
      </c>
      <c r="N429" s="236" t="str">
        <f>IF(B429="","",VLOOKUP('従業員情報(給与以外)'!$B429,入力シート!$S$37:$Z$62,5,0))</f>
        <v/>
      </c>
      <c r="O429" s="182" t="str">
        <f>IF(ISNUMBER(C429)=FALSE,"",IF(C429&gt;入力シート!$J$24,"",_xlfn.DAYS(入力シート!$J$24,'従業員情報(給与以外)'!$C429)/365))</f>
        <v/>
      </c>
      <c r="P429" s="237" t="str">
        <f>IF(O429="","",VLOOKUP(_xlfn.DAYS(入力シート!$J$24,'従業員情報(給与以外)'!$C429)/365,入力リスト!$H$4:$I$12,2,2))</f>
        <v/>
      </c>
      <c r="Q429" s="236" t="str">
        <f>IF(D429="","",VLOOKUP('従業員情報(給与以外)'!$D429,入力シート!$AW$37:$BB$38,4,0))</f>
        <v/>
      </c>
      <c r="R429" s="236" t="str">
        <f>IF(A429="","",IF(E429="","非役職",VLOOKUP('従業員情報(給与以外)'!$E429,入力シート!$AH$37:$AO$62,5,0)))</f>
        <v/>
      </c>
      <c r="S429" s="116" t="str">
        <f>IF(OR(入力シート!$C$5&lt;&gt;入力リスト!$N$4,COUNTIF(入力シート!$J$16:$S$23,入力リスト!$K$4)=0),"",IF($A429="","",IF(ISERROR(AVERAGEIF(従業員の給与情報!$B:$B,$A429,従業員の給与情報!$C:$C)),0,IF(ISERROR(AVERAGEIF(従業員の給与情報!$B:$B,$A429,従業員の給与情報!$C:$C)),0,AVERAGEIF(従業員の給与情報!$B:$B,$A429,従業員の給与情報!$C:$C)))))</f>
        <v/>
      </c>
      <c r="T429" s="116" t="str">
        <f>IF(OR(入力シート!$C$5&lt;&gt;入力リスト!$N$4,COUNTIF(入力シート!$J$16:$S$23,入力リスト!$K$4)=0),"",IF(A429="","",IF(ISERROR(AVERAGEIF(従業員の給与情報!$B:$B,$A429,従業員の給与情報!$D:$D)),0,IF(ISERROR(AVERAGEIF(従業員の給与情報!$B:$B,$A429,従業員の給与情報!$D:$D)),0,AVERAGEIF(従業員の給与情報!$B:$B,$A429,従業員の給与情報!$D:$D)))))</f>
        <v/>
      </c>
      <c r="U429" s="116" t="str">
        <f>IF(OR(入力シート!$C$5&lt;&gt;入力リスト!$N$4,COUNTIF(入力シート!$J$16:$S$23,入力リスト!$K$4)=0),"",IF(A429="","",IF(ISERROR(AVERAGEIF(従業員の給与情報!$B:$B,$A429,従業員の給与情報!$E:$E)),0,IF(ISERROR(AVERAGEIF(従業員の給与情報!$B:$B,$A429,従業員の給与情報!$E:$E)),0,AVERAGEIF(従業員の給与情報!$B:$B,$A429,従業員の給与情報!$E:$E)))))</f>
        <v/>
      </c>
      <c r="V429" s="117" t="str">
        <f>IF(OR(入力シート!$C$5&lt;&gt;入力リスト!$N$4,COUNTIF(入力シート!$J$16:$S$23,入力リスト!$K$4)=0),"",IF(A429="","",IF(ISERROR(AVERAGEIF(従業員の給与情報!$B:$B,$A429,従業員の給与情報!$F:$F)),0,IF(ISERROR(AVERAGEIF(従業員の給与情報!$B:$B,$A429,従業員の給与情報!$F:$F)),0,AVERAGEIF(従業員の給与情報!$B:$B,$A429,従業員の給与情報!$F:$F)))))</f>
        <v/>
      </c>
      <c r="W429" s="182"/>
      <c r="X429" s="260"/>
    </row>
    <row r="430" spans="1:24">
      <c r="A430" s="368"/>
      <c r="B430" s="361"/>
      <c r="C430" s="362"/>
      <c r="D430" s="361"/>
      <c r="E430" s="361"/>
      <c r="F430" s="372" t="str">
        <f>IF(G430,"この従業員番号は、すでに他のセルで入力されています。",IF(入力シート!$C$5=入力リスト!$N$5,"",IF(AND(A430="",B430="",C430="",D430="",E430=""),"",IF(OR(A430="",B430="",C430="",D430=""),IF(A430="","従業員番号","")&amp;IF(AND(A430="",OR(B430="",C430="",D430="")),",","")&amp;IF(B430="","雇用形態","")&amp;IF(AND(B430="",OR(C430="",D430="")),",","")&amp;IF(OR(入力シート!$J$18=入力リスト!$K$4,入力シート!$J$22=入力リスト!$K$4),IF(C430="","入社年月日",""),"")&amp;IF(AND(C430="",D430=""),",","")&amp;IF(D430="","性別","")&amp;IF(IF(A430="","従業員番号","")&amp;IF(B430="","雇用形態","")&amp;IF(OR(入力シート!$J$18=入力リスト!$K$4,入力シート!$J$22=入力リスト!$K$4),IF(C430="","入社年月日",""),"")&amp;IF(D430="","性別","")="","","が空白です。"),IF(J430,"入社年月日に「基準日」の翌日以降の日付が入力されています。","")&amp;IF(I430,"入社年月日に数値以外（又は1900/1/1以前の日付）が入力されています。","")&amp;IF(H430,"雇用形態"&amp;IF(OR(K430,L430),",",""),"")&amp;IF(K430,"性別"&amp;IF(L430,",",""),"")&amp;IF(L430,"役職","")&amp;IF(OR(H430,K430,L430),"に、［入力シート］(4)「貴社」欄と異なる文言が入力されています。","")))))</f>
        <v/>
      </c>
      <c r="G430" s="236" t="b">
        <f>COUNTIF($A$4:A429,$A430)&gt;0</f>
        <v>0</v>
      </c>
      <c r="H430" s="237" t="b">
        <f>IF(COUNTIF(入力シート!$J$16:$S$23,入力リスト!$K$4)=0,FALSE,IF(入力シート!$J$16=入力リスト!$K$5,FALSE,ISERROR(VLOOKUP(B430,入力シート!$S$37:$V$62,1,0))))</f>
        <v>0</v>
      </c>
      <c r="I430" s="237" t="b">
        <f>IF(AND(OR(入力シート!$J$18=入力リスト!$K$4,入力シート!$J$22=入力リスト!$K$4),入力シート!$J$24&lt;&gt;""),IF(ISERROR(C430+1),TRUE,IF(ISNUMBER(C430),FALSE,TRUE)),FALSE)</f>
        <v>0</v>
      </c>
      <c r="J430" s="237" t="b">
        <f>IF(AND(入力シート!$J$18=入力リスト!$K$4,入力シート!$J$22=入力リスト!$K$4),FALSE,IF(I430=TRUE,FALSE,IF(ISERROR(C430+1),FALSE,C430&gt;入力シート!$J$24)))</f>
        <v>0</v>
      </c>
      <c r="K430" s="237" t="b">
        <f>IF(COUNTIF(入力シート!$J$16:$S$23,入力リスト!$K$4)=0,FALSE,IF(AND(入力シート!$J$16&lt;&gt;入力リスト!$K$5,入力シート!$J$18&lt;&gt;入力リスト!$K$5,入力シート!$J$20&lt;&gt;入力リスト!$K$5,入力シート!$J$22&lt;&gt;入力リスト!$K$5),FALSE,ISERROR(VLOOKUP(D430,入力シート!$AW$37:$AY$38,1,0))))</f>
        <v>0</v>
      </c>
      <c r="L430" s="237" t="b">
        <f>IF(COUNTIF(入力シート!$J$16:$S$23,入力リスト!$K$4)=0,FALSE,IF(入力シート!$J$20=入力リスト!$K$5,FALSE,IF(E430="",FALSE,ISERROR(VLOOKUP(E430,入力シート!$AH$37:$AK$62,1,0)))))</f>
        <v>0</v>
      </c>
      <c r="M430" s="238" t="str">
        <f t="shared" si="6"/>
        <v/>
      </c>
      <c r="N430" s="236" t="str">
        <f>IF(B430="","",VLOOKUP('従業員情報(給与以外)'!$B430,入力シート!$S$37:$Z$62,5,0))</f>
        <v/>
      </c>
      <c r="O430" s="182" t="str">
        <f>IF(ISNUMBER(C430)=FALSE,"",IF(C430&gt;入力シート!$J$24,"",_xlfn.DAYS(入力シート!$J$24,'従業員情報(給与以外)'!$C430)/365))</f>
        <v/>
      </c>
      <c r="P430" s="237" t="str">
        <f>IF(O430="","",VLOOKUP(_xlfn.DAYS(入力シート!$J$24,'従業員情報(給与以外)'!$C430)/365,入力リスト!$H$4:$I$12,2,2))</f>
        <v/>
      </c>
      <c r="Q430" s="236" t="str">
        <f>IF(D430="","",VLOOKUP('従業員情報(給与以外)'!$D430,入力シート!$AW$37:$BB$38,4,0))</f>
        <v/>
      </c>
      <c r="R430" s="236" t="str">
        <f>IF(A430="","",IF(E430="","非役職",VLOOKUP('従業員情報(給与以外)'!$E430,入力シート!$AH$37:$AO$62,5,0)))</f>
        <v/>
      </c>
      <c r="S430" s="116" t="str">
        <f>IF(OR(入力シート!$C$5&lt;&gt;入力リスト!$N$4,COUNTIF(入力シート!$J$16:$S$23,入力リスト!$K$4)=0),"",IF($A430="","",IF(ISERROR(AVERAGEIF(従業員の給与情報!$B:$B,$A430,従業員の給与情報!$C:$C)),0,IF(ISERROR(AVERAGEIF(従業員の給与情報!$B:$B,$A430,従業員の給与情報!$C:$C)),0,AVERAGEIF(従業員の給与情報!$B:$B,$A430,従業員の給与情報!$C:$C)))))</f>
        <v/>
      </c>
      <c r="T430" s="116" t="str">
        <f>IF(OR(入力シート!$C$5&lt;&gt;入力リスト!$N$4,COUNTIF(入力シート!$J$16:$S$23,入力リスト!$K$4)=0),"",IF(A430="","",IF(ISERROR(AVERAGEIF(従業員の給与情報!$B:$B,$A430,従業員の給与情報!$D:$D)),0,IF(ISERROR(AVERAGEIF(従業員の給与情報!$B:$B,$A430,従業員の給与情報!$D:$D)),0,AVERAGEIF(従業員の給与情報!$B:$B,$A430,従業員の給与情報!$D:$D)))))</f>
        <v/>
      </c>
      <c r="U430" s="116" t="str">
        <f>IF(OR(入力シート!$C$5&lt;&gt;入力リスト!$N$4,COUNTIF(入力シート!$J$16:$S$23,入力リスト!$K$4)=0),"",IF(A430="","",IF(ISERROR(AVERAGEIF(従業員の給与情報!$B:$B,$A430,従業員の給与情報!$E:$E)),0,IF(ISERROR(AVERAGEIF(従業員の給与情報!$B:$B,$A430,従業員の給与情報!$E:$E)),0,AVERAGEIF(従業員の給与情報!$B:$B,$A430,従業員の給与情報!$E:$E)))))</f>
        <v/>
      </c>
      <c r="V430" s="117" t="str">
        <f>IF(OR(入力シート!$C$5&lt;&gt;入力リスト!$N$4,COUNTIF(入力シート!$J$16:$S$23,入力リスト!$K$4)=0),"",IF(A430="","",IF(ISERROR(AVERAGEIF(従業員の給与情報!$B:$B,$A430,従業員の給与情報!$F:$F)),0,IF(ISERROR(AVERAGEIF(従業員の給与情報!$B:$B,$A430,従業員の給与情報!$F:$F)),0,AVERAGEIF(従業員の給与情報!$B:$B,$A430,従業員の給与情報!$F:$F)))))</f>
        <v/>
      </c>
      <c r="W430" s="182"/>
      <c r="X430" s="260"/>
    </row>
    <row r="431" spans="1:24">
      <c r="A431" s="368"/>
      <c r="B431" s="361"/>
      <c r="C431" s="362"/>
      <c r="D431" s="361"/>
      <c r="E431" s="361"/>
      <c r="F431" s="372" t="str">
        <f>IF(G431,"この従業員番号は、すでに他のセルで入力されています。",IF(入力シート!$C$5=入力リスト!$N$5,"",IF(AND(A431="",B431="",C431="",D431="",E431=""),"",IF(OR(A431="",B431="",C431="",D431=""),IF(A431="","従業員番号","")&amp;IF(AND(A431="",OR(B431="",C431="",D431="")),",","")&amp;IF(B431="","雇用形態","")&amp;IF(AND(B431="",OR(C431="",D431="")),",","")&amp;IF(OR(入力シート!$J$18=入力リスト!$K$4,入力シート!$J$22=入力リスト!$K$4),IF(C431="","入社年月日",""),"")&amp;IF(AND(C431="",D431=""),",","")&amp;IF(D431="","性別","")&amp;IF(IF(A431="","従業員番号","")&amp;IF(B431="","雇用形態","")&amp;IF(OR(入力シート!$J$18=入力リスト!$K$4,入力シート!$J$22=入力リスト!$K$4),IF(C431="","入社年月日",""),"")&amp;IF(D431="","性別","")="","","が空白です。"),IF(J431,"入社年月日に「基準日」の翌日以降の日付が入力されています。","")&amp;IF(I431,"入社年月日に数値以外（又は1900/1/1以前の日付）が入力されています。","")&amp;IF(H431,"雇用形態"&amp;IF(OR(K431,L431),",",""),"")&amp;IF(K431,"性別"&amp;IF(L431,",",""),"")&amp;IF(L431,"役職","")&amp;IF(OR(H431,K431,L431),"に、［入力シート］(4)「貴社」欄と異なる文言が入力されています。","")))))</f>
        <v/>
      </c>
      <c r="G431" s="236" t="b">
        <f>COUNTIF($A$4:A430,$A431)&gt;0</f>
        <v>0</v>
      </c>
      <c r="H431" s="237" t="b">
        <f>IF(COUNTIF(入力シート!$J$16:$S$23,入力リスト!$K$4)=0,FALSE,IF(入力シート!$J$16=入力リスト!$K$5,FALSE,ISERROR(VLOOKUP(B431,入力シート!$S$37:$V$62,1,0))))</f>
        <v>0</v>
      </c>
      <c r="I431" s="237" t="b">
        <f>IF(AND(OR(入力シート!$J$18=入力リスト!$K$4,入力シート!$J$22=入力リスト!$K$4),入力シート!$J$24&lt;&gt;""),IF(ISERROR(C431+1),TRUE,IF(ISNUMBER(C431),FALSE,TRUE)),FALSE)</f>
        <v>0</v>
      </c>
      <c r="J431" s="237" t="b">
        <f>IF(AND(入力シート!$J$18=入力リスト!$K$4,入力シート!$J$22=入力リスト!$K$4),FALSE,IF(I431=TRUE,FALSE,IF(ISERROR(C431+1),FALSE,C431&gt;入力シート!$J$24)))</f>
        <v>0</v>
      </c>
      <c r="K431" s="237" t="b">
        <f>IF(COUNTIF(入力シート!$J$16:$S$23,入力リスト!$K$4)=0,FALSE,IF(AND(入力シート!$J$16&lt;&gt;入力リスト!$K$5,入力シート!$J$18&lt;&gt;入力リスト!$K$5,入力シート!$J$20&lt;&gt;入力リスト!$K$5,入力シート!$J$22&lt;&gt;入力リスト!$K$5),FALSE,ISERROR(VLOOKUP(D431,入力シート!$AW$37:$AY$38,1,0))))</f>
        <v>0</v>
      </c>
      <c r="L431" s="237" t="b">
        <f>IF(COUNTIF(入力シート!$J$16:$S$23,入力リスト!$K$4)=0,FALSE,IF(入力シート!$J$20=入力リスト!$K$5,FALSE,IF(E431="",FALSE,ISERROR(VLOOKUP(E431,入力シート!$AH$37:$AK$62,1,0)))))</f>
        <v>0</v>
      </c>
      <c r="M431" s="238" t="str">
        <f t="shared" si="6"/>
        <v/>
      </c>
      <c r="N431" s="236" t="str">
        <f>IF(B431="","",VLOOKUP('従業員情報(給与以外)'!$B431,入力シート!$S$37:$Z$62,5,0))</f>
        <v/>
      </c>
      <c r="O431" s="182" t="str">
        <f>IF(ISNUMBER(C431)=FALSE,"",IF(C431&gt;入力シート!$J$24,"",_xlfn.DAYS(入力シート!$J$24,'従業員情報(給与以外)'!$C431)/365))</f>
        <v/>
      </c>
      <c r="P431" s="237" t="str">
        <f>IF(O431="","",VLOOKUP(_xlfn.DAYS(入力シート!$J$24,'従業員情報(給与以外)'!$C431)/365,入力リスト!$H$4:$I$12,2,2))</f>
        <v/>
      </c>
      <c r="Q431" s="236" t="str">
        <f>IF(D431="","",VLOOKUP('従業員情報(給与以外)'!$D431,入力シート!$AW$37:$BB$38,4,0))</f>
        <v/>
      </c>
      <c r="R431" s="236" t="str">
        <f>IF(A431="","",IF(E431="","非役職",VLOOKUP('従業員情報(給与以外)'!$E431,入力シート!$AH$37:$AO$62,5,0)))</f>
        <v/>
      </c>
      <c r="S431" s="116" t="str">
        <f>IF(OR(入力シート!$C$5&lt;&gt;入力リスト!$N$4,COUNTIF(入力シート!$J$16:$S$23,入力リスト!$K$4)=0),"",IF($A431="","",IF(ISERROR(AVERAGEIF(従業員の給与情報!$B:$B,$A431,従業員の給与情報!$C:$C)),0,IF(ISERROR(AVERAGEIF(従業員の給与情報!$B:$B,$A431,従業員の給与情報!$C:$C)),0,AVERAGEIF(従業員の給与情報!$B:$B,$A431,従業員の給与情報!$C:$C)))))</f>
        <v/>
      </c>
      <c r="T431" s="116" t="str">
        <f>IF(OR(入力シート!$C$5&lt;&gt;入力リスト!$N$4,COUNTIF(入力シート!$J$16:$S$23,入力リスト!$K$4)=0),"",IF(A431="","",IF(ISERROR(AVERAGEIF(従業員の給与情報!$B:$B,$A431,従業員の給与情報!$D:$D)),0,IF(ISERROR(AVERAGEIF(従業員の給与情報!$B:$B,$A431,従業員の給与情報!$D:$D)),0,AVERAGEIF(従業員の給与情報!$B:$B,$A431,従業員の給与情報!$D:$D)))))</f>
        <v/>
      </c>
      <c r="U431" s="116" t="str">
        <f>IF(OR(入力シート!$C$5&lt;&gt;入力リスト!$N$4,COUNTIF(入力シート!$J$16:$S$23,入力リスト!$K$4)=0),"",IF(A431="","",IF(ISERROR(AVERAGEIF(従業員の給与情報!$B:$B,$A431,従業員の給与情報!$E:$E)),0,IF(ISERROR(AVERAGEIF(従業員の給与情報!$B:$B,$A431,従業員の給与情報!$E:$E)),0,AVERAGEIF(従業員の給与情報!$B:$B,$A431,従業員の給与情報!$E:$E)))))</f>
        <v/>
      </c>
      <c r="V431" s="117" t="str">
        <f>IF(OR(入力シート!$C$5&lt;&gt;入力リスト!$N$4,COUNTIF(入力シート!$J$16:$S$23,入力リスト!$K$4)=0),"",IF(A431="","",IF(ISERROR(AVERAGEIF(従業員の給与情報!$B:$B,$A431,従業員の給与情報!$F:$F)),0,IF(ISERROR(AVERAGEIF(従業員の給与情報!$B:$B,$A431,従業員の給与情報!$F:$F)),0,AVERAGEIF(従業員の給与情報!$B:$B,$A431,従業員の給与情報!$F:$F)))))</f>
        <v/>
      </c>
      <c r="W431" s="182"/>
      <c r="X431" s="260"/>
    </row>
    <row r="432" spans="1:24">
      <c r="A432" s="368"/>
      <c r="B432" s="361"/>
      <c r="C432" s="362"/>
      <c r="D432" s="361"/>
      <c r="E432" s="361"/>
      <c r="F432" s="372" t="str">
        <f>IF(G432,"この従業員番号は、すでに他のセルで入力されています。",IF(入力シート!$C$5=入力リスト!$N$5,"",IF(AND(A432="",B432="",C432="",D432="",E432=""),"",IF(OR(A432="",B432="",C432="",D432=""),IF(A432="","従業員番号","")&amp;IF(AND(A432="",OR(B432="",C432="",D432="")),",","")&amp;IF(B432="","雇用形態","")&amp;IF(AND(B432="",OR(C432="",D432="")),",","")&amp;IF(OR(入力シート!$J$18=入力リスト!$K$4,入力シート!$J$22=入力リスト!$K$4),IF(C432="","入社年月日",""),"")&amp;IF(AND(C432="",D432=""),",","")&amp;IF(D432="","性別","")&amp;IF(IF(A432="","従業員番号","")&amp;IF(B432="","雇用形態","")&amp;IF(OR(入力シート!$J$18=入力リスト!$K$4,入力シート!$J$22=入力リスト!$K$4),IF(C432="","入社年月日",""),"")&amp;IF(D432="","性別","")="","","が空白です。"),IF(J432,"入社年月日に「基準日」の翌日以降の日付が入力されています。","")&amp;IF(I432,"入社年月日に数値以外（又は1900/1/1以前の日付）が入力されています。","")&amp;IF(H432,"雇用形態"&amp;IF(OR(K432,L432),",",""),"")&amp;IF(K432,"性別"&amp;IF(L432,",",""),"")&amp;IF(L432,"役職","")&amp;IF(OR(H432,K432,L432),"に、［入力シート］(4)「貴社」欄と異なる文言が入力されています。","")))))</f>
        <v/>
      </c>
      <c r="G432" s="236" t="b">
        <f>COUNTIF($A$4:A431,$A432)&gt;0</f>
        <v>0</v>
      </c>
      <c r="H432" s="237" t="b">
        <f>IF(COUNTIF(入力シート!$J$16:$S$23,入力リスト!$K$4)=0,FALSE,IF(入力シート!$J$16=入力リスト!$K$5,FALSE,ISERROR(VLOOKUP(B432,入力シート!$S$37:$V$62,1,0))))</f>
        <v>0</v>
      </c>
      <c r="I432" s="237" t="b">
        <f>IF(AND(OR(入力シート!$J$18=入力リスト!$K$4,入力シート!$J$22=入力リスト!$K$4),入力シート!$J$24&lt;&gt;""),IF(ISERROR(C432+1),TRUE,IF(ISNUMBER(C432),FALSE,TRUE)),FALSE)</f>
        <v>0</v>
      </c>
      <c r="J432" s="237" t="b">
        <f>IF(AND(入力シート!$J$18=入力リスト!$K$4,入力シート!$J$22=入力リスト!$K$4),FALSE,IF(I432=TRUE,FALSE,IF(ISERROR(C432+1),FALSE,C432&gt;入力シート!$J$24)))</f>
        <v>0</v>
      </c>
      <c r="K432" s="237" t="b">
        <f>IF(COUNTIF(入力シート!$J$16:$S$23,入力リスト!$K$4)=0,FALSE,IF(AND(入力シート!$J$16&lt;&gt;入力リスト!$K$5,入力シート!$J$18&lt;&gt;入力リスト!$K$5,入力シート!$J$20&lt;&gt;入力リスト!$K$5,入力シート!$J$22&lt;&gt;入力リスト!$K$5),FALSE,ISERROR(VLOOKUP(D432,入力シート!$AW$37:$AY$38,1,0))))</f>
        <v>0</v>
      </c>
      <c r="L432" s="237" t="b">
        <f>IF(COUNTIF(入力シート!$J$16:$S$23,入力リスト!$K$4)=0,FALSE,IF(入力シート!$J$20=入力リスト!$K$5,FALSE,IF(E432="",FALSE,ISERROR(VLOOKUP(E432,入力シート!$AH$37:$AK$62,1,0)))))</f>
        <v>0</v>
      </c>
      <c r="M432" s="238" t="str">
        <f t="shared" si="6"/>
        <v/>
      </c>
      <c r="N432" s="236" t="str">
        <f>IF(B432="","",VLOOKUP('従業員情報(給与以外)'!$B432,入力シート!$S$37:$Z$62,5,0))</f>
        <v/>
      </c>
      <c r="O432" s="182" t="str">
        <f>IF(ISNUMBER(C432)=FALSE,"",IF(C432&gt;入力シート!$J$24,"",_xlfn.DAYS(入力シート!$J$24,'従業員情報(給与以外)'!$C432)/365))</f>
        <v/>
      </c>
      <c r="P432" s="237" t="str">
        <f>IF(O432="","",VLOOKUP(_xlfn.DAYS(入力シート!$J$24,'従業員情報(給与以外)'!$C432)/365,入力リスト!$H$4:$I$12,2,2))</f>
        <v/>
      </c>
      <c r="Q432" s="236" t="str">
        <f>IF(D432="","",VLOOKUP('従業員情報(給与以外)'!$D432,入力シート!$AW$37:$BB$38,4,0))</f>
        <v/>
      </c>
      <c r="R432" s="236" t="str">
        <f>IF(A432="","",IF(E432="","非役職",VLOOKUP('従業員情報(給与以外)'!$E432,入力シート!$AH$37:$AO$62,5,0)))</f>
        <v/>
      </c>
      <c r="S432" s="116" t="str">
        <f>IF(OR(入力シート!$C$5&lt;&gt;入力リスト!$N$4,COUNTIF(入力シート!$J$16:$S$23,入力リスト!$K$4)=0),"",IF($A432="","",IF(ISERROR(AVERAGEIF(従業員の給与情報!$B:$B,$A432,従業員の給与情報!$C:$C)),0,IF(ISERROR(AVERAGEIF(従業員の給与情報!$B:$B,$A432,従業員の給与情報!$C:$C)),0,AVERAGEIF(従業員の給与情報!$B:$B,$A432,従業員の給与情報!$C:$C)))))</f>
        <v/>
      </c>
      <c r="T432" s="116" t="str">
        <f>IF(OR(入力シート!$C$5&lt;&gt;入力リスト!$N$4,COUNTIF(入力シート!$J$16:$S$23,入力リスト!$K$4)=0),"",IF(A432="","",IF(ISERROR(AVERAGEIF(従業員の給与情報!$B:$B,$A432,従業員の給与情報!$D:$D)),0,IF(ISERROR(AVERAGEIF(従業員の給与情報!$B:$B,$A432,従業員の給与情報!$D:$D)),0,AVERAGEIF(従業員の給与情報!$B:$B,$A432,従業員の給与情報!$D:$D)))))</f>
        <v/>
      </c>
      <c r="U432" s="116" t="str">
        <f>IF(OR(入力シート!$C$5&lt;&gt;入力リスト!$N$4,COUNTIF(入力シート!$J$16:$S$23,入力リスト!$K$4)=0),"",IF(A432="","",IF(ISERROR(AVERAGEIF(従業員の給与情報!$B:$B,$A432,従業員の給与情報!$E:$E)),0,IF(ISERROR(AVERAGEIF(従業員の給与情報!$B:$B,$A432,従業員の給与情報!$E:$E)),0,AVERAGEIF(従業員の給与情報!$B:$B,$A432,従業員の給与情報!$E:$E)))))</f>
        <v/>
      </c>
      <c r="V432" s="117" t="str">
        <f>IF(OR(入力シート!$C$5&lt;&gt;入力リスト!$N$4,COUNTIF(入力シート!$J$16:$S$23,入力リスト!$K$4)=0),"",IF(A432="","",IF(ISERROR(AVERAGEIF(従業員の給与情報!$B:$B,$A432,従業員の給与情報!$F:$F)),0,IF(ISERROR(AVERAGEIF(従業員の給与情報!$B:$B,$A432,従業員の給与情報!$F:$F)),0,AVERAGEIF(従業員の給与情報!$B:$B,$A432,従業員の給与情報!$F:$F)))))</f>
        <v/>
      </c>
      <c r="W432" s="182"/>
      <c r="X432" s="260"/>
    </row>
    <row r="433" spans="1:24">
      <c r="A433" s="368"/>
      <c r="B433" s="361"/>
      <c r="C433" s="362"/>
      <c r="D433" s="361"/>
      <c r="E433" s="361"/>
      <c r="F433" s="372" t="str">
        <f>IF(G433,"この従業員番号は、すでに他のセルで入力されています。",IF(入力シート!$C$5=入力リスト!$N$5,"",IF(AND(A433="",B433="",C433="",D433="",E433=""),"",IF(OR(A433="",B433="",C433="",D433=""),IF(A433="","従業員番号","")&amp;IF(AND(A433="",OR(B433="",C433="",D433="")),",","")&amp;IF(B433="","雇用形態","")&amp;IF(AND(B433="",OR(C433="",D433="")),",","")&amp;IF(OR(入力シート!$J$18=入力リスト!$K$4,入力シート!$J$22=入力リスト!$K$4),IF(C433="","入社年月日",""),"")&amp;IF(AND(C433="",D433=""),",","")&amp;IF(D433="","性別","")&amp;IF(IF(A433="","従業員番号","")&amp;IF(B433="","雇用形態","")&amp;IF(OR(入力シート!$J$18=入力リスト!$K$4,入力シート!$J$22=入力リスト!$K$4),IF(C433="","入社年月日",""),"")&amp;IF(D433="","性別","")="","","が空白です。"),IF(J433,"入社年月日に「基準日」の翌日以降の日付が入力されています。","")&amp;IF(I433,"入社年月日に数値以外（又は1900/1/1以前の日付）が入力されています。","")&amp;IF(H433,"雇用形態"&amp;IF(OR(K433,L433),",",""),"")&amp;IF(K433,"性別"&amp;IF(L433,",",""),"")&amp;IF(L433,"役職","")&amp;IF(OR(H433,K433,L433),"に、［入力シート］(4)「貴社」欄と異なる文言が入力されています。","")))))</f>
        <v/>
      </c>
      <c r="G433" s="236" t="b">
        <f>COUNTIF($A$4:A432,$A433)&gt;0</f>
        <v>0</v>
      </c>
      <c r="H433" s="237" t="b">
        <f>IF(COUNTIF(入力シート!$J$16:$S$23,入力リスト!$K$4)=0,FALSE,IF(入力シート!$J$16=入力リスト!$K$5,FALSE,ISERROR(VLOOKUP(B433,入力シート!$S$37:$V$62,1,0))))</f>
        <v>0</v>
      </c>
      <c r="I433" s="237" t="b">
        <f>IF(AND(OR(入力シート!$J$18=入力リスト!$K$4,入力シート!$J$22=入力リスト!$K$4),入力シート!$J$24&lt;&gt;""),IF(ISERROR(C433+1),TRUE,IF(ISNUMBER(C433),FALSE,TRUE)),FALSE)</f>
        <v>0</v>
      </c>
      <c r="J433" s="237" t="b">
        <f>IF(AND(入力シート!$J$18=入力リスト!$K$4,入力シート!$J$22=入力リスト!$K$4),FALSE,IF(I433=TRUE,FALSE,IF(ISERROR(C433+1),FALSE,C433&gt;入力シート!$J$24)))</f>
        <v>0</v>
      </c>
      <c r="K433" s="237" t="b">
        <f>IF(COUNTIF(入力シート!$J$16:$S$23,入力リスト!$K$4)=0,FALSE,IF(AND(入力シート!$J$16&lt;&gt;入力リスト!$K$5,入力シート!$J$18&lt;&gt;入力リスト!$K$5,入力シート!$J$20&lt;&gt;入力リスト!$K$5,入力シート!$J$22&lt;&gt;入力リスト!$K$5),FALSE,ISERROR(VLOOKUP(D433,入力シート!$AW$37:$AY$38,1,0))))</f>
        <v>0</v>
      </c>
      <c r="L433" s="237" t="b">
        <f>IF(COUNTIF(入力シート!$J$16:$S$23,入力リスト!$K$4)=0,FALSE,IF(入力シート!$J$20=入力リスト!$K$5,FALSE,IF(E433="",FALSE,ISERROR(VLOOKUP(E433,入力シート!$AH$37:$AK$62,1,0)))))</f>
        <v>0</v>
      </c>
      <c r="M433" s="238" t="str">
        <f t="shared" si="6"/>
        <v/>
      </c>
      <c r="N433" s="236" t="str">
        <f>IF(B433="","",VLOOKUP('従業員情報(給与以外)'!$B433,入力シート!$S$37:$Z$62,5,0))</f>
        <v/>
      </c>
      <c r="O433" s="182" t="str">
        <f>IF(ISNUMBER(C433)=FALSE,"",IF(C433&gt;入力シート!$J$24,"",_xlfn.DAYS(入力シート!$J$24,'従業員情報(給与以外)'!$C433)/365))</f>
        <v/>
      </c>
      <c r="P433" s="237" t="str">
        <f>IF(O433="","",VLOOKUP(_xlfn.DAYS(入力シート!$J$24,'従業員情報(給与以外)'!$C433)/365,入力リスト!$H$4:$I$12,2,2))</f>
        <v/>
      </c>
      <c r="Q433" s="236" t="str">
        <f>IF(D433="","",VLOOKUP('従業員情報(給与以外)'!$D433,入力シート!$AW$37:$BB$38,4,0))</f>
        <v/>
      </c>
      <c r="R433" s="236" t="str">
        <f>IF(A433="","",IF(E433="","非役職",VLOOKUP('従業員情報(給与以外)'!$E433,入力シート!$AH$37:$AO$62,5,0)))</f>
        <v/>
      </c>
      <c r="S433" s="116" t="str">
        <f>IF(OR(入力シート!$C$5&lt;&gt;入力リスト!$N$4,COUNTIF(入力シート!$J$16:$S$23,入力リスト!$K$4)=0),"",IF($A433="","",IF(ISERROR(AVERAGEIF(従業員の給与情報!$B:$B,$A433,従業員の給与情報!$C:$C)),0,IF(ISERROR(AVERAGEIF(従業員の給与情報!$B:$B,$A433,従業員の給与情報!$C:$C)),0,AVERAGEIF(従業員の給与情報!$B:$B,$A433,従業員の給与情報!$C:$C)))))</f>
        <v/>
      </c>
      <c r="T433" s="116" t="str">
        <f>IF(OR(入力シート!$C$5&lt;&gt;入力リスト!$N$4,COUNTIF(入力シート!$J$16:$S$23,入力リスト!$K$4)=0),"",IF(A433="","",IF(ISERROR(AVERAGEIF(従業員の給与情報!$B:$B,$A433,従業員の給与情報!$D:$D)),0,IF(ISERROR(AVERAGEIF(従業員の給与情報!$B:$B,$A433,従業員の給与情報!$D:$D)),0,AVERAGEIF(従業員の給与情報!$B:$B,$A433,従業員の給与情報!$D:$D)))))</f>
        <v/>
      </c>
      <c r="U433" s="116" t="str">
        <f>IF(OR(入力シート!$C$5&lt;&gt;入力リスト!$N$4,COUNTIF(入力シート!$J$16:$S$23,入力リスト!$K$4)=0),"",IF(A433="","",IF(ISERROR(AVERAGEIF(従業員の給与情報!$B:$B,$A433,従業員の給与情報!$E:$E)),0,IF(ISERROR(AVERAGEIF(従業員の給与情報!$B:$B,$A433,従業員の給与情報!$E:$E)),0,AVERAGEIF(従業員の給与情報!$B:$B,$A433,従業員の給与情報!$E:$E)))))</f>
        <v/>
      </c>
      <c r="V433" s="117" t="str">
        <f>IF(OR(入力シート!$C$5&lt;&gt;入力リスト!$N$4,COUNTIF(入力シート!$J$16:$S$23,入力リスト!$K$4)=0),"",IF(A433="","",IF(ISERROR(AVERAGEIF(従業員の給与情報!$B:$B,$A433,従業員の給与情報!$F:$F)),0,IF(ISERROR(AVERAGEIF(従業員の給与情報!$B:$B,$A433,従業員の給与情報!$F:$F)),0,AVERAGEIF(従業員の給与情報!$B:$B,$A433,従業員の給与情報!$F:$F)))))</f>
        <v/>
      </c>
      <c r="W433" s="182"/>
      <c r="X433" s="260"/>
    </row>
    <row r="434" spans="1:24">
      <c r="A434" s="368"/>
      <c r="B434" s="361"/>
      <c r="C434" s="362"/>
      <c r="D434" s="361"/>
      <c r="E434" s="361"/>
      <c r="F434" s="372" t="str">
        <f>IF(G434,"この従業員番号は、すでに他のセルで入力されています。",IF(入力シート!$C$5=入力リスト!$N$5,"",IF(AND(A434="",B434="",C434="",D434="",E434=""),"",IF(OR(A434="",B434="",C434="",D434=""),IF(A434="","従業員番号","")&amp;IF(AND(A434="",OR(B434="",C434="",D434="")),",","")&amp;IF(B434="","雇用形態","")&amp;IF(AND(B434="",OR(C434="",D434="")),",","")&amp;IF(OR(入力シート!$J$18=入力リスト!$K$4,入力シート!$J$22=入力リスト!$K$4),IF(C434="","入社年月日",""),"")&amp;IF(AND(C434="",D434=""),",","")&amp;IF(D434="","性別","")&amp;IF(IF(A434="","従業員番号","")&amp;IF(B434="","雇用形態","")&amp;IF(OR(入力シート!$J$18=入力リスト!$K$4,入力シート!$J$22=入力リスト!$K$4),IF(C434="","入社年月日",""),"")&amp;IF(D434="","性別","")="","","が空白です。"),IF(J434,"入社年月日に「基準日」の翌日以降の日付が入力されています。","")&amp;IF(I434,"入社年月日に数値以外（又は1900/1/1以前の日付）が入力されています。","")&amp;IF(H434,"雇用形態"&amp;IF(OR(K434,L434),",",""),"")&amp;IF(K434,"性別"&amp;IF(L434,",",""),"")&amp;IF(L434,"役職","")&amp;IF(OR(H434,K434,L434),"に、［入力シート］(4)「貴社」欄と異なる文言が入力されています。","")))))</f>
        <v/>
      </c>
      <c r="G434" s="236" t="b">
        <f>COUNTIF($A$4:A433,$A434)&gt;0</f>
        <v>0</v>
      </c>
      <c r="H434" s="237" t="b">
        <f>IF(COUNTIF(入力シート!$J$16:$S$23,入力リスト!$K$4)=0,FALSE,IF(入力シート!$J$16=入力リスト!$K$5,FALSE,ISERROR(VLOOKUP(B434,入力シート!$S$37:$V$62,1,0))))</f>
        <v>0</v>
      </c>
      <c r="I434" s="237" t="b">
        <f>IF(AND(OR(入力シート!$J$18=入力リスト!$K$4,入力シート!$J$22=入力リスト!$K$4),入力シート!$J$24&lt;&gt;""),IF(ISERROR(C434+1),TRUE,IF(ISNUMBER(C434),FALSE,TRUE)),FALSE)</f>
        <v>0</v>
      </c>
      <c r="J434" s="237" t="b">
        <f>IF(AND(入力シート!$J$18=入力リスト!$K$4,入力シート!$J$22=入力リスト!$K$4),FALSE,IF(I434=TRUE,FALSE,IF(ISERROR(C434+1),FALSE,C434&gt;入力シート!$J$24)))</f>
        <v>0</v>
      </c>
      <c r="K434" s="237" t="b">
        <f>IF(COUNTIF(入力シート!$J$16:$S$23,入力リスト!$K$4)=0,FALSE,IF(AND(入力シート!$J$16&lt;&gt;入力リスト!$K$5,入力シート!$J$18&lt;&gt;入力リスト!$K$5,入力シート!$J$20&lt;&gt;入力リスト!$K$5,入力シート!$J$22&lt;&gt;入力リスト!$K$5),FALSE,ISERROR(VLOOKUP(D434,入力シート!$AW$37:$AY$38,1,0))))</f>
        <v>0</v>
      </c>
      <c r="L434" s="237" t="b">
        <f>IF(COUNTIF(入力シート!$J$16:$S$23,入力リスト!$K$4)=0,FALSE,IF(入力シート!$J$20=入力リスト!$K$5,FALSE,IF(E434="",FALSE,ISERROR(VLOOKUP(E434,入力シート!$AH$37:$AK$62,1,0)))))</f>
        <v>0</v>
      </c>
      <c r="M434" s="238" t="str">
        <f t="shared" si="6"/>
        <v/>
      </c>
      <c r="N434" s="236" t="str">
        <f>IF(B434="","",VLOOKUP('従業員情報(給与以外)'!$B434,入力シート!$S$37:$Z$62,5,0))</f>
        <v/>
      </c>
      <c r="O434" s="182" t="str">
        <f>IF(ISNUMBER(C434)=FALSE,"",IF(C434&gt;入力シート!$J$24,"",_xlfn.DAYS(入力シート!$J$24,'従業員情報(給与以外)'!$C434)/365))</f>
        <v/>
      </c>
      <c r="P434" s="237" t="str">
        <f>IF(O434="","",VLOOKUP(_xlfn.DAYS(入力シート!$J$24,'従業員情報(給与以外)'!$C434)/365,入力リスト!$H$4:$I$12,2,2))</f>
        <v/>
      </c>
      <c r="Q434" s="236" t="str">
        <f>IF(D434="","",VLOOKUP('従業員情報(給与以外)'!$D434,入力シート!$AW$37:$BB$38,4,0))</f>
        <v/>
      </c>
      <c r="R434" s="236" t="str">
        <f>IF(A434="","",IF(E434="","非役職",VLOOKUP('従業員情報(給与以外)'!$E434,入力シート!$AH$37:$AO$62,5,0)))</f>
        <v/>
      </c>
      <c r="S434" s="116" t="str">
        <f>IF(OR(入力シート!$C$5&lt;&gt;入力リスト!$N$4,COUNTIF(入力シート!$J$16:$S$23,入力リスト!$K$4)=0),"",IF($A434="","",IF(ISERROR(AVERAGEIF(従業員の給与情報!$B:$B,$A434,従業員の給与情報!$C:$C)),0,IF(ISERROR(AVERAGEIF(従業員の給与情報!$B:$B,$A434,従業員の給与情報!$C:$C)),0,AVERAGEIF(従業員の給与情報!$B:$B,$A434,従業員の給与情報!$C:$C)))))</f>
        <v/>
      </c>
      <c r="T434" s="116" t="str">
        <f>IF(OR(入力シート!$C$5&lt;&gt;入力リスト!$N$4,COUNTIF(入力シート!$J$16:$S$23,入力リスト!$K$4)=0),"",IF(A434="","",IF(ISERROR(AVERAGEIF(従業員の給与情報!$B:$B,$A434,従業員の給与情報!$D:$D)),0,IF(ISERROR(AVERAGEIF(従業員の給与情報!$B:$B,$A434,従業員の給与情報!$D:$D)),0,AVERAGEIF(従業員の給与情報!$B:$B,$A434,従業員の給与情報!$D:$D)))))</f>
        <v/>
      </c>
      <c r="U434" s="116" t="str">
        <f>IF(OR(入力シート!$C$5&lt;&gt;入力リスト!$N$4,COUNTIF(入力シート!$J$16:$S$23,入力リスト!$K$4)=0),"",IF(A434="","",IF(ISERROR(AVERAGEIF(従業員の給与情報!$B:$B,$A434,従業員の給与情報!$E:$E)),0,IF(ISERROR(AVERAGEIF(従業員の給与情報!$B:$B,$A434,従業員の給与情報!$E:$E)),0,AVERAGEIF(従業員の給与情報!$B:$B,$A434,従業員の給与情報!$E:$E)))))</f>
        <v/>
      </c>
      <c r="V434" s="117" t="str">
        <f>IF(OR(入力シート!$C$5&lt;&gt;入力リスト!$N$4,COUNTIF(入力シート!$J$16:$S$23,入力リスト!$K$4)=0),"",IF(A434="","",IF(ISERROR(AVERAGEIF(従業員の給与情報!$B:$B,$A434,従業員の給与情報!$F:$F)),0,IF(ISERROR(AVERAGEIF(従業員の給与情報!$B:$B,$A434,従業員の給与情報!$F:$F)),0,AVERAGEIF(従業員の給与情報!$B:$B,$A434,従業員の給与情報!$F:$F)))))</f>
        <v/>
      </c>
      <c r="W434" s="182"/>
      <c r="X434" s="260"/>
    </row>
    <row r="435" spans="1:24">
      <c r="A435" s="368"/>
      <c r="B435" s="361"/>
      <c r="C435" s="362"/>
      <c r="D435" s="361"/>
      <c r="E435" s="361"/>
      <c r="F435" s="372" t="str">
        <f>IF(G435,"この従業員番号は、すでに他のセルで入力されています。",IF(入力シート!$C$5=入力リスト!$N$5,"",IF(AND(A435="",B435="",C435="",D435="",E435=""),"",IF(OR(A435="",B435="",C435="",D435=""),IF(A435="","従業員番号","")&amp;IF(AND(A435="",OR(B435="",C435="",D435="")),",","")&amp;IF(B435="","雇用形態","")&amp;IF(AND(B435="",OR(C435="",D435="")),",","")&amp;IF(OR(入力シート!$J$18=入力リスト!$K$4,入力シート!$J$22=入力リスト!$K$4),IF(C435="","入社年月日",""),"")&amp;IF(AND(C435="",D435=""),",","")&amp;IF(D435="","性別","")&amp;IF(IF(A435="","従業員番号","")&amp;IF(B435="","雇用形態","")&amp;IF(OR(入力シート!$J$18=入力リスト!$K$4,入力シート!$J$22=入力リスト!$K$4),IF(C435="","入社年月日",""),"")&amp;IF(D435="","性別","")="","","が空白です。"),IF(J435,"入社年月日に「基準日」の翌日以降の日付が入力されています。","")&amp;IF(I435,"入社年月日に数値以外（又は1900/1/1以前の日付）が入力されています。","")&amp;IF(H435,"雇用形態"&amp;IF(OR(K435,L435),",",""),"")&amp;IF(K435,"性別"&amp;IF(L435,",",""),"")&amp;IF(L435,"役職","")&amp;IF(OR(H435,K435,L435),"に、［入力シート］(4)「貴社」欄と異なる文言が入力されています。","")))))</f>
        <v/>
      </c>
      <c r="G435" s="236" t="b">
        <f>COUNTIF($A$4:A434,$A435)&gt;0</f>
        <v>0</v>
      </c>
      <c r="H435" s="237" t="b">
        <f>IF(COUNTIF(入力シート!$J$16:$S$23,入力リスト!$K$4)=0,FALSE,IF(入力シート!$J$16=入力リスト!$K$5,FALSE,ISERROR(VLOOKUP(B435,入力シート!$S$37:$V$62,1,0))))</f>
        <v>0</v>
      </c>
      <c r="I435" s="237" t="b">
        <f>IF(AND(OR(入力シート!$J$18=入力リスト!$K$4,入力シート!$J$22=入力リスト!$K$4),入力シート!$J$24&lt;&gt;""),IF(ISERROR(C435+1),TRUE,IF(ISNUMBER(C435),FALSE,TRUE)),FALSE)</f>
        <v>0</v>
      </c>
      <c r="J435" s="237" t="b">
        <f>IF(AND(入力シート!$J$18=入力リスト!$K$4,入力シート!$J$22=入力リスト!$K$4),FALSE,IF(I435=TRUE,FALSE,IF(ISERROR(C435+1),FALSE,C435&gt;入力シート!$J$24)))</f>
        <v>0</v>
      </c>
      <c r="K435" s="237" t="b">
        <f>IF(COUNTIF(入力シート!$J$16:$S$23,入力リスト!$K$4)=0,FALSE,IF(AND(入力シート!$J$16&lt;&gt;入力リスト!$K$5,入力シート!$J$18&lt;&gt;入力リスト!$K$5,入力シート!$J$20&lt;&gt;入力リスト!$K$5,入力シート!$J$22&lt;&gt;入力リスト!$K$5),FALSE,ISERROR(VLOOKUP(D435,入力シート!$AW$37:$AY$38,1,0))))</f>
        <v>0</v>
      </c>
      <c r="L435" s="237" t="b">
        <f>IF(COUNTIF(入力シート!$J$16:$S$23,入力リスト!$K$4)=0,FALSE,IF(入力シート!$J$20=入力リスト!$K$5,FALSE,IF(E435="",FALSE,ISERROR(VLOOKUP(E435,入力シート!$AH$37:$AK$62,1,0)))))</f>
        <v>0</v>
      </c>
      <c r="M435" s="238" t="str">
        <f t="shared" si="6"/>
        <v/>
      </c>
      <c r="N435" s="236" t="str">
        <f>IF(B435="","",VLOOKUP('従業員情報(給与以外)'!$B435,入力シート!$S$37:$Z$62,5,0))</f>
        <v/>
      </c>
      <c r="O435" s="182" t="str">
        <f>IF(ISNUMBER(C435)=FALSE,"",IF(C435&gt;入力シート!$J$24,"",_xlfn.DAYS(入力シート!$J$24,'従業員情報(給与以外)'!$C435)/365))</f>
        <v/>
      </c>
      <c r="P435" s="237" t="str">
        <f>IF(O435="","",VLOOKUP(_xlfn.DAYS(入力シート!$J$24,'従業員情報(給与以外)'!$C435)/365,入力リスト!$H$4:$I$12,2,2))</f>
        <v/>
      </c>
      <c r="Q435" s="236" t="str">
        <f>IF(D435="","",VLOOKUP('従業員情報(給与以外)'!$D435,入力シート!$AW$37:$BB$38,4,0))</f>
        <v/>
      </c>
      <c r="R435" s="236" t="str">
        <f>IF(A435="","",IF(E435="","非役職",VLOOKUP('従業員情報(給与以外)'!$E435,入力シート!$AH$37:$AO$62,5,0)))</f>
        <v/>
      </c>
      <c r="S435" s="116" t="str">
        <f>IF(OR(入力シート!$C$5&lt;&gt;入力リスト!$N$4,COUNTIF(入力シート!$J$16:$S$23,入力リスト!$K$4)=0),"",IF($A435="","",IF(ISERROR(AVERAGEIF(従業員の給与情報!$B:$B,$A435,従業員の給与情報!$C:$C)),0,IF(ISERROR(AVERAGEIF(従業員の給与情報!$B:$B,$A435,従業員の給与情報!$C:$C)),0,AVERAGEIF(従業員の給与情報!$B:$B,$A435,従業員の給与情報!$C:$C)))))</f>
        <v/>
      </c>
      <c r="T435" s="116" t="str">
        <f>IF(OR(入力シート!$C$5&lt;&gt;入力リスト!$N$4,COUNTIF(入力シート!$J$16:$S$23,入力リスト!$K$4)=0),"",IF(A435="","",IF(ISERROR(AVERAGEIF(従業員の給与情報!$B:$B,$A435,従業員の給与情報!$D:$D)),0,IF(ISERROR(AVERAGEIF(従業員の給与情報!$B:$B,$A435,従業員の給与情報!$D:$D)),0,AVERAGEIF(従業員の給与情報!$B:$B,$A435,従業員の給与情報!$D:$D)))))</f>
        <v/>
      </c>
      <c r="U435" s="116" t="str">
        <f>IF(OR(入力シート!$C$5&lt;&gt;入力リスト!$N$4,COUNTIF(入力シート!$J$16:$S$23,入力リスト!$K$4)=0),"",IF(A435="","",IF(ISERROR(AVERAGEIF(従業員の給与情報!$B:$B,$A435,従業員の給与情報!$E:$E)),0,IF(ISERROR(AVERAGEIF(従業員の給与情報!$B:$B,$A435,従業員の給与情報!$E:$E)),0,AVERAGEIF(従業員の給与情報!$B:$B,$A435,従業員の給与情報!$E:$E)))))</f>
        <v/>
      </c>
      <c r="V435" s="117" t="str">
        <f>IF(OR(入力シート!$C$5&lt;&gt;入力リスト!$N$4,COUNTIF(入力シート!$J$16:$S$23,入力リスト!$K$4)=0),"",IF(A435="","",IF(ISERROR(AVERAGEIF(従業員の給与情報!$B:$B,$A435,従業員の給与情報!$F:$F)),0,IF(ISERROR(AVERAGEIF(従業員の給与情報!$B:$B,$A435,従業員の給与情報!$F:$F)),0,AVERAGEIF(従業員の給与情報!$B:$B,$A435,従業員の給与情報!$F:$F)))))</f>
        <v/>
      </c>
      <c r="W435" s="182"/>
      <c r="X435" s="260"/>
    </row>
    <row r="436" spans="1:24">
      <c r="A436" s="368"/>
      <c r="B436" s="361"/>
      <c r="C436" s="362"/>
      <c r="D436" s="361"/>
      <c r="E436" s="361"/>
      <c r="F436" s="372" t="str">
        <f>IF(G436,"この従業員番号は、すでに他のセルで入力されています。",IF(入力シート!$C$5=入力リスト!$N$5,"",IF(AND(A436="",B436="",C436="",D436="",E436=""),"",IF(OR(A436="",B436="",C436="",D436=""),IF(A436="","従業員番号","")&amp;IF(AND(A436="",OR(B436="",C436="",D436="")),",","")&amp;IF(B436="","雇用形態","")&amp;IF(AND(B436="",OR(C436="",D436="")),",","")&amp;IF(OR(入力シート!$J$18=入力リスト!$K$4,入力シート!$J$22=入力リスト!$K$4),IF(C436="","入社年月日",""),"")&amp;IF(AND(C436="",D436=""),",","")&amp;IF(D436="","性別","")&amp;IF(IF(A436="","従業員番号","")&amp;IF(B436="","雇用形態","")&amp;IF(OR(入力シート!$J$18=入力リスト!$K$4,入力シート!$J$22=入力リスト!$K$4),IF(C436="","入社年月日",""),"")&amp;IF(D436="","性別","")="","","が空白です。"),IF(J436,"入社年月日に「基準日」の翌日以降の日付が入力されています。","")&amp;IF(I436,"入社年月日に数値以外（又は1900/1/1以前の日付）が入力されています。","")&amp;IF(H436,"雇用形態"&amp;IF(OR(K436,L436),",",""),"")&amp;IF(K436,"性別"&amp;IF(L436,",",""),"")&amp;IF(L436,"役職","")&amp;IF(OR(H436,K436,L436),"に、［入力シート］(4)「貴社」欄と異なる文言が入力されています。","")))))</f>
        <v/>
      </c>
      <c r="G436" s="236" t="b">
        <f>COUNTIF($A$4:A435,$A436)&gt;0</f>
        <v>0</v>
      </c>
      <c r="H436" s="237" t="b">
        <f>IF(COUNTIF(入力シート!$J$16:$S$23,入力リスト!$K$4)=0,FALSE,IF(入力シート!$J$16=入力リスト!$K$5,FALSE,ISERROR(VLOOKUP(B436,入力シート!$S$37:$V$62,1,0))))</f>
        <v>0</v>
      </c>
      <c r="I436" s="237" t="b">
        <f>IF(AND(OR(入力シート!$J$18=入力リスト!$K$4,入力シート!$J$22=入力リスト!$K$4),入力シート!$J$24&lt;&gt;""),IF(ISERROR(C436+1),TRUE,IF(ISNUMBER(C436),FALSE,TRUE)),FALSE)</f>
        <v>0</v>
      </c>
      <c r="J436" s="237" t="b">
        <f>IF(AND(入力シート!$J$18=入力リスト!$K$4,入力シート!$J$22=入力リスト!$K$4),FALSE,IF(I436=TRUE,FALSE,IF(ISERROR(C436+1),FALSE,C436&gt;入力シート!$J$24)))</f>
        <v>0</v>
      </c>
      <c r="K436" s="237" t="b">
        <f>IF(COUNTIF(入力シート!$J$16:$S$23,入力リスト!$K$4)=0,FALSE,IF(AND(入力シート!$J$16&lt;&gt;入力リスト!$K$5,入力シート!$J$18&lt;&gt;入力リスト!$K$5,入力シート!$J$20&lt;&gt;入力リスト!$K$5,入力シート!$J$22&lt;&gt;入力リスト!$K$5),FALSE,ISERROR(VLOOKUP(D436,入力シート!$AW$37:$AY$38,1,0))))</f>
        <v>0</v>
      </c>
      <c r="L436" s="237" t="b">
        <f>IF(COUNTIF(入力シート!$J$16:$S$23,入力リスト!$K$4)=0,FALSE,IF(入力シート!$J$20=入力リスト!$K$5,FALSE,IF(E436="",FALSE,ISERROR(VLOOKUP(E436,入力シート!$AH$37:$AK$62,1,0)))))</f>
        <v>0</v>
      </c>
      <c r="M436" s="238" t="str">
        <f t="shared" si="6"/>
        <v/>
      </c>
      <c r="N436" s="236" t="str">
        <f>IF(B436="","",VLOOKUP('従業員情報(給与以外)'!$B436,入力シート!$S$37:$Z$62,5,0))</f>
        <v/>
      </c>
      <c r="O436" s="182" t="str">
        <f>IF(ISNUMBER(C436)=FALSE,"",IF(C436&gt;入力シート!$J$24,"",_xlfn.DAYS(入力シート!$J$24,'従業員情報(給与以外)'!$C436)/365))</f>
        <v/>
      </c>
      <c r="P436" s="237" t="str">
        <f>IF(O436="","",VLOOKUP(_xlfn.DAYS(入力シート!$J$24,'従業員情報(給与以外)'!$C436)/365,入力リスト!$H$4:$I$12,2,2))</f>
        <v/>
      </c>
      <c r="Q436" s="236" t="str">
        <f>IF(D436="","",VLOOKUP('従業員情報(給与以外)'!$D436,入力シート!$AW$37:$BB$38,4,0))</f>
        <v/>
      </c>
      <c r="R436" s="236" t="str">
        <f>IF(A436="","",IF(E436="","非役職",VLOOKUP('従業員情報(給与以外)'!$E436,入力シート!$AH$37:$AO$62,5,0)))</f>
        <v/>
      </c>
      <c r="S436" s="116" t="str">
        <f>IF(OR(入力シート!$C$5&lt;&gt;入力リスト!$N$4,COUNTIF(入力シート!$J$16:$S$23,入力リスト!$K$4)=0),"",IF($A436="","",IF(ISERROR(AVERAGEIF(従業員の給与情報!$B:$B,$A436,従業員の給与情報!$C:$C)),0,IF(ISERROR(AVERAGEIF(従業員の給与情報!$B:$B,$A436,従業員の給与情報!$C:$C)),0,AVERAGEIF(従業員の給与情報!$B:$B,$A436,従業員の給与情報!$C:$C)))))</f>
        <v/>
      </c>
      <c r="T436" s="116" t="str">
        <f>IF(OR(入力シート!$C$5&lt;&gt;入力リスト!$N$4,COUNTIF(入力シート!$J$16:$S$23,入力リスト!$K$4)=0),"",IF(A436="","",IF(ISERROR(AVERAGEIF(従業員の給与情報!$B:$B,$A436,従業員の給与情報!$D:$D)),0,IF(ISERROR(AVERAGEIF(従業員の給与情報!$B:$B,$A436,従業員の給与情報!$D:$D)),0,AVERAGEIF(従業員の給与情報!$B:$B,$A436,従業員の給与情報!$D:$D)))))</f>
        <v/>
      </c>
      <c r="U436" s="116" t="str">
        <f>IF(OR(入力シート!$C$5&lt;&gt;入力リスト!$N$4,COUNTIF(入力シート!$J$16:$S$23,入力リスト!$K$4)=0),"",IF(A436="","",IF(ISERROR(AVERAGEIF(従業員の給与情報!$B:$B,$A436,従業員の給与情報!$E:$E)),0,IF(ISERROR(AVERAGEIF(従業員の給与情報!$B:$B,$A436,従業員の給与情報!$E:$E)),0,AVERAGEIF(従業員の給与情報!$B:$B,$A436,従業員の給与情報!$E:$E)))))</f>
        <v/>
      </c>
      <c r="V436" s="117" t="str">
        <f>IF(OR(入力シート!$C$5&lt;&gt;入力リスト!$N$4,COUNTIF(入力シート!$J$16:$S$23,入力リスト!$K$4)=0),"",IF(A436="","",IF(ISERROR(AVERAGEIF(従業員の給与情報!$B:$B,$A436,従業員の給与情報!$F:$F)),0,IF(ISERROR(AVERAGEIF(従業員の給与情報!$B:$B,$A436,従業員の給与情報!$F:$F)),0,AVERAGEIF(従業員の給与情報!$B:$B,$A436,従業員の給与情報!$F:$F)))))</f>
        <v/>
      </c>
      <c r="W436" s="182"/>
      <c r="X436" s="260"/>
    </row>
    <row r="437" spans="1:24">
      <c r="A437" s="368"/>
      <c r="B437" s="361"/>
      <c r="C437" s="362"/>
      <c r="D437" s="361"/>
      <c r="E437" s="361"/>
      <c r="F437" s="372" t="str">
        <f>IF(G437,"この従業員番号は、すでに他のセルで入力されています。",IF(入力シート!$C$5=入力リスト!$N$5,"",IF(AND(A437="",B437="",C437="",D437="",E437=""),"",IF(OR(A437="",B437="",C437="",D437=""),IF(A437="","従業員番号","")&amp;IF(AND(A437="",OR(B437="",C437="",D437="")),",","")&amp;IF(B437="","雇用形態","")&amp;IF(AND(B437="",OR(C437="",D437="")),",","")&amp;IF(OR(入力シート!$J$18=入力リスト!$K$4,入力シート!$J$22=入力リスト!$K$4),IF(C437="","入社年月日",""),"")&amp;IF(AND(C437="",D437=""),",","")&amp;IF(D437="","性別","")&amp;IF(IF(A437="","従業員番号","")&amp;IF(B437="","雇用形態","")&amp;IF(OR(入力シート!$J$18=入力リスト!$K$4,入力シート!$J$22=入力リスト!$K$4),IF(C437="","入社年月日",""),"")&amp;IF(D437="","性別","")="","","が空白です。"),IF(J437,"入社年月日に「基準日」の翌日以降の日付が入力されています。","")&amp;IF(I437,"入社年月日に数値以外（又は1900/1/1以前の日付）が入力されています。","")&amp;IF(H437,"雇用形態"&amp;IF(OR(K437,L437),",",""),"")&amp;IF(K437,"性別"&amp;IF(L437,",",""),"")&amp;IF(L437,"役職","")&amp;IF(OR(H437,K437,L437),"に、［入力シート］(4)「貴社」欄と異なる文言が入力されています。","")))))</f>
        <v/>
      </c>
      <c r="G437" s="236" t="b">
        <f>COUNTIF($A$4:A436,$A437)&gt;0</f>
        <v>0</v>
      </c>
      <c r="H437" s="237" t="b">
        <f>IF(COUNTIF(入力シート!$J$16:$S$23,入力リスト!$K$4)=0,FALSE,IF(入力シート!$J$16=入力リスト!$K$5,FALSE,ISERROR(VLOOKUP(B437,入力シート!$S$37:$V$62,1,0))))</f>
        <v>0</v>
      </c>
      <c r="I437" s="237" t="b">
        <f>IF(AND(OR(入力シート!$J$18=入力リスト!$K$4,入力シート!$J$22=入力リスト!$K$4),入力シート!$J$24&lt;&gt;""),IF(ISERROR(C437+1),TRUE,IF(ISNUMBER(C437),FALSE,TRUE)),FALSE)</f>
        <v>0</v>
      </c>
      <c r="J437" s="237" t="b">
        <f>IF(AND(入力シート!$J$18=入力リスト!$K$4,入力シート!$J$22=入力リスト!$K$4),FALSE,IF(I437=TRUE,FALSE,IF(ISERROR(C437+1),FALSE,C437&gt;入力シート!$J$24)))</f>
        <v>0</v>
      </c>
      <c r="K437" s="237" t="b">
        <f>IF(COUNTIF(入力シート!$J$16:$S$23,入力リスト!$K$4)=0,FALSE,IF(AND(入力シート!$J$16&lt;&gt;入力リスト!$K$5,入力シート!$J$18&lt;&gt;入力リスト!$K$5,入力シート!$J$20&lt;&gt;入力リスト!$K$5,入力シート!$J$22&lt;&gt;入力リスト!$K$5),FALSE,ISERROR(VLOOKUP(D437,入力シート!$AW$37:$AY$38,1,0))))</f>
        <v>0</v>
      </c>
      <c r="L437" s="237" t="b">
        <f>IF(COUNTIF(入力シート!$J$16:$S$23,入力リスト!$K$4)=0,FALSE,IF(入力シート!$J$20=入力リスト!$K$5,FALSE,IF(E437="",FALSE,ISERROR(VLOOKUP(E437,入力シート!$AH$37:$AK$62,1,0)))))</f>
        <v>0</v>
      </c>
      <c r="M437" s="238" t="str">
        <f t="shared" si="6"/>
        <v/>
      </c>
      <c r="N437" s="236" t="str">
        <f>IF(B437="","",VLOOKUP('従業員情報(給与以外)'!$B437,入力シート!$S$37:$Z$62,5,0))</f>
        <v/>
      </c>
      <c r="O437" s="182" t="str">
        <f>IF(ISNUMBER(C437)=FALSE,"",IF(C437&gt;入力シート!$J$24,"",_xlfn.DAYS(入力シート!$J$24,'従業員情報(給与以外)'!$C437)/365))</f>
        <v/>
      </c>
      <c r="P437" s="237" t="str">
        <f>IF(O437="","",VLOOKUP(_xlfn.DAYS(入力シート!$J$24,'従業員情報(給与以外)'!$C437)/365,入力リスト!$H$4:$I$12,2,2))</f>
        <v/>
      </c>
      <c r="Q437" s="236" t="str">
        <f>IF(D437="","",VLOOKUP('従業員情報(給与以外)'!$D437,入力シート!$AW$37:$BB$38,4,0))</f>
        <v/>
      </c>
      <c r="R437" s="236" t="str">
        <f>IF(A437="","",IF(E437="","非役職",VLOOKUP('従業員情報(給与以外)'!$E437,入力シート!$AH$37:$AO$62,5,0)))</f>
        <v/>
      </c>
      <c r="S437" s="116" t="str">
        <f>IF(OR(入力シート!$C$5&lt;&gt;入力リスト!$N$4,COUNTIF(入力シート!$J$16:$S$23,入力リスト!$K$4)=0),"",IF($A437="","",IF(ISERROR(AVERAGEIF(従業員の給与情報!$B:$B,$A437,従業員の給与情報!$C:$C)),0,IF(ISERROR(AVERAGEIF(従業員の給与情報!$B:$B,$A437,従業員の給与情報!$C:$C)),0,AVERAGEIF(従業員の給与情報!$B:$B,$A437,従業員の給与情報!$C:$C)))))</f>
        <v/>
      </c>
      <c r="T437" s="116" t="str">
        <f>IF(OR(入力シート!$C$5&lt;&gt;入力リスト!$N$4,COUNTIF(入力シート!$J$16:$S$23,入力リスト!$K$4)=0),"",IF(A437="","",IF(ISERROR(AVERAGEIF(従業員の給与情報!$B:$B,$A437,従業員の給与情報!$D:$D)),0,IF(ISERROR(AVERAGEIF(従業員の給与情報!$B:$B,$A437,従業員の給与情報!$D:$D)),0,AVERAGEIF(従業員の給与情報!$B:$B,$A437,従業員の給与情報!$D:$D)))))</f>
        <v/>
      </c>
      <c r="U437" s="116" t="str">
        <f>IF(OR(入力シート!$C$5&lt;&gt;入力リスト!$N$4,COUNTIF(入力シート!$J$16:$S$23,入力リスト!$K$4)=0),"",IF(A437="","",IF(ISERROR(AVERAGEIF(従業員の給与情報!$B:$B,$A437,従業員の給与情報!$E:$E)),0,IF(ISERROR(AVERAGEIF(従業員の給与情報!$B:$B,$A437,従業員の給与情報!$E:$E)),0,AVERAGEIF(従業員の給与情報!$B:$B,$A437,従業員の給与情報!$E:$E)))))</f>
        <v/>
      </c>
      <c r="V437" s="117" t="str">
        <f>IF(OR(入力シート!$C$5&lt;&gt;入力リスト!$N$4,COUNTIF(入力シート!$J$16:$S$23,入力リスト!$K$4)=0),"",IF(A437="","",IF(ISERROR(AVERAGEIF(従業員の給与情報!$B:$B,$A437,従業員の給与情報!$F:$F)),0,IF(ISERROR(AVERAGEIF(従業員の給与情報!$B:$B,$A437,従業員の給与情報!$F:$F)),0,AVERAGEIF(従業員の給与情報!$B:$B,$A437,従業員の給与情報!$F:$F)))))</f>
        <v/>
      </c>
      <c r="W437" s="182"/>
      <c r="X437" s="260"/>
    </row>
    <row r="438" spans="1:24">
      <c r="A438" s="368"/>
      <c r="B438" s="361"/>
      <c r="C438" s="362"/>
      <c r="D438" s="361"/>
      <c r="E438" s="361"/>
      <c r="F438" s="372" t="str">
        <f>IF(G438,"この従業員番号は、すでに他のセルで入力されています。",IF(入力シート!$C$5=入力リスト!$N$5,"",IF(AND(A438="",B438="",C438="",D438="",E438=""),"",IF(OR(A438="",B438="",C438="",D438=""),IF(A438="","従業員番号","")&amp;IF(AND(A438="",OR(B438="",C438="",D438="")),",","")&amp;IF(B438="","雇用形態","")&amp;IF(AND(B438="",OR(C438="",D438="")),",","")&amp;IF(OR(入力シート!$J$18=入力リスト!$K$4,入力シート!$J$22=入力リスト!$K$4),IF(C438="","入社年月日",""),"")&amp;IF(AND(C438="",D438=""),",","")&amp;IF(D438="","性別","")&amp;IF(IF(A438="","従業員番号","")&amp;IF(B438="","雇用形態","")&amp;IF(OR(入力シート!$J$18=入力リスト!$K$4,入力シート!$J$22=入力リスト!$K$4),IF(C438="","入社年月日",""),"")&amp;IF(D438="","性別","")="","","が空白です。"),IF(J438,"入社年月日に「基準日」の翌日以降の日付が入力されています。","")&amp;IF(I438,"入社年月日に数値以外（又は1900/1/1以前の日付）が入力されています。","")&amp;IF(H438,"雇用形態"&amp;IF(OR(K438,L438),",",""),"")&amp;IF(K438,"性別"&amp;IF(L438,",",""),"")&amp;IF(L438,"役職","")&amp;IF(OR(H438,K438,L438),"に、［入力シート］(4)「貴社」欄と異なる文言が入力されています。","")))))</f>
        <v/>
      </c>
      <c r="G438" s="236" t="b">
        <f>COUNTIF($A$4:A437,$A438)&gt;0</f>
        <v>0</v>
      </c>
      <c r="H438" s="237" t="b">
        <f>IF(COUNTIF(入力シート!$J$16:$S$23,入力リスト!$K$4)=0,FALSE,IF(入力シート!$J$16=入力リスト!$K$5,FALSE,ISERROR(VLOOKUP(B438,入力シート!$S$37:$V$62,1,0))))</f>
        <v>0</v>
      </c>
      <c r="I438" s="237" t="b">
        <f>IF(AND(OR(入力シート!$J$18=入力リスト!$K$4,入力シート!$J$22=入力リスト!$K$4),入力シート!$J$24&lt;&gt;""),IF(ISERROR(C438+1),TRUE,IF(ISNUMBER(C438),FALSE,TRUE)),FALSE)</f>
        <v>0</v>
      </c>
      <c r="J438" s="237" t="b">
        <f>IF(AND(入力シート!$J$18=入力リスト!$K$4,入力シート!$J$22=入力リスト!$K$4),FALSE,IF(I438=TRUE,FALSE,IF(ISERROR(C438+1),FALSE,C438&gt;入力シート!$J$24)))</f>
        <v>0</v>
      </c>
      <c r="K438" s="237" t="b">
        <f>IF(COUNTIF(入力シート!$J$16:$S$23,入力リスト!$K$4)=0,FALSE,IF(AND(入力シート!$J$16&lt;&gt;入力リスト!$K$5,入力シート!$J$18&lt;&gt;入力リスト!$K$5,入力シート!$J$20&lt;&gt;入力リスト!$K$5,入力シート!$J$22&lt;&gt;入力リスト!$K$5),FALSE,ISERROR(VLOOKUP(D438,入力シート!$AW$37:$AY$38,1,0))))</f>
        <v>0</v>
      </c>
      <c r="L438" s="237" t="b">
        <f>IF(COUNTIF(入力シート!$J$16:$S$23,入力リスト!$K$4)=0,FALSE,IF(入力シート!$J$20=入力リスト!$K$5,FALSE,IF(E438="",FALSE,ISERROR(VLOOKUP(E438,入力シート!$AH$37:$AK$62,1,0)))))</f>
        <v>0</v>
      </c>
      <c r="M438" s="238" t="str">
        <f t="shared" si="6"/>
        <v/>
      </c>
      <c r="N438" s="236" t="str">
        <f>IF(B438="","",VLOOKUP('従業員情報(給与以外)'!$B438,入力シート!$S$37:$Z$62,5,0))</f>
        <v/>
      </c>
      <c r="O438" s="182" t="str">
        <f>IF(ISNUMBER(C438)=FALSE,"",IF(C438&gt;入力シート!$J$24,"",_xlfn.DAYS(入力シート!$J$24,'従業員情報(給与以外)'!$C438)/365))</f>
        <v/>
      </c>
      <c r="P438" s="237" t="str">
        <f>IF(O438="","",VLOOKUP(_xlfn.DAYS(入力シート!$J$24,'従業員情報(給与以外)'!$C438)/365,入力リスト!$H$4:$I$12,2,2))</f>
        <v/>
      </c>
      <c r="Q438" s="236" t="str">
        <f>IF(D438="","",VLOOKUP('従業員情報(給与以外)'!$D438,入力シート!$AW$37:$BB$38,4,0))</f>
        <v/>
      </c>
      <c r="R438" s="236" t="str">
        <f>IF(A438="","",IF(E438="","非役職",VLOOKUP('従業員情報(給与以外)'!$E438,入力シート!$AH$37:$AO$62,5,0)))</f>
        <v/>
      </c>
      <c r="S438" s="116" t="str">
        <f>IF(OR(入力シート!$C$5&lt;&gt;入力リスト!$N$4,COUNTIF(入力シート!$J$16:$S$23,入力リスト!$K$4)=0),"",IF($A438="","",IF(ISERROR(AVERAGEIF(従業員の給与情報!$B:$B,$A438,従業員の給与情報!$C:$C)),0,IF(ISERROR(AVERAGEIF(従業員の給与情報!$B:$B,$A438,従業員の給与情報!$C:$C)),0,AVERAGEIF(従業員の給与情報!$B:$B,$A438,従業員の給与情報!$C:$C)))))</f>
        <v/>
      </c>
      <c r="T438" s="116" t="str">
        <f>IF(OR(入力シート!$C$5&lt;&gt;入力リスト!$N$4,COUNTIF(入力シート!$J$16:$S$23,入力リスト!$K$4)=0),"",IF(A438="","",IF(ISERROR(AVERAGEIF(従業員の給与情報!$B:$B,$A438,従業員の給与情報!$D:$D)),0,IF(ISERROR(AVERAGEIF(従業員の給与情報!$B:$B,$A438,従業員の給与情報!$D:$D)),0,AVERAGEIF(従業員の給与情報!$B:$B,$A438,従業員の給与情報!$D:$D)))))</f>
        <v/>
      </c>
      <c r="U438" s="116" t="str">
        <f>IF(OR(入力シート!$C$5&lt;&gt;入力リスト!$N$4,COUNTIF(入力シート!$J$16:$S$23,入力リスト!$K$4)=0),"",IF(A438="","",IF(ISERROR(AVERAGEIF(従業員の給与情報!$B:$B,$A438,従業員の給与情報!$E:$E)),0,IF(ISERROR(AVERAGEIF(従業員の給与情報!$B:$B,$A438,従業員の給与情報!$E:$E)),0,AVERAGEIF(従業員の給与情報!$B:$B,$A438,従業員の給与情報!$E:$E)))))</f>
        <v/>
      </c>
      <c r="V438" s="117" t="str">
        <f>IF(OR(入力シート!$C$5&lt;&gt;入力リスト!$N$4,COUNTIF(入力シート!$J$16:$S$23,入力リスト!$K$4)=0),"",IF(A438="","",IF(ISERROR(AVERAGEIF(従業員の給与情報!$B:$B,$A438,従業員の給与情報!$F:$F)),0,IF(ISERROR(AVERAGEIF(従業員の給与情報!$B:$B,$A438,従業員の給与情報!$F:$F)),0,AVERAGEIF(従業員の給与情報!$B:$B,$A438,従業員の給与情報!$F:$F)))))</f>
        <v/>
      </c>
      <c r="W438" s="182"/>
      <c r="X438" s="260"/>
    </row>
    <row r="439" spans="1:24">
      <c r="A439" s="368"/>
      <c r="B439" s="361"/>
      <c r="C439" s="362"/>
      <c r="D439" s="361"/>
      <c r="E439" s="361"/>
      <c r="F439" s="372" t="str">
        <f>IF(G439,"この従業員番号は、すでに他のセルで入力されています。",IF(入力シート!$C$5=入力リスト!$N$5,"",IF(AND(A439="",B439="",C439="",D439="",E439=""),"",IF(OR(A439="",B439="",C439="",D439=""),IF(A439="","従業員番号","")&amp;IF(AND(A439="",OR(B439="",C439="",D439="")),",","")&amp;IF(B439="","雇用形態","")&amp;IF(AND(B439="",OR(C439="",D439="")),",","")&amp;IF(OR(入力シート!$J$18=入力リスト!$K$4,入力シート!$J$22=入力リスト!$K$4),IF(C439="","入社年月日",""),"")&amp;IF(AND(C439="",D439=""),",","")&amp;IF(D439="","性別","")&amp;IF(IF(A439="","従業員番号","")&amp;IF(B439="","雇用形態","")&amp;IF(OR(入力シート!$J$18=入力リスト!$K$4,入力シート!$J$22=入力リスト!$K$4),IF(C439="","入社年月日",""),"")&amp;IF(D439="","性別","")="","","が空白です。"),IF(J439,"入社年月日に「基準日」の翌日以降の日付が入力されています。","")&amp;IF(I439,"入社年月日に数値以外（又は1900/1/1以前の日付）が入力されています。","")&amp;IF(H439,"雇用形態"&amp;IF(OR(K439,L439),",",""),"")&amp;IF(K439,"性別"&amp;IF(L439,",",""),"")&amp;IF(L439,"役職","")&amp;IF(OR(H439,K439,L439),"に、［入力シート］(4)「貴社」欄と異なる文言が入力されています。","")))))</f>
        <v/>
      </c>
      <c r="G439" s="236" t="b">
        <f>COUNTIF($A$4:A438,$A439)&gt;0</f>
        <v>0</v>
      </c>
      <c r="H439" s="237" t="b">
        <f>IF(COUNTIF(入力シート!$J$16:$S$23,入力リスト!$K$4)=0,FALSE,IF(入力シート!$J$16=入力リスト!$K$5,FALSE,ISERROR(VLOOKUP(B439,入力シート!$S$37:$V$62,1,0))))</f>
        <v>0</v>
      </c>
      <c r="I439" s="237" t="b">
        <f>IF(AND(OR(入力シート!$J$18=入力リスト!$K$4,入力シート!$J$22=入力リスト!$K$4),入力シート!$J$24&lt;&gt;""),IF(ISERROR(C439+1),TRUE,IF(ISNUMBER(C439),FALSE,TRUE)),FALSE)</f>
        <v>0</v>
      </c>
      <c r="J439" s="237" t="b">
        <f>IF(AND(入力シート!$J$18=入力リスト!$K$4,入力シート!$J$22=入力リスト!$K$4),FALSE,IF(I439=TRUE,FALSE,IF(ISERROR(C439+1),FALSE,C439&gt;入力シート!$J$24)))</f>
        <v>0</v>
      </c>
      <c r="K439" s="237" t="b">
        <f>IF(COUNTIF(入力シート!$J$16:$S$23,入力リスト!$K$4)=0,FALSE,IF(AND(入力シート!$J$16&lt;&gt;入力リスト!$K$5,入力シート!$J$18&lt;&gt;入力リスト!$K$5,入力シート!$J$20&lt;&gt;入力リスト!$K$5,入力シート!$J$22&lt;&gt;入力リスト!$K$5),FALSE,ISERROR(VLOOKUP(D439,入力シート!$AW$37:$AY$38,1,0))))</f>
        <v>0</v>
      </c>
      <c r="L439" s="237" t="b">
        <f>IF(COUNTIF(入力シート!$J$16:$S$23,入力リスト!$K$4)=0,FALSE,IF(入力シート!$J$20=入力リスト!$K$5,FALSE,IF(E439="",FALSE,ISERROR(VLOOKUP(E439,入力シート!$AH$37:$AK$62,1,0)))))</f>
        <v>0</v>
      </c>
      <c r="M439" s="238" t="str">
        <f t="shared" si="6"/>
        <v/>
      </c>
      <c r="N439" s="236" t="str">
        <f>IF(B439="","",VLOOKUP('従業員情報(給与以外)'!$B439,入力シート!$S$37:$Z$62,5,0))</f>
        <v/>
      </c>
      <c r="O439" s="182" t="str">
        <f>IF(ISNUMBER(C439)=FALSE,"",IF(C439&gt;入力シート!$J$24,"",_xlfn.DAYS(入力シート!$J$24,'従業員情報(給与以外)'!$C439)/365))</f>
        <v/>
      </c>
      <c r="P439" s="237" t="str">
        <f>IF(O439="","",VLOOKUP(_xlfn.DAYS(入力シート!$J$24,'従業員情報(給与以外)'!$C439)/365,入力リスト!$H$4:$I$12,2,2))</f>
        <v/>
      </c>
      <c r="Q439" s="236" t="str">
        <f>IF(D439="","",VLOOKUP('従業員情報(給与以外)'!$D439,入力シート!$AW$37:$BB$38,4,0))</f>
        <v/>
      </c>
      <c r="R439" s="236" t="str">
        <f>IF(A439="","",IF(E439="","非役職",VLOOKUP('従業員情報(給与以外)'!$E439,入力シート!$AH$37:$AO$62,5,0)))</f>
        <v/>
      </c>
      <c r="S439" s="116" t="str">
        <f>IF(OR(入力シート!$C$5&lt;&gt;入力リスト!$N$4,COUNTIF(入力シート!$J$16:$S$23,入力リスト!$K$4)=0),"",IF($A439="","",IF(ISERROR(AVERAGEIF(従業員の給与情報!$B:$B,$A439,従業員の給与情報!$C:$C)),0,IF(ISERROR(AVERAGEIF(従業員の給与情報!$B:$B,$A439,従業員の給与情報!$C:$C)),0,AVERAGEIF(従業員の給与情報!$B:$B,$A439,従業員の給与情報!$C:$C)))))</f>
        <v/>
      </c>
      <c r="T439" s="116" t="str">
        <f>IF(OR(入力シート!$C$5&lt;&gt;入力リスト!$N$4,COUNTIF(入力シート!$J$16:$S$23,入力リスト!$K$4)=0),"",IF(A439="","",IF(ISERROR(AVERAGEIF(従業員の給与情報!$B:$B,$A439,従業員の給与情報!$D:$D)),0,IF(ISERROR(AVERAGEIF(従業員の給与情報!$B:$B,$A439,従業員の給与情報!$D:$D)),0,AVERAGEIF(従業員の給与情報!$B:$B,$A439,従業員の給与情報!$D:$D)))))</f>
        <v/>
      </c>
      <c r="U439" s="116" t="str">
        <f>IF(OR(入力シート!$C$5&lt;&gt;入力リスト!$N$4,COUNTIF(入力シート!$J$16:$S$23,入力リスト!$K$4)=0),"",IF(A439="","",IF(ISERROR(AVERAGEIF(従業員の給与情報!$B:$B,$A439,従業員の給与情報!$E:$E)),0,IF(ISERROR(AVERAGEIF(従業員の給与情報!$B:$B,$A439,従業員の給与情報!$E:$E)),0,AVERAGEIF(従業員の給与情報!$B:$B,$A439,従業員の給与情報!$E:$E)))))</f>
        <v/>
      </c>
      <c r="V439" s="117" t="str">
        <f>IF(OR(入力シート!$C$5&lt;&gt;入力リスト!$N$4,COUNTIF(入力シート!$J$16:$S$23,入力リスト!$K$4)=0),"",IF(A439="","",IF(ISERROR(AVERAGEIF(従業員の給与情報!$B:$B,$A439,従業員の給与情報!$F:$F)),0,IF(ISERROR(AVERAGEIF(従業員の給与情報!$B:$B,$A439,従業員の給与情報!$F:$F)),0,AVERAGEIF(従業員の給与情報!$B:$B,$A439,従業員の給与情報!$F:$F)))))</f>
        <v/>
      </c>
      <c r="W439" s="182"/>
      <c r="X439" s="260"/>
    </row>
    <row r="440" spans="1:24">
      <c r="A440" s="368"/>
      <c r="B440" s="361"/>
      <c r="C440" s="362"/>
      <c r="D440" s="361"/>
      <c r="E440" s="361"/>
      <c r="F440" s="372" t="str">
        <f>IF(G440,"この従業員番号は、すでに他のセルで入力されています。",IF(入力シート!$C$5=入力リスト!$N$5,"",IF(AND(A440="",B440="",C440="",D440="",E440=""),"",IF(OR(A440="",B440="",C440="",D440=""),IF(A440="","従業員番号","")&amp;IF(AND(A440="",OR(B440="",C440="",D440="")),",","")&amp;IF(B440="","雇用形態","")&amp;IF(AND(B440="",OR(C440="",D440="")),",","")&amp;IF(OR(入力シート!$J$18=入力リスト!$K$4,入力シート!$J$22=入力リスト!$K$4),IF(C440="","入社年月日",""),"")&amp;IF(AND(C440="",D440=""),",","")&amp;IF(D440="","性別","")&amp;IF(IF(A440="","従業員番号","")&amp;IF(B440="","雇用形態","")&amp;IF(OR(入力シート!$J$18=入力リスト!$K$4,入力シート!$J$22=入力リスト!$K$4),IF(C440="","入社年月日",""),"")&amp;IF(D440="","性別","")="","","が空白です。"),IF(J440,"入社年月日に「基準日」の翌日以降の日付が入力されています。","")&amp;IF(I440,"入社年月日に数値以外（又は1900/1/1以前の日付）が入力されています。","")&amp;IF(H440,"雇用形態"&amp;IF(OR(K440,L440),",",""),"")&amp;IF(K440,"性別"&amp;IF(L440,",",""),"")&amp;IF(L440,"役職","")&amp;IF(OR(H440,K440,L440),"に、［入力シート］(4)「貴社」欄と異なる文言が入力されています。","")))))</f>
        <v/>
      </c>
      <c r="G440" s="236" t="b">
        <f>COUNTIF($A$4:A439,$A440)&gt;0</f>
        <v>0</v>
      </c>
      <c r="H440" s="237" t="b">
        <f>IF(COUNTIF(入力シート!$J$16:$S$23,入力リスト!$K$4)=0,FALSE,IF(入力シート!$J$16=入力リスト!$K$5,FALSE,ISERROR(VLOOKUP(B440,入力シート!$S$37:$V$62,1,0))))</f>
        <v>0</v>
      </c>
      <c r="I440" s="237" t="b">
        <f>IF(AND(OR(入力シート!$J$18=入力リスト!$K$4,入力シート!$J$22=入力リスト!$K$4),入力シート!$J$24&lt;&gt;""),IF(ISERROR(C440+1),TRUE,IF(ISNUMBER(C440),FALSE,TRUE)),FALSE)</f>
        <v>0</v>
      </c>
      <c r="J440" s="237" t="b">
        <f>IF(AND(入力シート!$J$18=入力リスト!$K$4,入力シート!$J$22=入力リスト!$K$4),FALSE,IF(I440=TRUE,FALSE,IF(ISERROR(C440+1),FALSE,C440&gt;入力シート!$J$24)))</f>
        <v>0</v>
      </c>
      <c r="K440" s="237" t="b">
        <f>IF(COUNTIF(入力シート!$J$16:$S$23,入力リスト!$K$4)=0,FALSE,IF(AND(入力シート!$J$16&lt;&gt;入力リスト!$K$5,入力シート!$J$18&lt;&gt;入力リスト!$K$5,入力シート!$J$20&lt;&gt;入力リスト!$K$5,入力シート!$J$22&lt;&gt;入力リスト!$K$5),FALSE,ISERROR(VLOOKUP(D440,入力シート!$AW$37:$AY$38,1,0))))</f>
        <v>0</v>
      </c>
      <c r="L440" s="237" t="b">
        <f>IF(COUNTIF(入力シート!$J$16:$S$23,入力リスト!$K$4)=0,FALSE,IF(入力シート!$J$20=入力リスト!$K$5,FALSE,IF(E440="",FALSE,ISERROR(VLOOKUP(E440,入力シート!$AH$37:$AK$62,1,0)))))</f>
        <v>0</v>
      </c>
      <c r="M440" s="238" t="str">
        <f t="shared" si="6"/>
        <v/>
      </c>
      <c r="N440" s="236" t="str">
        <f>IF(B440="","",VLOOKUP('従業員情報(給与以外)'!$B440,入力シート!$S$37:$Z$62,5,0))</f>
        <v/>
      </c>
      <c r="O440" s="182" t="str">
        <f>IF(ISNUMBER(C440)=FALSE,"",IF(C440&gt;入力シート!$J$24,"",_xlfn.DAYS(入力シート!$J$24,'従業員情報(給与以外)'!$C440)/365))</f>
        <v/>
      </c>
      <c r="P440" s="237" t="str">
        <f>IF(O440="","",VLOOKUP(_xlfn.DAYS(入力シート!$J$24,'従業員情報(給与以外)'!$C440)/365,入力リスト!$H$4:$I$12,2,2))</f>
        <v/>
      </c>
      <c r="Q440" s="236" t="str">
        <f>IF(D440="","",VLOOKUP('従業員情報(給与以外)'!$D440,入力シート!$AW$37:$BB$38,4,0))</f>
        <v/>
      </c>
      <c r="R440" s="236" t="str">
        <f>IF(A440="","",IF(E440="","非役職",VLOOKUP('従業員情報(給与以外)'!$E440,入力シート!$AH$37:$AO$62,5,0)))</f>
        <v/>
      </c>
      <c r="S440" s="116" t="str">
        <f>IF(OR(入力シート!$C$5&lt;&gt;入力リスト!$N$4,COUNTIF(入力シート!$J$16:$S$23,入力リスト!$K$4)=0),"",IF($A440="","",IF(ISERROR(AVERAGEIF(従業員の給与情報!$B:$B,$A440,従業員の給与情報!$C:$C)),0,IF(ISERROR(AVERAGEIF(従業員の給与情報!$B:$B,$A440,従業員の給与情報!$C:$C)),0,AVERAGEIF(従業員の給与情報!$B:$B,$A440,従業員の給与情報!$C:$C)))))</f>
        <v/>
      </c>
      <c r="T440" s="116" t="str">
        <f>IF(OR(入力シート!$C$5&lt;&gt;入力リスト!$N$4,COUNTIF(入力シート!$J$16:$S$23,入力リスト!$K$4)=0),"",IF(A440="","",IF(ISERROR(AVERAGEIF(従業員の給与情報!$B:$B,$A440,従業員の給与情報!$D:$D)),0,IF(ISERROR(AVERAGEIF(従業員の給与情報!$B:$B,$A440,従業員の給与情報!$D:$D)),0,AVERAGEIF(従業員の給与情報!$B:$B,$A440,従業員の給与情報!$D:$D)))))</f>
        <v/>
      </c>
      <c r="U440" s="116" t="str">
        <f>IF(OR(入力シート!$C$5&lt;&gt;入力リスト!$N$4,COUNTIF(入力シート!$J$16:$S$23,入力リスト!$K$4)=0),"",IF(A440="","",IF(ISERROR(AVERAGEIF(従業員の給与情報!$B:$B,$A440,従業員の給与情報!$E:$E)),0,IF(ISERROR(AVERAGEIF(従業員の給与情報!$B:$B,$A440,従業員の給与情報!$E:$E)),0,AVERAGEIF(従業員の給与情報!$B:$B,$A440,従業員の給与情報!$E:$E)))))</f>
        <v/>
      </c>
      <c r="V440" s="117" t="str">
        <f>IF(OR(入力シート!$C$5&lt;&gt;入力リスト!$N$4,COUNTIF(入力シート!$J$16:$S$23,入力リスト!$K$4)=0),"",IF(A440="","",IF(ISERROR(AVERAGEIF(従業員の給与情報!$B:$B,$A440,従業員の給与情報!$F:$F)),0,IF(ISERROR(AVERAGEIF(従業員の給与情報!$B:$B,$A440,従業員の給与情報!$F:$F)),0,AVERAGEIF(従業員の給与情報!$B:$B,$A440,従業員の給与情報!$F:$F)))))</f>
        <v/>
      </c>
      <c r="W440" s="182"/>
      <c r="X440" s="260"/>
    </row>
    <row r="441" spans="1:24">
      <c r="A441" s="368"/>
      <c r="B441" s="361"/>
      <c r="C441" s="362"/>
      <c r="D441" s="361"/>
      <c r="E441" s="361"/>
      <c r="F441" s="372" t="str">
        <f>IF(G441,"この従業員番号は、すでに他のセルで入力されています。",IF(入力シート!$C$5=入力リスト!$N$5,"",IF(AND(A441="",B441="",C441="",D441="",E441=""),"",IF(OR(A441="",B441="",C441="",D441=""),IF(A441="","従業員番号","")&amp;IF(AND(A441="",OR(B441="",C441="",D441="")),",","")&amp;IF(B441="","雇用形態","")&amp;IF(AND(B441="",OR(C441="",D441="")),",","")&amp;IF(OR(入力シート!$J$18=入力リスト!$K$4,入力シート!$J$22=入力リスト!$K$4),IF(C441="","入社年月日",""),"")&amp;IF(AND(C441="",D441=""),",","")&amp;IF(D441="","性別","")&amp;IF(IF(A441="","従業員番号","")&amp;IF(B441="","雇用形態","")&amp;IF(OR(入力シート!$J$18=入力リスト!$K$4,入力シート!$J$22=入力リスト!$K$4),IF(C441="","入社年月日",""),"")&amp;IF(D441="","性別","")="","","が空白です。"),IF(J441,"入社年月日に「基準日」の翌日以降の日付が入力されています。","")&amp;IF(I441,"入社年月日に数値以外（又は1900/1/1以前の日付）が入力されています。","")&amp;IF(H441,"雇用形態"&amp;IF(OR(K441,L441),",",""),"")&amp;IF(K441,"性別"&amp;IF(L441,",",""),"")&amp;IF(L441,"役職","")&amp;IF(OR(H441,K441,L441),"に、［入力シート］(4)「貴社」欄と異なる文言が入力されています。","")))))</f>
        <v/>
      </c>
      <c r="G441" s="236" t="b">
        <f>COUNTIF($A$4:A440,$A441)&gt;0</f>
        <v>0</v>
      </c>
      <c r="H441" s="237" t="b">
        <f>IF(COUNTIF(入力シート!$J$16:$S$23,入力リスト!$K$4)=0,FALSE,IF(入力シート!$J$16=入力リスト!$K$5,FALSE,ISERROR(VLOOKUP(B441,入力シート!$S$37:$V$62,1,0))))</f>
        <v>0</v>
      </c>
      <c r="I441" s="237" t="b">
        <f>IF(AND(OR(入力シート!$J$18=入力リスト!$K$4,入力シート!$J$22=入力リスト!$K$4),入力シート!$J$24&lt;&gt;""),IF(ISERROR(C441+1),TRUE,IF(ISNUMBER(C441),FALSE,TRUE)),FALSE)</f>
        <v>0</v>
      </c>
      <c r="J441" s="237" t="b">
        <f>IF(AND(入力シート!$J$18=入力リスト!$K$4,入力シート!$J$22=入力リスト!$K$4),FALSE,IF(I441=TRUE,FALSE,IF(ISERROR(C441+1),FALSE,C441&gt;入力シート!$J$24)))</f>
        <v>0</v>
      </c>
      <c r="K441" s="237" t="b">
        <f>IF(COUNTIF(入力シート!$J$16:$S$23,入力リスト!$K$4)=0,FALSE,IF(AND(入力シート!$J$16&lt;&gt;入力リスト!$K$5,入力シート!$J$18&lt;&gt;入力リスト!$K$5,入力シート!$J$20&lt;&gt;入力リスト!$K$5,入力シート!$J$22&lt;&gt;入力リスト!$K$5),FALSE,ISERROR(VLOOKUP(D441,入力シート!$AW$37:$AY$38,1,0))))</f>
        <v>0</v>
      </c>
      <c r="L441" s="237" t="b">
        <f>IF(COUNTIF(入力シート!$J$16:$S$23,入力リスト!$K$4)=0,FALSE,IF(入力シート!$J$20=入力リスト!$K$5,FALSE,IF(E441="",FALSE,ISERROR(VLOOKUP(E441,入力シート!$AH$37:$AK$62,1,0)))))</f>
        <v>0</v>
      </c>
      <c r="M441" s="238" t="str">
        <f t="shared" si="6"/>
        <v/>
      </c>
      <c r="N441" s="236" t="str">
        <f>IF(B441="","",VLOOKUP('従業員情報(給与以外)'!$B441,入力シート!$S$37:$Z$62,5,0))</f>
        <v/>
      </c>
      <c r="O441" s="182" t="str">
        <f>IF(ISNUMBER(C441)=FALSE,"",IF(C441&gt;入力シート!$J$24,"",_xlfn.DAYS(入力シート!$J$24,'従業員情報(給与以外)'!$C441)/365))</f>
        <v/>
      </c>
      <c r="P441" s="237" t="str">
        <f>IF(O441="","",VLOOKUP(_xlfn.DAYS(入力シート!$J$24,'従業員情報(給与以外)'!$C441)/365,入力リスト!$H$4:$I$12,2,2))</f>
        <v/>
      </c>
      <c r="Q441" s="236" t="str">
        <f>IF(D441="","",VLOOKUP('従業員情報(給与以外)'!$D441,入力シート!$AW$37:$BB$38,4,0))</f>
        <v/>
      </c>
      <c r="R441" s="236" t="str">
        <f>IF(A441="","",IF(E441="","非役職",VLOOKUP('従業員情報(給与以外)'!$E441,入力シート!$AH$37:$AO$62,5,0)))</f>
        <v/>
      </c>
      <c r="S441" s="116" t="str">
        <f>IF(OR(入力シート!$C$5&lt;&gt;入力リスト!$N$4,COUNTIF(入力シート!$J$16:$S$23,入力リスト!$K$4)=0),"",IF($A441="","",IF(ISERROR(AVERAGEIF(従業員の給与情報!$B:$B,$A441,従業員の給与情報!$C:$C)),0,IF(ISERROR(AVERAGEIF(従業員の給与情報!$B:$B,$A441,従業員の給与情報!$C:$C)),0,AVERAGEIF(従業員の給与情報!$B:$B,$A441,従業員の給与情報!$C:$C)))))</f>
        <v/>
      </c>
      <c r="T441" s="116" t="str">
        <f>IF(OR(入力シート!$C$5&lt;&gt;入力リスト!$N$4,COUNTIF(入力シート!$J$16:$S$23,入力リスト!$K$4)=0),"",IF(A441="","",IF(ISERROR(AVERAGEIF(従業員の給与情報!$B:$B,$A441,従業員の給与情報!$D:$D)),0,IF(ISERROR(AVERAGEIF(従業員の給与情報!$B:$B,$A441,従業員の給与情報!$D:$D)),0,AVERAGEIF(従業員の給与情報!$B:$B,$A441,従業員の給与情報!$D:$D)))))</f>
        <v/>
      </c>
      <c r="U441" s="116" t="str">
        <f>IF(OR(入力シート!$C$5&lt;&gt;入力リスト!$N$4,COUNTIF(入力シート!$J$16:$S$23,入力リスト!$K$4)=0),"",IF(A441="","",IF(ISERROR(AVERAGEIF(従業員の給与情報!$B:$B,$A441,従業員の給与情報!$E:$E)),0,IF(ISERROR(AVERAGEIF(従業員の給与情報!$B:$B,$A441,従業員の給与情報!$E:$E)),0,AVERAGEIF(従業員の給与情報!$B:$B,$A441,従業員の給与情報!$E:$E)))))</f>
        <v/>
      </c>
      <c r="V441" s="117" t="str">
        <f>IF(OR(入力シート!$C$5&lt;&gt;入力リスト!$N$4,COUNTIF(入力シート!$J$16:$S$23,入力リスト!$K$4)=0),"",IF(A441="","",IF(ISERROR(AVERAGEIF(従業員の給与情報!$B:$B,$A441,従業員の給与情報!$F:$F)),0,IF(ISERROR(AVERAGEIF(従業員の給与情報!$B:$B,$A441,従業員の給与情報!$F:$F)),0,AVERAGEIF(従業員の給与情報!$B:$B,$A441,従業員の給与情報!$F:$F)))))</f>
        <v/>
      </c>
      <c r="W441" s="182"/>
      <c r="X441" s="260"/>
    </row>
    <row r="442" spans="1:24">
      <c r="A442" s="368"/>
      <c r="B442" s="361"/>
      <c r="C442" s="362"/>
      <c r="D442" s="361"/>
      <c r="E442" s="361"/>
      <c r="F442" s="372" t="str">
        <f>IF(G442,"この従業員番号は、すでに他のセルで入力されています。",IF(入力シート!$C$5=入力リスト!$N$5,"",IF(AND(A442="",B442="",C442="",D442="",E442=""),"",IF(OR(A442="",B442="",C442="",D442=""),IF(A442="","従業員番号","")&amp;IF(AND(A442="",OR(B442="",C442="",D442="")),",","")&amp;IF(B442="","雇用形態","")&amp;IF(AND(B442="",OR(C442="",D442="")),",","")&amp;IF(OR(入力シート!$J$18=入力リスト!$K$4,入力シート!$J$22=入力リスト!$K$4),IF(C442="","入社年月日",""),"")&amp;IF(AND(C442="",D442=""),",","")&amp;IF(D442="","性別","")&amp;IF(IF(A442="","従業員番号","")&amp;IF(B442="","雇用形態","")&amp;IF(OR(入力シート!$J$18=入力リスト!$K$4,入力シート!$J$22=入力リスト!$K$4),IF(C442="","入社年月日",""),"")&amp;IF(D442="","性別","")="","","が空白です。"),IF(J442,"入社年月日に「基準日」の翌日以降の日付が入力されています。","")&amp;IF(I442,"入社年月日に数値以外（又は1900/1/1以前の日付）が入力されています。","")&amp;IF(H442,"雇用形態"&amp;IF(OR(K442,L442),",",""),"")&amp;IF(K442,"性別"&amp;IF(L442,",",""),"")&amp;IF(L442,"役職","")&amp;IF(OR(H442,K442,L442),"に、［入力シート］(4)「貴社」欄と異なる文言が入力されています。","")))))</f>
        <v/>
      </c>
      <c r="G442" s="236" t="b">
        <f>COUNTIF($A$4:A441,$A442)&gt;0</f>
        <v>0</v>
      </c>
      <c r="H442" s="237" t="b">
        <f>IF(COUNTIF(入力シート!$J$16:$S$23,入力リスト!$K$4)=0,FALSE,IF(入力シート!$J$16=入力リスト!$K$5,FALSE,ISERROR(VLOOKUP(B442,入力シート!$S$37:$V$62,1,0))))</f>
        <v>0</v>
      </c>
      <c r="I442" s="237" t="b">
        <f>IF(AND(OR(入力シート!$J$18=入力リスト!$K$4,入力シート!$J$22=入力リスト!$K$4),入力シート!$J$24&lt;&gt;""),IF(ISERROR(C442+1),TRUE,IF(ISNUMBER(C442),FALSE,TRUE)),FALSE)</f>
        <v>0</v>
      </c>
      <c r="J442" s="237" t="b">
        <f>IF(AND(入力シート!$J$18=入力リスト!$K$4,入力シート!$J$22=入力リスト!$K$4),FALSE,IF(I442=TRUE,FALSE,IF(ISERROR(C442+1),FALSE,C442&gt;入力シート!$J$24)))</f>
        <v>0</v>
      </c>
      <c r="K442" s="237" t="b">
        <f>IF(COUNTIF(入力シート!$J$16:$S$23,入力リスト!$K$4)=0,FALSE,IF(AND(入力シート!$J$16&lt;&gt;入力リスト!$K$5,入力シート!$J$18&lt;&gt;入力リスト!$K$5,入力シート!$J$20&lt;&gt;入力リスト!$K$5,入力シート!$J$22&lt;&gt;入力リスト!$K$5),FALSE,ISERROR(VLOOKUP(D442,入力シート!$AW$37:$AY$38,1,0))))</f>
        <v>0</v>
      </c>
      <c r="L442" s="237" t="b">
        <f>IF(COUNTIF(入力シート!$J$16:$S$23,入力リスト!$K$4)=0,FALSE,IF(入力シート!$J$20=入力リスト!$K$5,FALSE,IF(E442="",FALSE,ISERROR(VLOOKUP(E442,入力シート!$AH$37:$AK$62,1,0)))))</f>
        <v>0</v>
      </c>
      <c r="M442" s="238" t="str">
        <f t="shared" si="6"/>
        <v/>
      </c>
      <c r="N442" s="236" t="str">
        <f>IF(B442="","",VLOOKUP('従業員情報(給与以外)'!$B442,入力シート!$S$37:$Z$62,5,0))</f>
        <v/>
      </c>
      <c r="O442" s="182" t="str">
        <f>IF(ISNUMBER(C442)=FALSE,"",IF(C442&gt;入力シート!$J$24,"",_xlfn.DAYS(入力シート!$J$24,'従業員情報(給与以外)'!$C442)/365))</f>
        <v/>
      </c>
      <c r="P442" s="237" t="str">
        <f>IF(O442="","",VLOOKUP(_xlfn.DAYS(入力シート!$J$24,'従業員情報(給与以外)'!$C442)/365,入力リスト!$H$4:$I$12,2,2))</f>
        <v/>
      </c>
      <c r="Q442" s="236" t="str">
        <f>IF(D442="","",VLOOKUP('従業員情報(給与以外)'!$D442,入力シート!$AW$37:$BB$38,4,0))</f>
        <v/>
      </c>
      <c r="R442" s="236" t="str">
        <f>IF(A442="","",IF(E442="","非役職",VLOOKUP('従業員情報(給与以外)'!$E442,入力シート!$AH$37:$AO$62,5,0)))</f>
        <v/>
      </c>
      <c r="S442" s="116" t="str">
        <f>IF(OR(入力シート!$C$5&lt;&gt;入力リスト!$N$4,COUNTIF(入力シート!$J$16:$S$23,入力リスト!$K$4)=0),"",IF($A442="","",IF(ISERROR(AVERAGEIF(従業員の給与情報!$B:$B,$A442,従業員の給与情報!$C:$C)),0,IF(ISERROR(AVERAGEIF(従業員の給与情報!$B:$B,$A442,従業員の給与情報!$C:$C)),0,AVERAGEIF(従業員の給与情報!$B:$B,$A442,従業員の給与情報!$C:$C)))))</f>
        <v/>
      </c>
      <c r="T442" s="116" t="str">
        <f>IF(OR(入力シート!$C$5&lt;&gt;入力リスト!$N$4,COUNTIF(入力シート!$J$16:$S$23,入力リスト!$K$4)=0),"",IF(A442="","",IF(ISERROR(AVERAGEIF(従業員の給与情報!$B:$B,$A442,従業員の給与情報!$D:$D)),0,IF(ISERROR(AVERAGEIF(従業員の給与情報!$B:$B,$A442,従業員の給与情報!$D:$D)),0,AVERAGEIF(従業員の給与情報!$B:$B,$A442,従業員の給与情報!$D:$D)))))</f>
        <v/>
      </c>
      <c r="U442" s="116" t="str">
        <f>IF(OR(入力シート!$C$5&lt;&gt;入力リスト!$N$4,COUNTIF(入力シート!$J$16:$S$23,入力リスト!$K$4)=0),"",IF(A442="","",IF(ISERROR(AVERAGEIF(従業員の給与情報!$B:$B,$A442,従業員の給与情報!$E:$E)),0,IF(ISERROR(AVERAGEIF(従業員の給与情報!$B:$B,$A442,従業員の給与情報!$E:$E)),0,AVERAGEIF(従業員の給与情報!$B:$B,$A442,従業員の給与情報!$E:$E)))))</f>
        <v/>
      </c>
      <c r="V442" s="117" t="str">
        <f>IF(OR(入力シート!$C$5&lt;&gt;入力リスト!$N$4,COUNTIF(入力シート!$J$16:$S$23,入力リスト!$K$4)=0),"",IF(A442="","",IF(ISERROR(AVERAGEIF(従業員の給与情報!$B:$B,$A442,従業員の給与情報!$F:$F)),0,IF(ISERROR(AVERAGEIF(従業員の給与情報!$B:$B,$A442,従業員の給与情報!$F:$F)),0,AVERAGEIF(従業員の給与情報!$B:$B,$A442,従業員の給与情報!$F:$F)))))</f>
        <v/>
      </c>
      <c r="W442" s="182"/>
      <c r="X442" s="260"/>
    </row>
    <row r="443" spans="1:24">
      <c r="A443" s="368"/>
      <c r="B443" s="361"/>
      <c r="C443" s="362"/>
      <c r="D443" s="361"/>
      <c r="E443" s="361"/>
      <c r="F443" s="372" t="str">
        <f>IF(G443,"この従業員番号は、すでに他のセルで入力されています。",IF(入力シート!$C$5=入力リスト!$N$5,"",IF(AND(A443="",B443="",C443="",D443="",E443=""),"",IF(OR(A443="",B443="",C443="",D443=""),IF(A443="","従業員番号","")&amp;IF(AND(A443="",OR(B443="",C443="",D443="")),",","")&amp;IF(B443="","雇用形態","")&amp;IF(AND(B443="",OR(C443="",D443="")),",","")&amp;IF(OR(入力シート!$J$18=入力リスト!$K$4,入力シート!$J$22=入力リスト!$K$4),IF(C443="","入社年月日",""),"")&amp;IF(AND(C443="",D443=""),",","")&amp;IF(D443="","性別","")&amp;IF(IF(A443="","従業員番号","")&amp;IF(B443="","雇用形態","")&amp;IF(OR(入力シート!$J$18=入力リスト!$K$4,入力シート!$J$22=入力リスト!$K$4),IF(C443="","入社年月日",""),"")&amp;IF(D443="","性別","")="","","が空白です。"),IF(J443,"入社年月日に「基準日」の翌日以降の日付が入力されています。","")&amp;IF(I443,"入社年月日に数値以外（又は1900/1/1以前の日付）が入力されています。","")&amp;IF(H443,"雇用形態"&amp;IF(OR(K443,L443),",",""),"")&amp;IF(K443,"性別"&amp;IF(L443,",",""),"")&amp;IF(L443,"役職","")&amp;IF(OR(H443,K443,L443),"に、［入力シート］(4)「貴社」欄と異なる文言が入力されています。","")))))</f>
        <v/>
      </c>
      <c r="G443" s="236" t="b">
        <f>COUNTIF($A$4:A442,$A443)&gt;0</f>
        <v>0</v>
      </c>
      <c r="H443" s="237" t="b">
        <f>IF(COUNTIF(入力シート!$J$16:$S$23,入力リスト!$K$4)=0,FALSE,IF(入力シート!$J$16=入力リスト!$K$5,FALSE,ISERROR(VLOOKUP(B443,入力シート!$S$37:$V$62,1,0))))</f>
        <v>0</v>
      </c>
      <c r="I443" s="237" t="b">
        <f>IF(AND(OR(入力シート!$J$18=入力リスト!$K$4,入力シート!$J$22=入力リスト!$K$4),入力シート!$J$24&lt;&gt;""),IF(ISERROR(C443+1),TRUE,IF(ISNUMBER(C443),FALSE,TRUE)),FALSE)</f>
        <v>0</v>
      </c>
      <c r="J443" s="237" t="b">
        <f>IF(AND(入力シート!$J$18=入力リスト!$K$4,入力シート!$J$22=入力リスト!$K$4),FALSE,IF(I443=TRUE,FALSE,IF(ISERROR(C443+1),FALSE,C443&gt;入力シート!$J$24)))</f>
        <v>0</v>
      </c>
      <c r="K443" s="237" t="b">
        <f>IF(COUNTIF(入力シート!$J$16:$S$23,入力リスト!$K$4)=0,FALSE,IF(AND(入力シート!$J$16&lt;&gt;入力リスト!$K$5,入力シート!$J$18&lt;&gt;入力リスト!$K$5,入力シート!$J$20&lt;&gt;入力リスト!$K$5,入力シート!$J$22&lt;&gt;入力リスト!$K$5),FALSE,ISERROR(VLOOKUP(D443,入力シート!$AW$37:$AY$38,1,0))))</f>
        <v>0</v>
      </c>
      <c r="L443" s="237" t="b">
        <f>IF(COUNTIF(入力シート!$J$16:$S$23,入力リスト!$K$4)=0,FALSE,IF(入力シート!$J$20=入力リスト!$K$5,FALSE,IF(E443="",FALSE,ISERROR(VLOOKUP(E443,入力シート!$AH$37:$AK$62,1,0)))))</f>
        <v>0</v>
      </c>
      <c r="M443" s="238" t="str">
        <f t="shared" si="6"/>
        <v/>
      </c>
      <c r="N443" s="236" t="str">
        <f>IF(B443="","",VLOOKUP('従業員情報(給与以外)'!$B443,入力シート!$S$37:$Z$62,5,0))</f>
        <v/>
      </c>
      <c r="O443" s="182" t="str">
        <f>IF(ISNUMBER(C443)=FALSE,"",IF(C443&gt;入力シート!$J$24,"",_xlfn.DAYS(入力シート!$J$24,'従業員情報(給与以外)'!$C443)/365))</f>
        <v/>
      </c>
      <c r="P443" s="237" t="str">
        <f>IF(O443="","",VLOOKUP(_xlfn.DAYS(入力シート!$J$24,'従業員情報(給与以外)'!$C443)/365,入力リスト!$H$4:$I$12,2,2))</f>
        <v/>
      </c>
      <c r="Q443" s="236" t="str">
        <f>IF(D443="","",VLOOKUP('従業員情報(給与以外)'!$D443,入力シート!$AW$37:$BB$38,4,0))</f>
        <v/>
      </c>
      <c r="R443" s="236" t="str">
        <f>IF(A443="","",IF(E443="","非役職",VLOOKUP('従業員情報(給与以外)'!$E443,入力シート!$AH$37:$AO$62,5,0)))</f>
        <v/>
      </c>
      <c r="S443" s="116" t="str">
        <f>IF(OR(入力シート!$C$5&lt;&gt;入力リスト!$N$4,COUNTIF(入力シート!$J$16:$S$23,入力リスト!$K$4)=0),"",IF($A443="","",IF(ISERROR(AVERAGEIF(従業員の給与情報!$B:$B,$A443,従業員の給与情報!$C:$C)),0,IF(ISERROR(AVERAGEIF(従業員の給与情報!$B:$B,$A443,従業員の給与情報!$C:$C)),0,AVERAGEIF(従業員の給与情報!$B:$B,$A443,従業員の給与情報!$C:$C)))))</f>
        <v/>
      </c>
      <c r="T443" s="116" t="str">
        <f>IF(OR(入力シート!$C$5&lt;&gt;入力リスト!$N$4,COUNTIF(入力シート!$J$16:$S$23,入力リスト!$K$4)=0),"",IF(A443="","",IF(ISERROR(AVERAGEIF(従業員の給与情報!$B:$B,$A443,従業員の給与情報!$D:$D)),0,IF(ISERROR(AVERAGEIF(従業員の給与情報!$B:$B,$A443,従業員の給与情報!$D:$D)),0,AVERAGEIF(従業員の給与情報!$B:$B,$A443,従業員の給与情報!$D:$D)))))</f>
        <v/>
      </c>
      <c r="U443" s="116" t="str">
        <f>IF(OR(入力シート!$C$5&lt;&gt;入力リスト!$N$4,COUNTIF(入力シート!$J$16:$S$23,入力リスト!$K$4)=0),"",IF(A443="","",IF(ISERROR(AVERAGEIF(従業員の給与情報!$B:$B,$A443,従業員の給与情報!$E:$E)),0,IF(ISERROR(AVERAGEIF(従業員の給与情報!$B:$B,$A443,従業員の給与情報!$E:$E)),0,AVERAGEIF(従業員の給与情報!$B:$B,$A443,従業員の給与情報!$E:$E)))))</f>
        <v/>
      </c>
      <c r="V443" s="117" t="str">
        <f>IF(OR(入力シート!$C$5&lt;&gt;入力リスト!$N$4,COUNTIF(入力シート!$J$16:$S$23,入力リスト!$K$4)=0),"",IF(A443="","",IF(ISERROR(AVERAGEIF(従業員の給与情報!$B:$B,$A443,従業員の給与情報!$F:$F)),0,IF(ISERROR(AVERAGEIF(従業員の給与情報!$B:$B,$A443,従業員の給与情報!$F:$F)),0,AVERAGEIF(従業員の給与情報!$B:$B,$A443,従業員の給与情報!$F:$F)))))</f>
        <v/>
      </c>
      <c r="W443" s="182"/>
      <c r="X443" s="260"/>
    </row>
    <row r="444" spans="1:24">
      <c r="A444" s="368"/>
      <c r="B444" s="361"/>
      <c r="C444" s="362"/>
      <c r="D444" s="361"/>
      <c r="E444" s="361"/>
      <c r="F444" s="372" t="str">
        <f>IF(G444,"この従業員番号は、すでに他のセルで入力されています。",IF(入力シート!$C$5=入力リスト!$N$5,"",IF(AND(A444="",B444="",C444="",D444="",E444=""),"",IF(OR(A444="",B444="",C444="",D444=""),IF(A444="","従業員番号","")&amp;IF(AND(A444="",OR(B444="",C444="",D444="")),",","")&amp;IF(B444="","雇用形態","")&amp;IF(AND(B444="",OR(C444="",D444="")),",","")&amp;IF(OR(入力シート!$J$18=入力リスト!$K$4,入力シート!$J$22=入力リスト!$K$4),IF(C444="","入社年月日",""),"")&amp;IF(AND(C444="",D444=""),",","")&amp;IF(D444="","性別","")&amp;IF(IF(A444="","従業員番号","")&amp;IF(B444="","雇用形態","")&amp;IF(OR(入力シート!$J$18=入力リスト!$K$4,入力シート!$J$22=入力リスト!$K$4),IF(C444="","入社年月日",""),"")&amp;IF(D444="","性別","")="","","が空白です。"),IF(J444,"入社年月日に「基準日」の翌日以降の日付が入力されています。","")&amp;IF(I444,"入社年月日に数値以外（又は1900/1/1以前の日付）が入力されています。","")&amp;IF(H444,"雇用形態"&amp;IF(OR(K444,L444),",",""),"")&amp;IF(K444,"性別"&amp;IF(L444,",",""),"")&amp;IF(L444,"役職","")&amp;IF(OR(H444,K444,L444),"に、［入力シート］(4)「貴社」欄と異なる文言が入力されています。","")))))</f>
        <v/>
      </c>
      <c r="G444" s="236" t="b">
        <f>COUNTIF($A$4:A443,$A444)&gt;0</f>
        <v>0</v>
      </c>
      <c r="H444" s="237" t="b">
        <f>IF(COUNTIF(入力シート!$J$16:$S$23,入力リスト!$K$4)=0,FALSE,IF(入力シート!$J$16=入力リスト!$K$5,FALSE,ISERROR(VLOOKUP(B444,入力シート!$S$37:$V$62,1,0))))</f>
        <v>0</v>
      </c>
      <c r="I444" s="237" t="b">
        <f>IF(AND(OR(入力シート!$J$18=入力リスト!$K$4,入力シート!$J$22=入力リスト!$K$4),入力シート!$J$24&lt;&gt;""),IF(ISERROR(C444+1),TRUE,IF(ISNUMBER(C444),FALSE,TRUE)),FALSE)</f>
        <v>0</v>
      </c>
      <c r="J444" s="237" t="b">
        <f>IF(AND(入力シート!$J$18=入力リスト!$K$4,入力シート!$J$22=入力リスト!$K$4),FALSE,IF(I444=TRUE,FALSE,IF(ISERROR(C444+1),FALSE,C444&gt;入力シート!$J$24)))</f>
        <v>0</v>
      </c>
      <c r="K444" s="237" t="b">
        <f>IF(COUNTIF(入力シート!$J$16:$S$23,入力リスト!$K$4)=0,FALSE,IF(AND(入力シート!$J$16&lt;&gt;入力リスト!$K$5,入力シート!$J$18&lt;&gt;入力リスト!$K$5,入力シート!$J$20&lt;&gt;入力リスト!$K$5,入力シート!$J$22&lt;&gt;入力リスト!$K$5),FALSE,ISERROR(VLOOKUP(D444,入力シート!$AW$37:$AY$38,1,0))))</f>
        <v>0</v>
      </c>
      <c r="L444" s="237" t="b">
        <f>IF(COUNTIF(入力シート!$J$16:$S$23,入力リスト!$K$4)=0,FALSE,IF(入力シート!$J$20=入力リスト!$K$5,FALSE,IF(E444="",FALSE,ISERROR(VLOOKUP(E444,入力シート!$AH$37:$AK$62,1,0)))))</f>
        <v>0</v>
      </c>
      <c r="M444" s="238" t="str">
        <f t="shared" si="6"/>
        <v/>
      </c>
      <c r="N444" s="236" t="str">
        <f>IF(B444="","",VLOOKUP('従業員情報(給与以外)'!$B444,入力シート!$S$37:$Z$62,5,0))</f>
        <v/>
      </c>
      <c r="O444" s="182" t="str">
        <f>IF(ISNUMBER(C444)=FALSE,"",IF(C444&gt;入力シート!$J$24,"",_xlfn.DAYS(入力シート!$J$24,'従業員情報(給与以外)'!$C444)/365))</f>
        <v/>
      </c>
      <c r="P444" s="237" t="str">
        <f>IF(O444="","",VLOOKUP(_xlfn.DAYS(入力シート!$J$24,'従業員情報(給与以外)'!$C444)/365,入力リスト!$H$4:$I$12,2,2))</f>
        <v/>
      </c>
      <c r="Q444" s="236" t="str">
        <f>IF(D444="","",VLOOKUP('従業員情報(給与以外)'!$D444,入力シート!$AW$37:$BB$38,4,0))</f>
        <v/>
      </c>
      <c r="R444" s="236" t="str">
        <f>IF(A444="","",IF(E444="","非役職",VLOOKUP('従業員情報(給与以外)'!$E444,入力シート!$AH$37:$AO$62,5,0)))</f>
        <v/>
      </c>
      <c r="S444" s="116" t="str">
        <f>IF(OR(入力シート!$C$5&lt;&gt;入力リスト!$N$4,COUNTIF(入力シート!$J$16:$S$23,入力リスト!$K$4)=0),"",IF($A444="","",IF(ISERROR(AVERAGEIF(従業員の給与情報!$B:$B,$A444,従業員の給与情報!$C:$C)),0,IF(ISERROR(AVERAGEIF(従業員の給与情報!$B:$B,$A444,従業員の給与情報!$C:$C)),0,AVERAGEIF(従業員の給与情報!$B:$B,$A444,従業員の給与情報!$C:$C)))))</f>
        <v/>
      </c>
      <c r="T444" s="116" t="str">
        <f>IF(OR(入力シート!$C$5&lt;&gt;入力リスト!$N$4,COUNTIF(入力シート!$J$16:$S$23,入力リスト!$K$4)=0),"",IF(A444="","",IF(ISERROR(AVERAGEIF(従業員の給与情報!$B:$B,$A444,従業員の給与情報!$D:$D)),0,IF(ISERROR(AVERAGEIF(従業員の給与情報!$B:$B,$A444,従業員の給与情報!$D:$D)),0,AVERAGEIF(従業員の給与情報!$B:$B,$A444,従業員の給与情報!$D:$D)))))</f>
        <v/>
      </c>
      <c r="U444" s="116" t="str">
        <f>IF(OR(入力シート!$C$5&lt;&gt;入力リスト!$N$4,COUNTIF(入力シート!$J$16:$S$23,入力リスト!$K$4)=0),"",IF(A444="","",IF(ISERROR(AVERAGEIF(従業員の給与情報!$B:$B,$A444,従業員の給与情報!$E:$E)),0,IF(ISERROR(AVERAGEIF(従業員の給与情報!$B:$B,$A444,従業員の給与情報!$E:$E)),0,AVERAGEIF(従業員の給与情報!$B:$B,$A444,従業員の給与情報!$E:$E)))))</f>
        <v/>
      </c>
      <c r="V444" s="117" t="str">
        <f>IF(OR(入力シート!$C$5&lt;&gt;入力リスト!$N$4,COUNTIF(入力シート!$J$16:$S$23,入力リスト!$K$4)=0),"",IF(A444="","",IF(ISERROR(AVERAGEIF(従業員の給与情報!$B:$B,$A444,従業員の給与情報!$F:$F)),0,IF(ISERROR(AVERAGEIF(従業員の給与情報!$B:$B,$A444,従業員の給与情報!$F:$F)),0,AVERAGEIF(従業員の給与情報!$B:$B,$A444,従業員の給与情報!$F:$F)))))</f>
        <v/>
      </c>
      <c r="W444" s="182"/>
      <c r="X444" s="260"/>
    </row>
    <row r="445" spans="1:24">
      <c r="A445" s="368"/>
      <c r="B445" s="361"/>
      <c r="C445" s="362"/>
      <c r="D445" s="361"/>
      <c r="E445" s="361"/>
      <c r="F445" s="372" t="str">
        <f>IF(G445,"この従業員番号は、すでに他のセルで入力されています。",IF(入力シート!$C$5=入力リスト!$N$5,"",IF(AND(A445="",B445="",C445="",D445="",E445=""),"",IF(OR(A445="",B445="",C445="",D445=""),IF(A445="","従業員番号","")&amp;IF(AND(A445="",OR(B445="",C445="",D445="")),",","")&amp;IF(B445="","雇用形態","")&amp;IF(AND(B445="",OR(C445="",D445="")),",","")&amp;IF(OR(入力シート!$J$18=入力リスト!$K$4,入力シート!$J$22=入力リスト!$K$4),IF(C445="","入社年月日",""),"")&amp;IF(AND(C445="",D445=""),",","")&amp;IF(D445="","性別","")&amp;IF(IF(A445="","従業員番号","")&amp;IF(B445="","雇用形態","")&amp;IF(OR(入力シート!$J$18=入力リスト!$K$4,入力シート!$J$22=入力リスト!$K$4),IF(C445="","入社年月日",""),"")&amp;IF(D445="","性別","")="","","が空白です。"),IF(J445,"入社年月日に「基準日」の翌日以降の日付が入力されています。","")&amp;IF(I445,"入社年月日に数値以外（又は1900/1/1以前の日付）が入力されています。","")&amp;IF(H445,"雇用形態"&amp;IF(OR(K445,L445),",",""),"")&amp;IF(K445,"性別"&amp;IF(L445,",",""),"")&amp;IF(L445,"役職","")&amp;IF(OR(H445,K445,L445),"に、［入力シート］(4)「貴社」欄と異なる文言が入力されています。","")))))</f>
        <v/>
      </c>
      <c r="G445" s="236" t="b">
        <f>COUNTIF($A$4:A444,$A445)&gt;0</f>
        <v>0</v>
      </c>
      <c r="H445" s="237" t="b">
        <f>IF(COUNTIF(入力シート!$J$16:$S$23,入力リスト!$K$4)=0,FALSE,IF(入力シート!$J$16=入力リスト!$K$5,FALSE,ISERROR(VLOOKUP(B445,入力シート!$S$37:$V$62,1,0))))</f>
        <v>0</v>
      </c>
      <c r="I445" s="237" t="b">
        <f>IF(AND(OR(入力シート!$J$18=入力リスト!$K$4,入力シート!$J$22=入力リスト!$K$4),入力シート!$J$24&lt;&gt;""),IF(ISERROR(C445+1),TRUE,IF(ISNUMBER(C445),FALSE,TRUE)),FALSE)</f>
        <v>0</v>
      </c>
      <c r="J445" s="237" t="b">
        <f>IF(AND(入力シート!$J$18=入力リスト!$K$4,入力シート!$J$22=入力リスト!$K$4),FALSE,IF(I445=TRUE,FALSE,IF(ISERROR(C445+1),FALSE,C445&gt;入力シート!$J$24)))</f>
        <v>0</v>
      </c>
      <c r="K445" s="237" t="b">
        <f>IF(COUNTIF(入力シート!$J$16:$S$23,入力リスト!$K$4)=0,FALSE,IF(AND(入力シート!$J$16&lt;&gt;入力リスト!$K$5,入力シート!$J$18&lt;&gt;入力リスト!$K$5,入力シート!$J$20&lt;&gt;入力リスト!$K$5,入力シート!$J$22&lt;&gt;入力リスト!$K$5),FALSE,ISERROR(VLOOKUP(D445,入力シート!$AW$37:$AY$38,1,0))))</f>
        <v>0</v>
      </c>
      <c r="L445" s="237" t="b">
        <f>IF(COUNTIF(入力シート!$J$16:$S$23,入力リスト!$K$4)=0,FALSE,IF(入力シート!$J$20=入力リスト!$K$5,FALSE,IF(E445="",FALSE,ISERROR(VLOOKUP(E445,入力シート!$AH$37:$AK$62,1,0)))))</f>
        <v>0</v>
      </c>
      <c r="M445" s="238" t="str">
        <f t="shared" si="6"/>
        <v/>
      </c>
      <c r="N445" s="236" t="str">
        <f>IF(B445="","",VLOOKUP('従業員情報(給与以外)'!$B445,入力シート!$S$37:$Z$62,5,0))</f>
        <v/>
      </c>
      <c r="O445" s="182" t="str">
        <f>IF(ISNUMBER(C445)=FALSE,"",IF(C445&gt;入力シート!$J$24,"",_xlfn.DAYS(入力シート!$J$24,'従業員情報(給与以外)'!$C445)/365))</f>
        <v/>
      </c>
      <c r="P445" s="237" t="str">
        <f>IF(O445="","",VLOOKUP(_xlfn.DAYS(入力シート!$J$24,'従業員情報(給与以外)'!$C445)/365,入力リスト!$H$4:$I$12,2,2))</f>
        <v/>
      </c>
      <c r="Q445" s="236" t="str">
        <f>IF(D445="","",VLOOKUP('従業員情報(給与以外)'!$D445,入力シート!$AW$37:$BB$38,4,0))</f>
        <v/>
      </c>
      <c r="R445" s="236" t="str">
        <f>IF(A445="","",IF(E445="","非役職",VLOOKUP('従業員情報(給与以外)'!$E445,入力シート!$AH$37:$AO$62,5,0)))</f>
        <v/>
      </c>
      <c r="S445" s="116" t="str">
        <f>IF(OR(入力シート!$C$5&lt;&gt;入力リスト!$N$4,COUNTIF(入力シート!$J$16:$S$23,入力リスト!$K$4)=0),"",IF($A445="","",IF(ISERROR(AVERAGEIF(従業員の給与情報!$B:$B,$A445,従業員の給与情報!$C:$C)),0,IF(ISERROR(AVERAGEIF(従業員の給与情報!$B:$B,$A445,従業員の給与情報!$C:$C)),0,AVERAGEIF(従業員の給与情報!$B:$B,$A445,従業員の給与情報!$C:$C)))))</f>
        <v/>
      </c>
      <c r="T445" s="116" t="str">
        <f>IF(OR(入力シート!$C$5&lt;&gt;入力リスト!$N$4,COUNTIF(入力シート!$J$16:$S$23,入力リスト!$K$4)=0),"",IF(A445="","",IF(ISERROR(AVERAGEIF(従業員の給与情報!$B:$B,$A445,従業員の給与情報!$D:$D)),0,IF(ISERROR(AVERAGEIF(従業員の給与情報!$B:$B,$A445,従業員の給与情報!$D:$D)),0,AVERAGEIF(従業員の給与情報!$B:$B,$A445,従業員の給与情報!$D:$D)))))</f>
        <v/>
      </c>
      <c r="U445" s="116" t="str">
        <f>IF(OR(入力シート!$C$5&lt;&gt;入力リスト!$N$4,COUNTIF(入力シート!$J$16:$S$23,入力リスト!$K$4)=0),"",IF(A445="","",IF(ISERROR(AVERAGEIF(従業員の給与情報!$B:$B,$A445,従業員の給与情報!$E:$E)),0,IF(ISERROR(AVERAGEIF(従業員の給与情報!$B:$B,$A445,従業員の給与情報!$E:$E)),0,AVERAGEIF(従業員の給与情報!$B:$B,$A445,従業員の給与情報!$E:$E)))))</f>
        <v/>
      </c>
      <c r="V445" s="117" t="str">
        <f>IF(OR(入力シート!$C$5&lt;&gt;入力リスト!$N$4,COUNTIF(入力シート!$J$16:$S$23,入力リスト!$K$4)=0),"",IF(A445="","",IF(ISERROR(AVERAGEIF(従業員の給与情報!$B:$B,$A445,従業員の給与情報!$F:$F)),0,IF(ISERROR(AVERAGEIF(従業員の給与情報!$B:$B,$A445,従業員の給与情報!$F:$F)),0,AVERAGEIF(従業員の給与情報!$B:$B,$A445,従業員の給与情報!$F:$F)))))</f>
        <v/>
      </c>
      <c r="W445" s="182"/>
      <c r="X445" s="260"/>
    </row>
    <row r="446" spans="1:24">
      <c r="A446" s="368"/>
      <c r="B446" s="361"/>
      <c r="C446" s="362"/>
      <c r="D446" s="361"/>
      <c r="E446" s="361"/>
      <c r="F446" s="372" t="str">
        <f>IF(G446,"この従業員番号は、すでに他のセルで入力されています。",IF(入力シート!$C$5=入力リスト!$N$5,"",IF(AND(A446="",B446="",C446="",D446="",E446=""),"",IF(OR(A446="",B446="",C446="",D446=""),IF(A446="","従業員番号","")&amp;IF(AND(A446="",OR(B446="",C446="",D446="")),",","")&amp;IF(B446="","雇用形態","")&amp;IF(AND(B446="",OR(C446="",D446="")),",","")&amp;IF(OR(入力シート!$J$18=入力リスト!$K$4,入力シート!$J$22=入力リスト!$K$4),IF(C446="","入社年月日",""),"")&amp;IF(AND(C446="",D446=""),",","")&amp;IF(D446="","性別","")&amp;IF(IF(A446="","従業員番号","")&amp;IF(B446="","雇用形態","")&amp;IF(OR(入力シート!$J$18=入力リスト!$K$4,入力シート!$J$22=入力リスト!$K$4),IF(C446="","入社年月日",""),"")&amp;IF(D446="","性別","")="","","が空白です。"),IF(J446,"入社年月日に「基準日」の翌日以降の日付が入力されています。","")&amp;IF(I446,"入社年月日に数値以外（又は1900/1/1以前の日付）が入力されています。","")&amp;IF(H446,"雇用形態"&amp;IF(OR(K446,L446),",",""),"")&amp;IF(K446,"性別"&amp;IF(L446,",",""),"")&amp;IF(L446,"役職","")&amp;IF(OR(H446,K446,L446),"に、［入力シート］(4)「貴社」欄と異なる文言が入力されています。","")))))</f>
        <v/>
      </c>
      <c r="G446" s="236" t="b">
        <f>COUNTIF($A$4:A445,$A446)&gt;0</f>
        <v>0</v>
      </c>
      <c r="H446" s="237" t="b">
        <f>IF(COUNTIF(入力シート!$J$16:$S$23,入力リスト!$K$4)=0,FALSE,IF(入力シート!$J$16=入力リスト!$K$5,FALSE,ISERROR(VLOOKUP(B446,入力シート!$S$37:$V$62,1,0))))</f>
        <v>0</v>
      </c>
      <c r="I446" s="237" t="b">
        <f>IF(AND(OR(入力シート!$J$18=入力リスト!$K$4,入力シート!$J$22=入力リスト!$K$4),入力シート!$J$24&lt;&gt;""),IF(ISERROR(C446+1),TRUE,IF(ISNUMBER(C446),FALSE,TRUE)),FALSE)</f>
        <v>0</v>
      </c>
      <c r="J446" s="237" t="b">
        <f>IF(AND(入力シート!$J$18=入力リスト!$K$4,入力シート!$J$22=入力リスト!$K$4),FALSE,IF(I446=TRUE,FALSE,IF(ISERROR(C446+1),FALSE,C446&gt;入力シート!$J$24)))</f>
        <v>0</v>
      </c>
      <c r="K446" s="237" t="b">
        <f>IF(COUNTIF(入力シート!$J$16:$S$23,入力リスト!$K$4)=0,FALSE,IF(AND(入力シート!$J$16&lt;&gt;入力リスト!$K$5,入力シート!$J$18&lt;&gt;入力リスト!$K$5,入力シート!$J$20&lt;&gt;入力リスト!$K$5,入力シート!$J$22&lt;&gt;入力リスト!$K$5),FALSE,ISERROR(VLOOKUP(D446,入力シート!$AW$37:$AY$38,1,0))))</f>
        <v>0</v>
      </c>
      <c r="L446" s="237" t="b">
        <f>IF(COUNTIF(入力シート!$J$16:$S$23,入力リスト!$K$4)=0,FALSE,IF(入力シート!$J$20=入力リスト!$K$5,FALSE,IF(E446="",FALSE,ISERROR(VLOOKUP(E446,入力シート!$AH$37:$AK$62,1,0)))))</f>
        <v>0</v>
      </c>
      <c r="M446" s="238" t="str">
        <f t="shared" si="6"/>
        <v/>
      </c>
      <c r="N446" s="236" t="str">
        <f>IF(B446="","",VLOOKUP('従業員情報(給与以外)'!$B446,入力シート!$S$37:$Z$62,5,0))</f>
        <v/>
      </c>
      <c r="O446" s="182" t="str">
        <f>IF(ISNUMBER(C446)=FALSE,"",IF(C446&gt;入力シート!$J$24,"",_xlfn.DAYS(入力シート!$J$24,'従業員情報(給与以外)'!$C446)/365))</f>
        <v/>
      </c>
      <c r="P446" s="237" t="str">
        <f>IF(O446="","",VLOOKUP(_xlfn.DAYS(入力シート!$J$24,'従業員情報(給与以外)'!$C446)/365,入力リスト!$H$4:$I$12,2,2))</f>
        <v/>
      </c>
      <c r="Q446" s="236" t="str">
        <f>IF(D446="","",VLOOKUP('従業員情報(給与以外)'!$D446,入力シート!$AW$37:$BB$38,4,0))</f>
        <v/>
      </c>
      <c r="R446" s="236" t="str">
        <f>IF(A446="","",IF(E446="","非役職",VLOOKUP('従業員情報(給与以外)'!$E446,入力シート!$AH$37:$AO$62,5,0)))</f>
        <v/>
      </c>
      <c r="S446" s="116" t="str">
        <f>IF(OR(入力シート!$C$5&lt;&gt;入力リスト!$N$4,COUNTIF(入力シート!$J$16:$S$23,入力リスト!$K$4)=0),"",IF($A446="","",IF(ISERROR(AVERAGEIF(従業員の給与情報!$B:$B,$A446,従業員の給与情報!$C:$C)),0,IF(ISERROR(AVERAGEIF(従業員の給与情報!$B:$B,$A446,従業員の給与情報!$C:$C)),0,AVERAGEIF(従業員の給与情報!$B:$B,$A446,従業員の給与情報!$C:$C)))))</f>
        <v/>
      </c>
      <c r="T446" s="116" t="str">
        <f>IF(OR(入力シート!$C$5&lt;&gt;入力リスト!$N$4,COUNTIF(入力シート!$J$16:$S$23,入力リスト!$K$4)=0),"",IF(A446="","",IF(ISERROR(AVERAGEIF(従業員の給与情報!$B:$B,$A446,従業員の給与情報!$D:$D)),0,IF(ISERROR(AVERAGEIF(従業員の給与情報!$B:$B,$A446,従業員の給与情報!$D:$D)),0,AVERAGEIF(従業員の給与情報!$B:$B,$A446,従業員の給与情報!$D:$D)))))</f>
        <v/>
      </c>
      <c r="U446" s="116" t="str">
        <f>IF(OR(入力シート!$C$5&lt;&gt;入力リスト!$N$4,COUNTIF(入力シート!$J$16:$S$23,入力リスト!$K$4)=0),"",IF(A446="","",IF(ISERROR(AVERAGEIF(従業員の給与情報!$B:$B,$A446,従業員の給与情報!$E:$E)),0,IF(ISERROR(AVERAGEIF(従業員の給与情報!$B:$B,$A446,従業員の給与情報!$E:$E)),0,AVERAGEIF(従業員の給与情報!$B:$B,$A446,従業員の給与情報!$E:$E)))))</f>
        <v/>
      </c>
      <c r="V446" s="117" t="str">
        <f>IF(OR(入力シート!$C$5&lt;&gt;入力リスト!$N$4,COUNTIF(入力シート!$J$16:$S$23,入力リスト!$K$4)=0),"",IF(A446="","",IF(ISERROR(AVERAGEIF(従業員の給与情報!$B:$B,$A446,従業員の給与情報!$F:$F)),0,IF(ISERROR(AVERAGEIF(従業員の給与情報!$B:$B,$A446,従業員の給与情報!$F:$F)),0,AVERAGEIF(従業員の給与情報!$B:$B,$A446,従業員の給与情報!$F:$F)))))</f>
        <v/>
      </c>
      <c r="W446" s="182"/>
      <c r="X446" s="260"/>
    </row>
    <row r="447" spans="1:24">
      <c r="A447" s="368"/>
      <c r="B447" s="361"/>
      <c r="C447" s="362"/>
      <c r="D447" s="361"/>
      <c r="E447" s="361"/>
      <c r="F447" s="372" t="str">
        <f>IF(G447,"この従業員番号は、すでに他のセルで入力されています。",IF(入力シート!$C$5=入力リスト!$N$5,"",IF(AND(A447="",B447="",C447="",D447="",E447=""),"",IF(OR(A447="",B447="",C447="",D447=""),IF(A447="","従業員番号","")&amp;IF(AND(A447="",OR(B447="",C447="",D447="")),",","")&amp;IF(B447="","雇用形態","")&amp;IF(AND(B447="",OR(C447="",D447="")),",","")&amp;IF(OR(入力シート!$J$18=入力リスト!$K$4,入力シート!$J$22=入力リスト!$K$4),IF(C447="","入社年月日",""),"")&amp;IF(AND(C447="",D447=""),",","")&amp;IF(D447="","性別","")&amp;IF(IF(A447="","従業員番号","")&amp;IF(B447="","雇用形態","")&amp;IF(OR(入力シート!$J$18=入力リスト!$K$4,入力シート!$J$22=入力リスト!$K$4),IF(C447="","入社年月日",""),"")&amp;IF(D447="","性別","")="","","が空白です。"),IF(J447,"入社年月日に「基準日」の翌日以降の日付が入力されています。","")&amp;IF(I447,"入社年月日に数値以外（又は1900/1/1以前の日付）が入力されています。","")&amp;IF(H447,"雇用形態"&amp;IF(OR(K447,L447),",",""),"")&amp;IF(K447,"性別"&amp;IF(L447,",",""),"")&amp;IF(L447,"役職","")&amp;IF(OR(H447,K447,L447),"に、［入力シート］(4)「貴社」欄と異なる文言が入力されています。","")))))</f>
        <v/>
      </c>
      <c r="G447" s="236" t="b">
        <f>COUNTIF($A$4:A446,$A447)&gt;0</f>
        <v>0</v>
      </c>
      <c r="H447" s="237" t="b">
        <f>IF(COUNTIF(入力シート!$J$16:$S$23,入力リスト!$K$4)=0,FALSE,IF(入力シート!$J$16=入力リスト!$K$5,FALSE,ISERROR(VLOOKUP(B447,入力シート!$S$37:$V$62,1,0))))</f>
        <v>0</v>
      </c>
      <c r="I447" s="237" t="b">
        <f>IF(AND(OR(入力シート!$J$18=入力リスト!$K$4,入力シート!$J$22=入力リスト!$K$4),入力シート!$J$24&lt;&gt;""),IF(ISERROR(C447+1),TRUE,IF(ISNUMBER(C447),FALSE,TRUE)),FALSE)</f>
        <v>0</v>
      </c>
      <c r="J447" s="237" t="b">
        <f>IF(AND(入力シート!$J$18=入力リスト!$K$4,入力シート!$J$22=入力リスト!$K$4),FALSE,IF(I447=TRUE,FALSE,IF(ISERROR(C447+1),FALSE,C447&gt;入力シート!$J$24)))</f>
        <v>0</v>
      </c>
      <c r="K447" s="237" t="b">
        <f>IF(COUNTIF(入力シート!$J$16:$S$23,入力リスト!$K$4)=0,FALSE,IF(AND(入力シート!$J$16&lt;&gt;入力リスト!$K$5,入力シート!$J$18&lt;&gt;入力リスト!$K$5,入力シート!$J$20&lt;&gt;入力リスト!$K$5,入力シート!$J$22&lt;&gt;入力リスト!$K$5),FALSE,ISERROR(VLOOKUP(D447,入力シート!$AW$37:$AY$38,1,0))))</f>
        <v>0</v>
      </c>
      <c r="L447" s="237" t="b">
        <f>IF(COUNTIF(入力シート!$J$16:$S$23,入力リスト!$K$4)=0,FALSE,IF(入力シート!$J$20=入力リスト!$K$5,FALSE,IF(E447="",FALSE,ISERROR(VLOOKUP(E447,入力シート!$AH$37:$AK$62,1,0)))))</f>
        <v>0</v>
      </c>
      <c r="M447" s="238" t="str">
        <f t="shared" si="6"/>
        <v/>
      </c>
      <c r="N447" s="236" t="str">
        <f>IF(B447="","",VLOOKUP('従業員情報(給与以外)'!$B447,入力シート!$S$37:$Z$62,5,0))</f>
        <v/>
      </c>
      <c r="O447" s="182" t="str">
        <f>IF(ISNUMBER(C447)=FALSE,"",IF(C447&gt;入力シート!$J$24,"",_xlfn.DAYS(入力シート!$J$24,'従業員情報(給与以外)'!$C447)/365))</f>
        <v/>
      </c>
      <c r="P447" s="237" t="str">
        <f>IF(O447="","",VLOOKUP(_xlfn.DAYS(入力シート!$J$24,'従業員情報(給与以外)'!$C447)/365,入力リスト!$H$4:$I$12,2,2))</f>
        <v/>
      </c>
      <c r="Q447" s="236" t="str">
        <f>IF(D447="","",VLOOKUP('従業員情報(給与以外)'!$D447,入力シート!$AW$37:$BB$38,4,0))</f>
        <v/>
      </c>
      <c r="R447" s="236" t="str">
        <f>IF(A447="","",IF(E447="","非役職",VLOOKUP('従業員情報(給与以外)'!$E447,入力シート!$AH$37:$AO$62,5,0)))</f>
        <v/>
      </c>
      <c r="S447" s="116" t="str">
        <f>IF(OR(入力シート!$C$5&lt;&gt;入力リスト!$N$4,COUNTIF(入力シート!$J$16:$S$23,入力リスト!$K$4)=0),"",IF($A447="","",IF(ISERROR(AVERAGEIF(従業員の給与情報!$B:$B,$A447,従業員の給与情報!$C:$C)),0,IF(ISERROR(AVERAGEIF(従業員の給与情報!$B:$B,$A447,従業員の給与情報!$C:$C)),0,AVERAGEIF(従業員の給与情報!$B:$B,$A447,従業員の給与情報!$C:$C)))))</f>
        <v/>
      </c>
      <c r="T447" s="116" t="str">
        <f>IF(OR(入力シート!$C$5&lt;&gt;入力リスト!$N$4,COUNTIF(入力シート!$J$16:$S$23,入力リスト!$K$4)=0),"",IF(A447="","",IF(ISERROR(AVERAGEIF(従業員の給与情報!$B:$B,$A447,従業員の給与情報!$D:$D)),0,IF(ISERROR(AVERAGEIF(従業員の給与情報!$B:$B,$A447,従業員の給与情報!$D:$D)),0,AVERAGEIF(従業員の給与情報!$B:$B,$A447,従業員の給与情報!$D:$D)))))</f>
        <v/>
      </c>
      <c r="U447" s="116" t="str">
        <f>IF(OR(入力シート!$C$5&lt;&gt;入力リスト!$N$4,COUNTIF(入力シート!$J$16:$S$23,入力リスト!$K$4)=0),"",IF(A447="","",IF(ISERROR(AVERAGEIF(従業員の給与情報!$B:$B,$A447,従業員の給与情報!$E:$E)),0,IF(ISERROR(AVERAGEIF(従業員の給与情報!$B:$B,$A447,従業員の給与情報!$E:$E)),0,AVERAGEIF(従業員の給与情報!$B:$B,$A447,従業員の給与情報!$E:$E)))))</f>
        <v/>
      </c>
      <c r="V447" s="117" t="str">
        <f>IF(OR(入力シート!$C$5&lt;&gt;入力リスト!$N$4,COUNTIF(入力シート!$J$16:$S$23,入力リスト!$K$4)=0),"",IF(A447="","",IF(ISERROR(AVERAGEIF(従業員の給与情報!$B:$B,$A447,従業員の給与情報!$F:$F)),0,IF(ISERROR(AVERAGEIF(従業員の給与情報!$B:$B,$A447,従業員の給与情報!$F:$F)),0,AVERAGEIF(従業員の給与情報!$B:$B,$A447,従業員の給与情報!$F:$F)))))</f>
        <v/>
      </c>
      <c r="W447" s="182"/>
      <c r="X447" s="260"/>
    </row>
    <row r="448" spans="1:24">
      <c r="A448" s="368"/>
      <c r="B448" s="361"/>
      <c r="C448" s="362"/>
      <c r="D448" s="361"/>
      <c r="E448" s="361"/>
      <c r="F448" s="372" t="str">
        <f>IF(G448,"この従業員番号は、すでに他のセルで入力されています。",IF(入力シート!$C$5=入力リスト!$N$5,"",IF(AND(A448="",B448="",C448="",D448="",E448=""),"",IF(OR(A448="",B448="",C448="",D448=""),IF(A448="","従業員番号","")&amp;IF(AND(A448="",OR(B448="",C448="",D448="")),",","")&amp;IF(B448="","雇用形態","")&amp;IF(AND(B448="",OR(C448="",D448="")),",","")&amp;IF(OR(入力シート!$J$18=入力リスト!$K$4,入力シート!$J$22=入力リスト!$K$4),IF(C448="","入社年月日",""),"")&amp;IF(AND(C448="",D448=""),",","")&amp;IF(D448="","性別","")&amp;IF(IF(A448="","従業員番号","")&amp;IF(B448="","雇用形態","")&amp;IF(OR(入力シート!$J$18=入力リスト!$K$4,入力シート!$J$22=入力リスト!$K$4),IF(C448="","入社年月日",""),"")&amp;IF(D448="","性別","")="","","が空白です。"),IF(J448,"入社年月日に「基準日」の翌日以降の日付が入力されています。","")&amp;IF(I448,"入社年月日に数値以外（又は1900/1/1以前の日付）が入力されています。","")&amp;IF(H448,"雇用形態"&amp;IF(OR(K448,L448),",",""),"")&amp;IF(K448,"性別"&amp;IF(L448,",",""),"")&amp;IF(L448,"役職","")&amp;IF(OR(H448,K448,L448),"に、［入力シート］(4)「貴社」欄と異なる文言が入力されています。","")))))</f>
        <v/>
      </c>
      <c r="G448" s="236" t="b">
        <f>COUNTIF($A$4:A447,$A448)&gt;0</f>
        <v>0</v>
      </c>
      <c r="H448" s="237" t="b">
        <f>IF(COUNTIF(入力シート!$J$16:$S$23,入力リスト!$K$4)=0,FALSE,IF(入力シート!$J$16=入力リスト!$K$5,FALSE,ISERROR(VLOOKUP(B448,入力シート!$S$37:$V$62,1,0))))</f>
        <v>0</v>
      </c>
      <c r="I448" s="237" t="b">
        <f>IF(AND(OR(入力シート!$J$18=入力リスト!$K$4,入力シート!$J$22=入力リスト!$K$4),入力シート!$J$24&lt;&gt;""),IF(ISERROR(C448+1),TRUE,IF(ISNUMBER(C448),FALSE,TRUE)),FALSE)</f>
        <v>0</v>
      </c>
      <c r="J448" s="237" t="b">
        <f>IF(AND(入力シート!$J$18=入力リスト!$K$4,入力シート!$J$22=入力リスト!$K$4),FALSE,IF(I448=TRUE,FALSE,IF(ISERROR(C448+1),FALSE,C448&gt;入力シート!$J$24)))</f>
        <v>0</v>
      </c>
      <c r="K448" s="237" t="b">
        <f>IF(COUNTIF(入力シート!$J$16:$S$23,入力リスト!$K$4)=0,FALSE,IF(AND(入力シート!$J$16&lt;&gt;入力リスト!$K$5,入力シート!$J$18&lt;&gt;入力リスト!$K$5,入力シート!$J$20&lt;&gt;入力リスト!$K$5,入力シート!$J$22&lt;&gt;入力リスト!$K$5),FALSE,ISERROR(VLOOKUP(D448,入力シート!$AW$37:$AY$38,1,0))))</f>
        <v>0</v>
      </c>
      <c r="L448" s="237" t="b">
        <f>IF(COUNTIF(入力シート!$J$16:$S$23,入力リスト!$K$4)=0,FALSE,IF(入力シート!$J$20=入力リスト!$K$5,FALSE,IF(E448="",FALSE,ISERROR(VLOOKUP(E448,入力シート!$AH$37:$AK$62,1,0)))))</f>
        <v>0</v>
      </c>
      <c r="M448" s="238" t="str">
        <f t="shared" si="6"/>
        <v/>
      </c>
      <c r="N448" s="236" t="str">
        <f>IF(B448="","",VLOOKUP('従業員情報(給与以外)'!$B448,入力シート!$S$37:$Z$62,5,0))</f>
        <v/>
      </c>
      <c r="O448" s="182" t="str">
        <f>IF(ISNUMBER(C448)=FALSE,"",IF(C448&gt;入力シート!$J$24,"",_xlfn.DAYS(入力シート!$J$24,'従業員情報(給与以外)'!$C448)/365))</f>
        <v/>
      </c>
      <c r="P448" s="237" t="str">
        <f>IF(O448="","",VLOOKUP(_xlfn.DAYS(入力シート!$J$24,'従業員情報(給与以外)'!$C448)/365,入力リスト!$H$4:$I$12,2,2))</f>
        <v/>
      </c>
      <c r="Q448" s="236" t="str">
        <f>IF(D448="","",VLOOKUP('従業員情報(給与以外)'!$D448,入力シート!$AW$37:$BB$38,4,0))</f>
        <v/>
      </c>
      <c r="R448" s="236" t="str">
        <f>IF(A448="","",IF(E448="","非役職",VLOOKUP('従業員情報(給与以外)'!$E448,入力シート!$AH$37:$AO$62,5,0)))</f>
        <v/>
      </c>
      <c r="S448" s="116" t="str">
        <f>IF(OR(入力シート!$C$5&lt;&gt;入力リスト!$N$4,COUNTIF(入力シート!$J$16:$S$23,入力リスト!$K$4)=0),"",IF($A448="","",IF(ISERROR(AVERAGEIF(従業員の給与情報!$B:$B,$A448,従業員の給与情報!$C:$C)),0,IF(ISERROR(AVERAGEIF(従業員の給与情報!$B:$B,$A448,従業員の給与情報!$C:$C)),0,AVERAGEIF(従業員の給与情報!$B:$B,$A448,従業員の給与情報!$C:$C)))))</f>
        <v/>
      </c>
      <c r="T448" s="116" t="str">
        <f>IF(OR(入力シート!$C$5&lt;&gt;入力リスト!$N$4,COUNTIF(入力シート!$J$16:$S$23,入力リスト!$K$4)=0),"",IF(A448="","",IF(ISERROR(AVERAGEIF(従業員の給与情報!$B:$B,$A448,従業員の給与情報!$D:$D)),0,IF(ISERROR(AVERAGEIF(従業員の給与情報!$B:$B,$A448,従業員の給与情報!$D:$D)),0,AVERAGEIF(従業員の給与情報!$B:$B,$A448,従業員の給与情報!$D:$D)))))</f>
        <v/>
      </c>
      <c r="U448" s="116" t="str">
        <f>IF(OR(入力シート!$C$5&lt;&gt;入力リスト!$N$4,COUNTIF(入力シート!$J$16:$S$23,入力リスト!$K$4)=0),"",IF(A448="","",IF(ISERROR(AVERAGEIF(従業員の給与情報!$B:$B,$A448,従業員の給与情報!$E:$E)),0,IF(ISERROR(AVERAGEIF(従業員の給与情報!$B:$B,$A448,従業員の給与情報!$E:$E)),0,AVERAGEIF(従業員の給与情報!$B:$B,$A448,従業員の給与情報!$E:$E)))))</f>
        <v/>
      </c>
      <c r="V448" s="117" t="str">
        <f>IF(OR(入力シート!$C$5&lt;&gt;入力リスト!$N$4,COUNTIF(入力シート!$J$16:$S$23,入力リスト!$K$4)=0),"",IF(A448="","",IF(ISERROR(AVERAGEIF(従業員の給与情報!$B:$B,$A448,従業員の給与情報!$F:$F)),0,IF(ISERROR(AVERAGEIF(従業員の給与情報!$B:$B,$A448,従業員の給与情報!$F:$F)),0,AVERAGEIF(従業員の給与情報!$B:$B,$A448,従業員の給与情報!$F:$F)))))</f>
        <v/>
      </c>
      <c r="W448" s="182"/>
      <c r="X448" s="260"/>
    </row>
    <row r="449" spans="1:24">
      <c r="A449" s="368"/>
      <c r="B449" s="361"/>
      <c r="C449" s="362"/>
      <c r="D449" s="361"/>
      <c r="E449" s="361"/>
      <c r="F449" s="372" t="str">
        <f>IF(G449,"この従業員番号は、すでに他のセルで入力されています。",IF(入力シート!$C$5=入力リスト!$N$5,"",IF(AND(A449="",B449="",C449="",D449="",E449=""),"",IF(OR(A449="",B449="",C449="",D449=""),IF(A449="","従業員番号","")&amp;IF(AND(A449="",OR(B449="",C449="",D449="")),",","")&amp;IF(B449="","雇用形態","")&amp;IF(AND(B449="",OR(C449="",D449="")),",","")&amp;IF(OR(入力シート!$J$18=入力リスト!$K$4,入力シート!$J$22=入力リスト!$K$4),IF(C449="","入社年月日",""),"")&amp;IF(AND(C449="",D449=""),",","")&amp;IF(D449="","性別","")&amp;IF(IF(A449="","従業員番号","")&amp;IF(B449="","雇用形態","")&amp;IF(OR(入力シート!$J$18=入力リスト!$K$4,入力シート!$J$22=入力リスト!$K$4),IF(C449="","入社年月日",""),"")&amp;IF(D449="","性別","")="","","が空白です。"),IF(J449,"入社年月日に「基準日」の翌日以降の日付が入力されています。","")&amp;IF(I449,"入社年月日に数値以外（又は1900/1/1以前の日付）が入力されています。","")&amp;IF(H449,"雇用形態"&amp;IF(OR(K449,L449),",",""),"")&amp;IF(K449,"性別"&amp;IF(L449,",",""),"")&amp;IF(L449,"役職","")&amp;IF(OR(H449,K449,L449),"に、［入力シート］(4)「貴社」欄と異なる文言が入力されています。","")))))</f>
        <v/>
      </c>
      <c r="G449" s="236" t="b">
        <f>COUNTIF($A$4:A448,$A449)&gt;0</f>
        <v>0</v>
      </c>
      <c r="H449" s="237" t="b">
        <f>IF(COUNTIF(入力シート!$J$16:$S$23,入力リスト!$K$4)=0,FALSE,IF(入力シート!$J$16=入力リスト!$K$5,FALSE,ISERROR(VLOOKUP(B449,入力シート!$S$37:$V$62,1,0))))</f>
        <v>0</v>
      </c>
      <c r="I449" s="237" t="b">
        <f>IF(AND(OR(入力シート!$J$18=入力リスト!$K$4,入力シート!$J$22=入力リスト!$K$4),入力シート!$J$24&lt;&gt;""),IF(ISERROR(C449+1),TRUE,IF(ISNUMBER(C449),FALSE,TRUE)),FALSE)</f>
        <v>0</v>
      </c>
      <c r="J449" s="237" t="b">
        <f>IF(AND(入力シート!$J$18=入力リスト!$K$4,入力シート!$J$22=入力リスト!$K$4),FALSE,IF(I449=TRUE,FALSE,IF(ISERROR(C449+1),FALSE,C449&gt;入力シート!$J$24)))</f>
        <v>0</v>
      </c>
      <c r="K449" s="237" t="b">
        <f>IF(COUNTIF(入力シート!$J$16:$S$23,入力リスト!$K$4)=0,FALSE,IF(AND(入力シート!$J$16&lt;&gt;入力リスト!$K$5,入力シート!$J$18&lt;&gt;入力リスト!$K$5,入力シート!$J$20&lt;&gt;入力リスト!$K$5,入力シート!$J$22&lt;&gt;入力リスト!$K$5),FALSE,ISERROR(VLOOKUP(D449,入力シート!$AW$37:$AY$38,1,0))))</f>
        <v>0</v>
      </c>
      <c r="L449" s="237" t="b">
        <f>IF(COUNTIF(入力シート!$J$16:$S$23,入力リスト!$K$4)=0,FALSE,IF(入力シート!$J$20=入力リスト!$K$5,FALSE,IF(E449="",FALSE,ISERROR(VLOOKUP(E449,入力シート!$AH$37:$AK$62,1,0)))))</f>
        <v>0</v>
      </c>
      <c r="M449" s="238" t="str">
        <f t="shared" si="6"/>
        <v/>
      </c>
      <c r="N449" s="236" t="str">
        <f>IF(B449="","",VLOOKUP('従業員情報(給与以外)'!$B449,入力シート!$S$37:$Z$62,5,0))</f>
        <v/>
      </c>
      <c r="O449" s="182" t="str">
        <f>IF(ISNUMBER(C449)=FALSE,"",IF(C449&gt;入力シート!$J$24,"",_xlfn.DAYS(入力シート!$J$24,'従業員情報(給与以外)'!$C449)/365))</f>
        <v/>
      </c>
      <c r="P449" s="237" t="str">
        <f>IF(O449="","",VLOOKUP(_xlfn.DAYS(入力シート!$J$24,'従業員情報(給与以外)'!$C449)/365,入力リスト!$H$4:$I$12,2,2))</f>
        <v/>
      </c>
      <c r="Q449" s="236" t="str">
        <f>IF(D449="","",VLOOKUP('従業員情報(給与以外)'!$D449,入力シート!$AW$37:$BB$38,4,0))</f>
        <v/>
      </c>
      <c r="R449" s="236" t="str">
        <f>IF(A449="","",IF(E449="","非役職",VLOOKUP('従業員情報(給与以外)'!$E449,入力シート!$AH$37:$AO$62,5,0)))</f>
        <v/>
      </c>
      <c r="S449" s="116" t="str">
        <f>IF(OR(入力シート!$C$5&lt;&gt;入力リスト!$N$4,COUNTIF(入力シート!$J$16:$S$23,入力リスト!$K$4)=0),"",IF($A449="","",IF(ISERROR(AVERAGEIF(従業員の給与情報!$B:$B,$A449,従業員の給与情報!$C:$C)),0,IF(ISERROR(AVERAGEIF(従業員の給与情報!$B:$B,$A449,従業員の給与情報!$C:$C)),0,AVERAGEIF(従業員の給与情報!$B:$B,$A449,従業員の給与情報!$C:$C)))))</f>
        <v/>
      </c>
      <c r="T449" s="116" t="str">
        <f>IF(OR(入力シート!$C$5&lt;&gt;入力リスト!$N$4,COUNTIF(入力シート!$J$16:$S$23,入力リスト!$K$4)=0),"",IF(A449="","",IF(ISERROR(AVERAGEIF(従業員の給与情報!$B:$B,$A449,従業員の給与情報!$D:$D)),0,IF(ISERROR(AVERAGEIF(従業員の給与情報!$B:$B,$A449,従業員の給与情報!$D:$D)),0,AVERAGEIF(従業員の給与情報!$B:$B,$A449,従業員の給与情報!$D:$D)))))</f>
        <v/>
      </c>
      <c r="U449" s="116" t="str">
        <f>IF(OR(入力シート!$C$5&lt;&gt;入力リスト!$N$4,COUNTIF(入力シート!$J$16:$S$23,入力リスト!$K$4)=0),"",IF(A449="","",IF(ISERROR(AVERAGEIF(従業員の給与情報!$B:$B,$A449,従業員の給与情報!$E:$E)),0,IF(ISERROR(AVERAGEIF(従業員の給与情報!$B:$B,$A449,従業員の給与情報!$E:$E)),0,AVERAGEIF(従業員の給与情報!$B:$B,$A449,従業員の給与情報!$E:$E)))))</f>
        <v/>
      </c>
      <c r="V449" s="117" t="str">
        <f>IF(OR(入力シート!$C$5&lt;&gt;入力リスト!$N$4,COUNTIF(入力シート!$J$16:$S$23,入力リスト!$K$4)=0),"",IF(A449="","",IF(ISERROR(AVERAGEIF(従業員の給与情報!$B:$B,$A449,従業員の給与情報!$F:$F)),0,IF(ISERROR(AVERAGEIF(従業員の給与情報!$B:$B,$A449,従業員の給与情報!$F:$F)),0,AVERAGEIF(従業員の給与情報!$B:$B,$A449,従業員の給与情報!$F:$F)))))</f>
        <v/>
      </c>
      <c r="W449" s="182"/>
      <c r="X449" s="260"/>
    </row>
    <row r="450" spans="1:24">
      <c r="A450" s="368"/>
      <c r="B450" s="361"/>
      <c r="C450" s="362"/>
      <c r="D450" s="361"/>
      <c r="E450" s="361"/>
      <c r="F450" s="372" t="str">
        <f>IF(G450,"この従業員番号は、すでに他のセルで入力されています。",IF(入力シート!$C$5=入力リスト!$N$5,"",IF(AND(A450="",B450="",C450="",D450="",E450=""),"",IF(OR(A450="",B450="",C450="",D450=""),IF(A450="","従業員番号","")&amp;IF(AND(A450="",OR(B450="",C450="",D450="")),",","")&amp;IF(B450="","雇用形態","")&amp;IF(AND(B450="",OR(C450="",D450="")),",","")&amp;IF(OR(入力シート!$J$18=入力リスト!$K$4,入力シート!$J$22=入力リスト!$K$4),IF(C450="","入社年月日",""),"")&amp;IF(AND(C450="",D450=""),",","")&amp;IF(D450="","性別","")&amp;IF(IF(A450="","従業員番号","")&amp;IF(B450="","雇用形態","")&amp;IF(OR(入力シート!$J$18=入力リスト!$K$4,入力シート!$J$22=入力リスト!$K$4),IF(C450="","入社年月日",""),"")&amp;IF(D450="","性別","")="","","が空白です。"),IF(J450,"入社年月日に「基準日」の翌日以降の日付が入力されています。","")&amp;IF(I450,"入社年月日に数値以外（又は1900/1/1以前の日付）が入力されています。","")&amp;IF(H450,"雇用形態"&amp;IF(OR(K450,L450),",",""),"")&amp;IF(K450,"性別"&amp;IF(L450,",",""),"")&amp;IF(L450,"役職","")&amp;IF(OR(H450,K450,L450),"に、［入力シート］(4)「貴社」欄と異なる文言が入力されています。","")))))</f>
        <v/>
      </c>
      <c r="G450" s="236" t="b">
        <f>COUNTIF($A$4:A449,$A450)&gt;0</f>
        <v>0</v>
      </c>
      <c r="H450" s="237" t="b">
        <f>IF(COUNTIF(入力シート!$J$16:$S$23,入力リスト!$K$4)=0,FALSE,IF(入力シート!$J$16=入力リスト!$K$5,FALSE,ISERROR(VLOOKUP(B450,入力シート!$S$37:$V$62,1,0))))</f>
        <v>0</v>
      </c>
      <c r="I450" s="237" t="b">
        <f>IF(AND(OR(入力シート!$J$18=入力リスト!$K$4,入力シート!$J$22=入力リスト!$K$4),入力シート!$J$24&lt;&gt;""),IF(ISERROR(C450+1),TRUE,IF(ISNUMBER(C450),FALSE,TRUE)),FALSE)</f>
        <v>0</v>
      </c>
      <c r="J450" s="237" t="b">
        <f>IF(AND(入力シート!$J$18=入力リスト!$K$4,入力シート!$J$22=入力リスト!$K$4),FALSE,IF(I450=TRUE,FALSE,IF(ISERROR(C450+1),FALSE,C450&gt;入力シート!$J$24)))</f>
        <v>0</v>
      </c>
      <c r="K450" s="237" t="b">
        <f>IF(COUNTIF(入力シート!$J$16:$S$23,入力リスト!$K$4)=0,FALSE,IF(AND(入力シート!$J$16&lt;&gt;入力リスト!$K$5,入力シート!$J$18&lt;&gt;入力リスト!$K$5,入力シート!$J$20&lt;&gt;入力リスト!$K$5,入力シート!$J$22&lt;&gt;入力リスト!$K$5),FALSE,ISERROR(VLOOKUP(D450,入力シート!$AW$37:$AY$38,1,0))))</f>
        <v>0</v>
      </c>
      <c r="L450" s="237" t="b">
        <f>IF(COUNTIF(入力シート!$J$16:$S$23,入力リスト!$K$4)=0,FALSE,IF(入力シート!$J$20=入力リスト!$K$5,FALSE,IF(E450="",FALSE,ISERROR(VLOOKUP(E450,入力シート!$AH$37:$AK$62,1,0)))))</f>
        <v>0</v>
      </c>
      <c r="M450" s="238" t="str">
        <f t="shared" si="6"/>
        <v/>
      </c>
      <c r="N450" s="236" t="str">
        <f>IF(B450="","",VLOOKUP('従業員情報(給与以外)'!$B450,入力シート!$S$37:$Z$62,5,0))</f>
        <v/>
      </c>
      <c r="O450" s="182" t="str">
        <f>IF(ISNUMBER(C450)=FALSE,"",IF(C450&gt;入力シート!$J$24,"",_xlfn.DAYS(入力シート!$J$24,'従業員情報(給与以外)'!$C450)/365))</f>
        <v/>
      </c>
      <c r="P450" s="237" t="str">
        <f>IF(O450="","",VLOOKUP(_xlfn.DAYS(入力シート!$J$24,'従業員情報(給与以外)'!$C450)/365,入力リスト!$H$4:$I$12,2,2))</f>
        <v/>
      </c>
      <c r="Q450" s="236" t="str">
        <f>IF(D450="","",VLOOKUP('従業員情報(給与以外)'!$D450,入力シート!$AW$37:$BB$38,4,0))</f>
        <v/>
      </c>
      <c r="R450" s="236" t="str">
        <f>IF(A450="","",IF(E450="","非役職",VLOOKUP('従業員情報(給与以外)'!$E450,入力シート!$AH$37:$AO$62,5,0)))</f>
        <v/>
      </c>
      <c r="S450" s="116" t="str">
        <f>IF(OR(入力シート!$C$5&lt;&gt;入力リスト!$N$4,COUNTIF(入力シート!$J$16:$S$23,入力リスト!$K$4)=0),"",IF($A450="","",IF(ISERROR(AVERAGEIF(従業員の給与情報!$B:$B,$A450,従業員の給与情報!$C:$C)),0,IF(ISERROR(AVERAGEIF(従業員の給与情報!$B:$B,$A450,従業員の給与情報!$C:$C)),0,AVERAGEIF(従業員の給与情報!$B:$B,$A450,従業員の給与情報!$C:$C)))))</f>
        <v/>
      </c>
      <c r="T450" s="116" t="str">
        <f>IF(OR(入力シート!$C$5&lt;&gt;入力リスト!$N$4,COUNTIF(入力シート!$J$16:$S$23,入力リスト!$K$4)=0),"",IF(A450="","",IF(ISERROR(AVERAGEIF(従業員の給与情報!$B:$B,$A450,従業員の給与情報!$D:$D)),0,IF(ISERROR(AVERAGEIF(従業員の給与情報!$B:$B,$A450,従業員の給与情報!$D:$D)),0,AVERAGEIF(従業員の給与情報!$B:$B,$A450,従業員の給与情報!$D:$D)))))</f>
        <v/>
      </c>
      <c r="U450" s="116" t="str">
        <f>IF(OR(入力シート!$C$5&lt;&gt;入力リスト!$N$4,COUNTIF(入力シート!$J$16:$S$23,入力リスト!$K$4)=0),"",IF(A450="","",IF(ISERROR(AVERAGEIF(従業員の給与情報!$B:$B,$A450,従業員の給与情報!$E:$E)),0,IF(ISERROR(AVERAGEIF(従業員の給与情報!$B:$B,$A450,従業員の給与情報!$E:$E)),0,AVERAGEIF(従業員の給与情報!$B:$B,$A450,従業員の給与情報!$E:$E)))))</f>
        <v/>
      </c>
      <c r="V450" s="117" t="str">
        <f>IF(OR(入力シート!$C$5&lt;&gt;入力リスト!$N$4,COUNTIF(入力シート!$J$16:$S$23,入力リスト!$K$4)=0),"",IF(A450="","",IF(ISERROR(AVERAGEIF(従業員の給与情報!$B:$B,$A450,従業員の給与情報!$F:$F)),0,IF(ISERROR(AVERAGEIF(従業員の給与情報!$B:$B,$A450,従業員の給与情報!$F:$F)),0,AVERAGEIF(従業員の給与情報!$B:$B,$A450,従業員の給与情報!$F:$F)))))</f>
        <v/>
      </c>
      <c r="W450" s="182"/>
      <c r="X450" s="260"/>
    </row>
    <row r="451" spans="1:24">
      <c r="A451" s="368"/>
      <c r="B451" s="361"/>
      <c r="C451" s="362"/>
      <c r="D451" s="361"/>
      <c r="E451" s="361"/>
      <c r="F451" s="372" t="str">
        <f>IF(G451,"この従業員番号は、すでに他のセルで入力されています。",IF(入力シート!$C$5=入力リスト!$N$5,"",IF(AND(A451="",B451="",C451="",D451="",E451=""),"",IF(OR(A451="",B451="",C451="",D451=""),IF(A451="","従業員番号","")&amp;IF(AND(A451="",OR(B451="",C451="",D451="")),",","")&amp;IF(B451="","雇用形態","")&amp;IF(AND(B451="",OR(C451="",D451="")),",","")&amp;IF(OR(入力シート!$J$18=入力リスト!$K$4,入力シート!$J$22=入力リスト!$K$4),IF(C451="","入社年月日",""),"")&amp;IF(AND(C451="",D451=""),",","")&amp;IF(D451="","性別","")&amp;IF(IF(A451="","従業員番号","")&amp;IF(B451="","雇用形態","")&amp;IF(OR(入力シート!$J$18=入力リスト!$K$4,入力シート!$J$22=入力リスト!$K$4),IF(C451="","入社年月日",""),"")&amp;IF(D451="","性別","")="","","が空白です。"),IF(J451,"入社年月日に「基準日」の翌日以降の日付が入力されています。","")&amp;IF(I451,"入社年月日に数値以外（又は1900/1/1以前の日付）が入力されています。","")&amp;IF(H451,"雇用形態"&amp;IF(OR(K451,L451),",",""),"")&amp;IF(K451,"性別"&amp;IF(L451,",",""),"")&amp;IF(L451,"役職","")&amp;IF(OR(H451,K451,L451),"に、［入力シート］(4)「貴社」欄と異なる文言が入力されています。","")))))</f>
        <v/>
      </c>
      <c r="G451" s="236" t="b">
        <f>COUNTIF($A$4:A450,$A451)&gt;0</f>
        <v>0</v>
      </c>
      <c r="H451" s="237" t="b">
        <f>IF(COUNTIF(入力シート!$J$16:$S$23,入力リスト!$K$4)=0,FALSE,IF(入力シート!$J$16=入力リスト!$K$5,FALSE,ISERROR(VLOOKUP(B451,入力シート!$S$37:$V$62,1,0))))</f>
        <v>0</v>
      </c>
      <c r="I451" s="237" t="b">
        <f>IF(AND(OR(入力シート!$J$18=入力リスト!$K$4,入力シート!$J$22=入力リスト!$K$4),入力シート!$J$24&lt;&gt;""),IF(ISERROR(C451+1),TRUE,IF(ISNUMBER(C451),FALSE,TRUE)),FALSE)</f>
        <v>0</v>
      </c>
      <c r="J451" s="237" t="b">
        <f>IF(AND(入力シート!$J$18=入力リスト!$K$4,入力シート!$J$22=入力リスト!$K$4),FALSE,IF(I451=TRUE,FALSE,IF(ISERROR(C451+1),FALSE,C451&gt;入力シート!$J$24)))</f>
        <v>0</v>
      </c>
      <c r="K451" s="237" t="b">
        <f>IF(COUNTIF(入力シート!$J$16:$S$23,入力リスト!$K$4)=0,FALSE,IF(AND(入力シート!$J$16&lt;&gt;入力リスト!$K$5,入力シート!$J$18&lt;&gt;入力リスト!$K$5,入力シート!$J$20&lt;&gt;入力リスト!$K$5,入力シート!$J$22&lt;&gt;入力リスト!$K$5),FALSE,ISERROR(VLOOKUP(D451,入力シート!$AW$37:$AY$38,1,0))))</f>
        <v>0</v>
      </c>
      <c r="L451" s="237" t="b">
        <f>IF(COUNTIF(入力シート!$J$16:$S$23,入力リスト!$K$4)=0,FALSE,IF(入力シート!$J$20=入力リスト!$K$5,FALSE,IF(E451="",FALSE,ISERROR(VLOOKUP(E451,入力シート!$AH$37:$AK$62,1,0)))))</f>
        <v>0</v>
      </c>
      <c r="M451" s="238" t="str">
        <f t="shared" si="6"/>
        <v/>
      </c>
      <c r="N451" s="236" t="str">
        <f>IF(B451="","",VLOOKUP('従業員情報(給与以外)'!$B451,入力シート!$S$37:$Z$62,5,0))</f>
        <v/>
      </c>
      <c r="O451" s="182" t="str">
        <f>IF(ISNUMBER(C451)=FALSE,"",IF(C451&gt;入力シート!$J$24,"",_xlfn.DAYS(入力シート!$J$24,'従業員情報(給与以外)'!$C451)/365))</f>
        <v/>
      </c>
      <c r="P451" s="237" t="str">
        <f>IF(O451="","",VLOOKUP(_xlfn.DAYS(入力シート!$J$24,'従業員情報(給与以外)'!$C451)/365,入力リスト!$H$4:$I$12,2,2))</f>
        <v/>
      </c>
      <c r="Q451" s="236" t="str">
        <f>IF(D451="","",VLOOKUP('従業員情報(給与以外)'!$D451,入力シート!$AW$37:$BB$38,4,0))</f>
        <v/>
      </c>
      <c r="R451" s="236" t="str">
        <f>IF(A451="","",IF(E451="","非役職",VLOOKUP('従業員情報(給与以外)'!$E451,入力シート!$AH$37:$AO$62,5,0)))</f>
        <v/>
      </c>
      <c r="S451" s="116" t="str">
        <f>IF(OR(入力シート!$C$5&lt;&gt;入力リスト!$N$4,COUNTIF(入力シート!$J$16:$S$23,入力リスト!$K$4)=0),"",IF($A451="","",IF(ISERROR(AVERAGEIF(従業員の給与情報!$B:$B,$A451,従業員の給与情報!$C:$C)),0,IF(ISERROR(AVERAGEIF(従業員の給与情報!$B:$B,$A451,従業員の給与情報!$C:$C)),0,AVERAGEIF(従業員の給与情報!$B:$B,$A451,従業員の給与情報!$C:$C)))))</f>
        <v/>
      </c>
      <c r="T451" s="116" t="str">
        <f>IF(OR(入力シート!$C$5&lt;&gt;入力リスト!$N$4,COUNTIF(入力シート!$J$16:$S$23,入力リスト!$K$4)=0),"",IF(A451="","",IF(ISERROR(AVERAGEIF(従業員の給与情報!$B:$B,$A451,従業員の給与情報!$D:$D)),0,IF(ISERROR(AVERAGEIF(従業員の給与情報!$B:$B,$A451,従業員の給与情報!$D:$D)),0,AVERAGEIF(従業員の給与情報!$B:$B,$A451,従業員の給与情報!$D:$D)))))</f>
        <v/>
      </c>
      <c r="U451" s="116" t="str">
        <f>IF(OR(入力シート!$C$5&lt;&gt;入力リスト!$N$4,COUNTIF(入力シート!$J$16:$S$23,入力リスト!$K$4)=0),"",IF(A451="","",IF(ISERROR(AVERAGEIF(従業員の給与情報!$B:$B,$A451,従業員の給与情報!$E:$E)),0,IF(ISERROR(AVERAGEIF(従業員の給与情報!$B:$B,$A451,従業員の給与情報!$E:$E)),0,AVERAGEIF(従業員の給与情報!$B:$B,$A451,従業員の給与情報!$E:$E)))))</f>
        <v/>
      </c>
      <c r="V451" s="117" t="str">
        <f>IF(OR(入力シート!$C$5&lt;&gt;入力リスト!$N$4,COUNTIF(入力シート!$J$16:$S$23,入力リスト!$K$4)=0),"",IF(A451="","",IF(ISERROR(AVERAGEIF(従業員の給与情報!$B:$B,$A451,従業員の給与情報!$F:$F)),0,IF(ISERROR(AVERAGEIF(従業員の給与情報!$B:$B,$A451,従業員の給与情報!$F:$F)),0,AVERAGEIF(従業員の給与情報!$B:$B,$A451,従業員の給与情報!$F:$F)))))</f>
        <v/>
      </c>
      <c r="W451" s="182"/>
      <c r="X451" s="260"/>
    </row>
    <row r="452" spans="1:24">
      <c r="A452" s="368"/>
      <c r="B452" s="361"/>
      <c r="C452" s="362"/>
      <c r="D452" s="361"/>
      <c r="E452" s="361"/>
      <c r="F452" s="372" t="str">
        <f>IF(G452,"この従業員番号は、すでに他のセルで入力されています。",IF(入力シート!$C$5=入力リスト!$N$5,"",IF(AND(A452="",B452="",C452="",D452="",E452=""),"",IF(OR(A452="",B452="",C452="",D452=""),IF(A452="","従業員番号","")&amp;IF(AND(A452="",OR(B452="",C452="",D452="")),",","")&amp;IF(B452="","雇用形態","")&amp;IF(AND(B452="",OR(C452="",D452="")),",","")&amp;IF(OR(入力シート!$J$18=入力リスト!$K$4,入力シート!$J$22=入力リスト!$K$4),IF(C452="","入社年月日",""),"")&amp;IF(AND(C452="",D452=""),",","")&amp;IF(D452="","性別","")&amp;IF(IF(A452="","従業員番号","")&amp;IF(B452="","雇用形態","")&amp;IF(OR(入力シート!$J$18=入力リスト!$K$4,入力シート!$J$22=入力リスト!$K$4),IF(C452="","入社年月日",""),"")&amp;IF(D452="","性別","")="","","が空白です。"),IF(J452,"入社年月日に「基準日」の翌日以降の日付が入力されています。","")&amp;IF(I452,"入社年月日に数値以外（又は1900/1/1以前の日付）が入力されています。","")&amp;IF(H452,"雇用形態"&amp;IF(OR(K452,L452),",",""),"")&amp;IF(K452,"性別"&amp;IF(L452,",",""),"")&amp;IF(L452,"役職","")&amp;IF(OR(H452,K452,L452),"に、［入力シート］(4)「貴社」欄と異なる文言が入力されています。","")))))</f>
        <v/>
      </c>
      <c r="G452" s="236" t="b">
        <f>COUNTIF($A$4:A451,$A452)&gt;0</f>
        <v>0</v>
      </c>
      <c r="H452" s="237" t="b">
        <f>IF(COUNTIF(入力シート!$J$16:$S$23,入力リスト!$K$4)=0,FALSE,IF(入力シート!$J$16=入力リスト!$K$5,FALSE,ISERROR(VLOOKUP(B452,入力シート!$S$37:$V$62,1,0))))</f>
        <v>0</v>
      </c>
      <c r="I452" s="237" t="b">
        <f>IF(AND(OR(入力シート!$J$18=入力リスト!$K$4,入力シート!$J$22=入力リスト!$K$4),入力シート!$J$24&lt;&gt;""),IF(ISERROR(C452+1),TRUE,IF(ISNUMBER(C452),FALSE,TRUE)),FALSE)</f>
        <v>0</v>
      </c>
      <c r="J452" s="237" t="b">
        <f>IF(AND(入力シート!$J$18=入力リスト!$K$4,入力シート!$J$22=入力リスト!$K$4),FALSE,IF(I452=TRUE,FALSE,IF(ISERROR(C452+1),FALSE,C452&gt;入力シート!$J$24)))</f>
        <v>0</v>
      </c>
      <c r="K452" s="237" t="b">
        <f>IF(COUNTIF(入力シート!$J$16:$S$23,入力リスト!$K$4)=0,FALSE,IF(AND(入力シート!$J$16&lt;&gt;入力リスト!$K$5,入力シート!$J$18&lt;&gt;入力リスト!$K$5,入力シート!$J$20&lt;&gt;入力リスト!$K$5,入力シート!$J$22&lt;&gt;入力リスト!$K$5),FALSE,ISERROR(VLOOKUP(D452,入力シート!$AW$37:$AY$38,1,0))))</f>
        <v>0</v>
      </c>
      <c r="L452" s="237" t="b">
        <f>IF(COUNTIF(入力シート!$J$16:$S$23,入力リスト!$K$4)=0,FALSE,IF(入力シート!$J$20=入力リスト!$K$5,FALSE,IF(E452="",FALSE,ISERROR(VLOOKUP(E452,入力シート!$AH$37:$AK$62,1,0)))))</f>
        <v>0</v>
      </c>
      <c r="M452" s="238" t="str">
        <f t="shared" ref="M452:M501" si="7">IF(COUNTIF(F452,"*入社年月日に数値以外*"),"※1900/0/0以前は数値として認識されません。","")</f>
        <v/>
      </c>
      <c r="N452" s="236" t="str">
        <f>IF(B452="","",VLOOKUP('従業員情報(給与以外)'!$B452,入力シート!$S$37:$Z$62,5,0))</f>
        <v/>
      </c>
      <c r="O452" s="182" t="str">
        <f>IF(ISNUMBER(C452)=FALSE,"",IF(C452&gt;入力シート!$J$24,"",_xlfn.DAYS(入力シート!$J$24,'従業員情報(給与以外)'!$C452)/365))</f>
        <v/>
      </c>
      <c r="P452" s="237" t="str">
        <f>IF(O452="","",VLOOKUP(_xlfn.DAYS(入力シート!$J$24,'従業員情報(給与以外)'!$C452)/365,入力リスト!$H$4:$I$12,2,2))</f>
        <v/>
      </c>
      <c r="Q452" s="236" t="str">
        <f>IF(D452="","",VLOOKUP('従業員情報(給与以外)'!$D452,入力シート!$AW$37:$BB$38,4,0))</f>
        <v/>
      </c>
      <c r="R452" s="236" t="str">
        <f>IF(A452="","",IF(E452="","非役職",VLOOKUP('従業員情報(給与以外)'!$E452,入力シート!$AH$37:$AO$62,5,0)))</f>
        <v/>
      </c>
      <c r="S452" s="116" t="str">
        <f>IF(OR(入力シート!$C$5&lt;&gt;入力リスト!$N$4,COUNTIF(入力シート!$J$16:$S$23,入力リスト!$K$4)=0),"",IF($A452="","",IF(ISERROR(AVERAGEIF(従業員の給与情報!$B:$B,$A452,従業員の給与情報!$C:$C)),0,IF(ISERROR(AVERAGEIF(従業員の給与情報!$B:$B,$A452,従業員の給与情報!$C:$C)),0,AVERAGEIF(従業員の給与情報!$B:$B,$A452,従業員の給与情報!$C:$C)))))</f>
        <v/>
      </c>
      <c r="T452" s="116" t="str">
        <f>IF(OR(入力シート!$C$5&lt;&gt;入力リスト!$N$4,COUNTIF(入力シート!$J$16:$S$23,入力リスト!$K$4)=0),"",IF(A452="","",IF(ISERROR(AVERAGEIF(従業員の給与情報!$B:$B,$A452,従業員の給与情報!$D:$D)),0,IF(ISERROR(AVERAGEIF(従業員の給与情報!$B:$B,$A452,従業員の給与情報!$D:$D)),0,AVERAGEIF(従業員の給与情報!$B:$B,$A452,従業員の給与情報!$D:$D)))))</f>
        <v/>
      </c>
      <c r="U452" s="116" t="str">
        <f>IF(OR(入力シート!$C$5&lt;&gt;入力リスト!$N$4,COUNTIF(入力シート!$J$16:$S$23,入力リスト!$K$4)=0),"",IF(A452="","",IF(ISERROR(AVERAGEIF(従業員の給与情報!$B:$B,$A452,従業員の給与情報!$E:$E)),0,IF(ISERROR(AVERAGEIF(従業員の給与情報!$B:$B,$A452,従業員の給与情報!$E:$E)),0,AVERAGEIF(従業員の給与情報!$B:$B,$A452,従業員の給与情報!$E:$E)))))</f>
        <v/>
      </c>
      <c r="V452" s="117" t="str">
        <f>IF(OR(入力シート!$C$5&lt;&gt;入力リスト!$N$4,COUNTIF(入力シート!$J$16:$S$23,入力リスト!$K$4)=0),"",IF(A452="","",IF(ISERROR(AVERAGEIF(従業員の給与情報!$B:$B,$A452,従業員の給与情報!$F:$F)),0,IF(ISERROR(AVERAGEIF(従業員の給与情報!$B:$B,$A452,従業員の給与情報!$F:$F)),0,AVERAGEIF(従業員の給与情報!$B:$B,$A452,従業員の給与情報!$F:$F)))))</f>
        <v/>
      </c>
      <c r="W452" s="182"/>
      <c r="X452" s="260"/>
    </row>
    <row r="453" spans="1:24">
      <c r="A453" s="368"/>
      <c r="B453" s="361"/>
      <c r="C453" s="362"/>
      <c r="D453" s="361"/>
      <c r="E453" s="361"/>
      <c r="F453" s="372" t="str">
        <f>IF(G453,"この従業員番号は、すでに他のセルで入力されています。",IF(入力シート!$C$5=入力リスト!$N$5,"",IF(AND(A453="",B453="",C453="",D453="",E453=""),"",IF(OR(A453="",B453="",C453="",D453=""),IF(A453="","従業員番号","")&amp;IF(AND(A453="",OR(B453="",C453="",D453="")),",","")&amp;IF(B453="","雇用形態","")&amp;IF(AND(B453="",OR(C453="",D453="")),",","")&amp;IF(OR(入力シート!$J$18=入力リスト!$K$4,入力シート!$J$22=入力リスト!$K$4),IF(C453="","入社年月日",""),"")&amp;IF(AND(C453="",D453=""),",","")&amp;IF(D453="","性別","")&amp;IF(IF(A453="","従業員番号","")&amp;IF(B453="","雇用形態","")&amp;IF(OR(入力シート!$J$18=入力リスト!$K$4,入力シート!$J$22=入力リスト!$K$4),IF(C453="","入社年月日",""),"")&amp;IF(D453="","性別","")="","","が空白です。"),IF(J453,"入社年月日に「基準日」の翌日以降の日付が入力されています。","")&amp;IF(I453,"入社年月日に数値以外（又は1900/1/1以前の日付）が入力されています。","")&amp;IF(H453,"雇用形態"&amp;IF(OR(K453,L453),",",""),"")&amp;IF(K453,"性別"&amp;IF(L453,",",""),"")&amp;IF(L453,"役職","")&amp;IF(OR(H453,K453,L453),"に、［入力シート］(4)「貴社」欄と異なる文言が入力されています。","")))))</f>
        <v/>
      </c>
      <c r="G453" s="236" t="b">
        <f>COUNTIF($A$4:A452,$A453)&gt;0</f>
        <v>0</v>
      </c>
      <c r="H453" s="237" t="b">
        <f>IF(COUNTIF(入力シート!$J$16:$S$23,入力リスト!$K$4)=0,FALSE,IF(入力シート!$J$16=入力リスト!$K$5,FALSE,ISERROR(VLOOKUP(B453,入力シート!$S$37:$V$62,1,0))))</f>
        <v>0</v>
      </c>
      <c r="I453" s="237" t="b">
        <f>IF(AND(OR(入力シート!$J$18=入力リスト!$K$4,入力シート!$J$22=入力リスト!$K$4),入力シート!$J$24&lt;&gt;""),IF(ISERROR(C453+1),TRUE,IF(ISNUMBER(C453),FALSE,TRUE)),FALSE)</f>
        <v>0</v>
      </c>
      <c r="J453" s="237" t="b">
        <f>IF(AND(入力シート!$J$18=入力リスト!$K$4,入力シート!$J$22=入力リスト!$K$4),FALSE,IF(I453=TRUE,FALSE,IF(ISERROR(C453+1),FALSE,C453&gt;入力シート!$J$24)))</f>
        <v>0</v>
      </c>
      <c r="K453" s="237" t="b">
        <f>IF(COUNTIF(入力シート!$J$16:$S$23,入力リスト!$K$4)=0,FALSE,IF(AND(入力シート!$J$16&lt;&gt;入力リスト!$K$5,入力シート!$J$18&lt;&gt;入力リスト!$K$5,入力シート!$J$20&lt;&gt;入力リスト!$K$5,入力シート!$J$22&lt;&gt;入力リスト!$K$5),FALSE,ISERROR(VLOOKUP(D453,入力シート!$AW$37:$AY$38,1,0))))</f>
        <v>0</v>
      </c>
      <c r="L453" s="237" t="b">
        <f>IF(COUNTIF(入力シート!$J$16:$S$23,入力リスト!$K$4)=0,FALSE,IF(入力シート!$J$20=入力リスト!$K$5,FALSE,IF(E453="",FALSE,ISERROR(VLOOKUP(E453,入力シート!$AH$37:$AK$62,1,0)))))</f>
        <v>0</v>
      </c>
      <c r="M453" s="238" t="str">
        <f t="shared" si="7"/>
        <v/>
      </c>
      <c r="N453" s="236" t="str">
        <f>IF(B453="","",VLOOKUP('従業員情報(給与以外)'!$B453,入力シート!$S$37:$Z$62,5,0))</f>
        <v/>
      </c>
      <c r="O453" s="182" t="str">
        <f>IF(ISNUMBER(C453)=FALSE,"",IF(C453&gt;入力シート!$J$24,"",_xlfn.DAYS(入力シート!$J$24,'従業員情報(給与以外)'!$C453)/365))</f>
        <v/>
      </c>
      <c r="P453" s="237" t="str">
        <f>IF(O453="","",VLOOKUP(_xlfn.DAYS(入力シート!$J$24,'従業員情報(給与以外)'!$C453)/365,入力リスト!$H$4:$I$12,2,2))</f>
        <v/>
      </c>
      <c r="Q453" s="236" t="str">
        <f>IF(D453="","",VLOOKUP('従業員情報(給与以外)'!$D453,入力シート!$AW$37:$BB$38,4,0))</f>
        <v/>
      </c>
      <c r="R453" s="236" t="str">
        <f>IF(A453="","",IF(E453="","非役職",VLOOKUP('従業員情報(給与以外)'!$E453,入力シート!$AH$37:$AO$62,5,0)))</f>
        <v/>
      </c>
      <c r="S453" s="116" t="str">
        <f>IF(OR(入力シート!$C$5&lt;&gt;入力リスト!$N$4,COUNTIF(入力シート!$J$16:$S$23,入力リスト!$K$4)=0),"",IF($A453="","",IF(ISERROR(AVERAGEIF(従業員の給与情報!$B:$B,$A453,従業員の給与情報!$C:$C)),0,IF(ISERROR(AVERAGEIF(従業員の給与情報!$B:$B,$A453,従業員の給与情報!$C:$C)),0,AVERAGEIF(従業員の給与情報!$B:$B,$A453,従業員の給与情報!$C:$C)))))</f>
        <v/>
      </c>
      <c r="T453" s="116" t="str">
        <f>IF(OR(入力シート!$C$5&lt;&gt;入力リスト!$N$4,COUNTIF(入力シート!$J$16:$S$23,入力リスト!$K$4)=0),"",IF(A453="","",IF(ISERROR(AVERAGEIF(従業員の給与情報!$B:$B,$A453,従業員の給与情報!$D:$D)),0,IF(ISERROR(AVERAGEIF(従業員の給与情報!$B:$B,$A453,従業員の給与情報!$D:$D)),0,AVERAGEIF(従業員の給与情報!$B:$B,$A453,従業員の給与情報!$D:$D)))))</f>
        <v/>
      </c>
      <c r="U453" s="116" t="str">
        <f>IF(OR(入力シート!$C$5&lt;&gt;入力リスト!$N$4,COUNTIF(入力シート!$J$16:$S$23,入力リスト!$K$4)=0),"",IF(A453="","",IF(ISERROR(AVERAGEIF(従業員の給与情報!$B:$B,$A453,従業員の給与情報!$E:$E)),0,IF(ISERROR(AVERAGEIF(従業員の給与情報!$B:$B,$A453,従業員の給与情報!$E:$E)),0,AVERAGEIF(従業員の給与情報!$B:$B,$A453,従業員の給与情報!$E:$E)))))</f>
        <v/>
      </c>
      <c r="V453" s="117" t="str">
        <f>IF(OR(入力シート!$C$5&lt;&gt;入力リスト!$N$4,COUNTIF(入力シート!$J$16:$S$23,入力リスト!$K$4)=0),"",IF(A453="","",IF(ISERROR(AVERAGEIF(従業員の給与情報!$B:$B,$A453,従業員の給与情報!$F:$F)),0,IF(ISERROR(AVERAGEIF(従業員の給与情報!$B:$B,$A453,従業員の給与情報!$F:$F)),0,AVERAGEIF(従業員の給与情報!$B:$B,$A453,従業員の給与情報!$F:$F)))))</f>
        <v/>
      </c>
      <c r="W453" s="182"/>
      <c r="X453" s="260"/>
    </row>
    <row r="454" spans="1:24">
      <c r="A454" s="368"/>
      <c r="B454" s="361"/>
      <c r="C454" s="362"/>
      <c r="D454" s="361"/>
      <c r="E454" s="361"/>
      <c r="F454" s="372" t="str">
        <f>IF(G454,"この従業員番号は、すでに他のセルで入力されています。",IF(入力シート!$C$5=入力リスト!$N$5,"",IF(AND(A454="",B454="",C454="",D454="",E454=""),"",IF(OR(A454="",B454="",C454="",D454=""),IF(A454="","従業員番号","")&amp;IF(AND(A454="",OR(B454="",C454="",D454="")),",","")&amp;IF(B454="","雇用形態","")&amp;IF(AND(B454="",OR(C454="",D454="")),",","")&amp;IF(OR(入力シート!$J$18=入力リスト!$K$4,入力シート!$J$22=入力リスト!$K$4),IF(C454="","入社年月日",""),"")&amp;IF(AND(C454="",D454=""),",","")&amp;IF(D454="","性別","")&amp;IF(IF(A454="","従業員番号","")&amp;IF(B454="","雇用形態","")&amp;IF(OR(入力シート!$J$18=入力リスト!$K$4,入力シート!$J$22=入力リスト!$K$4),IF(C454="","入社年月日",""),"")&amp;IF(D454="","性別","")="","","が空白です。"),IF(J454,"入社年月日に「基準日」の翌日以降の日付が入力されています。","")&amp;IF(I454,"入社年月日に数値以外（又は1900/1/1以前の日付）が入力されています。","")&amp;IF(H454,"雇用形態"&amp;IF(OR(K454,L454),",",""),"")&amp;IF(K454,"性別"&amp;IF(L454,",",""),"")&amp;IF(L454,"役職","")&amp;IF(OR(H454,K454,L454),"に、［入力シート］(4)「貴社」欄と異なる文言が入力されています。","")))))</f>
        <v/>
      </c>
      <c r="G454" s="236" t="b">
        <f>COUNTIF($A$4:A453,$A454)&gt;0</f>
        <v>0</v>
      </c>
      <c r="H454" s="237" t="b">
        <f>IF(COUNTIF(入力シート!$J$16:$S$23,入力リスト!$K$4)=0,FALSE,IF(入力シート!$J$16=入力リスト!$K$5,FALSE,ISERROR(VLOOKUP(B454,入力シート!$S$37:$V$62,1,0))))</f>
        <v>0</v>
      </c>
      <c r="I454" s="237" t="b">
        <f>IF(AND(OR(入力シート!$J$18=入力リスト!$K$4,入力シート!$J$22=入力リスト!$K$4),入力シート!$J$24&lt;&gt;""),IF(ISERROR(C454+1),TRUE,IF(ISNUMBER(C454),FALSE,TRUE)),FALSE)</f>
        <v>0</v>
      </c>
      <c r="J454" s="237" t="b">
        <f>IF(AND(入力シート!$J$18=入力リスト!$K$4,入力シート!$J$22=入力リスト!$K$4),FALSE,IF(I454=TRUE,FALSE,IF(ISERROR(C454+1),FALSE,C454&gt;入力シート!$J$24)))</f>
        <v>0</v>
      </c>
      <c r="K454" s="237" t="b">
        <f>IF(COUNTIF(入力シート!$J$16:$S$23,入力リスト!$K$4)=0,FALSE,IF(AND(入力シート!$J$16&lt;&gt;入力リスト!$K$5,入力シート!$J$18&lt;&gt;入力リスト!$K$5,入力シート!$J$20&lt;&gt;入力リスト!$K$5,入力シート!$J$22&lt;&gt;入力リスト!$K$5),FALSE,ISERROR(VLOOKUP(D454,入力シート!$AW$37:$AY$38,1,0))))</f>
        <v>0</v>
      </c>
      <c r="L454" s="237" t="b">
        <f>IF(COUNTIF(入力シート!$J$16:$S$23,入力リスト!$K$4)=0,FALSE,IF(入力シート!$J$20=入力リスト!$K$5,FALSE,IF(E454="",FALSE,ISERROR(VLOOKUP(E454,入力シート!$AH$37:$AK$62,1,0)))))</f>
        <v>0</v>
      </c>
      <c r="M454" s="238" t="str">
        <f t="shared" si="7"/>
        <v/>
      </c>
      <c r="N454" s="236" t="str">
        <f>IF(B454="","",VLOOKUP('従業員情報(給与以外)'!$B454,入力シート!$S$37:$Z$62,5,0))</f>
        <v/>
      </c>
      <c r="O454" s="182" t="str">
        <f>IF(ISNUMBER(C454)=FALSE,"",IF(C454&gt;入力シート!$J$24,"",_xlfn.DAYS(入力シート!$J$24,'従業員情報(給与以外)'!$C454)/365))</f>
        <v/>
      </c>
      <c r="P454" s="237" t="str">
        <f>IF(O454="","",VLOOKUP(_xlfn.DAYS(入力シート!$J$24,'従業員情報(給与以外)'!$C454)/365,入力リスト!$H$4:$I$12,2,2))</f>
        <v/>
      </c>
      <c r="Q454" s="236" t="str">
        <f>IF(D454="","",VLOOKUP('従業員情報(給与以外)'!$D454,入力シート!$AW$37:$BB$38,4,0))</f>
        <v/>
      </c>
      <c r="R454" s="236" t="str">
        <f>IF(A454="","",IF(E454="","非役職",VLOOKUP('従業員情報(給与以外)'!$E454,入力シート!$AH$37:$AO$62,5,0)))</f>
        <v/>
      </c>
      <c r="S454" s="116" t="str">
        <f>IF(OR(入力シート!$C$5&lt;&gt;入力リスト!$N$4,COUNTIF(入力シート!$J$16:$S$23,入力リスト!$K$4)=0),"",IF($A454="","",IF(ISERROR(AVERAGEIF(従業員の給与情報!$B:$B,$A454,従業員の給与情報!$C:$C)),0,IF(ISERROR(AVERAGEIF(従業員の給与情報!$B:$B,$A454,従業員の給与情報!$C:$C)),0,AVERAGEIF(従業員の給与情報!$B:$B,$A454,従業員の給与情報!$C:$C)))))</f>
        <v/>
      </c>
      <c r="T454" s="116" t="str">
        <f>IF(OR(入力シート!$C$5&lt;&gt;入力リスト!$N$4,COUNTIF(入力シート!$J$16:$S$23,入力リスト!$K$4)=0),"",IF(A454="","",IF(ISERROR(AVERAGEIF(従業員の給与情報!$B:$B,$A454,従業員の給与情報!$D:$D)),0,IF(ISERROR(AVERAGEIF(従業員の給与情報!$B:$B,$A454,従業員の給与情報!$D:$D)),0,AVERAGEIF(従業員の給与情報!$B:$B,$A454,従業員の給与情報!$D:$D)))))</f>
        <v/>
      </c>
      <c r="U454" s="116" t="str">
        <f>IF(OR(入力シート!$C$5&lt;&gt;入力リスト!$N$4,COUNTIF(入力シート!$J$16:$S$23,入力リスト!$K$4)=0),"",IF(A454="","",IF(ISERROR(AVERAGEIF(従業員の給与情報!$B:$B,$A454,従業員の給与情報!$E:$E)),0,IF(ISERROR(AVERAGEIF(従業員の給与情報!$B:$B,$A454,従業員の給与情報!$E:$E)),0,AVERAGEIF(従業員の給与情報!$B:$B,$A454,従業員の給与情報!$E:$E)))))</f>
        <v/>
      </c>
      <c r="V454" s="117" t="str">
        <f>IF(OR(入力シート!$C$5&lt;&gt;入力リスト!$N$4,COUNTIF(入力シート!$J$16:$S$23,入力リスト!$K$4)=0),"",IF(A454="","",IF(ISERROR(AVERAGEIF(従業員の給与情報!$B:$B,$A454,従業員の給与情報!$F:$F)),0,IF(ISERROR(AVERAGEIF(従業員の給与情報!$B:$B,$A454,従業員の給与情報!$F:$F)),0,AVERAGEIF(従業員の給与情報!$B:$B,$A454,従業員の給与情報!$F:$F)))))</f>
        <v/>
      </c>
      <c r="W454" s="182"/>
      <c r="X454" s="260"/>
    </row>
    <row r="455" spans="1:24">
      <c r="A455" s="368"/>
      <c r="B455" s="361"/>
      <c r="C455" s="362"/>
      <c r="D455" s="361"/>
      <c r="E455" s="361"/>
      <c r="F455" s="372" t="str">
        <f>IF(G455,"この従業員番号は、すでに他のセルで入力されています。",IF(入力シート!$C$5=入力リスト!$N$5,"",IF(AND(A455="",B455="",C455="",D455="",E455=""),"",IF(OR(A455="",B455="",C455="",D455=""),IF(A455="","従業員番号","")&amp;IF(AND(A455="",OR(B455="",C455="",D455="")),",","")&amp;IF(B455="","雇用形態","")&amp;IF(AND(B455="",OR(C455="",D455="")),",","")&amp;IF(OR(入力シート!$J$18=入力リスト!$K$4,入力シート!$J$22=入力リスト!$K$4),IF(C455="","入社年月日",""),"")&amp;IF(AND(C455="",D455=""),",","")&amp;IF(D455="","性別","")&amp;IF(IF(A455="","従業員番号","")&amp;IF(B455="","雇用形態","")&amp;IF(OR(入力シート!$J$18=入力リスト!$K$4,入力シート!$J$22=入力リスト!$K$4),IF(C455="","入社年月日",""),"")&amp;IF(D455="","性別","")="","","が空白です。"),IF(J455,"入社年月日に「基準日」の翌日以降の日付が入力されています。","")&amp;IF(I455,"入社年月日に数値以外（又は1900/1/1以前の日付）が入力されています。","")&amp;IF(H455,"雇用形態"&amp;IF(OR(K455,L455),",",""),"")&amp;IF(K455,"性別"&amp;IF(L455,",",""),"")&amp;IF(L455,"役職","")&amp;IF(OR(H455,K455,L455),"に、［入力シート］(4)「貴社」欄と異なる文言が入力されています。","")))))</f>
        <v/>
      </c>
      <c r="G455" s="236" t="b">
        <f>COUNTIF($A$4:A454,$A455)&gt;0</f>
        <v>0</v>
      </c>
      <c r="H455" s="237" t="b">
        <f>IF(COUNTIF(入力シート!$J$16:$S$23,入力リスト!$K$4)=0,FALSE,IF(入力シート!$J$16=入力リスト!$K$5,FALSE,ISERROR(VLOOKUP(B455,入力シート!$S$37:$V$62,1,0))))</f>
        <v>0</v>
      </c>
      <c r="I455" s="237" t="b">
        <f>IF(AND(OR(入力シート!$J$18=入力リスト!$K$4,入力シート!$J$22=入力リスト!$K$4),入力シート!$J$24&lt;&gt;""),IF(ISERROR(C455+1),TRUE,IF(ISNUMBER(C455),FALSE,TRUE)),FALSE)</f>
        <v>0</v>
      </c>
      <c r="J455" s="237" t="b">
        <f>IF(AND(入力シート!$J$18=入力リスト!$K$4,入力シート!$J$22=入力リスト!$K$4),FALSE,IF(I455=TRUE,FALSE,IF(ISERROR(C455+1),FALSE,C455&gt;入力シート!$J$24)))</f>
        <v>0</v>
      </c>
      <c r="K455" s="237" t="b">
        <f>IF(COUNTIF(入力シート!$J$16:$S$23,入力リスト!$K$4)=0,FALSE,IF(AND(入力シート!$J$16&lt;&gt;入力リスト!$K$5,入力シート!$J$18&lt;&gt;入力リスト!$K$5,入力シート!$J$20&lt;&gt;入力リスト!$K$5,入力シート!$J$22&lt;&gt;入力リスト!$K$5),FALSE,ISERROR(VLOOKUP(D455,入力シート!$AW$37:$AY$38,1,0))))</f>
        <v>0</v>
      </c>
      <c r="L455" s="237" t="b">
        <f>IF(COUNTIF(入力シート!$J$16:$S$23,入力リスト!$K$4)=0,FALSE,IF(入力シート!$J$20=入力リスト!$K$5,FALSE,IF(E455="",FALSE,ISERROR(VLOOKUP(E455,入力シート!$AH$37:$AK$62,1,0)))))</f>
        <v>0</v>
      </c>
      <c r="M455" s="238" t="str">
        <f t="shared" si="7"/>
        <v/>
      </c>
      <c r="N455" s="236" t="str">
        <f>IF(B455="","",VLOOKUP('従業員情報(給与以外)'!$B455,入力シート!$S$37:$Z$62,5,0))</f>
        <v/>
      </c>
      <c r="O455" s="182" t="str">
        <f>IF(ISNUMBER(C455)=FALSE,"",IF(C455&gt;入力シート!$J$24,"",_xlfn.DAYS(入力シート!$J$24,'従業員情報(給与以外)'!$C455)/365))</f>
        <v/>
      </c>
      <c r="P455" s="237" t="str">
        <f>IF(O455="","",VLOOKUP(_xlfn.DAYS(入力シート!$J$24,'従業員情報(給与以外)'!$C455)/365,入力リスト!$H$4:$I$12,2,2))</f>
        <v/>
      </c>
      <c r="Q455" s="236" t="str">
        <f>IF(D455="","",VLOOKUP('従業員情報(給与以外)'!$D455,入力シート!$AW$37:$BB$38,4,0))</f>
        <v/>
      </c>
      <c r="R455" s="236" t="str">
        <f>IF(A455="","",IF(E455="","非役職",VLOOKUP('従業員情報(給与以外)'!$E455,入力シート!$AH$37:$AO$62,5,0)))</f>
        <v/>
      </c>
      <c r="S455" s="116" t="str">
        <f>IF(OR(入力シート!$C$5&lt;&gt;入力リスト!$N$4,COUNTIF(入力シート!$J$16:$S$23,入力リスト!$K$4)=0),"",IF($A455="","",IF(ISERROR(AVERAGEIF(従業員の給与情報!$B:$B,$A455,従業員の給与情報!$C:$C)),0,IF(ISERROR(AVERAGEIF(従業員の給与情報!$B:$B,$A455,従業員の給与情報!$C:$C)),0,AVERAGEIF(従業員の給与情報!$B:$B,$A455,従業員の給与情報!$C:$C)))))</f>
        <v/>
      </c>
      <c r="T455" s="116" t="str">
        <f>IF(OR(入力シート!$C$5&lt;&gt;入力リスト!$N$4,COUNTIF(入力シート!$J$16:$S$23,入力リスト!$K$4)=0),"",IF(A455="","",IF(ISERROR(AVERAGEIF(従業員の給与情報!$B:$B,$A455,従業員の給与情報!$D:$D)),0,IF(ISERROR(AVERAGEIF(従業員の給与情報!$B:$B,$A455,従業員の給与情報!$D:$D)),0,AVERAGEIF(従業員の給与情報!$B:$B,$A455,従業員の給与情報!$D:$D)))))</f>
        <v/>
      </c>
      <c r="U455" s="116" t="str">
        <f>IF(OR(入力シート!$C$5&lt;&gt;入力リスト!$N$4,COUNTIF(入力シート!$J$16:$S$23,入力リスト!$K$4)=0),"",IF(A455="","",IF(ISERROR(AVERAGEIF(従業員の給与情報!$B:$B,$A455,従業員の給与情報!$E:$E)),0,IF(ISERROR(AVERAGEIF(従業員の給与情報!$B:$B,$A455,従業員の給与情報!$E:$E)),0,AVERAGEIF(従業員の給与情報!$B:$B,$A455,従業員の給与情報!$E:$E)))))</f>
        <v/>
      </c>
      <c r="V455" s="117" t="str">
        <f>IF(OR(入力シート!$C$5&lt;&gt;入力リスト!$N$4,COUNTIF(入力シート!$J$16:$S$23,入力リスト!$K$4)=0),"",IF(A455="","",IF(ISERROR(AVERAGEIF(従業員の給与情報!$B:$B,$A455,従業員の給与情報!$F:$F)),0,IF(ISERROR(AVERAGEIF(従業員の給与情報!$B:$B,$A455,従業員の給与情報!$F:$F)),0,AVERAGEIF(従業員の給与情報!$B:$B,$A455,従業員の給与情報!$F:$F)))))</f>
        <v/>
      </c>
      <c r="W455" s="182"/>
      <c r="X455" s="260"/>
    </row>
    <row r="456" spans="1:24">
      <c r="A456" s="368"/>
      <c r="B456" s="361"/>
      <c r="C456" s="362"/>
      <c r="D456" s="361"/>
      <c r="E456" s="361"/>
      <c r="F456" s="372" t="str">
        <f>IF(G456,"この従業員番号は、すでに他のセルで入力されています。",IF(入力シート!$C$5=入力リスト!$N$5,"",IF(AND(A456="",B456="",C456="",D456="",E456=""),"",IF(OR(A456="",B456="",C456="",D456=""),IF(A456="","従業員番号","")&amp;IF(AND(A456="",OR(B456="",C456="",D456="")),",","")&amp;IF(B456="","雇用形態","")&amp;IF(AND(B456="",OR(C456="",D456="")),",","")&amp;IF(OR(入力シート!$J$18=入力リスト!$K$4,入力シート!$J$22=入力リスト!$K$4),IF(C456="","入社年月日",""),"")&amp;IF(AND(C456="",D456=""),",","")&amp;IF(D456="","性別","")&amp;IF(IF(A456="","従業員番号","")&amp;IF(B456="","雇用形態","")&amp;IF(OR(入力シート!$J$18=入力リスト!$K$4,入力シート!$J$22=入力リスト!$K$4),IF(C456="","入社年月日",""),"")&amp;IF(D456="","性別","")="","","が空白です。"),IF(J456,"入社年月日に「基準日」の翌日以降の日付が入力されています。","")&amp;IF(I456,"入社年月日に数値以外（又は1900/1/1以前の日付）が入力されています。","")&amp;IF(H456,"雇用形態"&amp;IF(OR(K456,L456),",",""),"")&amp;IF(K456,"性別"&amp;IF(L456,",",""),"")&amp;IF(L456,"役職","")&amp;IF(OR(H456,K456,L456),"に、［入力シート］(4)「貴社」欄と異なる文言が入力されています。","")))))</f>
        <v/>
      </c>
      <c r="G456" s="236" t="b">
        <f>COUNTIF($A$4:A455,$A456)&gt;0</f>
        <v>0</v>
      </c>
      <c r="H456" s="237" t="b">
        <f>IF(COUNTIF(入力シート!$J$16:$S$23,入力リスト!$K$4)=0,FALSE,IF(入力シート!$J$16=入力リスト!$K$5,FALSE,ISERROR(VLOOKUP(B456,入力シート!$S$37:$V$62,1,0))))</f>
        <v>0</v>
      </c>
      <c r="I456" s="237" t="b">
        <f>IF(AND(OR(入力シート!$J$18=入力リスト!$K$4,入力シート!$J$22=入力リスト!$K$4),入力シート!$J$24&lt;&gt;""),IF(ISERROR(C456+1),TRUE,IF(ISNUMBER(C456),FALSE,TRUE)),FALSE)</f>
        <v>0</v>
      </c>
      <c r="J456" s="237" t="b">
        <f>IF(AND(入力シート!$J$18=入力リスト!$K$4,入力シート!$J$22=入力リスト!$K$4),FALSE,IF(I456=TRUE,FALSE,IF(ISERROR(C456+1),FALSE,C456&gt;入力シート!$J$24)))</f>
        <v>0</v>
      </c>
      <c r="K456" s="237" t="b">
        <f>IF(COUNTIF(入力シート!$J$16:$S$23,入力リスト!$K$4)=0,FALSE,IF(AND(入力シート!$J$16&lt;&gt;入力リスト!$K$5,入力シート!$J$18&lt;&gt;入力リスト!$K$5,入力シート!$J$20&lt;&gt;入力リスト!$K$5,入力シート!$J$22&lt;&gt;入力リスト!$K$5),FALSE,ISERROR(VLOOKUP(D456,入力シート!$AW$37:$AY$38,1,0))))</f>
        <v>0</v>
      </c>
      <c r="L456" s="237" t="b">
        <f>IF(COUNTIF(入力シート!$J$16:$S$23,入力リスト!$K$4)=0,FALSE,IF(入力シート!$J$20=入力リスト!$K$5,FALSE,IF(E456="",FALSE,ISERROR(VLOOKUP(E456,入力シート!$AH$37:$AK$62,1,0)))))</f>
        <v>0</v>
      </c>
      <c r="M456" s="238" t="str">
        <f t="shared" si="7"/>
        <v/>
      </c>
      <c r="N456" s="236" t="str">
        <f>IF(B456="","",VLOOKUP('従業員情報(給与以外)'!$B456,入力シート!$S$37:$Z$62,5,0))</f>
        <v/>
      </c>
      <c r="O456" s="182" t="str">
        <f>IF(ISNUMBER(C456)=FALSE,"",IF(C456&gt;入力シート!$J$24,"",_xlfn.DAYS(入力シート!$J$24,'従業員情報(給与以外)'!$C456)/365))</f>
        <v/>
      </c>
      <c r="P456" s="237" t="str">
        <f>IF(O456="","",VLOOKUP(_xlfn.DAYS(入力シート!$J$24,'従業員情報(給与以外)'!$C456)/365,入力リスト!$H$4:$I$12,2,2))</f>
        <v/>
      </c>
      <c r="Q456" s="236" t="str">
        <f>IF(D456="","",VLOOKUP('従業員情報(給与以外)'!$D456,入力シート!$AW$37:$BB$38,4,0))</f>
        <v/>
      </c>
      <c r="R456" s="236" t="str">
        <f>IF(A456="","",IF(E456="","非役職",VLOOKUP('従業員情報(給与以外)'!$E456,入力シート!$AH$37:$AO$62,5,0)))</f>
        <v/>
      </c>
      <c r="S456" s="116" t="str">
        <f>IF(OR(入力シート!$C$5&lt;&gt;入力リスト!$N$4,COUNTIF(入力シート!$J$16:$S$23,入力リスト!$K$4)=0),"",IF($A456="","",IF(ISERROR(AVERAGEIF(従業員の給与情報!$B:$B,$A456,従業員の給与情報!$C:$C)),0,IF(ISERROR(AVERAGEIF(従業員の給与情報!$B:$B,$A456,従業員の給与情報!$C:$C)),0,AVERAGEIF(従業員の給与情報!$B:$B,$A456,従業員の給与情報!$C:$C)))))</f>
        <v/>
      </c>
      <c r="T456" s="116" t="str">
        <f>IF(OR(入力シート!$C$5&lt;&gt;入力リスト!$N$4,COUNTIF(入力シート!$J$16:$S$23,入力リスト!$K$4)=0),"",IF(A456="","",IF(ISERROR(AVERAGEIF(従業員の給与情報!$B:$B,$A456,従業員の給与情報!$D:$D)),0,IF(ISERROR(AVERAGEIF(従業員の給与情報!$B:$B,$A456,従業員の給与情報!$D:$D)),0,AVERAGEIF(従業員の給与情報!$B:$B,$A456,従業員の給与情報!$D:$D)))))</f>
        <v/>
      </c>
      <c r="U456" s="116" t="str">
        <f>IF(OR(入力シート!$C$5&lt;&gt;入力リスト!$N$4,COUNTIF(入力シート!$J$16:$S$23,入力リスト!$K$4)=0),"",IF(A456="","",IF(ISERROR(AVERAGEIF(従業員の給与情報!$B:$B,$A456,従業員の給与情報!$E:$E)),0,IF(ISERROR(AVERAGEIF(従業員の給与情報!$B:$B,$A456,従業員の給与情報!$E:$E)),0,AVERAGEIF(従業員の給与情報!$B:$B,$A456,従業員の給与情報!$E:$E)))))</f>
        <v/>
      </c>
      <c r="V456" s="117" t="str">
        <f>IF(OR(入力シート!$C$5&lt;&gt;入力リスト!$N$4,COUNTIF(入力シート!$J$16:$S$23,入力リスト!$K$4)=0),"",IF(A456="","",IF(ISERROR(AVERAGEIF(従業員の給与情報!$B:$B,$A456,従業員の給与情報!$F:$F)),0,IF(ISERROR(AVERAGEIF(従業員の給与情報!$B:$B,$A456,従業員の給与情報!$F:$F)),0,AVERAGEIF(従業員の給与情報!$B:$B,$A456,従業員の給与情報!$F:$F)))))</f>
        <v/>
      </c>
      <c r="W456" s="182"/>
      <c r="X456" s="260"/>
    </row>
    <row r="457" spans="1:24">
      <c r="A457" s="368"/>
      <c r="B457" s="361"/>
      <c r="C457" s="362"/>
      <c r="D457" s="361"/>
      <c r="E457" s="361"/>
      <c r="F457" s="372" t="str">
        <f>IF(G457,"この従業員番号は、すでに他のセルで入力されています。",IF(入力シート!$C$5=入力リスト!$N$5,"",IF(AND(A457="",B457="",C457="",D457="",E457=""),"",IF(OR(A457="",B457="",C457="",D457=""),IF(A457="","従業員番号","")&amp;IF(AND(A457="",OR(B457="",C457="",D457="")),",","")&amp;IF(B457="","雇用形態","")&amp;IF(AND(B457="",OR(C457="",D457="")),",","")&amp;IF(OR(入力シート!$J$18=入力リスト!$K$4,入力シート!$J$22=入力リスト!$K$4),IF(C457="","入社年月日",""),"")&amp;IF(AND(C457="",D457=""),",","")&amp;IF(D457="","性別","")&amp;IF(IF(A457="","従業員番号","")&amp;IF(B457="","雇用形態","")&amp;IF(OR(入力シート!$J$18=入力リスト!$K$4,入力シート!$J$22=入力リスト!$K$4),IF(C457="","入社年月日",""),"")&amp;IF(D457="","性別","")="","","が空白です。"),IF(J457,"入社年月日に「基準日」の翌日以降の日付が入力されています。","")&amp;IF(I457,"入社年月日に数値以外（又は1900/1/1以前の日付）が入力されています。","")&amp;IF(H457,"雇用形態"&amp;IF(OR(K457,L457),",",""),"")&amp;IF(K457,"性別"&amp;IF(L457,",",""),"")&amp;IF(L457,"役職","")&amp;IF(OR(H457,K457,L457),"に、［入力シート］(4)「貴社」欄と異なる文言が入力されています。","")))))</f>
        <v/>
      </c>
      <c r="G457" s="236" t="b">
        <f>COUNTIF($A$4:A456,$A457)&gt;0</f>
        <v>0</v>
      </c>
      <c r="H457" s="237" t="b">
        <f>IF(COUNTIF(入力シート!$J$16:$S$23,入力リスト!$K$4)=0,FALSE,IF(入力シート!$J$16=入力リスト!$K$5,FALSE,ISERROR(VLOOKUP(B457,入力シート!$S$37:$V$62,1,0))))</f>
        <v>0</v>
      </c>
      <c r="I457" s="237" t="b">
        <f>IF(AND(OR(入力シート!$J$18=入力リスト!$K$4,入力シート!$J$22=入力リスト!$K$4),入力シート!$J$24&lt;&gt;""),IF(ISERROR(C457+1),TRUE,IF(ISNUMBER(C457),FALSE,TRUE)),FALSE)</f>
        <v>0</v>
      </c>
      <c r="J457" s="237" t="b">
        <f>IF(AND(入力シート!$J$18=入力リスト!$K$4,入力シート!$J$22=入力リスト!$K$4),FALSE,IF(I457=TRUE,FALSE,IF(ISERROR(C457+1),FALSE,C457&gt;入力シート!$J$24)))</f>
        <v>0</v>
      </c>
      <c r="K457" s="237" t="b">
        <f>IF(COUNTIF(入力シート!$J$16:$S$23,入力リスト!$K$4)=0,FALSE,IF(AND(入力シート!$J$16&lt;&gt;入力リスト!$K$5,入力シート!$J$18&lt;&gt;入力リスト!$K$5,入力シート!$J$20&lt;&gt;入力リスト!$K$5,入力シート!$J$22&lt;&gt;入力リスト!$K$5),FALSE,ISERROR(VLOOKUP(D457,入力シート!$AW$37:$AY$38,1,0))))</f>
        <v>0</v>
      </c>
      <c r="L457" s="237" t="b">
        <f>IF(COUNTIF(入力シート!$J$16:$S$23,入力リスト!$K$4)=0,FALSE,IF(入力シート!$J$20=入力リスト!$K$5,FALSE,IF(E457="",FALSE,ISERROR(VLOOKUP(E457,入力シート!$AH$37:$AK$62,1,0)))))</f>
        <v>0</v>
      </c>
      <c r="M457" s="238" t="str">
        <f t="shared" si="7"/>
        <v/>
      </c>
      <c r="N457" s="236" t="str">
        <f>IF(B457="","",VLOOKUP('従業員情報(給与以外)'!$B457,入力シート!$S$37:$Z$62,5,0))</f>
        <v/>
      </c>
      <c r="O457" s="182" t="str">
        <f>IF(ISNUMBER(C457)=FALSE,"",IF(C457&gt;入力シート!$J$24,"",_xlfn.DAYS(入力シート!$J$24,'従業員情報(給与以外)'!$C457)/365))</f>
        <v/>
      </c>
      <c r="P457" s="237" t="str">
        <f>IF(O457="","",VLOOKUP(_xlfn.DAYS(入力シート!$J$24,'従業員情報(給与以外)'!$C457)/365,入力リスト!$H$4:$I$12,2,2))</f>
        <v/>
      </c>
      <c r="Q457" s="236" t="str">
        <f>IF(D457="","",VLOOKUP('従業員情報(給与以外)'!$D457,入力シート!$AW$37:$BB$38,4,0))</f>
        <v/>
      </c>
      <c r="R457" s="236" t="str">
        <f>IF(A457="","",IF(E457="","非役職",VLOOKUP('従業員情報(給与以外)'!$E457,入力シート!$AH$37:$AO$62,5,0)))</f>
        <v/>
      </c>
      <c r="S457" s="116" t="str">
        <f>IF(OR(入力シート!$C$5&lt;&gt;入力リスト!$N$4,COUNTIF(入力シート!$J$16:$S$23,入力リスト!$K$4)=0),"",IF($A457="","",IF(ISERROR(AVERAGEIF(従業員の給与情報!$B:$B,$A457,従業員の給与情報!$C:$C)),0,IF(ISERROR(AVERAGEIF(従業員の給与情報!$B:$B,$A457,従業員の給与情報!$C:$C)),0,AVERAGEIF(従業員の給与情報!$B:$B,$A457,従業員の給与情報!$C:$C)))))</f>
        <v/>
      </c>
      <c r="T457" s="116" t="str">
        <f>IF(OR(入力シート!$C$5&lt;&gt;入力リスト!$N$4,COUNTIF(入力シート!$J$16:$S$23,入力リスト!$K$4)=0),"",IF(A457="","",IF(ISERROR(AVERAGEIF(従業員の給与情報!$B:$B,$A457,従業員の給与情報!$D:$D)),0,IF(ISERROR(AVERAGEIF(従業員の給与情報!$B:$B,$A457,従業員の給与情報!$D:$D)),0,AVERAGEIF(従業員の給与情報!$B:$B,$A457,従業員の給与情報!$D:$D)))))</f>
        <v/>
      </c>
      <c r="U457" s="116" t="str">
        <f>IF(OR(入力シート!$C$5&lt;&gt;入力リスト!$N$4,COUNTIF(入力シート!$J$16:$S$23,入力リスト!$K$4)=0),"",IF(A457="","",IF(ISERROR(AVERAGEIF(従業員の給与情報!$B:$B,$A457,従業員の給与情報!$E:$E)),0,IF(ISERROR(AVERAGEIF(従業員の給与情報!$B:$B,$A457,従業員の給与情報!$E:$E)),0,AVERAGEIF(従業員の給与情報!$B:$B,$A457,従業員の給与情報!$E:$E)))))</f>
        <v/>
      </c>
      <c r="V457" s="117" t="str">
        <f>IF(OR(入力シート!$C$5&lt;&gt;入力リスト!$N$4,COUNTIF(入力シート!$J$16:$S$23,入力リスト!$K$4)=0),"",IF(A457="","",IF(ISERROR(AVERAGEIF(従業員の給与情報!$B:$B,$A457,従業員の給与情報!$F:$F)),0,IF(ISERROR(AVERAGEIF(従業員の給与情報!$B:$B,$A457,従業員の給与情報!$F:$F)),0,AVERAGEIF(従業員の給与情報!$B:$B,$A457,従業員の給与情報!$F:$F)))))</f>
        <v/>
      </c>
      <c r="W457" s="182"/>
      <c r="X457" s="260"/>
    </row>
    <row r="458" spans="1:24">
      <c r="A458" s="368"/>
      <c r="B458" s="361"/>
      <c r="C458" s="362"/>
      <c r="D458" s="361"/>
      <c r="E458" s="361"/>
      <c r="F458" s="372" t="str">
        <f>IF(G458,"この従業員番号は、すでに他のセルで入力されています。",IF(入力シート!$C$5=入力リスト!$N$5,"",IF(AND(A458="",B458="",C458="",D458="",E458=""),"",IF(OR(A458="",B458="",C458="",D458=""),IF(A458="","従業員番号","")&amp;IF(AND(A458="",OR(B458="",C458="",D458="")),",","")&amp;IF(B458="","雇用形態","")&amp;IF(AND(B458="",OR(C458="",D458="")),",","")&amp;IF(OR(入力シート!$J$18=入力リスト!$K$4,入力シート!$J$22=入力リスト!$K$4),IF(C458="","入社年月日",""),"")&amp;IF(AND(C458="",D458=""),",","")&amp;IF(D458="","性別","")&amp;IF(IF(A458="","従業員番号","")&amp;IF(B458="","雇用形態","")&amp;IF(OR(入力シート!$J$18=入力リスト!$K$4,入力シート!$J$22=入力リスト!$K$4),IF(C458="","入社年月日",""),"")&amp;IF(D458="","性別","")="","","が空白です。"),IF(J458,"入社年月日に「基準日」の翌日以降の日付が入力されています。","")&amp;IF(I458,"入社年月日に数値以外（又は1900/1/1以前の日付）が入力されています。","")&amp;IF(H458,"雇用形態"&amp;IF(OR(K458,L458),",",""),"")&amp;IF(K458,"性別"&amp;IF(L458,",",""),"")&amp;IF(L458,"役職","")&amp;IF(OR(H458,K458,L458),"に、［入力シート］(4)「貴社」欄と異なる文言が入力されています。","")))))</f>
        <v/>
      </c>
      <c r="G458" s="236" t="b">
        <f>COUNTIF($A$4:A457,$A458)&gt;0</f>
        <v>0</v>
      </c>
      <c r="H458" s="237" t="b">
        <f>IF(COUNTIF(入力シート!$J$16:$S$23,入力リスト!$K$4)=0,FALSE,IF(入力シート!$J$16=入力リスト!$K$5,FALSE,ISERROR(VLOOKUP(B458,入力シート!$S$37:$V$62,1,0))))</f>
        <v>0</v>
      </c>
      <c r="I458" s="237" t="b">
        <f>IF(AND(OR(入力シート!$J$18=入力リスト!$K$4,入力シート!$J$22=入力リスト!$K$4),入力シート!$J$24&lt;&gt;""),IF(ISERROR(C458+1),TRUE,IF(ISNUMBER(C458),FALSE,TRUE)),FALSE)</f>
        <v>0</v>
      </c>
      <c r="J458" s="237" t="b">
        <f>IF(AND(入力シート!$J$18=入力リスト!$K$4,入力シート!$J$22=入力リスト!$K$4),FALSE,IF(I458=TRUE,FALSE,IF(ISERROR(C458+1),FALSE,C458&gt;入力シート!$J$24)))</f>
        <v>0</v>
      </c>
      <c r="K458" s="237" t="b">
        <f>IF(COUNTIF(入力シート!$J$16:$S$23,入力リスト!$K$4)=0,FALSE,IF(AND(入力シート!$J$16&lt;&gt;入力リスト!$K$5,入力シート!$J$18&lt;&gt;入力リスト!$K$5,入力シート!$J$20&lt;&gt;入力リスト!$K$5,入力シート!$J$22&lt;&gt;入力リスト!$K$5),FALSE,ISERROR(VLOOKUP(D458,入力シート!$AW$37:$AY$38,1,0))))</f>
        <v>0</v>
      </c>
      <c r="L458" s="237" t="b">
        <f>IF(COUNTIF(入力シート!$J$16:$S$23,入力リスト!$K$4)=0,FALSE,IF(入力シート!$J$20=入力リスト!$K$5,FALSE,IF(E458="",FALSE,ISERROR(VLOOKUP(E458,入力シート!$AH$37:$AK$62,1,0)))))</f>
        <v>0</v>
      </c>
      <c r="M458" s="238" t="str">
        <f t="shared" si="7"/>
        <v/>
      </c>
      <c r="N458" s="236" t="str">
        <f>IF(B458="","",VLOOKUP('従業員情報(給与以外)'!$B458,入力シート!$S$37:$Z$62,5,0))</f>
        <v/>
      </c>
      <c r="O458" s="182" t="str">
        <f>IF(ISNUMBER(C458)=FALSE,"",IF(C458&gt;入力シート!$J$24,"",_xlfn.DAYS(入力シート!$J$24,'従業員情報(給与以外)'!$C458)/365))</f>
        <v/>
      </c>
      <c r="P458" s="237" t="str">
        <f>IF(O458="","",VLOOKUP(_xlfn.DAYS(入力シート!$J$24,'従業員情報(給与以外)'!$C458)/365,入力リスト!$H$4:$I$12,2,2))</f>
        <v/>
      </c>
      <c r="Q458" s="236" t="str">
        <f>IF(D458="","",VLOOKUP('従業員情報(給与以外)'!$D458,入力シート!$AW$37:$BB$38,4,0))</f>
        <v/>
      </c>
      <c r="R458" s="236" t="str">
        <f>IF(A458="","",IF(E458="","非役職",VLOOKUP('従業員情報(給与以外)'!$E458,入力シート!$AH$37:$AO$62,5,0)))</f>
        <v/>
      </c>
      <c r="S458" s="116" t="str">
        <f>IF(OR(入力シート!$C$5&lt;&gt;入力リスト!$N$4,COUNTIF(入力シート!$J$16:$S$23,入力リスト!$K$4)=0),"",IF($A458="","",IF(ISERROR(AVERAGEIF(従業員の給与情報!$B:$B,$A458,従業員の給与情報!$C:$C)),0,IF(ISERROR(AVERAGEIF(従業員の給与情報!$B:$B,$A458,従業員の給与情報!$C:$C)),0,AVERAGEIF(従業員の給与情報!$B:$B,$A458,従業員の給与情報!$C:$C)))))</f>
        <v/>
      </c>
      <c r="T458" s="116" t="str">
        <f>IF(OR(入力シート!$C$5&lt;&gt;入力リスト!$N$4,COUNTIF(入力シート!$J$16:$S$23,入力リスト!$K$4)=0),"",IF(A458="","",IF(ISERROR(AVERAGEIF(従業員の給与情報!$B:$B,$A458,従業員の給与情報!$D:$D)),0,IF(ISERROR(AVERAGEIF(従業員の給与情報!$B:$B,$A458,従業員の給与情報!$D:$D)),0,AVERAGEIF(従業員の給与情報!$B:$B,$A458,従業員の給与情報!$D:$D)))))</f>
        <v/>
      </c>
      <c r="U458" s="116" t="str">
        <f>IF(OR(入力シート!$C$5&lt;&gt;入力リスト!$N$4,COUNTIF(入力シート!$J$16:$S$23,入力リスト!$K$4)=0),"",IF(A458="","",IF(ISERROR(AVERAGEIF(従業員の給与情報!$B:$B,$A458,従業員の給与情報!$E:$E)),0,IF(ISERROR(AVERAGEIF(従業員の給与情報!$B:$B,$A458,従業員の給与情報!$E:$E)),0,AVERAGEIF(従業員の給与情報!$B:$B,$A458,従業員の給与情報!$E:$E)))))</f>
        <v/>
      </c>
      <c r="V458" s="117" t="str">
        <f>IF(OR(入力シート!$C$5&lt;&gt;入力リスト!$N$4,COUNTIF(入力シート!$J$16:$S$23,入力リスト!$K$4)=0),"",IF(A458="","",IF(ISERROR(AVERAGEIF(従業員の給与情報!$B:$B,$A458,従業員の給与情報!$F:$F)),0,IF(ISERROR(AVERAGEIF(従業員の給与情報!$B:$B,$A458,従業員の給与情報!$F:$F)),0,AVERAGEIF(従業員の給与情報!$B:$B,$A458,従業員の給与情報!$F:$F)))))</f>
        <v/>
      </c>
      <c r="W458" s="182"/>
      <c r="X458" s="260"/>
    </row>
    <row r="459" spans="1:24">
      <c r="A459" s="368"/>
      <c r="B459" s="361"/>
      <c r="C459" s="362"/>
      <c r="D459" s="361"/>
      <c r="E459" s="361"/>
      <c r="F459" s="372" t="str">
        <f>IF(G459,"この従業員番号は、すでに他のセルで入力されています。",IF(入力シート!$C$5=入力リスト!$N$5,"",IF(AND(A459="",B459="",C459="",D459="",E459=""),"",IF(OR(A459="",B459="",C459="",D459=""),IF(A459="","従業員番号","")&amp;IF(AND(A459="",OR(B459="",C459="",D459="")),",","")&amp;IF(B459="","雇用形態","")&amp;IF(AND(B459="",OR(C459="",D459="")),",","")&amp;IF(OR(入力シート!$J$18=入力リスト!$K$4,入力シート!$J$22=入力リスト!$K$4),IF(C459="","入社年月日",""),"")&amp;IF(AND(C459="",D459=""),",","")&amp;IF(D459="","性別","")&amp;IF(IF(A459="","従業員番号","")&amp;IF(B459="","雇用形態","")&amp;IF(OR(入力シート!$J$18=入力リスト!$K$4,入力シート!$J$22=入力リスト!$K$4),IF(C459="","入社年月日",""),"")&amp;IF(D459="","性別","")="","","が空白です。"),IF(J459,"入社年月日に「基準日」の翌日以降の日付が入力されています。","")&amp;IF(I459,"入社年月日に数値以外（又は1900/1/1以前の日付）が入力されています。","")&amp;IF(H459,"雇用形態"&amp;IF(OR(K459,L459),",",""),"")&amp;IF(K459,"性別"&amp;IF(L459,",",""),"")&amp;IF(L459,"役職","")&amp;IF(OR(H459,K459,L459),"に、［入力シート］(4)「貴社」欄と異なる文言が入力されています。","")))))</f>
        <v/>
      </c>
      <c r="G459" s="236" t="b">
        <f>COUNTIF($A$4:A458,$A459)&gt;0</f>
        <v>0</v>
      </c>
      <c r="H459" s="237" t="b">
        <f>IF(COUNTIF(入力シート!$J$16:$S$23,入力リスト!$K$4)=0,FALSE,IF(入力シート!$J$16=入力リスト!$K$5,FALSE,ISERROR(VLOOKUP(B459,入力シート!$S$37:$V$62,1,0))))</f>
        <v>0</v>
      </c>
      <c r="I459" s="237" t="b">
        <f>IF(AND(OR(入力シート!$J$18=入力リスト!$K$4,入力シート!$J$22=入力リスト!$K$4),入力シート!$J$24&lt;&gt;""),IF(ISERROR(C459+1),TRUE,IF(ISNUMBER(C459),FALSE,TRUE)),FALSE)</f>
        <v>0</v>
      </c>
      <c r="J459" s="237" t="b">
        <f>IF(AND(入力シート!$J$18=入力リスト!$K$4,入力シート!$J$22=入力リスト!$K$4),FALSE,IF(I459=TRUE,FALSE,IF(ISERROR(C459+1),FALSE,C459&gt;入力シート!$J$24)))</f>
        <v>0</v>
      </c>
      <c r="K459" s="237" t="b">
        <f>IF(COUNTIF(入力シート!$J$16:$S$23,入力リスト!$K$4)=0,FALSE,IF(AND(入力シート!$J$16&lt;&gt;入力リスト!$K$5,入力シート!$J$18&lt;&gt;入力リスト!$K$5,入力シート!$J$20&lt;&gt;入力リスト!$K$5,入力シート!$J$22&lt;&gt;入力リスト!$K$5),FALSE,ISERROR(VLOOKUP(D459,入力シート!$AW$37:$AY$38,1,0))))</f>
        <v>0</v>
      </c>
      <c r="L459" s="237" t="b">
        <f>IF(COUNTIF(入力シート!$J$16:$S$23,入力リスト!$K$4)=0,FALSE,IF(入力シート!$J$20=入力リスト!$K$5,FALSE,IF(E459="",FALSE,ISERROR(VLOOKUP(E459,入力シート!$AH$37:$AK$62,1,0)))))</f>
        <v>0</v>
      </c>
      <c r="M459" s="238" t="str">
        <f t="shared" si="7"/>
        <v/>
      </c>
      <c r="N459" s="236" t="str">
        <f>IF(B459="","",VLOOKUP('従業員情報(給与以外)'!$B459,入力シート!$S$37:$Z$62,5,0))</f>
        <v/>
      </c>
      <c r="O459" s="182" t="str">
        <f>IF(ISNUMBER(C459)=FALSE,"",IF(C459&gt;入力シート!$J$24,"",_xlfn.DAYS(入力シート!$J$24,'従業員情報(給与以外)'!$C459)/365))</f>
        <v/>
      </c>
      <c r="P459" s="237" t="str">
        <f>IF(O459="","",VLOOKUP(_xlfn.DAYS(入力シート!$J$24,'従業員情報(給与以外)'!$C459)/365,入力リスト!$H$4:$I$12,2,2))</f>
        <v/>
      </c>
      <c r="Q459" s="236" t="str">
        <f>IF(D459="","",VLOOKUP('従業員情報(給与以外)'!$D459,入力シート!$AW$37:$BB$38,4,0))</f>
        <v/>
      </c>
      <c r="R459" s="236" t="str">
        <f>IF(A459="","",IF(E459="","非役職",VLOOKUP('従業員情報(給与以外)'!$E459,入力シート!$AH$37:$AO$62,5,0)))</f>
        <v/>
      </c>
      <c r="S459" s="116" t="str">
        <f>IF(OR(入力シート!$C$5&lt;&gt;入力リスト!$N$4,COUNTIF(入力シート!$J$16:$S$23,入力リスト!$K$4)=0),"",IF($A459="","",IF(ISERROR(AVERAGEIF(従業員の給与情報!$B:$B,$A459,従業員の給与情報!$C:$C)),0,IF(ISERROR(AVERAGEIF(従業員の給与情報!$B:$B,$A459,従業員の給与情報!$C:$C)),0,AVERAGEIF(従業員の給与情報!$B:$B,$A459,従業員の給与情報!$C:$C)))))</f>
        <v/>
      </c>
      <c r="T459" s="116" t="str">
        <f>IF(OR(入力シート!$C$5&lt;&gt;入力リスト!$N$4,COUNTIF(入力シート!$J$16:$S$23,入力リスト!$K$4)=0),"",IF(A459="","",IF(ISERROR(AVERAGEIF(従業員の給与情報!$B:$B,$A459,従業員の給与情報!$D:$D)),0,IF(ISERROR(AVERAGEIF(従業員の給与情報!$B:$B,$A459,従業員の給与情報!$D:$D)),0,AVERAGEIF(従業員の給与情報!$B:$B,$A459,従業員の給与情報!$D:$D)))))</f>
        <v/>
      </c>
      <c r="U459" s="116" t="str">
        <f>IF(OR(入力シート!$C$5&lt;&gt;入力リスト!$N$4,COUNTIF(入力シート!$J$16:$S$23,入力リスト!$K$4)=0),"",IF(A459="","",IF(ISERROR(AVERAGEIF(従業員の給与情報!$B:$B,$A459,従業員の給与情報!$E:$E)),0,IF(ISERROR(AVERAGEIF(従業員の給与情報!$B:$B,$A459,従業員の給与情報!$E:$E)),0,AVERAGEIF(従業員の給与情報!$B:$B,$A459,従業員の給与情報!$E:$E)))))</f>
        <v/>
      </c>
      <c r="V459" s="117" t="str">
        <f>IF(OR(入力シート!$C$5&lt;&gt;入力リスト!$N$4,COUNTIF(入力シート!$J$16:$S$23,入力リスト!$K$4)=0),"",IF(A459="","",IF(ISERROR(AVERAGEIF(従業員の給与情報!$B:$B,$A459,従業員の給与情報!$F:$F)),0,IF(ISERROR(AVERAGEIF(従業員の給与情報!$B:$B,$A459,従業員の給与情報!$F:$F)),0,AVERAGEIF(従業員の給与情報!$B:$B,$A459,従業員の給与情報!$F:$F)))))</f>
        <v/>
      </c>
      <c r="W459" s="182"/>
      <c r="X459" s="260"/>
    </row>
    <row r="460" spans="1:24">
      <c r="A460" s="368"/>
      <c r="B460" s="361"/>
      <c r="C460" s="362"/>
      <c r="D460" s="361"/>
      <c r="E460" s="361"/>
      <c r="F460" s="372" t="str">
        <f>IF(G460,"この従業員番号は、すでに他のセルで入力されています。",IF(入力シート!$C$5=入力リスト!$N$5,"",IF(AND(A460="",B460="",C460="",D460="",E460=""),"",IF(OR(A460="",B460="",C460="",D460=""),IF(A460="","従業員番号","")&amp;IF(AND(A460="",OR(B460="",C460="",D460="")),",","")&amp;IF(B460="","雇用形態","")&amp;IF(AND(B460="",OR(C460="",D460="")),",","")&amp;IF(OR(入力シート!$J$18=入力リスト!$K$4,入力シート!$J$22=入力リスト!$K$4),IF(C460="","入社年月日",""),"")&amp;IF(AND(C460="",D460=""),",","")&amp;IF(D460="","性別","")&amp;IF(IF(A460="","従業員番号","")&amp;IF(B460="","雇用形態","")&amp;IF(OR(入力シート!$J$18=入力リスト!$K$4,入力シート!$J$22=入力リスト!$K$4),IF(C460="","入社年月日",""),"")&amp;IF(D460="","性別","")="","","が空白です。"),IF(J460,"入社年月日に「基準日」の翌日以降の日付が入力されています。","")&amp;IF(I460,"入社年月日に数値以外（又は1900/1/1以前の日付）が入力されています。","")&amp;IF(H460,"雇用形態"&amp;IF(OR(K460,L460),",",""),"")&amp;IF(K460,"性別"&amp;IF(L460,",",""),"")&amp;IF(L460,"役職","")&amp;IF(OR(H460,K460,L460),"に、［入力シート］(4)「貴社」欄と異なる文言が入力されています。","")))))</f>
        <v/>
      </c>
      <c r="G460" s="236" t="b">
        <f>COUNTIF($A$4:A459,$A460)&gt;0</f>
        <v>0</v>
      </c>
      <c r="H460" s="237" t="b">
        <f>IF(COUNTIF(入力シート!$J$16:$S$23,入力リスト!$K$4)=0,FALSE,IF(入力シート!$J$16=入力リスト!$K$5,FALSE,ISERROR(VLOOKUP(B460,入力シート!$S$37:$V$62,1,0))))</f>
        <v>0</v>
      </c>
      <c r="I460" s="237" t="b">
        <f>IF(AND(OR(入力シート!$J$18=入力リスト!$K$4,入力シート!$J$22=入力リスト!$K$4),入力シート!$J$24&lt;&gt;""),IF(ISERROR(C460+1),TRUE,IF(ISNUMBER(C460),FALSE,TRUE)),FALSE)</f>
        <v>0</v>
      </c>
      <c r="J460" s="237" t="b">
        <f>IF(AND(入力シート!$J$18=入力リスト!$K$4,入力シート!$J$22=入力リスト!$K$4),FALSE,IF(I460=TRUE,FALSE,IF(ISERROR(C460+1),FALSE,C460&gt;入力シート!$J$24)))</f>
        <v>0</v>
      </c>
      <c r="K460" s="237" t="b">
        <f>IF(COUNTIF(入力シート!$J$16:$S$23,入力リスト!$K$4)=0,FALSE,IF(AND(入力シート!$J$16&lt;&gt;入力リスト!$K$5,入力シート!$J$18&lt;&gt;入力リスト!$K$5,入力シート!$J$20&lt;&gt;入力リスト!$K$5,入力シート!$J$22&lt;&gt;入力リスト!$K$5),FALSE,ISERROR(VLOOKUP(D460,入力シート!$AW$37:$AY$38,1,0))))</f>
        <v>0</v>
      </c>
      <c r="L460" s="237" t="b">
        <f>IF(COUNTIF(入力シート!$J$16:$S$23,入力リスト!$K$4)=0,FALSE,IF(入力シート!$J$20=入力リスト!$K$5,FALSE,IF(E460="",FALSE,ISERROR(VLOOKUP(E460,入力シート!$AH$37:$AK$62,1,0)))))</f>
        <v>0</v>
      </c>
      <c r="M460" s="238" t="str">
        <f t="shared" si="7"/>
        <v/>
      </c>
      <c r="N460" s="236" t="str">
        <f>IF(B460="","",VLOOKUP('従業員情報(給与以外)'!$B460,入力シート!$S$37:$Z$62,5,0))</f>
        <v/>
      </c>
      <c r="O460" s="182" t="str">
        <f>IF(ISNUMBER(C460)=FALSE,"",IF(C460&gt;入力シート!$J$24,"",_xlfn.DAYS(入力シート!$J$24,'従業員情報(給与以外)'!$C460)/365))</f>
        <v/>
      </c>
      <c r="P460" s="237" t="str">
        <f>IF(O460="","",VLOOKUP(_xlfn.DAYS(入力シート!$J$24,'従業員情報(給与以外)'!$C460)/365,入力リスト!$H$4:$I$12,2,2))</f>
        <v/>
      </c>
      <c r="Q460" s="236" t="str">
        <f>IF(D460="","",VLOOKUP('従業員情報(給与以外)'!$D460,入力シート!$AW$37:$BB$38,4,0))</f>
        <v/>
      </c>
      <c r="R460" s="236" t="str">
        <f>IF(A460="","",IF(E460="","非役職",VLOOKUP('従業員情報(給与以外)'!$E460,入力シート!$AH$37:$AO$62,5,0)))</f>
        <v/>
      </c>
      <c r="S460" s="116" t="str">
        <f>IF(OR(入力シート!$C$5&lt;&gt;入力リスト!$N$4,COUNTIF(入力シート!$J$16:$S$23,入力リスト!$K$4)=0),"",IF($A460="","",IF(ISERROR(AVERAGEIF(従業員の給与情報!$B:$B,$A460,従業員の給与情報!$C:$C)),0,IF(ISERROR(AVERAGEIF(従業員の給与情報!$B:$B,$A460,従業員の給与情報!$C:$C)),0,AVERAGEIF(従業員の給与情報!$B:$B,$A460,従業員の給与情報!$C:$C)))))</f>
        <v/>
      </c>
      <c r="T460" s="116" t="str">
        <f>IF(OR(入力シート!$C$5&lt;&gt;入力リスト!$N$4,COUNTIF(入力シート!$J$16:$S$23,入力リスト!$K$4)=0),"",IF(A460="","",IF(ISERROR(AVERAGEIF(従業員の給与情報!$B:$B,$A460,従業員の給与情報!$D:$D)),0,IF(ISERROR(AVERAGEIF(従業員の給与情報!$B:$B,$A460,従業員の給与情報!$D:$D)),0,AVERAGEIF(従業員の給与情報!$B:$B,$A460,従業員の給与情報!$D:$D)))))</f>
        <v/>
      </c>
      <c r="U460" s="116" t="str">
        <f>IF(OR(入力シート!$C$5&lt;&gt;入力リスト!$N$4,COUNTIF(入力シート!$J$16:$S$23,入力リスト!$K$4)=0),"",IF(A460="","",IF(ISERROR(AVERAGEIF(従業員の給与情報!$B:$B,$A460,従業員の給与情報!$E:$E)),0,IF(ISERROR(AVERAGEIF(従業員の給与情報!$B:$B,$A460,従業員の給与情報!$E:$E)),0,AVERAGEIF(従業員の給与情報!$B:$B,$A460,従業員の給与情報!$E:$E)))))</f>
        <v/>
      </c>
      <c r="V460" s="117" t="str">
        <f>IF(OR(入力シート!$C$5&lt;&gt;入力リスト!$N$4,COUNTIF(入力シート!$J$16:$S$23,入力リスト!$K$4)=0),"",IF(A460="","",IF(ISERROR(AVERAGEIF(従業員の給与情報!$B:$B,$A460,従業員の給与情報!$F:$F)),0,IF(ISERROR(AVERAGEIF(従業員の給与情報!$B:$B,$A460,従業員の給与情報!$F:$F)),0,AVERAGEIF(従業員の給与情報!$B:$B,$A460,従業員の給与情報!$F:$F)))))</f>
        <v/>
      </c>
      <c r="W460" s="182"/>
      <c r="X460" s="260"/>
    </row>
    <row r="461" spans="1:24">
      <c r="A461" s="368"/>
      <c r="B461" s="361"/>
      <c r="C461" s="362"/>
      <c r="D461" s="361"/>
      <c r="E461" s="361"/>
      <c r="F461" s="372" t="str">
        <f>IF(G461,"この従業員番号は、すでに他のセルで入力されています。",IF(入力シート!$C$5=入力リスト!$N$5,"",IF(AND(A461="",B461="",C461="",D461="",E461=""),"",IF(OR(A461="",B461="",C461="",D461=""),IF(A461="","従業員番号","")&amp;IF(AND(A461="",OR(B461="",C461="",D461="")),",","")&amp;IF(B461="","雇用形態","")&amp;IF(AND(B461="",OR(C461="",D461="")),",","")&amp;IF(OR(入力シート!$J$18=入力リスト!$K$4,入力シート!$J$22=入力リスト!$K$4),IF(C461="","入社年月日",""),"")&amp;IF(AND(C461="",D461=""),",","")&amp;IF(D461="","性別","")&amp;IF(IF(A461="","従業員番号","")&amp;IF(B461="","雇用形態","")&amp;IF(OR(入力シート!$J$18=入力リスト!$K$4,入力シート!$J$22=入力リスト!$K$4),IF(C461="","入社年月日",""),"")&amp;IF(D461="","性別","")="","","が空白です。"),IF(J461,"入社年月日に「基準日」の翌日以降の日付が入力されています。","")&amp;IF(I461,"入社年月日に数値以外（又は1900/1/1以前の日付）が入力されています。","")&amp;IF(H461,"雇用形態"&amp;IF(OR(K461,L461),",",""),"")&amp;IF(K461,"性別"&amp;IF(L461,",",""),"")&amp;IF(L461,"役職","")&amp;IF(OR(H461,K461,L461),"に、［入力シート］(4)「貴社」欄と異なる文言が入力されています。","")))))</f>
        <v/>
      </c>
      <c r="G461" s="236" t="b">
        <f>COUNTIF($A$4:A460,$A461)&gt;0</f>
        <v>0</v>
      </c>
      <c r="H461" s="237" t="b">
        <f>IF(COUNTIF(入力シート!$J$16:$S$23,入力リスト!$K$4)=0,FALSE,IF(入力シート!$J$16=入力リスト!$K$5,FALSE,ISERROR(VLOOKUP(B461,入力シート!$S$37:$V$62,1,0))))</f>
        <v>0</v>
      </c>
      <c r="I461" s="237" t="b">
        <f>IF(AND(OR(入力シート!$J$18=入力リスト!$K$4,入力シート!$J$22=入力リスト!$K$4),入力シート!$J$24&lt;&gt;""),IF(ISERROR(C461+1),TRUE,IF(ISNUMBER(C461),FALSE,TRUE)),FALSE)</f>
        <v>0</v>
      </c>
      <c r="J461" s="237" t="b">
        <f>IF(AND(入力シート!$J$18=入力リスト!$K$4,入力シート!$J$22=入力リスト!$K$4),FALSE,IF(I461=TRUE,FALSE,IF(ISERROR(C461+1),FALSE,C461&gt;入力シート!$J$24)))</f>
        <v>0</v>
      </c>
      <c r="K461" s="237" t="b">
        <f>IF(COUNTIF(入力シート!$J$16:$S$23,入力リスト!$K$4)=0,FALSE,IF(AND(入力シート!$J$16&lt;&gt;入力リスト!$K$5,入力シート!$J$18&lt;&gt;入力リスト!$K$5,入力シート!$J$20&lt;&gt;入力リスト!$K$5,入力シート!$J$22&lt;&gt;入力リスト!$K$5),FALSE,ISERROR(VLOOKUP(D461,入力シート!$AW$37:$AY$38,1,0))))</f>
        <v>0</v>
      </c>
      <c r="L461" s="237" t="b">
        <f>IF(COUNTIF(入力シート!$J$16:$S$23,入力リスト!$K$4)=0,FALSE,IF(入力シート!$J$20=入力リスト!$K$5,FALSE,IF(E461="",FALSE,ISERROR(VLOOKUP(E461,入力シート!$AH$37:$AK$62,1,0)))))</f>
        <v>0</v>
      </c>
      <c r="M461" s="238" t="str">
        <f t="shared" si="7"/>
        <v/>
      </c>
      <c r="N461" s="236" t="str">
        <f>IF(B461="","",VLOOKUP('従業員情報(給与以外)'!$B461,入力シート!$S$37:$Z$62,5,0))</f>
        <v/>
      </c>
      <c r="O461" s="182" t="str">
        <f>IF(ISNUMBER(C461)=FALSE,"",IF(C461&gt;入力シート!$J$24,"",_xlfn.DAYS(入力シート!$J$24,'従業員情報(給与以外)'!$C461)/365))</f>
        <v/>
      </c>
      <c r="P461" s="237" t="str">
        <f>IF(O461="","",VLOOKUP(_xlfn.DAYS(入力シート!$J$24,'従業員情報(給与以外)'!$C461)/365,入力リスト!$H$4:$I$12,2,2))</f>
        <v/>
      </c>
      <c r="Q461" s="236" t="str">
        <f>IF(D461="","",VLOOKUP('従業員情報(給与以外)'!$D461,入力シート!$AW$37:$BB$38,4,0))</f>
        <v/>
      </c>
      <c r="R461" s="236" t="str">
        <f>IF(A461="","",IF(E461="","非役職",VLOOKUP('従業員情報(給与以外)'!$E461,入力シート!$AH$37:$AO$62,5,0)))</f>
        <v/>
      </c>
      <c r="S461" s="116" t="str">
        <f>IF(OR(入力シート!$C$5&lt;&gt;入力リスト!$N$4,COUNTIF(入力シート!$J$16:$S$23,入力リスト!$K$4)=0),"",IF($A461="","",IF(ISERROR(AVERAGEIF(従業員の給与情報!$B:$B,$A461,従業員の給与情報!$C:$C)),0,IF(ISERROR(AVERAGEIF(従業員の給与情報!$B:$B,$A461,従業員の給与情報!$C:$C)),0,AVERAGEIF(従業員の給与情報!$B:$B,$A461,従業員の給与情報!$C:$C)))))</f>
        <v/>
      </c>
      <c r="T461" s="116" t="str">
        <f>IF(OR(入力シート!$C$5&lt;&gt;入力リスト!$N$4,COUNTIF(入力シート!$J$16:$S$23,入力リスト!$K$4)=0),"",IF(A461="","",IF(ISERROR(AVERAGEIF(従業員の給与情報!$B:$B,$A461,従業員の給与情報!$D:$D)),0,IF(ISERROR(AVERAGEIF(従業員の給与情報!$B:$B,$A461,従業員の給与情報!$D:$D)),0,AVERAGEIF(従業員の給与情報!$B:$B,$A461,従業員の給与情報!$D:$D)))))</f>
        <v/>
      </c>
      <c r="U461" s="116" t="str">
        <f>IF(OR(入力シート!$C$5&lt;&gt;入力リスト!$N$4,COUNTIF(入力シート!$J$16:$S$23,入力リスト!$K$4)=0),"",IF(A461="","",IF(ISERROR(AVERAGEIF(従業員の給与情報!$B:$B,$A461,従業員の給与情報!$E:$E)),0,IF(ISERROR(AVERAGEIF(従業員の給与情報!$B:$B,$A461,従業員の給与情報!$E:$E)),0,AVERAGEIF(従業員の給与情報!$B:$B,$A461,従業員の給与情報!$E:$E)))))</f>
        <v/>
      </c>
      <c r="V461" s="117" t="str">
        <f>IF(OR(入力シート!$C$5&lt;&gt;入力リスト!$N$4,COUNTIF(入力シート!$J$16:$S$23,入力リスト!$K$4)=0),"",IF(A461="","",IF(ISERROR(AVERAGEIF(従業員の給与情報!$B:$B,$A461,従業員の給与情報!$F:$F)),0,IF(ISERROR(AVERAGEIF(従業員の給与情報!$B:$B,$A461,従業員の給与情報!$F:$F)),0,AVERAGEIF(従業員の給与情報!$B:$B,$A461,従業員の給与情報!$F:$F)))))</f>
        <v/>
      </c>
      <c r="W461" s="182"/>
      <c r="X461" s="260"/>
    </row>
    <row r="462" spans="1:24">
      <c r="A462" s="368"/>
      <c r="B462" s="361"/>
      <c r="C462" s="362"/>
      <c r="D462" s="361"/>
      <c r="E462" s="361"/>
      <c r="F462" s="372" t="str">
        <f>IF(G462,"この従業員番号は、すでに他のセルで入力されています。",IF(入力シート!$C$5=入力リスト!$N$5,"",IF(AND(A462="",B462="",C462="",D462="",E462=""),"",IF(OR(A462="",B462="",C462="",D462=""),IF(A462="","従業員番号","")&amp;IF(AND(A462="",OR(B462="",C462="",D462="")),",","")&amp;IF(B462="","雇用形態","")&amp;IF(AND(B462="",OR(C462="",D462="")),",","")&amp;IF(OR(入力シート!$J$18=入力リスト!$K$4,入力シート!$J$22=入力リスト!$K$4),IF(C462="","入社年月日",""),"")&amp;IF(AND(C462="",D462=""),",","")&amp;IF(D462="","性別","")&amp;IF(IF(A462="","従業員番号","")&amp;IF(B462="","雇用形態","")&amp;IF(OR(入力シート!$J$18=入力リスト!$K$4,入力シート!$J$22=入力リスト!$K$4),IF(C462="","入社年月日",""),"")&amp;IF(D462="","性別","")="","","が空白です。"),IF(J462,"入社年月日に「基準日」の翌日以降の日付が入力されています。","")&amp;IF(I462,"入社年月日に数値以外（又は1900/1/1以前の日付）が入力されています。","")&amp;IF(H462,"雇用形態"&amp;IF(OR(K462,L462),",",""),"")&amp;IF(K462,"性別"&amp;IF(L462,",",""),"")&amp;IF(L462,"役職","")&amp;IF(OR(H462,K462,L462),"に、［入力シート］(4)「貴社」欄と異なる文言が入力されています。","")))))</f>
        <v/>
      </c>
      <c r="G462" s="236" t="b">
        <f>COUNTIF($A$4:A461,$A462)&gt;0</f>
        <v>0</v>
      </c>
      <c r="H462" s="237" t="b">
        <f>IF(COUNTIF(入力シート!$J$16:$S$23,入力リスト!$K$4)=0,FALSE,IF(入力シート!$J$16=入力リスト!$K$5,FALSE,ISERROR(VLOOKUP(B462,入力シート!$S$37:$V$62,1,0))))</f>
        <v>0</v>
      </c>
      <c r="I462" s="237" t="b">
        <f>IF(AND(OR(入力シート!$J$18=入力リスト!$K$4,入力シート!$J$22=入力リスト!$K$4),入力シート!$J$24&lt;&gt;""),IF(ISERROR(C462+1),TRUE,IF(ISNUMBER(C462),FALSE,TRUE)),FALSE)</f>
        <v>0</v>
      </c>
      <c r="J462" s="237" t="b">
        <f>IF(AND(入力シート!$J$18=入力リスト!$K$4,入力シート!$J$22=入力リスト!$K$4),FALSE,IF(I462=TRUE,FALSE,IF(ISERROR(C462+1),FALSE,C462&gt;入力シート!$J$24)))</f>
        <v>0</v>
      </c>
      <c r="K462" s="237" t="b">
        <f>IF(COUNTIF(入力シート!$J$16:$S$23,入力リスト!$K$4)=0,FALSE,IF(AND(入力シート!$J$16&lt;&gt;入力リスト!$K$5,入力シート!$J$18&lt;&gt;入力リスト!$K$5,入力シート!$J$20&lt;&gt;入力リスト!$K$5,入力シート!$J$22&lt;&gt;入力リスト!$K$5),FALSE,ISERROR(VLOOKUP(D462,入力シート!$AW$37:$AY$38,1,0))))</f>
        <v>0</v>
      </c>
      <c r="L462" s="237" t="b">
        <f>IF(COUNTIF(入力シート!$J$16:$S$23,入力リスト!$K$4)=0,FALSE,IF(入力シート!$J$20=入力リスト!$K$5,FALSE,IF(E462="",FALSE,ISERROR(VLOOKUP(E462,入力シート!$AH$37:$AK$62,1,0)))))</f>
        <v>0</v>
      </c>
      <c r="M462" s="238" t="str">
        <f t="shared" si="7"/>
        <v/>
      </c>
      <c r="N462" s="236" t="str">
        <f>IF(B462="","",VLOOKUP('従業員情報(給与以外)'!$B462,入力シート!$S$37:$Z$62,5,0))</f>
        <v/>
      </c>
      <c r="O462" s="182" t="str">
        <f>IF(ISNUMBER(C462)=FALSE,"",IF(C462&gt;入力シート!$J$24,"",_xlfn.DAYS(入力シート!$J$24,'従業員情報(給与以外)'!$C462)/365))</f>
        <v/>
      </c>
      <c r="P462" s="237" t="str">
        <f>IF(O462="","",VLOOKUP(_xlfn.DAYS(入力シート!$J$24,'従業員情報(給与以外)'!$C462)/365,入力リスト!$H$4:$I$12,2,2))</f>
        <v/>
      </c>
      <c r="Q462" s="236" t="str">
        <f>IF(D462="","",VLOOKUP('従業員情報(給与以外)'!$D462,入力シート!$AW$37:$BB$38,4,0))</f>
        <v/>
      </c>
      <c r="R462" s="236" t="str">
        <f>IF(A462="","",IF(E462="","非役職",VLOOKUP('従業員情報(給与以外)'!$E462,入力シート!$AH$37:$AO$62,5,0)))</f>
        <v/>
      </c>
      <c r="S462" s="116" t="str">
        <f>IF(OR(入力シート!$C$5&lt;&gt;入力リスト!$N$4,COUNTIF(入力シート!$J$16:$S$23,入力リスト!$K$4)=0),"",IF($A462="","",IF(ISERROR(AVERAGEIF(従業員の給与情報!$B:$B,$A462,従業員の給与情報!$C:$C)),0,IF(ISERROR(AVERAGEIF(従業員の給与情報!$B:$B,$A462,従業員の給与情報!$C:$C)),0,AVERAGEIF(従業員の給与情報!$B:$B,$A462,従業員の給与情報!$C:$C)))))</f>
        <v/>
      </c>
      <c r="T462" s="116" t="str">
        <f>IF(OR(入力シート!$C$5&lt;&gt;入力リスト!$N$4,COUNTIF(入力シート!$J$16:$S$23,入力リスト!$K$4)=0),"",IF(A462="","",IF(ISERROR(AVERAGEIF(従業員の給与情報!$B:$B,$A462,従業員の給与情報!$D:$D)),0,IF(ISERROR(AVERAGEIF(従業員の給与情報!$B:$B,$A462,従業員の給与情報!$D:$D)),0,AVERAGEIF(従業員の給与情報!$B:$B,$A462,従業員の給与情報!$D:$D)))))</f>
        <v/>
      </c>
      <c r="U462" s="116" t="str">
        <f>IF(OR(入力シート!$C$5&lt;&gt;入力リスト!$N$4,COUNTIF(入力シート!$J$16:$S$23,入力リスト!$K$4)=0),"",IF(A462="","",IF(ISERROR(AVERAGEIF(従業員の給与情報!$B:$B,$A462,従業員の給与情報!$E:$E)),0,IF(ISERROR(AVERAGEIF(従業員の給与情報!$B:$B,$A462,従業員の給与情報!$E:$E)),0,AVERAGEIF(従業員の給与情報!$B:$B,$A462,従業員の給与情報!$E:$E)))))</f>
        <v/>
      </c>
      <c r="V462" s="117" t="str">
        <f>IF(OR(入力シート!$C$5&lt;&gt;入力リスト!$N$4,COUNTIF(入力シート!$J$16:$S$23,入力リスト!$K$4)=0),"",IF(A462="","",IF(ISERROR(AVERAGEIF(従業員の給与情報!$B:$B,$A462,従業員の給与情報!$F:$F)),0,IF(ISERROR(AVERAGEIF(従業員の給与情報!$B:$B,$A462,従業員の給与情報!$F:$F)),0,AVERAGEIF(従業員の給与情報!$B:$B,$A462,従業員の給与情報!$F:$F)))))</f>
        <v/>
      </c>
      <c r="W462" s="182"/>
      <c r="X462" s="260"/>
    </row>
    <row r="463" spans="1:24">
      <c r="A463" s="368"/>
      <c r="B463" s="361"/>
      <c r="C463" s="362"/>
      <c r="D463" s="361"/>
      <c r="E463" s="361"/>
      <c r="F463" s="372" t="str">
        <f>IF(G463,"この従業員番号は、すでに他のセルで入力されています。",IF(入力シート!$C$5=入力リスト!$N$5,"",IF(AND(A463="",B463="",C463="",D463="",E463=""),"",IF(OR(A463="",B463="",C463="",D463=""),IF(A463="","従業員番号","")&amp;IF(AND(A463="",OR(B463="",C463="",D463="")),",","")&amp;IF(B463="","雇用形態","")&amp;IF(AND(B463="",OR(C463="",D463="")),",","")&amp;IF(OR(入力シート!$J$18=入力リスト!$K$4,入力シート!$J$22=入力リスト!$K$4),IF(C463="","入社年月日",""),"")&amp;IF(AND(C463="",D463=""),",","")&amp;IF(D463="","性別","")&amp;IF(IF(A463="","従業員番号","")&amp;IF(B463="","雇用形態","")&amp;IF(OR(入力シート!$J$18=入力リスト!$K$4,入力シート!$J$22=入力リスト!$K$4),IF(C463="","入社年月日",""),"")&amp;IF(D463="","性別","")="","","が空白です。"),IF(J463,"入社年月日に「基準日」の翌日以降の日付が入力されています。","")&amp;IF(I463,"入社年月日に数値以外（又は1900/1/1以前の日付）が入力されています。","")&amp;IF(H463,"雇用形態"&amp;IF(OR(K463,L463),",",""),"")&amp;IF(K463,"性別"&amp;IF(L463,",",""),"")&amp;IF(L463,"役職","")&amp;IF(OR(H463,K463,L463),"に、［入力シート］(4)「貴社」欄と異なる文言が入力されています。","")))))</f>
        <v/>
      </c>
      <c r="G463" s="236" t="b">
        <f>COUNTIF($A$4:A462,$A463)&gt;0</f>
        <v>0</v>
      </c>
      <c r="H463" s="237" t="b">
        <f>IF(COUNTIF(入力シート!$J$16:$S$23,入力リスト!$K$4)=0,FALSE,IF(入力シート!$J$16=入力リスト!$K$5,FALSE,ISERROR(VLOOKUP(B463,入力シート!$S$37:$V$62,1,0))))</f>
        <v>0</v>
      </c>
      <c r="I463" s="237" t="b">
        <f>IF(AND(OR(入力シート!$J$18=入力リスト!$K$4,入力シート!$J$22=入力リスト!$K$4),入力シート!$J$24&lt;&gt;""),IF(ISERROR(C463+1),TRUE,IF(ISNUMBER(C463),FALSE,TRUE)),FALSE)</f>
        <v>0</v>
      </c>
      <c r="J463" s="237" t="b">
        <f>IF(AND(入力シート!$J$18=入力リスト!$K$4,入力シート!$J$22=入力リスト!$K$4),FALSE,IF(I463=TRUE,FALSE,IF(ISERROR(C463+1),FALSE,C463&gt;入力シート!$J$24)))</f>
        <v>0</v>
      </c>
      <c r="K463" s="237" t="b">
        <f>IF(COUNTIF(入力シート!$J$16:$S$23,入力リスト!$K$4)=0,FALSE,IF(AND(入力シート!$J$16&lt;&gt;入力リスト!$K$5,入力シート!$J$18&lt;&gt;入力リスト!$K$5,入力シート!$J$20&lt;&gt;入力リスト!$K$5,入力シート!$J$22&lt;&gt;入力リスト!$K$5),FALSE,ISERROR(VLOOKUP(D463,入力シート!$AW$37:$AY$38,1,0))))</f>
        <v>0</v>
      </c>
      <c r="L463" s="237" t="b">
        <f>IF(COUNTIF(入力シート!$J$16:$S$23,入力リスト!$K$4)=0,FALSE,IF(入力シート!$J$20=入力リスト!$K$5,FALSE,IF(E463="",FALSE,ISERROR(VLOOKUP(E463,入力シート!$AH$37:$AK$62,1,0)))))</f>
        <v>0</v>
      </c>
      <c r="M463" s="238" t="str">
        <f t="shared" si="7"/>
        <v/>
      </c>
      <c r="N463" s="236" t="str">
        <f>IF(B463="","",VLOOKUP('従業員情報(給与以外)'!$B463,入力シート!$S$37:$Z$62,5,0))</f>
        <v/>
      </c>
      <c r="O463" s="182" t="str">
        <f>IF(ISNUMBER(C463)=FALSE,"",IF(C463&gt;入力シート!$J$24,"",_xlfn.DAYS(入力シート!$J$24,'従業員情報(給与以外)'!$C463)/365))</f>
        <v/>
      </c>
      <c r="P463" s="237" t="str">
        <f>IF(O463="","",VLOOKUP(_xlfn.DAYS(入力シート!$J$24,'従業員情報(給与以外)'!$C463)/365,入力リスト!$H$4:$I$12,2,2))</f>
        <v/>
      </c>
      <c r="Q463" s="236" t="str">
        <f>IF(D463="","",VLOOKUP('従業員情報(給与以外)'!$D463,入力シート!$AW$37:$BB$38,4,0))</f>
        <v/>
      </c>
      <c r="R463" s="236" t="str">
        <f>IF(A463="","",IF(E463="","非役職",VLOOKUP('従業員情報(給与以外)'!$E463,入力シート!$AH$37:$AO$62,5,0)))</f>
        <v/>
      </c>
      <c r="S463" s="116" t="str">
        <f>IF(OR(入力シート!$C$5&lt;&gt;入力リスト!$N$4,COUNTIF(入力シート!$J$16:$S$23,入力リスト!$K$4)=0),"",IF($A463="","",IF(ISERROR(AVERAGEIF(従業員の給与情報!$B:$B,$A463,従業員の給与情報!$C:$C)),0,IF(ISERROR(AVERAGEIF(従業員の給与情報!$B:$B,$A463,従業員の給与情報!$C:$C)),0,AVERAGEIF(従業員の給与情報!$B:$B,$A463,従業員の給与情報!$C:$C)))))</f>
        <v/>
      </c>
      <c r="T463" s="116" t="str">
        <f>IF(OR(入力シート!$C$5&lt;&gt;入力リスト!$N$4,COUNTIF(入力シート!$J$16:$S$23,入力リスト!$K$4)=0),"",IF(A463="","",IF(ISERROR(AVERAGEIF(従業員の給与情報!$B:$B,$A463,従業員の給与情報!$D:$D)),0,IF(ISERROR(AVERAGEIF(従業員の給与情報!$B:$B,$A463,従業員の給与情報!$D:$D)),0,AVERAGEIF(従業員の給与情報!$B:$B,$A463,従業員の給与情報!$D:$D)))))</f>
        <v/>
      </c>
      <c r="U463" s="116" t="str">
        <f>IF(OR(入力シート!$C$5&lt;&gt;入力リスト!$N$4,COUNTIF(入力シート!$J$16:$S$23,入力リスト!$K$4)=0),"",IF(A463="","",IF(ISERROR(AVERAGEIF(従業員の給与情報!$B:$B,$A463,従業員の給与情報!$E:$E)),0,IF(ISERROR(AVERAGEIF(従業員の給与情報!$B:$B,$A463,従業員の給与情報!$E:$E)),0,AVERAGEIF(従業員の給与情報!$B:$B,$A463,従業員の給与情報!$E:$E)))))</f>
        <v/>
      </c>
      <c r="V463" s="117" t="str">
        <f>IF(OR(入力シート!$C$5&lt;&gt;入力リスト!$N$4,COUNTIF(入力シート!$J$16:$S$23,入力リスト!$K$4)=0),"",IF(A463="","",IF(ISERROR(AVERAGEIF(従業員の給与情報!$B:$B,$A463,従業員の給与情報!$F:$F)),0,IF(ISERROR(AVERAGEIF(従業員の給与情報!$B:$B,$A463,従業員の給与情報!$F:$F)),0,AVERAGEIF(従業員の給与情報!$B:$B,$A463,従業員の給与情報!$F:$F)))))</f>
        <v/>
      </c>
      <c r="W463" s="182"/>
      <c r="X463" s="260"/>
    </row>
    <row r="464" spans="1:24">
      <c r="A464" s="368"/>
      <c r="B464" s="361"/>
      <c r="C464" s="362"/>
      <c r="D464" s="361"/>
      <c r="E464" s="361"/>
      <c r="F464" s="372" t="str">
        <f>IF(G464,"この従業員番号は、すでに他のセルで入力されています。",IF(入力シート!$C$5=入力リスト!$N$5,"",IF(AND(A464="",B464="",C464="",D464="",E464=""),"",IF(OR(A464="",B464="",C464="",D464=""),IF(A464="","従業員番号","")&amp;IF(AND(A464="",OR(B464="",C464="",D464="")),",","")&amp;IF(B464="","雇用形態","")&amp;IF(AND(B464="",OR(C464="",D464="")),",","")&amp;IF(OR(入力シート!$J$18=入力リスト!$K$4,入力シート!$J$22=入力リスト!$K$4),IF(C464="","入社年月日",""),"")&amp;IF(AND(C464="",D464=""),",","")&amp;IF(D464="","性別","")&amp;IF(IF(A464="","従業員番号","")&amp;IF(B464="","雇用形態","")&amp;IF(OR(入力シート!$J$18=入力リスト!$K$4,入力シート!$J$22=入力リスト!$K$4),IF(C464="","入社年月日",""),"")&amp;IF(D464="","性別","")="","","が空白です。"),IF(J464,"入社年月日に「基準日」の翌日以降の日付が入力されています。","")&amp;IF(I464,"入社年月日に数値以外（又は1900/1/1以前の日付）が入力されています。","")&amp;IF(H464,"雇用形態"&amp;IF(OR(K464,L464),",",""),"")&amp;IF(K464,"性別"&amp;IF(L464,",",""),"")&amp;IF(L464,"役職","")&amp;IF(OR(H464,K464,L464),"に、［入力シート］(4)「貴社」欄と異なる文言が入力されています。","")))))</f>
        <v/>
      </c>
      <c r="G464" s="236" t="b">
        <f>COUNTIF($A$4:A463,$A464)&gt;0</f>
        <v>0</v>
      </c>
      <c r="H464" s="237" t="b">
        <f>IF(COUNTIF(入力シート!$J$16:$S$23,入力リスト!$K$4)=0,FALSE,IF(入力シート!$J$16=入力リスト!$K$5,FALSE,ISERROR(VLOOKUP(B464,入力シート!$S$37:$V$62,1,0))))</f>
        <v>0</v>
      </c>
      <c r="I464" s="237" t="b">
        <f>IF(AND(OR(入力シート!$J$18=入力リスト!$K$4,入力シート!$J$22=入力リスト!$K$4),入力シート!$J$24&lt;&gt;""),IF(ISERROR(C464+1),TRUE,IF(ISNUMBER(C464),FALSE,TRUE)),FALSE)</f>
        <v>0</v>
      </c>
      <c r="J464" s="237" t="b">
        <f>IF(AND(入力シート!$J$18=入力リスト!$K$4,入力シート!$J$22=入力リスト!$K$4),FALSE,IF(I464=TRUE,FALSE,IF(ISERROR(C464+1),FALSE,C464&gt;入力シート!$J$24)))</f>
        <v>0</v>
      </c>
      <c r="K464" s="237" t="b">
        <f>IF(COUNTIF(入力シート!$J$16:$S$23,入力リスト!$K$4)=0,FALSE,IF(AND(入力シート!$J$16&lt;&gt;入力リスト!$K$5,入力シート!$J$18&lt;&gt;入力リスト!$K$5,入力シート!$J$20&lt;&gt;入力リスト!$K$5,入力シート!$J$22&lt;&gt;入力リスト!$K$5),FALSE,ISERROR(VLOOKUP(D464,入力シート!$AW$37:$AY$38,1,0))))</f>
        <v>0</v>
      </c>
      <c r="L464" s="237" t="b">
        <f>IF(COUNTIF(入力シート!$J$16:$S$23,入力リスト!$K$4)=0,FALSE,IF(入力シート!$J$20=入力リスト!$K$5,FALSE,IF(E464="",FALSE,ISERROR(VLOOKUP(E464,入力シート!$AH$37:$AK$62,1,0)))))</f>
        <v>0</v>
      </c>
      <c r="M464" s="238" t="str">
        <f t="shared" si="7"/>
        <v/>
      </c>
      <c r="N464" s="236" t="str">
        <f>IF(B464="","",VLOOKUP('従業員情報(給与以外)'!$B464,入力シート!$S$37:$Z$62,5,0))</f>
        <v/>
      </c>
      <c r="O464" s="182" t="str">
        <f>IF(ISNUMBER(C464)=FALSE,"",IF(C464&gt;入力シート!$J$24,"",_xlfn.DAYS(入力シート!$J$24,'従業員情報(給与以外)'!$C464)/365))</f>
        <v/>
      </c>
      <c r="P464" s="237" t="str">
        <f>IF(O464="","",VLOOKUP(_xlfn.DAYS(入力シート!$J$24,'従業員情報(給与以外)'!$C464)/365,入力リスト!$H$4:$I$12,2,2))</f>
        <v/>
      </c>
      <c r="Q464" s="236" t="str">
        <f>IF(D464="","",VLOOKUP('従業員情報(給与以外)'!$D464,入力シート!$AW$37:$BB$38,4,0))</f>
        <v/>
      </c>
      <c r="R464" s="236" t="str">
        <f>IF(A464="","",IF(E464="","非役職",VLOOKUP('従業員情報(給与以外)'!$E464,入力シート!$AH$37:$AO$62,5,0)))</f>
        <v/>
      </c>
      <c r="S464" s="116" t="str">
        <f>IF(OR(入力シート!$C$5&lt;&gt;入力リスト!$N$4,COUNTIF(入力シート!$J$16:$S$23,入力リスト!$K$4)=0),"",IF($A464="","",IF(ISERROR(AVERAGEIF(従業員の給与情報!$B:$B,$A464,従業員の給与情報!$C:$C)),0,IF(ISERROR(AVERAGEIF(従業員の給与情報!$B:$B,$A464,従業員の給与情報!$C:$C)),0,AVERAGEIF(従業員の給与情報!$B:$B,$A464,従業員の給与情報!$C:$C)))))</f>
        <v/>
      </c>
      <c r="T464" s="116" t="str">
        <f>IF(OR(入力シート!$C$5&lt;&gt;入力リスト!$N$4,COUNTIF(入力シート!$J$16:$S$23,入力リスト!$K$4)=0),"",IF(A464="","",IF(ISERROR(AVERAGEIF(従業員の給与情報!$B:$B,$A464,従業員の給与情報!$D:$D)),0,IF(ISERROR(AVERAGEIF(従業員の給与情報!$B:$B,$A464,従業員の給与情報!$D:$D)),0,AVERAGEIF(従業員の給与情報!$B:$B,$A464,従業員の給与情報!$D:$D)))))</f>
        <v/>
      </c>
      <c r="U464" s="116" t="str">
        <f>IF(OR(入力シート!$C$5&lt;&gt;入力リスト!$N$4,COUNTIF(入力シート!$J$16:$S$23,入力リスト!$K$4)=0),"",IF(A464="","",IF(ISERROR(AVERAGEIF(従業員の給与情報!$B:$B,$A464,従業員の給与情報!$E:$E)),0,IF(ISERROR(AVERAGEIF(従業員の給与情報!$B:$B,$A464,従業員の給与情報!$E:$E)),0,AVERAGEIF(従業員の給与情報!$B:$B,$A464,従業員の給与情報!$E:$E)))))</f>
        <v/>
      </c>
      <c r="V464" s="117" t="str">
        <f>IF(OR(入力シート!$C$5&lt;&gt;入力リスト!$N$4,COUNTIF(入力シート!$J$16:$S$23,入力リスト!$K$4)=0),"",IF(A464="","",IF(ISERROR(AVERAGEIF(従業員の給与情報!$B:$B,$A464,従業員の給与情報!$F:$F)),0,IF(ISERROR(AVERAGEIF(従業員の給与情報!$B:$B,$A464,従業員の給与情報!$F:$F)),0,AVERAGEIF(従業員の給与情報!$B:$B,$A464,従業員の給与情報!$F:$F)))))</f>
        <v/>
      </c>
      <c r="W464" s="182"/>
      <c r="X464" s="260"/>
    </row>
    <row r="465" spans="1:24">
      <c r="A465" s="368"/>
      <c r="B465" s="361"/>
      <c r="C465" s="362"/>
      <c r="D465" s="361"/>
      <c r="E465" s="361"/>
      <c r="F465" s="372" t="str">
        <f>IF(G465,"この従業員番号は、すでに他のセルで入力されています。",IF(入力シート!$C$5=入力リスト!$N$5,"",IF(AND(A465="",B465="",C465="",D465="",E465=""),"",IF(OR(A465="",B465="",C465="",D465=""),IF(A465="","従業員番号","")&amp;IF(AND(A465="",OR(B465="",C465="",D465="")),",","")&amp;IF(B465="","雇用形態","")&amp;IF(AND(B465="",OR(C465="",D465="")),",","")&amp;IF(OR(入力シート!$J$18=入力リスト!$K$4,入力シート!$J$22=入力リスト!$K$4),IF(C465="","入社年月日",""),"")&amp;IF(AND(C465="",D465=""),",","")&amp;IF(D465="","性別","")&amp;IF(IF(A465="","従業員番号","")&amp;IF(B465="","雇用形態","")&amp;IF(OR(入力シート!$J$18=入力リスト!$K$4,入力シート!$J$22=入力リスト!$K$4),IF(C465="","入社年月日",""),"")&amp;IF(D465="","性別","")="","","が空白です。"),IF(J465,"入社年月日に「基準日」の翌日以降の日付が入力されています。","")&amp;IF(I465,"入社年月日に数値以外（又は1900/1/1以前の日付）が入力されています。","")&amp;IF(H465,"雇用形態"&amp;IF(OR(K465,L465),",",""),"")&amp;IF(K465,"性別"&amp;IF(L465,",",""),"")&amp;IF(L465,"役職","")&amp;IF(OR(H465,K465,L465),"に、［入力シート］(4)「貴社」欄と異なる文言が入力されています。","")))))</f>
        <v/>
      </c>
      <c r="G465" s="236" t="b">
        <f>COUNTIF($A$4:A464,$A465)&gt;0</f>
        <v>0</v>
      </c>
      <c r="H465" s="237" t="b">
        <f>IF(COUNTIF(入力シート!$J$16:$S$23,入力リスト!$K$4)=0,FALSE,IF(入力シート!$J$16=入力リスト!$K$5,FALSE,ISERROR(VLOOKUP(B465,入力シート!$S$37:$V$62,1,0))))</f>
        <v>0</v>
      </c>
      <c r="I465" s="237" t="b">
        <f>IF(AND(OR(入力シート!$J$18=入力リスト!$K$4,入力シート!$J$22=入力リスト!$K$4),入力シート!$J$24&lt;&gt;""),IF(ISERROR(C465+1),TRUE,IF(ISNUMBER(C465),FALSE,TRUE)),FALSE)</f>
        <v>0</v>
      </c>
      <c r="J465" s="237" t="b">
        <f>IF(AND(入力シート!$J$18=入力リスト!$K$4,入力シート!$J$22=入力リスト!$K$4),FALSE,IF(I465=TRUE,FALSE,IF(ISERROR(C465+1),FALSE,C465&gt;入力シート!$J$24)))</f>
        <v>0</v>
      </c>
      <c r="K465" s="237" t="b">
        <f>IF(COUNTIF(入力シート!$J$16:$S$23,入力リスト!$K$4)=0,FALSE,IF(AND(入力シート!$J$16&lt;&gt;入力リスト!$K$5,入力シート!$J$18&lt;&gt;入力リスト!$K$5,入力シート!$J$20&lt;&gt;入力リスト!$K$5,入力シート!$J$22&lt;&gt;入力リスト!$K$5),FALSE,ISERROR(VLOOKUP(D465,入力シート!$AW$37:$AY$38,1,0))))</f>
        <v>0</v>
      </c>
      <c r="L465" s="237" t="b">
        <f>IF(COUNTIF(入力シート!$J$16:$S$23,入力リスト!$K$4)=0,FALSE,IF(入力シート!$J$20=入力リスト!$K$5,FALSE,IF(E465="",FALSE,ISERROR(VLOOKUP(E465,入力シート!$AH$37:$AK$62,1,0)))))</f>
        <v>0</v>
      </c>
      <c r="M465" s="238" t="str">
        <f t="shared" si="7"/>
        <v/>
      </c>
      <c r="N465" s="236" t="str">
        <f>IF(B465="","",VLOOKUP('従業員情報(給与以外)'!$B465,入力シート!$S$37:$Z$62,5,0))</f>
        <v/>
      </c>
      <c r="O465" s="182" t="str">
        <f>IF(ISNUMBER(C465)=FALSE,"",IF(C465&gt;入力シート!$J$24,"",_xlfn.DAYS(入力シート!$J$24,'従業員情報(給与以外)'!$C465)/365))</f>
        <v/>
      </c>
      <c r="P465" s="237" t="str">
        <f>IF(O465="","",VLOOKUP(_xlfn.DAYS(入力シート!$J$24,'従業員情報(給与以外)'!$C465)/365,入力リスト!$H$4:$I$12,2,2))</f>
        <v/>
      </c>
      <c r="Q465" s="236" t="str">
        <f>IF(D465="","",VLOOKUP('従業員情報(給与以外)'!$D465,入力シート!$AW$37:$BB$38,4,0))</f>
        <v/>
      </c>
      <c r="R465" s="236" t="str">
        <f>IF(A465="","",IF(E465="","非役職",VLOOKUP('従業員情報(給与以外)'!$E465,入力シート!$AH$37:$AO$62,5,0)))</f>
        <v/>
      </c>
      <c r="S465" s="116" t="str">
        <f>IF(OR(入力シート!$C$5&lt;&gt;入力リスト!$N$4,COUNTIF(入力シート!$J$16:$S$23,入力リスト!$K$4)=0),"",IF($A465="","",IF(ISERROR(AVERAGEIF(従業員の給与情報!$B:$B,$A465,従業員の給与情報!$C:$C)),0,IF(ISERROR(AVERAGEIF(従業員の給与情報!$B:$B,$A465,従業員の給与情報!$C:$C)),0,AVERAGEIF(従業員の給与情報!$B:$B,$A465,従業員の給与情報!$C:$C)))))</f>
        <v/>
      </c>
      <c r="T465" s="116" t="str">
        <f>IF(OR(入力シート!$C$5&lt;&gt;入力リスト!$N$4,COUNTIF(入力シート!$J$16:$S$23,入力リスト!$K$4)=0),"",IF(A465="","",IF(ISERROR(AVERAGEIF(従業員の給与情報!$B:$B,$A465,従業員の給与情報!$D:$D)),0,IF(ISERROR(AVERAGEIF(従業員の給与情報!$B:$B,$A465,従業員の給与情報!$D:$D)),0,AVERAGEIF(従業員の給与情報!$B:$B,$A465,従業員の給与情報!$D:$D)))))</f>
        <v/>
      </c>
      <c r="U465" s="116" t="str">
        <f>IF(OR(入力シート!$C$5&lt;&gt;入力リスト!$N$4,COUNTIF(入力シート!$J$16:$S$23,入力リスト!$K$4)=0),"",IF(A465="","",IF(ISERROR(AVERAGEIF(従業員の給与情報!$B:$B,$A465,従業員の給与情報!$E:$E)),0,IF(ISERROR(AVERAGEIF(従業員の給与情報!$B:$B,$A465,従業員の給与情報!$E:$E)),0,AVERAGEIF(従業員の給与情報!$B:$B,$A465,従業員の給与情報!$E:$E)))))</f>
        <v/>
      </c>
      <c r="V465" s="117" t="str">
        <f>IF(OR(入力シート!$C$5&lt;&gt;入力リスト!$N$4,COUNTIF(入力シート!$J$16:$S$23,入力リスト!$K$4)=0),"",IF(A465="","",IF(ISERROR(AVERAGEIF(従業員の給与情報!$B:$B,$A465,従業員の給与情報!$F:$F)),0,IF(ISERROR(AVERAGEIF(従業員の給与情報!$B:$B,$A465,従業員の給与情報!$F:$F)),0,AVERAGEIF(従業員の給与情報!$B:$B,$A465,従業員の給与情報!$F:$F)))))</f>
        <v/>
      </c>
      <c r="W465" s="182"/>
      <c r="X465" s="260"/>
    </row>
    <row r="466" spans="1:24">
      <c r="A466" s="368"/>
      <c r="B466" s="361"/>
      <c r="C466" s="362"/>
      <c r="D466" s="361"/>
      <c r="E466" s="361"/>
      <c r="F466" s="372" t="str">
        <f>IF(G466,"この従業員番号は、すでに他のセルで入力されています。",IF(入力シート!$C$5=入力リスト!$N$5,"",IF(AND(A466="",B466="",C466="",D466="",E466=""),"",IF(OR(A466="",B466="",C466="",D466=""),IF(A466="","従業員番号","")&amp;IF(AND(A466="",OR(B466="",C466="",D466="")),",","")&amp;IF(B466="","雇用形態","")&amp;IF(AND(B466="",OR(C466="",D466="")),",","")&amp;IF(OR(入力シート!$J$18=入力リスト!$K$4,入力シート!$J$22=入力リスト!$K$4),IF(C466="","入社年月日",""),"")&amp;IF(AND(C466="",D466=""),",","")&amp;IF(D466="","性別","")&amp;IF(IF(A466="","従業員番号","")&amp;IF(B466="","雇用形態","")&amp;IF(OR(入力シート!$J$18=入力リスト!$K$4,入力シート!$J$22=入力リスト!$K$4),IF(C466="","入社年月日",""),"")&amp;IF(D466="","性別","")="","","が空白です。"),IF(J466,"入社年月日に「基準日」の翌日以降の日付が入力されています。","")&amp;IF(I466,"入社年月日に数値以外（又は1900/1/1以前の日付）が入力されています。","")&amp;IF(H466,"雇用形態"&amp;IF(OR(K466,L466),",",""),"")&amp;IF(K466,"性別"&amp;IF(L466,",",""),"")&amp;IF(L466,"役職","")&amp;IF(OR(H466,K466,L466),"に、［入力シート］(4)「貴社」欄と異なる文言が入力されています。","")))))</f>
        <v/>
      </c>
      <c r="G466" s="236" t="b">
        <f>COUNTIF($A$4:A465,$A466)&gt;0</f>
        <v>0</v>
      </c>
      <c r="H466" s="237" t="b">
        <f>IF(COUNTIF(入力シート!$J$16:$S$23,入力リスト!$K$4)=0,FALSE,IF(入力シート!$J$16=入力リスト!$K$5,FALSE,ISERROR(VLOOKUP(B466,入力シート!$S$37:$V$62,1,0))))</f>
        <v>0</v>
      </c>
      <c r="I466" s="237" t="b">
        <f>IF(AND(OR(入力シート!$J$18=入力リスト!$K$4,入力シート!$J$22=入力リスト!$K$4),入力シート!$J$24&lt;&gt;""),IF(ISERROR(C466+1),TRUE,IF(ISNUMBER(C466),FALSE,TRUE)),FALSE)</f>
        <v>0</v>
      </c>
      <c r="J466" s="237" t="b">
        <f>IF(AND(入力シート!$J$18=入力リスト!$K$4,入力シート!$J$22=入力リスト!$K$4),FALSE,IF(I466=TRUE,FALSE,IF(ISERROR(C466+1),FALSE,C466&gt;入力シート!$J$24)))</f>
        <v>0</v>
      </c>
      <c r="K466" s="237" t="b">
        <f>IF(COUNTIF(入力シート!$J$16:$S$23,入力リスト!$K$4)=0,FALSE,IF(AND(入力シート!$J$16&lt;&gt;入力リスト!$K$5,入力シート!$J$18&lt;&gt;入力リスト!$K$5,入力シート!$J$20&lt;&gt;入力リスト!$K$5,入力シート!$J$22&lt;&gt;入力リスト!$K$5),FALSE,ISERROR(VLOOKUP(D466,入力シート!$AW$37:$AY$38,1,0))))</f>
        <v>0</v>
      </c>
      <c r="L466" s="237" t="b">
        <f>IF(COUNTIF(入力シート!$J$16:$S$23,入力リスト!$K$4)=0,FALSE,IF(入力シート!$J$20=入力リスト!$K$5,FALSE,IF(E466="",FALSE,ISERROR(VLOOKUP(E466,入力シート!$AH$37:$AK$62,1,0)))))</f>
        <v>0</v>
      </c>
      <c r="M466" s="238" t="str">
        <f t="shared" si="7"/>
        <v/>
      </c>
      <c r="N466" s="236" t="str">
        <f>IF(B466="","",VLOOKUP('従業員情報(給与以外)'!$B466,入力シート!$S$37:$Z$62,5,0))</f>
        <v/>
      </c>
      <c r="O466" s="182" t="str">
        <f>IF(ISNUMBER(C466)=FALSE,"",IF(C466&gt;入力シート!$J$24,"",_xlfn.DAYS(入力シート!$J$24,'従業員情報(給与以外)'!$C466)/365))</f>
        <v/>
      </c>
      <c r="P466" s="237" t="str">
        <f>IF(O466="","",VLOOKUP(_xlfn.DAYS(入力シート!$J$24,'従業員情報(給与以外)'!$C466)/365,入力リスト!$H$4:$I$12,2,2))</f>
        <v/>
      </c>
      <c r="Q466" s="236" t="str">
        <f>IF(D466="","",VLOOKUP('従業員情報(給与以外)'!$D466,入力シート!$AW$37:$BB$38,4,0))</f>
        <v/>
      </c>
      <c r="R466" s="236" t="str">
        <f>IF(A466="","",IF(E466="","非役職",VLOOKUP('従業員情報(給与以外)'!$E466,入力シート!$AH$37:$AO$62,5,0)))</f>
        <v/>
      </c>
      <c r="S466" s="116" t="str">
        <f>IF(OR(入力シート!$C$5&lt;&gt;入力リスト!$N$4,COUNTIF(入力シート!$J$16:$S$23,入力リスト!$K$4)=0),"",IF($A466="","",IF(ISERROR(AVERAGEIF(従業員の給与情報!$B:$B,$A466,従業員の給与情報!$C:$C)),0,IF(ISERROR(AVERAGEIF(従業員の給与情報!$B:$B,$A466,従業員の給与情報!$C:$C)),0,AVERAGEIF(従業員の給与情報!$B:$B,$A466,従業員の給与情報!$C:$C)))))</f>
        <v/>
      </c>
      <c r="T466" s="116" t="str">
        <f>IF(OR(入力シート!$C$5&lt;&gt;入力リスト!$N$4,COUNTIF(入力シート!$J$16:$S$23,入力リスト!$K$4)=0),"",IF(A466="","",IF(ISERROR(AVERAGEIF(従業員の給与情報!$B:$B,$A466,従業員の給与情報!$D:$D)),0,IF(ISERROR(AVERAGEIF(従業員の給与情報!$B:$B,$A466,従業員の給与情報!$D:$D)),0,AVERAGEIF(従業員の給与情報!$B:$B,$A466,従業員の給与情報!$D:$D)))))</f>
        <v/>
      </c>
      <c r="U466" s="116" t="str">
        <f>IF(OR(入力シート!$C$5&lt;&gt;入力リスト!$N$4,COUNTIF(入力シート!$J$16:$S$23,入力リスト!$K$4)=0),"",IF(A466="","",IF(ISERROR(AVERAGEIF(従業員の給与情報!$B:$B,$A466,従業員の給与情報!$E:$E)),0,IF(ISERROR(AVERAGEIF(従業員の給与情報!$B:$B,$A466,従業員の給与情報!$E:$E)),0,AVERAGEIF(従業員の給与情報!$B:$B,$A466,従業員の給与情報!$E:$E)))))</f>
        <v/>
      </c>
      <c r="V466" s="117" t="str">
        <f>IF(OR(入力シート!$C$5&lt;&gt;入力リスト!$N$4,COUNTIF(入力シート!$J$16:$S$23,入力リスト!$K$4)=0),"",IF(A466="","",IF(ISERROR(AVERAGEIF(従業員の給与情報!$B:$B,$A466,従業員の給与情報!$F:$F)),0,IF(ISERROR(AVERAGEIF(従業員の給与情報!$B:$B,$A466,従業員の給与情報!$F:$F)),0,AVERAGEIF(従業員の給与情報!$B:$B,$A466,従業員の給与情報!$F:$F)))))</f>
        <v/>
      </c>
      <c r="W466" s="182"/>
      <c r="X466" s="260"/>
    </row>
    <row r="467" spans="1:24">
      <c r="A467" s="368"/>
      <c r="B467" s="361"/>
      <c r="C467" s="362"/>
      <c r="D467" s="361"/>
      <c r="E467" s="361"/>
      <c r="F467" s="372" t="str">
        <f>IF(G467,"この従業員番号は、すでに他のセルで入力されています。",IF(入力シート!$C$5=入力リスト!$N$5,"",IF(AND(A467="",B467="",C467="",D467="",E467=""),"",IF(OR(A467="",B467="",C467="",D467=""),IF(A467="","従業員番号","")&amp;IF(AND(A467="",OR(B467="",C467="",D467="")),",","")&amp;IF(B467="","雇用形態","")&amp;IF(AND(B467="",OR(C467="",D467="")),",","")&amp;IF(OR(入力シート!$J$18=入力リスト!$K$4,入力シート!$J$22=入力リスト!$K$4),IF(C467="","入社年月日",""),"")&amp;IF(AND(C467="",D467=""),",","")&amp;IF(D467="","性別","")&amp;IF(IF(A467="","従業員番号","")&amp;IF(B467="","雇用形態","")&amp;IF(OR(入力シート!$J$18=入力リスト!$K$4,入力シート!$J$22=入力リスト!$K$4),IF(C467="","入社年月日",""),"")&amp;IF(D467="","性別","")="","","が空白です。"),IF(J467,"入社年月日に「基準日」の翌日以降の日付が入力されています。","")&amp;IF(I467,"入社年月日に数値以外（又は1900/1/1以前の日付）が入力されています。","")&amp;IF(H467,"雇用形態"&amp;IF(OR(K467,L467),",",""),"")&amp;IF(K467,"性別"&amp;IF(L467,",",""),"")&amp;IF(L467,"役職","")&amp;IF(OR(H467,K467,L467),"に、［入力シート］(4)「貴社」欄と異なる文言が入力されています。","")))))</f>
        <v/>
      </c>
      <c r="G467" s="236" t="b">
        <f>COUNTIF($A$4:A466,$A467)&gt;0</f>
        <v>0</v>
      </c>
      <c r="H467" s="237" t="b">
        <f>IF(COUNTIF(入力シート!$J$16:$S$23,入力リスト!$K$4)=0,FALSE,IF(入力シート!$J$16=入力リスト!$K$5,FALSE,ISERROR(VLOOKUP(B467,入力シート!$S$37:$V$62,1,0))))</f>
        <v>0</v>
      </c>
      <c r="I467" s="237" t="b">
        <f>IF(AND(OR(入力シート!$J$18=入力リスト!$K$4,入力シート!$J$22=入力リスト!$K$4),入力シート!$J$24&lt;&gt;""),IF(ISERROR(C467+1),TRUE,IF(ISNUMBER(C467),FALSE,TRUE)),FALSE)</f>
        <v>0</v>
      </c>
      <c r="J467" s="237" t="b">
        <f>IF(AND(入力シート!$J$18=入力リスト!$K$4,入力シート!$J$22=入力リスト!$K$4),FALSE,IF(I467=TRUE,FALSE,IF(ISERROR(C467+1),FALSE,C467&gt;入力シート!$J$24)))</f>
        <v>0</v>
      </c>
      <c r="K467" s="237" t="b">
        <f>IF(COUNTIF(入力シート!$J$16:$S$23,入力リスト!$K$4)=0,FALSE,IF(AND(入力シート!$J$16&lt;&gt;入力リスト!$K$5,入力シート!$J$18&lt;&gt;入力リスト!$K$5,入力シート!$J$20&lt;&gt;入力リスト!$K$5,入力シート!$J$22&lt;&gt;入力リスト!$K$5),FALSE,ISERROR(VLOOKUP(D467,入力シート!$AW$37:$AY$38,1,0))))</f>
        <v>0</v>
      </c>
      <c r="L467" s="237" t="b">
        <f>IF(COUNTIF(入力シート!$J$16:$S$23,入力リスト!$K$4)=0,FALSE,IF(入力シート!$J$20=入力リスト!$K$5,FALSE,IF(E467="",FALSE,ISERROR(VLOOKUP(E467,入力シート!$AH$37:$AK$62,1,0)))))</f>
        <v>0</v>
      </c>
      <c r="M467" s="238" t="str">
        <f t="shared" si="7"/>
        <v/>
      </c>
      <c r="N467" s="236" t="str">
        <f>IF(B467="","",VLOOKUP('従業員情報(給与以外)'!$B467,入力シート!$S$37:$Z$62,5,0))</f>
        <v/>
      </c>
      <c r="O467" s="182" t="str">
        <f>IF(ISNUMBER(C467)=FALSE,"",IF(C467&gt;入力シート!$J$24,"",_xlfn.DAYS(入力シート!$J$24,'従業員情報(給与以外)'!$C467)/365))</f>
        <v/>
      </c>
      <c r="P467" s="237" t="str">
        <f>IF(O467="","",VLOOKUP(_xlfn.DAYS(入力シート!$J$24,'従業員情報(給与以外)'!$C467)/365,入力リスト!$H$4:$I$12,2,2))</f>
        <v/>
      </c>
      <c r="Q467" s="236" t="str">
        <f>IF(D467="","",VLOOKUP('従業員情報(給与以外)'!$D467,入力シート!$AW$37:$BB$38,4,0))</f>
        <v/>
      </c>
      <c r="R467" s="236" t="str">
        <f>IF(A467="","",IF(E467="","非役職",VLOOKUP('従業員情報(給与以外)'!$E467,入力シート!$AH$37:$AO$62,5,0)))</f>
        <v/>
      </c>
      <c r="S467" s="116" t="str">
        <f>IF(OR(入力シート!$C$5&lt;&gt;入力リスト!$N$4,COUNTIF(入力シート!$J$16:$S$23,入力リスト!$K$4)=0),"",IF($A467="","",IF(ISERROR(AVERAGEIF(従業員の給与情報!$B:$B,$A467,従業員の給与情報!$C:$C)),0,IF(ISERROR(AVERAGEIF(従業員の給与情報!$B:$B,$A467,従業員の給与情報!$C:$C)),0,AVERAGEIF(従業員の給与情報!$B:$B,$A467,従業員の給与情報!$C:$C)))))</f>
        <v/>
      </c>
      <c r="T467" s="116" t="str">
        <f>IF(OR(入力シート!$C$5&lt;&gt;入力リスト!$N$4,COUNTIF(入力シート!$J$16:$S$23,入力リスト!$K$4)=0),"",IF(A467="","",IF(ISERROR(AVERAGEIF(従業員の給与情報!$B:$B,$A467,従業員の給与情報!$D:$D)),0,IF(ISERROR(AVERAGEIF(従業員の給与情報!$B:$B,$A467,従業員の給与情報!$D:$D)),0,AVERAGEIF(従業員の給与情報!$B:$B,$A467,従業員の給与情報!$D:$D)))))</f>
        <v/>
      </c>
      <c r="U467" s="116" t="str">
        <f>IF(OR(入力シート!$C$5&lt;&gt;入力リスト!$N$4,COUNTIF(入力シート!$J$16:$S$23,入力リスト!$K$4)=0),"",IF(A467="","",IF(ISERROR(AVERAGEIF(従業員の給与情報!$B:$B,$A467,従業員の給与情報!$E:$E)),0,IF(ISERROR(AVERAGEIF(従業員の給与情報!$B:$B,$A467,従業員の給与情報!$E:$E)),0,AVERAGEIF(従業員の給与情報!$B:$B,$A467,従業員の給与情報!$E:$E)))))</f>
        <v/>
      </c>
      <c r="V467" s="117" t="str">
        <f>IF(OR(入力シート!$C$5&lt;&gt;入力リスト!$N$4,COUNTIF(入力シート!$J$16:$S$23,入力リスト!$K$4)=0),"",IF(A467="","",IF(ISERROR(AVERAGEIF(従業員の給与情報!$B:$B,$A467,従業員の給与情報!$F:$F)),0,IF(ISERROR(AVERAGEIF(従業員の給与情報!$B:$B,$A467,従業員の給与情報!$F:$F)),0,AVERAGEIF(従業員の給与情報!$B:$B,$A467,従業員の給与情報!$F:$F)))))</f>
        <v/>
      </c>
      <c r="W467" s="182"/>
      <c r="X467" s="260"/>
    </row>
    <row r="468" spans="1:24">
      <c r="A468" s="368"/>
      <c r="B468" s="361"/>
      <c r="C468" s="362"/>
      <c r="D468" s="361"/>
      <c r="E468" s="361"/>
      <c r="F468" s="372" t="str">
        <f>IF(G468,"この従業員番号は、すでに他のセルで入力されています。",IF(入力シート!$C$5=入力リスト!$N$5,"",IF(AND(A468="",B468="",C468="",D468="",E468=""),"",IF(OR(A468="",B468="",C468="",D468=""),IF(A468="","従業員番号","")&amp;IF(AND(A468="",OR(B468="",C468="",D468="")),",","")&amp;IF(B468="","雇用形態","")&amp;IF(AND(B468="",OR(C468="",D468="")),",","")&amp;IF(OR(入力シート!$J$18=入力リスト!$K$4,入力シート!$J$22=入力リスト!$K$4),IF(C468="","入社年月日",""),"")&amp;IF(AND(C468="",D468=""),",","")&amp;IF(D468="","性別","")&amp;IF(IF(A468="","従業員番号","")&amp;IF(B468="","雇用形態","")&amp;IF(OR(入力シート!$J$18=入力リスト!$K$4,入力シート!$J$22=入力リスト!$K$4),IF(C468="","入社年月日",""),"")&amp;IF(D468="","性別","")="","","が空白です。"),IF(J468,"入社年月日に「基準日」の翌日以降の日付が入力されています。","")&amp;IF(I468,"入社年月日に数値以外（又は1900/1/1以前の日付）が入力されています。","")&amp;IF(H468,"雇用形態"&amp;IF(OR(K468,L468),",",""),"")&amp;IF(K468,"性別"&amp;IF(L468,",",""),"")&amp;IF(L468,"役職","")&amp;IF(OR(H468,K468,L468),"に、［入力シート］(4)「貴社」欄と異なる文言が入力されています。","")))))</f>
        <v/>
      </c>
      <c r="G468" s="236" t="b">
        <f>COUNTIF($A$4:A467,$A468)&gt;0</f>
        <v>0</v>
      </c>
      <c r="H468" s="237" t="b">
        <f>IF(COUNTIF(入力シート!$J$16:$S$23,入力リスト!$K$4)=0,FALSE,IF(入力シート!$J$16=入力リスト!$K$5,FALSE,ISERROR(VLOOKUP(B468,入力シート!$S$37:$V$62,1,0))))</f>
        <v>0</v>
      </c>
      <c r="I468" s="237" t="b">
        <f>IF(AND(OR(入力シート!$J$18=入力リスト!$K$4,入力シート!$J$22=入力リスト!$K$4),入力シート!$J$24&lt;&gt;""),IF(ISERROR(C468+1),TRUE,IF(ISNUMBER(C468),FALSE,TRUE)),FALSE)</f>
        <v>0</v>
      </c>
      <c r="J468" s="237" t="b">
        <f>IF(AND(入力シート!$J$18=入力リスト!$K$4,入力シート!$J$22=入力リスト!$K$4),FALSE,IF(I468=TRUE,FALSE,IF(ISERROR(C468+1),FALSE,C468&gt;入力シート!$J$24)))</f>
        <v>0</v>
      </c>
      <c r="K468" s="237" t="b">
        <f>IF(COUNTIF(入力シート!$J$16:$S$23,入力リスト!$K$4)=0,FALSE,IF(AND(入力シート!$J$16&lt;&gt;入力リスト!$K$5,入力シート!$J$18&lt;&gt;入力リスト!$K$5,入力シート!$J$20&lt;&gt;入力リスト!$K$5,入力シート!$J$22&lt;&gt;入力リスト!$K$5),FALSE,ISERROR(VLOOKUP(D468,入力シート!$AW$37:$AY$38,1,0))))</f>
        <v>0</v>
      </c>
      <c r="L468" s="237" t="b">
        <f>IF(COUNTIF(入力シート!$J$16:$S$23,入力リスト!$K$4)=0,FALSE,IF(入力シート!$J$20=入力リスト!$K$5,FALSE,IF(E468="",FALSE,ISERROR(VLOOKUP(E468,入力シート!$AH$37:$AK$62,1,0)))))</f>
        <v>0</v>
      </c>
      <c r="M468" s="238" t="str">
        <f t="shared" si="7"/>
        <v/>
      </c>
      <c r="N468" s="236" t="str">
        <f>IF(B468="","",VLOOKUP('従業員情報(給与以外)'!$B468,入力シート!$S$37:$Z$62,5,0))</f>
        <v/>
      </c>
      <c r="O468" s="182" t="str">
        <f>IF(ISNUMBER(C468)=FALSE,"",IF(C468&gt;入力シート!$J$24,"",_xlfn.DAYS(入力シート!$J$24,'従業員情報(給与以外)'!$C468)/365))</f>
        <v/>
      </c>
      <c r="P468" s="237" t="str">
        <f>IF(O468="","",VLOOKUP(_xlfn.DAYS(入力シート!$J$24,'従業員情報(給与以外)'!$C468)/365,入力リスト!$H$4:$I$12,2,2))</f>
        <v/>
      </c>
      <c r="Q468" s="236" t="str">
        <f>IF(D468="","",VLOOKUP('従業員情報(給与以外)'!$D468,入力シート!$AW$37:$BB$38,4,0))</f>
        <v/>
      </c>
      <c r="R468" s="236" t="str">
        <f>IF(A468="","",IF(E468="","非役職",VLOOKUP('従業員情報(給与以外)'!$E468,入力シート!$AH$37:$AO$62,5,0)))</f>
        <v/>
      </c>
      <c r="S468" s="116" t="str">
        <f>IF(OR(入力シート!$C$5&lt;&gt;入力リスト!$N$4,COUNTIF(入力シート!$J$16:$S$23,入力リスト!$K$4)=0),"",IF($A468="","",IF(ISERROR(AVERAGEIF(従業員の給与情報!$B:$B,$A468,従業員の給与情報!$C:$C)),0,IF(ISERROR(AVERAGEIF(従業員の給与情報!$B:$B,$A468,従業員の給与情報!$C:$C)),0,AVERAGEIF(従業員の給与情報!$B:$B,$A468,従業員の給与情報!$C:$C)))))</f>
        <v/>
      </c>
      <c r="T468" s="116" t="str">
        <f>IF(OR(入力シート!$C$5&lt;&gt;入力リスト!$N$4,COUNTIF(入力シート!$J$16:$S$23,入力リスト!$K$4)=0),"",IF(A468="","",IF(ISERROR(AVERAGEIF(従業員の給与情報!$B:$B,$A468,従業員の給与情報!$D:$D)),0,IF(ISERROR(AVERAGEIF(従業員の給与情報!$B:$B,$A468,従業員の給与情報!$D:$D)),0,AVERAGEIF(従業員の給与情報!$B:$B,$A468,従業員の給与情報!$D:$D)))))</f>
        <v/>
      </c>
      <c r="U468" s="116" t="str">
        <f>IF(OR(入力シート!$C$5&lt;&gt;入力リスト!$N$4,COUNTIF(入力シート!$J$16:$S$23,入力リスト!$K$4)=0),"",IF(A468="","",IF(ISERROR(AVERAGEIF(従業員の給与情報!$B:$B,$A468,従業員の給与情報!$E:$E)),0,IF(ISERROR(AVERAGEIF(従業員の給与情報!$B:$B,$A468,従業員の給与情報!$E:$E)),0,AVERAGEIF(従業員の給与情報!$B:$B,$A468,従業員の給与情報!$E:$E)))))</f>
        <v/>
      </c>
      <c r="V468" s="117" t="str">
        <f>IF(OR(入力シート!$C$5&lt;&gt;入力リスト!$N$4,COUNTIF(入力シート!$J$16:$S$23,入力リスト!$K$4)=0),"",IF(A468="","",IF(ISERROR(AVERAGEIF(従業員の給与情報!$B:$B,$A468,従業員の給与情報!$F:$F)),0,IF(ISERROR(AVERAGEIF(従業員の給与情報!$B:$B,$A468,従業員の給与情報!$F:$F)),0,AVERAGEIF(従業員の給与情報!$B:$B,$A468,従業員の給与情報!$F:$F)))))</f>
        <v/>
      </c>
      <c r="W468" s="182"/>
      <c r="X468" s="260"/>
    </row>
    <row r="469" spans="1:24">
      <c r="A469" s="368"/>
      <c r="B469" s="361"/>
      <c r="C469" s="362"/>
      <c r="D469" s="361"/>
      <c r="E469" s="361"/>
      <c r="F469" s="372" t="str">
        <f>IF(G469,"この従業員番号は、すでに他のセルで入力されています。",IF(入力シート!$C$5=入力リスト!$N$5,"",IF(AND(A469="",B469="",C469="",D469="",E469=""),"",IF(OR(A469="",B469="",C469="",D469=""),IF(A469="","従業員番号","")&amp;IF(AND(A469="",OR(B469="",C469="",D469="")),",","")&amp;IF(B469="","雇用形態","")&amp;IF(AND(B469="",OR(C469="",D469="")),",","")&amp;IF(OR(入力シート!$J$18=入力リスト!$K$4,入力シート!$J$22=入力リスト!$K$4),IF(C469="","入社年月日",""),"")&amp;IF(AND(C469="",D469=""),",","")&amp;IF(D469="","性別","")&amp;IF(IF(A469="","従業員番号","")&amp;IF(B469="","雇用形態","")&amp;IF(OR(入力シート!$J$18=入力リスト!$K$4,入力シート!$J$22=入力リスト!$K$4),IF(C469="","入社年月日",""),"")&amp;IF(D469="","性別","")="","","が空白です。"),IF(J469,"入社年月日に「基準日」の翌日以降の日付が入力されています。","")&amp;IF(I469,"入社年月日に数値以外（又は1900/1/1以前の日付）が入力されています。","")&amp;IF(H469,"雇用形態"&amp;IF(OR(K469,L469),",",""),"")&amp;IF(K469,"性別"&amp;IF(L469,",",""),"")&amp;IF(L469,"役職","")&amp;IF(OR(H469,K469,L469),"に、［入力シート］(4)「貴社」欄と異なる文言が入力されています。","")))))</f>
        <v/>
      </c>
      <c r="G469" s="236" t="b">
        <f>COUNTIF($A$4:A468,$A469)&gt;0</f>
        <v>0</v>
      </c>
      <c r="H469" s="237" t="b">
        <f>IF(COUNTIF(入力シート!$J$16:$S$23,入力リスト!$K$4)=0,FALSE,IF(入力シート!$J$16=入力リスト!$K$5,FALSE,ISERROR(VLOOKUP(B469,入力シート!$S$37:$V$62,1,0))))</f>
        <v>0</v>
      </c>
      <c r="I469" s="237" t="b">
        <f>IF(AND(OR(入力シート!$J$18=入力リスト!$K$4,入力シート!$J$22=入力リスト!$K$4),入力シート!$J$24&lt;&gt;""),IF(ISERROR(C469+1),TRUE,IF(ISNUMBER(C469),FALSE,TRUE)),FALSE)</f>
        <v>0</v>
      </c>
      <c r="J469" s="237" t="b">
        <f>IF(AND(入力シート!$J$18=入力リスト!$K$4,入力シート!$J$22=入力リスト!$K$4),FALSE,IF(I469=TRUE,FALSE,IF(ISERROR(C469+1),FALSE,C469&gt;入力シート!$J$24)))</f>
        <v>0</v>
      </c>
      <c r="K469" s="237" t="b">
        <f>IF(COUNTIF(入力シート!$J$16:$S$23,入力リスト!$K$4)=0,FALSE,IF(AND(入力シート!$J$16&lt;&gt;入力リスト!$K$5,入力シート!$J$18&lt;&gt;入力リスト!$K$5,入力シート!$J$20&lt;&gt;入力リスト!$K$5,入力シート!$J$22&lt;&gt;入力リスト!$K$5),FALSE,ISERROR(VLOOKUP(D469,入力シート!$AW$37:$AY$38,1,0))))</f>
        <v>0</v>
      </c>
      <c r="L469" s="237" t="b">
        <f>IF(COUNTIF(入力シート!$J$16:$S$23,入力リスト!$K$4)=0,FALSE,IF(入力シート!$J$20=入力リスト!$K$5,FALSE,IF(E469="",FALSE,ISERROR(VLOOKUP(E469,入力シート!$AH$37:$AK$62,1,0)))))</f>
        <v>0</v>
      </c>
      <c r="M469" s="238" t="str">
        <f t="shared" si="7"/>
        <v/>
      </c>
      <c r="N469" s="236" t="str">
        <f>IF(B469="","",VLOOKUP('従業員情報(給与以外)'!$B469,入力シート!$S$37:$Z$62,5,0))</f>
        <v/>
      </c>
      <c r="O469" s="182" t="str">
        <f>IF(ISNUMBER(C469)=FALSE,"",IF(C469&gt;入力シート!$J$24,"",_xlfn.DAYS(入力シート!$J$24,'従業員情報(給与以外)'!$C469)/365))</f>
        <v/>
      </c>
      <c r="P469" s="237" t="str">
        <f>IF(O469="","",VLOOKUP(_xlfn.DAYS(入力シート!$J$24,'従業員情報(給与以外)'!$C469)/365,入力リスト!$H$4:$I$12,2,2))</f>
        <v/>
      </c>
      <c r="Q469" s="236" t="str">
        <f>IF(D469="","",VLOOKUP('従業員情報(給与以外)'!$D469,入力シート!$AW$37:$BB$38,4,0))</f>
        <v/>
      </c>
      <c r="R469" s="236" t="str">
        <f>IF(A469="","",IF(E469="","非役職",VLOOKUP('従業員情報(給与以外)'!$E469,入力シート!$AH$37:$AO$62,5,0)))</f>
        <v/>
      </c>
      <c r="S469" s="116" t="str">
        <f>IF(OR(入力シート!$C$5&lt;&gt;入力リスト!$N$4,COUNTIF(入力シート!$J$16:$S$23,入力リスト!$K$4)=0),"",IF($A469="","",IF(ISERROR(AVERAGEIF(従業員の給与情報!$B:$B,$A469,従業員の給与情報!$C:$C)),0,IF(ISERROR(AVERAGEIF(従業員の給与情報!$B:$B,$A469,従業員の給与情報!$C:$C)),0,AVERAGEIF(従業員の給与情報!$B:$B,$A469,従業員の給与情報!$C:$C)))))</f>
        <v/>
      </c>
      <c r="T469" s="116" t="str">
        <f>IF(OR(入力シート!$C$5&lt;&gt;入力リスト!$N$4,COUNTIF(入力シート!$J$16:$S$23,入力リスト!$K$4)=0),"",IF(A469="","",IF(ISERROR(AVERAGEIF(従業員の給与情報!$B:$B,$A469,従業員の給与情報!$D:$D)),0,IF(ISERROR(AVERAGEIF(従業員の給与情報!$B:$B,$A469,従業員の給与情報!$D:$D)),0,AVERAGEIF(従業員の給与情報!$B:$B,$A469,従業員の給与情報!$D:$D)))))</f>
        <v/>
      </c>
      <c r="U469" s="116" t="str">
        <f>IF(OR(入力シート!$C$5&lt;&gt;入力リスト!$N$4,COUNTIF(入力シート!$J$16:$S$23,入力リスト!$K$4)=0),"",IF(A469="","",IF(ISERROR(AVERAGEIF(従業員の給与情報!$B:$B,$A469,従業員の給与情報!$E:$E)),0,IF(ISERROR(AVERAGEIF(従業員の給与情報!$B:$B,$A469,従業員の給与情報!$E:$E)),0,AVERAGEIF(従業員の給与情報!$B:$B,$A469,従業員の給与情報!$E:$E)))))</f>
        <v/>
      </c>
      <c r="V469" s="117" t="str">
        <f>IF(OR(入力シート!$C$5&lt;&gt;入力リスト!$N$4,COUNTIF(入力シート!$J$16:$S$23,入力リスト!$K$4)=0),"",IF(A469="","",IF(ISERROR(AVERAGEIF(従業員の給与情報!$B:$B,$A469,従業員の給与情報!$F:$F)),0,IF(ISERROR(AVERAGEIF(従業員の給与情報!$B:$B,$A469,従業員の給与情報!$F:$F)),0,AVERAGEIF(従業員の給与情報!$B:$B,$A469,従業員の給与情報!$F:$F)))))</f>
        <v/>
      </c>
      <c r="W469" s="182"/>
      <c r="X469" s="260"/>
    </row>
    <row r="470" spans="1:24">
      <c r="A470" s="368"/>
      <c r="B470" s="361"/>
      <c r="C470" s="362"/>
      <c r="D470" s="361"/>
      <c r="E470" s="361"/>
      <c r="F470" s="372" t="str">
        <f>IF(G470,"この従業員番号は、すでに他のセルで入力されています。",IF(入力シート!$C$5=入力リスト!$N$5,"",IF(AND(A470="",B470="",C470="",D470="",E470=""),"",IF(OR(A470="",B470="",C470="",D470=""),IF(A470="","従業員番号","")&amp;IF(AND(A470="",OR(B470="",C470="",D470="")),",","")&amp;IF(B470="","雇用形態","")&amp;IF(AND(B470="",OR(C470="",D470="")),",","")&amp;IF(OR(入力シート!$J$18=入力リスト!$K$4,入力シート!$J$22=入力リスト!$K$4),IF(C470="","入社年月日",""),"")&amp;IF(AND(C470="",D470=""),",","")&amp;IF(D470="","性別","")&amp;IF(IF(A470="","従業員番号","")&amp;IF(B470="","雇用形態","")&amp;IF(OR(入力シート!$J$18=入力リスト!$K$4,入力シート!$J$22=入力リスト!$K$4),IF(C470="","入社年月日",""),"")&amp;IF(D470="","性別","")="","","が空白です。"),IF(J470,"入社年月日に「基準日」の翌日以降の日付が入力されています。","")&amp;IF(I470,"入社年月日に数値以外（又は1900/1/1以前の日付）が入力されています。","")&amp;IF(H470,"雇用形態"&amp;IF(OR(K470,L470),",",""),"")&amp;IF(K470,"性別"&amp;IF(L470,",",""),"")&amp;IF(L470,"役職","")&amp;IF(OR(H470,K470,L470),"に、［入力シート］(4)「貴社」欄と異なる文言が入力されています。","")))))</f>
        <v/>
      </c>
      <c r="G470" s="236" t="b">
        <f>COUNTIF($A$4:A469,$A470)&gt;0</f>
        <v>0</v>
      </c>
      <c r="H470" s="237" t="b">
        <f>IF(COUNTIF(入力シート!$J$16:$S$23,入力リスト!$K$4)=0,FALSE,IF(入力シート!$J$16=入力リスト!$K$5,FALSE,ISERROR(VLOOKUP(B470,入力シート!$S$37:$V$62,1,0))))</f>
        <v>0</v>
      </c>
      <c r="I470" s="237" t="b">
        <f>IF(AND(OR(入力シート!$J$18=入力リスト!$K$4,入力シート!$J$22=入力リスト!$K$4),入力シート!$J$24&lt;&gt;""),IF(ISERROR(C470+1),TRUE,IF(ISNUMBER(C470),FALSE,TRUE)),FALSE)</f>
        <v>0</v>
      </c>
      <c r="J470" s="237" t="b">
        <f>IF(AND(入力シート!$J$18=入力リスト!$K$4,入力シート!$J$22=入力リスト!$K$4),FALSE,IF(I470=TRUE,FALSE,IF(ISERROR(C470+1),FALSE,C470&gt;入力シート!$J$24)))</f>
        <v>0</v>
      </c>
      <c r="K470" s="237" t="b">
        <f>IF(COUNTIF(入力シート!$J$16:$S$23,入力リスト!$K$4)=0,FALSE,IF(AND(入力シート!$J$16&lt;&gt;入力リスト!$K$5,入力シート!$J$18&lt;&gt;入力リスト!$K$5,入力シート!$J$20&lt;&gt;入力リスト!$K$5,入力シート!$J$22&lt;&gt;入力リスト!$K$5),FALSE,ISERROR(VLOOKUP(D470,入力シート!$AW$37:$AY$38,1,0))))</f>
        <v>0</v>
      </c>
      <c r="L470" s="237" t="b">
        <f>IF(COUNTIF(入力シート!$J$16:$S$23,入力リスト!$K$4)=0,FALSE,IF(入力シート!$J$20=入力リスト!$K$5,FALSE,IF(E470="",FALSE,ISERROR(VLOOKUP(E470,入力シート!$AH$37:$AK$62,1,0)))))</f>
        <v>0</v>
      </c>
      <c r="M470" s="238" t="str">
        <f t="shared" si="7"/>
        <v/>
      </c>
      <c r="N470" s="236" t="str">
        <f>IF(B470="","",VLOOKUP('従業員情報(給与以外)'!$B470,入力シート!$S$37:$Z$62,5,0))</f>
        <v/>
      </c>
      <c r="O470" s="182" t="str">
        <f>IF(ISNUMBER(C470)=FALSE,"",IF(C470&gt;入力シート!$J$24,"",_xlfn.DAYS(入力シート!$J$24,'従業員情報(給与以外)'!$C470)/365))</f>
        <v/>
      </c>
      <c r="P470" s="237" t="str">
        <f>IF(O470="","",VLOOKUP(_xlfn.DAYS(入力シート!$J$24,'従業員情報(給与以外)'!$C470)/365,入力リスト!$H$4:$I$12,2,2))</f>
        <v/>
      </c>
      <c r="Q470" s="236" t="str">
        <f>IF(D470="","",VLOOKUP('従業員情報(給与以外)'!$D470,入力シート!$AW$37:$BB$38,4,0))</f>
        <v/>
      </c>
      <c r="R470" s="236" t="str">
        <f>IF(A470="","",IF(E470="","非役職",VLOOKUP('従業員情報(給与以外)'!$E470,入力シート!$AH$37:$AO$62,5,0)))</f>
        <v/>
      </c>
      <c r="S470" s="116" t="str">
        <f>IF(OR(入力シート!$C$5&lt;&gt;入力リスト!$N$4,COUNTIF(入力シート!$J$16:$S$23,入力リスト!$K$4)=0),"",IF($A470="","",IF(ISERROR(AVERAGEIF(従業員の給与情報!$B:$B,$A470,従業員の給与情報!$C:$C)),0,IF(ISERROR(AVERAGEIF(従業員の給与情報!$B:$B,$A470,従業員の給与情報!$C:$C)),0,AVERAGEIF(従業員の給与情報!$B:$B,$A470,従業員の給与情報!$C:$C)))))</f>
        <v/>
      </c>
      <c r="T470" s="116" t="str">
        <f>IF(OR(入力シート!$C$5&lt;&gt;入力リスト!$N$4,COUNTIF(入力シート!$J$16:$S$23,入力リスト!$K$4)=0),"",IF(A470="","",IF(ISERROR(AVERAGEIF(従業員の給与情報!$B:$B,$A470,従業員の給与情報!$D:$D)),0,IF(ISERROR(AVERAGEIF(従業員の給与情報!$B:$B,$A470,従業員の給与情報!$D:$D)),0,AVERAGEIF(従業員の給与情報!$B:$B,$A470,従業員の給与情報!$D:$D)))))</f>
        <v/>
      </c>
      <c r="U470" s="116" t="str">
        <f>IF(OR(入力シート!$C$5&lt;&gt;入力リスト!$N$4,COUNTIF(入力シート!$J$16:$S$23,入力リスト!$K$4)=0),"",IF(A470="","",IF(ISERROR(AVERAGEIF(従業員の給与情報!$B:$B,$A470,従業員の給与情報!$E:$E)),0,IF(ISERROR(AVERAGEIF(従業員の給与情報!$B:$B,$A470,従業員の給与情報!$E:$E)),0,AVERAGEIF(従業員の給与情報!$B:$B,$A470,従業員の給与情報!$E:$E)))))</f>
        <v/>
      </c>
      <c r="V470" s="117" t="str">
        <f>IF(OR(入力シート!$C$5&lt;&gt;入力リスト!$N$4,COUNTIF(入力シート!$J$16:$S$23,入力リスト!$K$4)=0),"",IF(A470="","",IF(ISERROR(AVERAGEIF(従業員の給与情報!$B:$B,$A470,従業員の給与情報!$F:$F)),0,IF(ISERROR(AVERAGEIF(従業員の給与情報!$B:$B,$A470,従業員の給与情報!$F:$F)),0,AVERAGEIF(従業員の給与情報!$B:$B,$A470,従業員の給与情報!$F:$F)))))</f>
        <v/>
      </c>
      <c r="W470" s="182"/>
      <c r="X470" s="260"/>
    </row>
    <row r="471" spans="1:24">
      <c r="A471" s="368"/>
      <c r="B471" s="361"/>
      <c r="C471" s="362"/>
      <c r="D471" s="361"/>
      <c r="E471" s="361"/>
      <c r="F471" s="372" t="str">
        <f>IF(G471,"この従業員番号は、すでに他のセルで入力されています。",IF(入力シート!$C$5=入力リスト!$N$5,"",IF(AND(A471="",B471="",C471="",D471="",E471=""),"",IF(OR(A471="",B471="",C471="",D471=""),IF(A471="","従業員番号","")&amp;IF(AND(A471="",OR(B471="",C471="",D471="")),",","")&amp;IF(B471="","雇用形態","")&amp;IF(AND(B471="",OR(C471="",D471="")),",","")&amp;IF(OR(入力シート!$J$18=入力リスト!$K$4,入力シート!$J$22=入力リスト!$K$4),IF(C471="","入社年月日",""),"")&amp;IF(AND(C471="",D471=""),",","")&amp;IF(D471="","性別","")&amp;IF(IF(A471="","従業員番号","")&amp;IF(B471="","雇用形態","")&amp;IF(OR(入力シート!$J$18=入力リスト!$K$4,入力シート!$J$22=入力リスト!$K$4),IF(C471="","入社年月日",""),"")&amp;IF(D471="","性別","")="","","が空白です。"),IF(J471,"入社年月日に「基準日」の翌日以降の日付が入力されています。","")&amp;IF(I471,"入社年月日に数値以外（又は1900/1/1以前の日付）が入力されています。","")&amp;IF(H471,"雇用形態"&amp;IF(OR(K471,L471),",",""),"")&amp;IF(K471,"性別"&amp;IF(L471,",",""),"")&amp;IF(L471,"役職","")&amp;IF(OR(H471,K471,L471),"に、［入力シート］(4)「貴社」欄と異なる文言が入力されています。","")))))</f>
        <v/>
      </c>
      <c r="G471" s="236" t="b">
        <f>COUNTIF($A$4:A470,$A471)&gt;0</f>
        <v>0</v>
      </c>
      <c r="H471" s="237" t="b">
        <f>IF(COUNTIF(入力シート!$J$16:$S$23,入力リスト!$K$4)=0,FALSE,IF(入力シート!$J$16=入力リスト!$K$5,FALSE,ISERROR(VLOOKUP(B471,入力シート!$S$37:$V$62,1,0))))</f>
        <v>0</v>
      </c>
      <c r="I471" s="237" t="b">
        <f>IF(AND(OR(入力シート!$J$18=入力リスト!$K$4,入力シート!$J$22=入力リスト!$K$4),入力シート!$J$24&lt;&gt;""),IF(ISERROR(C471+1),TRUE,IF(ISNUMBER(C471),FALSE,TRUE)),FALSE)</f>
        <v>0</v>
      </c>
      <c r="J471" s="237" t="b">
        <f>IF(AND(入力シート!$J$18=入力リスト!$K$4,入力シート!$J$22=入力リスト!$K$4),FALSE,IF(I471=TRUE,FALSE,IF(ISERROR(C471+1),FALSE,C471&gt;入力シート!$J$24)))</f>
        <v>0</v>
      </c>
      <c r="K471" s="237" t="b">
        <f>IF(COUNTIF(入力シート!$J$16:$S$23,入力リスト!$K$4)=0,FALSE,IF(AND(入力シート!$J$16&lt;&gt;入力リスト!$K$5,入力シート!$J$18&lt;&gt;入力リスト!$K$5,入力シート!$J$20&lt;&gt;入力リスト!$K$5,入力シート!$J$22&lt;&gt;入力リスト!$K$5),FALSE,ISERROR(VLOOKUP(D471,入力シート!$AW$37:$AY$38,1,0))))</f>
        <v>0</v>
      </c>
      <c r="L471" s="237" t="b">
        <f>IF(COUNTIF(入力シート!$J$16:$S$23,入力リスト!$K$4)=0,FALSE,IF(入力シート!$J$20=入力リスト!$K$5,FALSE,IF(E471="",FALSE,ISERROR(VLOOKUP(E471,入力シート!$AH$37:$AK$62,1,0)))))</f>
        <v>0</v>
      </c>
      <c r="M471" s="238" t="str">
        <f t="shared" si="7"/>
        <v/>
      </c>
      <c r="N471" s="236" t="str">
        <f>IF(B471="","",VLOOKUP('従業員情報(給与以外)'!$B471,入力シート!$S$37:$Z$62,5,0))</f>
        <v/>
      </c>
      <c r="O471" s="182" t="str">
        <f>IF(ISNUMBER(C471)=FALSE,"",IF(C471&gt;入力シート!$J$24,"",_xlfn.DAYS(入力シート!$J$24,'従業員情報(給与以外)'!$C471)/365))</f>
        <v/>
      </c>
      <c r="P471" s="237" t="str">
        <f>IF(O471="","",VLOOKUP(_xlfn.DAYS(入力シート!$J$24,'従業員情報(給与以外)'!$C471)/365,入力リスト!$H$4:$I$12,2,2))</f>
        <v/>
      </c>
      <c r="Q471" s="236" t="str">
        <f>IF(D471="","",VLOOKUP('従業員情報(給与以外)'!$D471,入力シート!$AW$37:$BB$38,4,0))</f>
        <v/>
      </c>
      <c r="R471" s="236" t="str">
        <f>IF(A471="","",IF(E471="","非役職",VLOOKUP('従業員情報(給与以外)'!$E471,入力シート!$AH$37:$AO$62,5,0)))</f>
        <v/>
      </c>
      <c r="S471" s="116" t="str">
        <f>IF(OR(入力シート!$C$5&lt;&gt;入力リスト!$N$4,COUNTIF(入力シート!$J$16:$S$23,入力リスト!$K$4)=0),"",IF($A471="","",IF(ISERROR(AVERAGEIF(従業員の給与情報!$B:$B,$A471,従業員の給与情報!$C:$C)),0,IF(ISERROR(AVERAGEIF(従業員の給与情報!$B:$B,$A471,従業員の給与情報!$C:$C)),0,AVERAGEIF(従業員の給与情報!$B:$B,$A471,従業員の給与情報!$C:$C)))))</f>
        <v/>
      </c>
      <c r="T471" s="116" t="str">
        <f>IF(OR(入力シート!$C$5&lt;&gt;入力リスト!$N$4,COUNTIF(入力シート!$J$16:$S$23,入力リスト!$K$4)=0),"",IF(A471="","",IF(ISERROR(AVERAGEIF(従業員の給与情報!$B:$B,$A471,従業員の給与情報!$D:$D)),0,IF(ISERROR(AVERAGEIF(従業員の給与情報!$B:$B,$A471,従業員の給与情報!$D:$D)),0,AVERAGEIF(従業員の給与情報!$B:$B,$A471,従業員の給与情報!$D:$D)))))</f>
        <v/>
      </c>
      <c r="U471" s="116" t="str">
        <f>IF(OR(入力シート!$C$5&lt;&gt;入力リスト!$N$4,COUNTIF(入力シート!$J$16:$S$23,入力リスト!$K$4)=0),"",IF(A471="","",IF(ISERROR(AVERAGEIF(従業員の給与情報!$B:$B,$A471,従業員の給与情報!$E:$E)),0,IF(ISERROR(AVERAGEIF(従業員の給与情報!$B:$B,$A471,従業員の給与情報!$E:$E)),0,AVERAGEIF(従業員の給与情報!$B:$B,$A471,従業員の給与情報!$E:$E)))))</f>
        <v/>
      </c>
      <c r="V471" s="117" t="str">
        <f>IF(OR(入力シート!$C$5&lt;&gt;入力リスト!$N$4,COUNTIF(入力シート!$J$16:$S$23,入力リスト!$K$4)=0),"",IF(A471="","",IF(ISERROR(AVERAGEIF(従業員の給与情報!$B:$B,$A471,従業員の給与情報!$F:$F)),0,IF(ISERROR(AVERAGEIF(従業員の給与情報!$B:$B,$A471,従業員の給与情報!$F:$F)),0,AVERAGEIF(従業員の給与情報!$B:$B,$A471,従業員の給与情報!$F:$F)))))</f>
        <v/>
      </c>
      <c r="W471" s="182"/>
      <c r="X471" s="260"/>
    </row>
    <row r="472" spans="1:24">
      <c r="A472" s="368"/>
      <c r="B472" s="361"/>
      <c r="C472" s="362"/>
      <c r="D472" s="361"/>
      <c r="E472" s="361"/>
      <c r="F472" s="372" t="str">
        <f>IF(G472,"この従業員番号は、すでに他のセルで入力されています。",IF(入力シート!$C$5=入力リスト!$N$5,"",IF(AND(A472="",B472="",C472="",D472="",E472=""),"",IF(OR(A472="",B472="",C472="",D472=""),IF(A472="","従業員番号","")&amp;IF(AND(A472="",OR(B472="",C472="",D472="")),",","")&amp;IF(B472="","雇用形態","")&amp;IF(AND(B472="",OR(C472="",D472="")),",","")&amp;IF(OR(入力シート!$J$18=入力リスト!$K$4,入力シート!$J$22=入力リスト!$K$4),IF(C472="","入社年月日",""),"")&amp;IF(AND(C472="",D472=""),",","")&amp;IF(D472="","性別","")&amp;IF(IF(A472="","従業員番号","")&amp;IF(B472="","雇用形態","")&amp;IF(OR(入力シート!$J$18=入力リスト!$K$4,入力シート!$J$22=入力リスト!$K$4),IF(C472="","入社年月日",""),"")&amp;IF(D472="","性別","")="","","が空白です。"),IF(J472,"入社年月日に「基準日」の翌日以降の日付が入力されています。","")&amp;IF(I472,"入社年月日に数値以外（又は1900/1/1以前の日付）が入力されています。","")&amp;IF(H472,"雇用形態"&amp;IF(OR(K472,L472),",",""),"")&amp;IF(K472,"性別"&amp;IF(L472,",",""),"")&amp;IF(L472,"役職","")&amp;IF(OR(H472,K472,L472),"に、［入力シート］(4)「貴社」欄と異なる文言が入力されています。","")))))</f>
        <v/>
      </c>
      <c r="G472" s="236" t="b">
        <f>COUNTIF($A$4:A471,$A472)&gt;0</f>
        <v>0</v>
      </c>
      <c r="H472" s="237" t="b">
        <f>IF(COUNTIF(入力シート!$J$16:$S$23,入力リスト!$K$4)=0,FALSE,IF(入力シート!$J$16=入力リスト!$K$5,FALSE,ISERROR(VLOOKUP(B472,入力シート!$S$37:$V$62,1,0))))</f>
        <v>0</v>
      </c>
      <c r="I472" s="237" t="b">
        <f>IF(AND(OR(入力シート!$J$18=入力リスト!$K$4,入力シート!$J$22=入力リスト!$K$4),入力シート!$J$24&lt;&gt;""),IF(ISERROR(C472+1),TRUE,IF(ISNUMBER(C472),FALSE,TRUE)),FALSE)</f>
        <v>0</v>
      </c>
      <c r="J472" s="237" t="b">
        <f>IF(AND(入力シート!$J$18=入力リスト!$K$4,入力シート!$J$22=入力リスト!$K$4),FALSE,IF(I472=TRUE,FALSE,IF(ISERROR(C472+1),FALSE,C472&gt;入力シート!$J$24)))</f>
        <v>0</v>
      </c>
      <c r="K472" s="237" t="b">
        <f>IF(COUNTIF(入力シート!$J$16:$S$23,入力リスト!$K$4)=0,FALSE,IF(AND(入力シート!$J$16&lt;&gt;入力リスト!$K$5,入力シート!$J$18&lt;&gt;入力リスト!$K$5,入力シート!$J$20&lt;&gt;入力リスト!$K$5,入力シート!$J$22&lt;&gt;入力リスト!$K$5),FALSE,ISERROR(VLOOKUP(D472,入力シート!$AW$37:$AY$38,1,0))))</f>
        <v>0</v>
      </c>
      <c r="L472" s="237" t="b">
        <f>IF(COUNTIF(入力シート!$J$16:$S$23,入力リスト!$K$4)=0,FALSE,IF(入力シート!$J$20=入力リスト!$K$5,FALSE,IF(E472="",FALSE,ISERROR(VLOOKUP(E472,入力シート!$AH$37:$AK$62,1,0)))))</f>
        <v>0</v>
      </c>
      <c r="M472" s="238" t="str">
        <f t="shared" si="7"/>
        <v/>
      </c>
      <c r="N472" s="236" t="str">
        <f>IF(B472="","",VLOOKUP('従業員情報(給与以外)'!$B472,入力シート!$S$37:$Z$62,5,0))</f>
        <v/>
      </c>
      <c r="O472" s="182" t="str">
        <f>IF(ISNUMBER(C472)=FALSE,"",IF(C472&gt;入力シート!$J$24,"",_xlfn.DAYS(入力シート!$J$24,'従業員情報(給与以外)'!$C472)/365))</f>
        <v/>
      </c>
      <c r="P472" s="237" t="str">
        <f>IF(O472="","",VLOOKUP(_xlfn.DAYS(入力シート!$J$24,'従業員情報(給与以外)'!$C472)/365,入力リスト!$H$4:$I$12,2,2))</f>
        <v/>
      </c>
      <c r="Q472" s="236" t="str">
        <f>IF(D472="","",VLOOKUP('従業員情報(給与以外)'!$D472,入力シート!$AW$37:$BB$38,4,0))</f>
        <v/>
      </c>
      <c r="R472" s="236" t="str">
        <f>IF(A472="","",IF(E472="","非役職",VLOOKUP('従業員情報(給与以外)'!$E472,入力シート!$AH$37:$AO$62,5,0)))</f>
        <v/>
      </c>
      <c r="S472" s="116" t="str">
        <f>IF(OR(入力シート!$C$5&lt;&gt;入力リスト!$N$4,COUNTIF(入力シート!$J$16:$S$23,入力リスト!$K$4)=0),"",IF($A472="","",IF(ISERROR(AVERAGEIF(従業員の給与情報!$B:$B,$A472,従業員の給与情報!$C:$C)),0,IF(ISERROR(AVERAGEIF(従業員の給与情報!$B:$B,$A472,従業員の給与情報!$C:$C)),0,AVERAGEIF(従業員の給与情報!$B:$B,$A472,従業員の給与情報!$C:$C)))))</f>
        <v/>
      </c>
      <c r="T472" s="116" t="str">
        <f>IF(OR(入力シート!$C$5&lt;&gt;入力リスト!$N$4,COUNTIF(入力シート!$J$16:$S$23,入力リスト!$K$4)=0),"",IF(A472="","",IF(ISERROR(AVERAGEIF(従業員の給与情報!$B:$B,$A472,従業員の給与情報!$D:$D)),0,IF(ISERROR(AVERAGEIF(従業員の給与情報!$B:$B,$A472,従業員の給与情報!$D:$D)),0,AVERAGEIF(従業員の給与情報!$B:$B,$A472,従業員の給与情報!$D:$D)))))</f>
        <v/>
      </c>
      <c r="U472" s="116" t="str">
        <f>IF(OR(入力シート!$C$5&lt;&gt;入力リスト!$N$4,COUNTIF(入力シート!$J$16:$S$23,入力リスト!$K$4)=0),"",IF(A472="","",IF(ISERROR(AVERAGEIF(従業員の給与情報!$B:$B,$A472,従業員の給与情報!$E:$E)),0,IF(ISERROR(AVERAGEIF(従業員の給与情報!$B:$B,$A472,従業員の給与情報!$E:$E)),0,AVERAGEIF(従業員の給与情報!$B:$B,$A472,従業員の給与情報!$E:$E)))))</f>
        <v/>
      </c>
      <c r="V472" s="117" t="str">
        <f>IF(OR(入力シート!$C$5&lt;&gt;入力リスト!$N$4,COUNTIF(入力シート!$J$16:$S$23,入力リスト!$K$4)=0),"",IF(A472="","",IF(ISERROR(AVERAGEIF(従業員の給与情報!$B:$B,$A472,従業員の給与情報!$F:$F)),0,IF(ISERROR(AVERAGEIF(従業員の給与情報!$B:$B,$A472,従業員の給与情報!$F:$F)),0,AVERAGEIF(従業員の給与情報!$B:$B,$A472,従業員の給与情報!$F:$F)))))</f>
        <v/>
      </c>
      <c r="W472" s="182"/>
      <c r="X472" s="260"/>
    </row>
    <row r="473" spans="1:24">
      <c r="A473" s="368"/>
      <c r="B473" s="361"/>
      <c r="C473" s="362"/>
      <c r="D473" s="361"/>
      <c r="E473" s="361"/>
      <c r="F473" s="372" t="str">
        <f>IF(G473,"この従業員番号は、すでに他のセルで入力されています。",IF(入力シート!$C$5=入力リスト!$N$5,"",IF(AND(A473="",B473="",C473="",D473="",E473=""),"",IF(OR(A473="",B473="",C473="",D473=""),IF(A473="","従業員番号","")&amp;IF(AND(A473="",OR(B473="",C473="",D473="")),",","")&amp;IF(B473="","雇用形態","")&amp;IF(AND(B473="",OR(C473="",D473="")),",","")&amp;IF(OR(入力シート!$J$18=入力リスト!$K$4,入力シート!$J$22=入力リスト!$K$4),IF(C473="","入社年月日",""),"")&amp;IF(AND(C473="",D473=""),",","")&amp;IF(D473="","性別","")&amp;IF(IF(A473="","従業員番号","")&amp;IF(B473="","雇用形態","")&amp;IF(OR(入力シート!$J$18=入力リスト!$K$4,入力シート!$J$22=入力リスト!$K$4),IF(C473="","入社年月日",""),"")&amp;IF(D473="","性別","")="","","が空白です。"),IF(J473,"入社年月日に「基準日」の翌日以降の日付が入力されています。","")&amp;IF(I473,"入社年月日に数値以外（又は1900/1/1以前の日付）が入力されています。","")&amp;IF(H473,"雇用形態"&amp;IF(OR(K473,L473),",",""),"")&amp;IF(K473,"性別"&amp;IF(L473,",",""),"")&amp;IF(L473,"役職","")&amp;IF(OR(H473,K473,L473),"に、［入力シート］(4)「貴社」欄と異なる文言が入力されています。","")))))</f>
        <v/>
      </c>
      <c r="G473" s="236" t="b">
        <f>COUNTIF($A$4:A472,$A473)&gt;0</f>
        <v>0</v>
      </c>
      <c r="H473" s="237" t="b">
        <f>IF(COUNTIF(入力シート!$J$16:$S$23,入力リスト!$K$4)=0,FALSE,IF(入力シート!$J$16=入力リスト!$K$5,FALSE,ISERROR(VLOOKUP(B473,入力シート!$S$37:$V$62,1,0))))</f>
        <v>0</v>
      </c>
      <c r="I473" s="237" t="b">
        <f>IF(AND(OR(入力シート!$J$18=入力リスト!$K$4,入力シート!$J$22=入力リスト!$K$4),入力シート!$J$24&lt;&gt;""),IF(ISERROR(C473+1),TRUE,IF(ISNUMBER(C473),FALSE,TRUE)),FALSE)</f>
        <v>0</v>
      </c>
      <c r="J473" s="237" t="b">
        <f>IF(AND(入力シート!$J$18=入力リスト!$K$4,入力シート!$J$22=入力リスト!$K$4),FALSE,IF(I473=TRUE,FALSE,IF(ISERROR(C473+1),FALSE,C473&gt;入力シート!$J$24)))</f>
        <v>0</v>
      </c>
      <c r="K473" s="237" t="b">
        <f>IF(COUNTIF(入力シート!$J$16:$S$23,入力リスト!$K$4)=0,FALSE,IF(AND(入力シート!$J$16&lt;&gt;入力リスト!$K$5,入力シート!$J$18&lt;&gt;入力リスト!$K$5,入力シート!$J$20&lt;&gt;入力リスト!$K$5,入力シート!$J$22&lt;&gt;入力リスト!$K$5),FALSE,ISERROR(VLOOKUP(D473,入力シート!$AW$37:$AY$38,1,0))))</f>
        <v>0</v>
      </c>
      <c r="L473" s="237" t="b">
        <f>IF(COUNTIF(入力シート!$J$16:$S$23,入力リスト!$K$4)=0,FALSE,IF(入力シート!$J$20=入力リスト!$K$5,FALSE,IF(E473="",FALSE,ISERROR(VLOOKUP(E473,入力シート!$AH$37:$AK$62,1,0)))))</f>
        <v>0</v>
      </c>
      <c r="M473" s="238" t="str">
        <f t="shared" si="7"/>
        <v/>
      </c>
      <c r="N473" s="236" t="str">
        <f>IF(B473="","",VLOOKUP('従業員情報(給与以外)'!$B473,入力シート!$S$37:$Z$62,5,0))</f>
        <v/>
      </c>
      <c r="O473" s="182" t="str">
        <f>IF(ISNUMBER(C473)=FALSE,"",IF(C473&gt;入力シート!$J$24,"",_xlfn.DAYS(入力シート!$J$24,'従業員情報(給与以外)'!$C473)/365))</f>
        <v/>
      </c>
      <c r="P473" s="237" t="str">
        <f>IF(O473="","",VLOOKUP(_xlfn.DAYS(入力シート!$J$24,'従業員情報(給与以外)'!$C473)/365,入力リスト!$H$4:$I$12,2,2))</f>
        <v/>
      </c>
      <c r="Q473" s="236" t="str">
        <f>IF(D473="","",VLOOKUP('従業員情報(給与以外)'!$D473,入力シート!$AW$37:$BB$38,4,0))</f>
        <v/>
      </c>
      <c r="R473" s="236" t="str">
        <f>IF(A473="","",IF(E473="","非役職",VLOOKUP('従業員情報(給与以外)'!$E473,入力シート!$AH$37:$AO$62,5,0)))</f>
        <v/>
      </c>
      <c r="S473" s="116" t="str">
        <f>IF(OR(入力シート!$C$5&lt;&gt;入力リスト!$N$4,COUNTIF(入力シート!$J$16:$S$23,入力リスト!$K$4)=0),"",IF($A473="","",IF(ISERROR(AVERAGEIF(従業員の給与情報!$B:$B,$A473,従業員の給与情報!$C:$C)),0,IF(ISERROR(AVERAGEIF(従業員の給与情報!$B:$B,$A473,従業員の給与情報!$C:$C)),0,AVERAGEIF(従業員の給与情報!$B:$B,$A473,従業員の給与情報!$C:$C)))))</f>
        <v/>
      </c>
      <c r="T473" s="116" t="str">
        <f>IF(OR(入力シート!$C$5&lt;&gt;入力リスト!$N$4,COUNTIF(入力シート!$J$16:$S$23,入力リスト!$K$4)=0),"",IF(A473="","",IF(ISERROR(AVERAGEIF(従業員の給与情報!$B:$B,$A473,従業員の給与情報!$D:$D)),0,IF(ISERROR(AVERAGEIF(従業員の給与情報!$B:$B,$A473,従業員の給与情報!$D:$D)),0,AVERAGEIF(従業員の給与情報!$B:$B,$A473,従業員の給与情報!$D:$D)))))</f>
        <v/>
      </c>
      <c r="U473" s="116" t="str">
        <f>IF(OR(入力シート!$C$5&lt;&gt;入力リスト!$N$4,COUNTIF(入力シート!$J$16:$S$23,入力リスト!$K$4)=0),"",IF(A473="","",IF(ISERROR(AVERAGEIF(従業員の給与情報!$B:$B,$A473,従業員の給与情報!$E:$E)),0,IF(ISERROR(AVERAGEIF(従業員の給与情報!$B:$B,$A473,従業員の給与情報!$E:$E)),0,AVERAGEIF(従業員の給与情報!$B:$B,$A473,従業員の給与情報!$E:$E)))))</f>
        <v/>
      </c>
      <c r="V473" s="117" t="str">
        <f>IF(OR(入力シート!$C$5&lt;&gt;入力リスト!$N$4,COUNTIF(入力シート!$J$16:$S$23,入力リスト!$K$4)=0),"",IF(A473="","",IF(ISERROR(AVERAGEIF(従業員の給与情報!$B:$B,$A473,従業員の給与情報!$F:$F)),0,IF(ISERROR(AVERAGEIF(従業員の給与情報!$B:$B,$A473,従業員の給与情報!$F:$F)),0,AVERAGEIF(従業員の給与情報!$B:$B,$A473,従業員の給与情報!$F:$F)))))</f>
        <v/>
      </c>
      <c r="W473" s="182"/>
      <c r="X473" s="260"/>
    </row>
    <row r="474" spans="1:24">
      <c r="A474" s="368"/>
      <c r="B474" s="361"/>
      <c r="C474" s="362"/>
      <c r="D474" s="361"/>
      <c r="E474" s="361"/>
      <c r="F474" s="372" t="str">
        <f>IF(G474,"この従業員番号は、すでに他のセルで入力されています。",IF(入力シート!$C$5=入力リスト!$N$5,"",IF(AND(A474="",B474="",C474="",D474="",E474=""),"",IF(OR(A474="",B474="",C474="",D474=""),IF(A474="","従業員番号","")&amp;IF(AND(A474="",OR(B474="",C474="",D474="")),",","")&amp;IF(B474="","雇用形態","")&amp;IF(AND(B474="",OR(C474="",D474="")),",","")&amp;IF(OR(入力シート!$J$18=入力リスト!$K$4,入力シート!$J$22=入力リスト!$K$4),IF(C474="","入社年月日",""),"")&amp;IF(AND(C474="",D474=""),",","")&amp;IF(D474="","性別","")&amp;IF(IF(A474="","従業員番号","")&amp;IF(B474="","雇用形態","")&amp;IF(OR(入力シート!$J$18=入力リスト!$K$4,入力シート!$J$22=入力リスト!$K$4),IF(C474="","入社年月日",""),"")&amp;IF(D474="","性別","")="","","が空白です。"),IF(J474,"入社年月日に「基準日」の翌日以降の日付が入力されています。","")&amp;IF(I474,"入社年月日に数値以外（又は1900/1/1以前の日付）が入力されています。","")&amp;IF(H474,"雇用形態"&amp;IF(OR(K474,L474),",",""),"")&amp;IF(K474,"性別"&amp;IF(L474,",",""),"")&amp;IF(L474,"役職","")&amp;IF(OR(H474,K474,L474),"に、［入力シート］(4)「貴社」欄と異なる文言が入力されています。","")))))</f>
        <v/>
      </c>
      <c r="G474" s="236" t="b">
        <f>COUNTIF($A$4:A473,$A474)&gt;0</f>
        <v>0</v>
      </c>
      <c r="H474" s="237" t="b">
        <f>IF(COUNTIF(入力シート!$J$16:$S$23,入力リスト!$K$4)=0,FALSE,IF(入力シート!$J$16=入力リスト!$K$5,FALSE,ISERROR(VLOOKUP(B474,入力シート!$S$37:$V$62,1,0))))</f>
        <v>0</v>
      </c>
      <c r="I474" s="237" t="b">
        <f>IF(AND(OR(入力シート!$J$18=入力リスト!$K$4,入力シート!$J$22=入力リスト!$K$4),入力シート!$J$24&lt;&gt;""),IF(ISERROR(C474+1),TRUE,IF(ISNUMBER(C474),FALSE,TRUE)),FALSE)</f>
        <v>0</v>
      </c>
      <c r="J474" s="237" t="b">
        <f>IF(AND(入力シート!$J$18=入力リスト!$K$4,入力シート!$J$22=入力リスト!$K$4),FALSE,IF(I474=TRUE,FALSE,IF(ISERROR(C474+1),FALSE,C474&gt;入力シート!$J$24)))</f>
        <v>0</v>
      </c>
      <c r="K474" s="237" t="b">
        <f>IF(COUNTIF(入力シート!$J$16:$S$23,入力リスト!$K$4)=0,FALSE,IF(AND(入力シート!$J$16&lt;&gt;入力リスト!$K$5,入力シート!$J$18&lt;&gt;入力リスト!$K$5,入力シート!$J$20&lt;&gt;入力リスト!$K$5,入力シート!$J$22&lt;&gt;入力リスト!$K$5),FALSE,ISERROR(VLOOKUP(D474,入力シート!$AW$37:$AY$38,1,0))))</f>
        <v>0</v>
      </c>
      <c r="L474" s="237" t="b">
        <f>IF(COUNTIF(入力シート!$J$16:$S$23,入力リスト!$K$4)=0,FALSE,IF(入力シート!$J$20=入力リスト!$K$5,FALSE,IF(E474="",FALSE,ISERROR(VLOOKUP(E474,入力シート!$AH$37:$AK$62,1,0)))))</f>
        <v>0</v>
      </c>
      <c r="M474" s="238" t="str">
        <f t="shared" si="7"/>
        <v/>
      </c>
      <c r="N474" s="236" t="str">
        <f>IF(B474="","",VLOOKUP('従業員情報(給与以外)'!$B474,入力シート!$S$37:$Z$62,5,0))</f>
        <v/>
      </c>
      <c r="O474" s="182" t="str">
        <f>IF(ISNUMBER(C474)=FALSE,"",IF(C474&gt;入力シート!$J$24,"",_xlfn.DAYS(入力シート!$J$24,'従業員情報(給与以外)'!$C474)/365))</f>
        <v/>
      </c>
      <c r="P474" s="237" t="str">
        <f>IF(O474="","",VLOOKUP(_xlfn.DAYS(入力シート!$J$24,'従業員情報(給与以外)'!$C474)/365,入力リスト!$H$4:$I$12,2,2))</f>
        <v/>
      </c>
      <c r="Q474" s="236" t="str">
        <f>IF(D474="","",VLOOKUP('従業員情報(給与以外)'!$D474,入力シート!$AW$37:$BB$38,4,0))</f>
        <v/>
      </c>
      <c r="R474" s="236" t="str">
        <f>IF(A474="","",IF(E474="","非役職",VLOOKUP('従業員情報(給与以外)'!$E474,入力シート!$AH$37:$AO$62,5,0)))</f>
        <v/>
      </c>
      <c r="S474" s="116" t="str">
        <f>IF(OR(入力シート!$C$5&lt;&gt;入力リスト!$N$4,COUNTIF(入力シート!$J$16:$S$23,入力リスト!$K$4)=0),"",IF($A474="","",IF(ISERROR(AVERAGEIF(従業員の給与情報!$B:$B,$A474,従業員の給与情報!$C:$C)),0,IF(ISERROR(AVERAGEIF(従業員の給与情報!$B:$B,$A474,従業員の給与情報!$C:$C)),0,AVERAGEIF(従業員の給与情報!$B:$B,$A474,従業員の給与情報!$C:$C)))))</f>
        <v/>
      </c>
      <c r="T474" s="116" t="str">
        <f>IF(OR(入力シート!$C$5&lt;&gt;入力リスト!$N$4,COUNTIF(入力シート!$J$16:$S$23,入力リスト!$K$4)=0),"",IF(A474="","",IF(ISERROR(AVERAGEIF(従業員の給与情報!$B:$B,$A474,従業員の給与情報!$D:$D)),0,IF(ISERROR(AVERAGEIF(従業員の給与情報!$B:$B,$A474,従業員の給与情報!$D:$D)),0,AVERAGEIF(従業員の給与情報!$B:$B,$A474,従業員の給与情報!$D:$D)))))</f>
        <v/>
      </c>
      <c r="U474" s="116" t="str">
        <f>IF(OR(入力シート!$C$5&lt;&gt;入力リスト!$N$4,COUNTIF(入力シート!$J$16:$S$23,入力リスト!$K$4)=0),"",IF(A474="","",IF(ISERROR(AVERAGEIF(従業員の給与情報!$B:$B,$A474,従業員の給与情報!$E:$E)),0,IF(ISERROR(AVERAGEIF(従業員の給与情報!$B:$B,$A474,従業員の給与情報!$E:$E)),0,AVERAGEIF(従業員の給与情報!$B:$B,$A474,従業員の給与情報!$E:$E)))))</f>
        <v/>
      </c>
      <c r="V474" s="117" t="str">
        <f>IF(OR(入力シート!$C$5&lt;&gt;入力リスト!$N$4,COUNTIF(入力シート!$J$16:$S$23,入力リスト!$K$4)=0),"",IF(A474="","",IF(ISERROR(AVERAGEIF(従業員の給与情報!$B:$B,$A474,従業員の給与情報!$F:$F)),0,IF(ISERROR(AVERAGEIF(従業員の給与情報!$B:$B,$A474,従業員の給与情報!$F:$F)),0,AVERAGEIF(従業員の給与情報!$B:$B,$A474,従業員の給与情報!$F:$F)))))</f>
        <v/>
      </c>
      <c r="W474" s="182"/>
      <c r="X474" s="260"/>
    </row>
    <row r="475" spans="1:24">
      <c r="A475" s="368"/>
      <c r="B475" s="361"/>
      <c r="C475" s="362"/>
      <c r="D475" s="361"/>
      <c r="E475" s="361"/>
      <c r="F475" s="372" t="str">
        <f>IF(G475,"この従業員番号は、すでに他のセルで入力されています。",IF(入力シート!$C$5=入力リスト!$N$5,"",IF(AND(A475="",B475="",C475="",D475="",E475=""),"",IF(OR(A475="",B475="",C475="",D475=""),IF(A475="","従業員番号","")&amp;IF(AND(A475="",OR(B475="",C475="",D475="")),",","")&amp;IF(B475="","雇用形態","")&amp;IF(AND(B475="",OR(C475="",D475="")),",","")&amp;IF(OR(入力シート!$J$18=入力リスト!$K$4,入力シート!$J$22=入力リスト!$K$4),IF(C475="","入社年月日",""),"")&amp;IF(AND(C475="",D475=""),",","")&amp;IF(D475="","性別","")&amp;IF(IF(A475="","従業員番号","")&amp;IF(B475="","雇用形態","")&amp;IF(OR(入力シート!$J$18=入力リスト!$K$4,入力シート!$J$22=入力リスト!$K$4),IF(C475="","入社年月日",""),"")&amp;IF(D475="","性別","")="","","が空白です。"),IF(J475,"入社年月日に「基準日」の翌日以降の日付が入力されています。","")&amp;IF(I475,"入社年月日に数値以外（又は1900/1/1以前の日付）が入力されています。","")&amp;IF(H475,"雇用形態"&amp;IF(OR(K475,L475),",",""),"")&amp;IF(K475,"性別"&amp;IF(L475,",",""),"")&amp;IF(L475,"役職","")&amp;IF(OR(H475,K475,L475),"に、［入力シート］(4)「貴社」欄と異なる文言が入力されています。","")))))</f>
        <v/>
      </c>
      <c r="G475" s="236" t="b">
        <f>COUNTIF($A$4:A474,$A475)&gt;0</f>
        <v>0</v>
      </c>
      <c r="H475" s="237" t="b">
        <f>IF(COUNTIF(入力シート!$J$16:$S$23,入力リスト!$K$4)=0,FALSE,IF(入力シート!$J$16=入力リスト!$K$5,FALSE,ISERROR(VLOOKUP(B475,入力シート!$S$37:$V$62,1,0))))</f>
        <v>0</v>
      </c>
      <c r="I475" s="237" t="b">
        <f>IF(AND(OR(入力シート!$J$18=入力リスト!$K$4,入力シート!$J$22=入力リスト!$K$4),入力シート!$J$24&lt;&gt;""),IF(ISERROR(C475+1),TRUE,IF(ISNUMBER(C475),FALSE,TRUE)),FALSE)</f>
        <v>0</v>
      </c>
      <c r="J475" s="237" t="b">
        <f>IF(AND(入力シート!$J$18=入力リスト!$K$4,入力シート!$J$22=入力リスト!$K$4),FALSE,IF(I475=TRUE,FALSE,IF(ISERROR(C475+1),FALSE,C475&gt;入力シート!$J$24)))</f>
        <v>0</v>
      </c>
      <c r="K475" s="237" t="b">
        <f>IF(COUNTIF(入力シート!$J$16:$S$23,入力リスト!$K$4)=0,FALSE,IF(AND(入力シート!$J$16&lt;&gt;入力リスト!$K$5,入力シート!$J$18&lt;&gt;入力リスト!$K$5,入力シート!$J$20&lt;&gt;入力リスト!$K$5,入力シート!$J$22&lt;&gt;入力リスト!$K$5),FALSE,ISERROR(VLOOKUP(D475,入力シート!$AW$37:$AY$38,1,0))))</f>
        <v>0</v>
      </c>
      <c r="L475" s="237" t="b">
        <f>IF(COUNTIF(入力シート!$J$16:$S$23,入力リスト!$K$4)=0,FALSE,IF(入力シート!$J$20=入力リスト!$K$5,FALSE,IF(E475="",FALSE,ISERROR(VLOOKUP(E475,入力シート!$AH$37:$AK$62,1,0)))))</f>
        <v>0</v>
      </c>
      <c r="M475" s="238" t="str">
        <f t="shared" si="7"/>
        <v/>
      </c>
      <c r="N475" s="236" t="str">
        <f>IF(B475="","",VLOOKUP('従業員情報(給与以外)'!$B475,入力シート!$S$37:$Z$62,5,0))</f>
        <v/>
      </c>
      <c r="O475" s="182" t="str">
        <f>IF(ISNUMBER(C475)=FALSE,"",IF(C475&gt;入力シート!$J$24,"",_xlfn.DAYS(入力シート!$J$24,'従業員情報(給与以外)'!$C475)/365))</f>
        <v/>
      </c>
      <c r="P475" s="237" t="str">
        <f>IF(O475="","",VLOOKUP(_xlfn.DAYS(入力シート!$J$24,'従業員情報(給与以外)'!$C475)/365,入力リスト!$H$4:$I$12,2,2))</f>
        <v/>
      </c>
      <c r="Q475" s="236" t="str">
        <f>IF(D475="","",VLOOKUP('従業員情報(給与以外)'!$D475,入力シート!$AW$37:$BB$38,4,0))</f>
        <v/>
      </c>
      <c r="R475" s="236" t="str">
        <f>IF(A475="","",IF(E475="","非役職",VLOOKUP('従業員情報(給与以外)'!$E475,入力シート!$AH$37:$AO$62,5,0)))</f>
        <v/>
      </c>
      <c r="S475" s="116" t="str">
        <f>IF(OR(入力シート!$C$5&lt;&gt;入力リスト!$N$4,COUNTIF(入力シート!$J$16:$S$23,入力リスト!$K$4)=0),"",IF($A475="","",IF(ISERROR(AVERAGEIF(従業員の給与情報!$B:$B,$A475,従業員の給与情報!$C:$C)),0,IF(ISERROR(AVERAGEIF(従業員の給与情報!$B:$B,$A475,従業員の給与情報!$C:$C)),0,AVERAGEIF(従業員の給与情報!$B:$B,$A475,従業員の給与情報!$C:$C)))))</f>
        <v/>
      </c>
      <c r="T475" s="116" t="str">
        <f>IF(OR(入力シート!$C$5&lt;&gt;入力リスト!$N$4,COUNTIF(入力シート!$J$16:$S$23,入力リスト!$K$4)=0),"",IF(A475="","",IF(ISERROR(AVERAGEIF(従業員の給与情報!$B:$B,$A475,従業員の給与情報!$D:$D)),0,IF(ISERROR(AVERAGEIF(従業員の給与情報!$B:$B,$A475,従業員の給与情報!$D:$D)),0,AVERAGEIF(従業員の給与情報!$B:$B,$A475,従業員の給与情報!$D:$D)))))</f>
        <v/>
      </c>
      <c r="U475" s="116" t="str">
        <f>IF(OR(入力シート!$C$5&lt;&gt;入力リスト!$N$4,COUNTIF(入力シート!$J$16:$S$23,入力リスト!$K$4)=0),"",IF(A475="","",IF(ISERROR(AVERAGEIF(従業員の給与情報!$B:$B,$A475,従業員の給与情報!$E:$E)),0,IF(ISERROR(AVERAGEIF(従業員の給与情報!$B:$B,$A475,従業員の給与情報!$E:$E)),0,AVERAGEIF(従業員の給与情報!$B:$B,$A475,従業員の給与情報!$E:$E)))))</f>
        <v/>
      </c>
      <c r="V475" s="117" t="str">
        <f>IF(OR(入力シート!$C$5&lt;&gt;入力リスト!$N$4,COUNTIF(入力シート!$J$16:$S$23,入力リスト!$K$4)=0),"",IF(A475="","",IF(ISERROR(AVERAGEIF(従業員の給与情報!$B:$B,$A475,従業員の給与情報!$F:$F)),0,IF(ISERROR(AVERAGEIF(従業員の給与情報!$B:$B,$A475,従業員の給与情報!$F:$F)),0,AVERAGEIF(従業員の給与情報!$B:$B,$A475,従業員の給与情報!$F:$F)))))</f>
        <v/>
      </c>
      <c r="W475" s="182"/>
      <c r="X475" s="260"/>
    </row>
    <row r="476" spans="1:24">
      <c r="A476" s="368"/>
      <c r="B476" s="361"/>
      <c r="C476" s="362"/>
      <c r="D476" s="361"/>
      <c r="E476" s="361"/>
      <c r="F476" s="372" t="str">
        <f>IF(G476,"この従業員番号は、すでに他のセルで入力されています。",IF(入力シート!$C$5=入力リスト!$N$5,"",IF(AND(A476="",B476="",C476="",D476="",E476=""),"",IF(OR(A476="",B476="",C476="",D476=""),IF(A476="","従業員番号","")&amp;IF(AND(A476="",OR(B476="",C476="",D476="")),",","")&amp;IF(B476="","雇用形態","")&amp;IF(AND(B476="",OR(C476="",D476="")),",","")&amp;IF(OR(入力シート!$J$18=入力リスト!$K$4,入力シート!$J$22=入力リスト!$K$4),IF(C476="","入社年月日",""),"")&amp;IF(AND(C476="",D476=""),",","")&amp;IF(D476="","性別","")&amp;IF(IF(A476="","従業員番号","")&amp;IF(B476="","雇用形態","")&amp;IF(OR(入力シート!$J$18=入力リスト!$K$4,入力シート!$J$22=入力リスト!$K$4),IF(C476="","入社年月日",""),"")&amp;IF(D476="","性別","")="","","が空白です。"),IF(J476,"入社年月日に「基準日」の翌日以降の日付が入力されています。","")&amp;IF(I476,"入社年月日に数値以外（又は1900/1/1以前の日付）が入力されています。","")&amp;IF(H476,"雇用形態"&amp;IF(OR(K476,L476),",",""),"")&amp;IF(K476,"性別"&amp;IF(L476,",",""),"")&amp;IF(L476,"役職","")&amp;IF(OR(H476,K476,L476),"に、［入力シート］(4)「貴社」欄と異なる文言が入力されています。","")))))</f>
        <v/>
      </c>
      <c r="G476" s="236" t="b">
        <f>COUNTIF($A$4:A475,$A476)&gt;0</f>
        <v>0</v>
      </c>
      <c r="H476" s="237" t="b">
        <f>IF(COUNTIF(入力シート!$J$16:$S$23,入力リスト!$K$4)=0,FALSE,IF(入力シート!$J$16=入力リスト!$K$5,FALSE,ISERROR(VLOOKUP(B476,入力シート!$S$37:$V$62,1,0))))</f>
        <v>0</v>
      </c>
      <c r="I476" s="237" t="b">
        <f>IF(AND(OR(入力シート!$J$18=入力リスト!$K$4,入力シート!$J$22=入力リスト!$K$4),入力シート!$J$24&lt;&gt;""),IF(ISERROR(C476+1),TRUE,IF(ISNUMBER(C476),FALSE,TRUE)),FALSE)</f>
        <v>0</v>
      </c>
      <c r="J476" s="237" t="b">
        <f>IF(AND(入力シート!$J$18=入力リスト!$K$4,入力シート!$J$22=入力リスト!$K$4),FALSE,IF(I476=TRUE,FALSE,IF(ISERROR(C476+1),FALSE,C476&gt;入力シート!$J$24)))</f>
        <v>0</v>
      </c>
      <c r="K476" s="237" t="b">
        <f>IF(COUNTIF(入力シート!$J$16:$S$23,入力リスト!$K$4)=0,FALSE,IF(AND(入力シート!$J$16&lt;&gt;入力リスト!$K$5,入力シート!$J$18&lt;&gt;入力リスト!$K$5,入力シート!$J$20&lt;&gt;入力リスト!$K$5,入力シート!$J$22&lt;&gt;入力リスト!$K$5),FALSE,ISERROR(VLOOKUP(D476,入力シート!$AW$37:$AY$38,1,0))))</f>
        <v>0</v>
      </c>
      <c r="L476" s="237" t="b">
        <f>IF(COUNTIF(入力シート!$J$16:$S$23,入力リスト!$K$4)=0,FALSE,IF(入力シート!$J$20=入力リスト!$K$5,FALSE,IF(E476="",FALSE,ISERROR(VLOOKUP(E476,入力シート!$AH$37:$AK$62,1,0)))))</f>
        <v>0</v>
      </c>
      <c r="M476" s="238" t="str">
        <f t="shared" si="7"/>
        <v/>
      </c>
      <c r="N476" s="236" t="str">
        <f>IF(B476="","",VLOOKUP('従業員情報(給与以外)'!$B476,入力シート!$S$37:$Z$62,5,0))</f>
        <v/>
      </c>
      <c r="O476" s="182" t="str">
        <f>IF(ISNUMBER(C476)=FALSE,"",IF(C476&gt;入力シート!$J$24,"",_xlfn.DAYS(入力シート!$J$24,'従業員情報(給与以外)'!$C476)/365))</f>
        <v/>
      </c>
      <c r="P476" s="237" t="str">
        <f>IF(O476="","",VLOOKUP(_xlfn.DAYS(入力シート!$J$24,'従業員情報(給与以外)'!$C476)/365,入力リスト!$H$4:$I$12,2,2))</f>
        <v/>
      </c>
      <c r="Q476" s="236" t="str">
        <f>IF(D476="","",VLOOKUP('従業員情報(給与以外)'!$D476,入力シート!$AW$37:$BB$38,4,0))</f>
        <v/>
      </c>
      <c r="R476" s="236" t="str">
        <f>IF(A476="","",IF(E476="","非役職",VLOOKUP('従業員情報(給与以外)'!$E476,入力シート!$AH$37:$AO$62,5,0)))</f>
        <v/>
      </c>
      <c r="S476" s="116" t="str">
        <f>IF(OR(入力シート!$C$5&lt;&gt;入力リスト!$N$4,COUNTIF(入力シート!$J$16:$S$23,入力リスト!$K$4)=0),"",IF($A476="","",IF(ISERROR(AVERAGEIF(従業員の給与情報!$B:$B,$A476,従業員の給与情報!$C:$C)),0,IF(ISERROR(AVERAGEIF(従業員の給与情報!$B:$B,$A476,従業員の給与情報!$C:$C)),0,AVERAGEIF(従業員の給与情報!$B:$B,$A476,従業員の給与情報!$C:$C)))))</f>
        <v/>
      </c>
      <c r="T476" s="116" t="str">
        <f>IF(OR(入力シート!$C$5&lt;&gt;入力リスト!$N$4,COUNTIF(入力シート!$J$16:$S$23,入力リスト!$K$4)=0),"",IF(A476="","",IF(ISERROR(AVERAGEIF(従業員の給与情報!$B:$B,$A476,従業員の給与情報!$D:$D)),0,IF(ISERROR(AVERAGEIF(従業員の給与情報!$B:$B,$A476,従業員の給与情報!$D:$D)),0,AVERAGEIF(従業員の給与情報!$B:$B,$A476,従業員の給与情報!$D:$D)))))</f>
        <v/>
      </c>
      <c r="U476" s="116" t="str">
        <f>IF(OR(入力シート!$C$5&lt;&gt;入力リスト!$N$4,COUNTIF(入力シート!$J$16:$S$23,入力リスト!$K$4)=0),"",IF(A476="","",IF(ISERROR(AVERAGEIF(従業員の給与情報!$B:$B,$A476,従業員の給与情報!$E:$E)),0,IF(ISERROR(AVERAGEIF(従業員の給与情報!$B:$B,$A476,従業員の給与情報!$E:$E)),0,AVERAGEIF(従業員の給与情報!$B:$B,$A476,従業員の給与情報!$E:$E)))))</f>
        <v/>
      </c>
      <c r="V476" s="117" t="str">
        <f>IF(OR(入力シート!$C$5&lt;&gt;入力リスト!$N$4,COUNTIF(入力シート!$J$16:$S$23,入力リスト!$K$4)=0),"",IF(A476="","",IF(ISERROR(AVERAGEIF(従業員の給与情報!$B:$B,$A476,従業員の給与情報!$F:$F)),0,IF(ISERROR(AVERAGEIF(従業員の給与情報!$B:$B,$A476,従業員の給与情報!$F:$F)),0,AVERAGEIF(従業員の給与情報!$B:$B,$A476,従業員の給与情報!$F:$F)))))</f>
        <v/>
      </c>
      <c r="W476" s="182"/>
      <c r="X476" s="260"/>
    </row>
    <row r="477" spans="1:24">
      <c r="A477" s="368"/>
      <c r="B477" s="361"/>
      <c r="C477" s="362"/>
      <c r="D477" s="361"/>
      <c r="E477" s="361"/>
      <c r="F477" s="372" t="str">
        <f>IF(G477,"この従業員番号は、すでに他のセルで入力されています。",IF(入力シート!$C$5=入力リスト!$N$5,"",IF(AND(A477="",B477="",C477="",D477="",E477=""),"",IF(OR(A477="",B477="",C477="",D477=""),IF(A477="","従業員番号","")&amp;IF(AND(A477="",OR(B477="",C477="",D477="")),",","")&amp;IF(B477="","雇用形態","")&amp;IF(AND(B477="",OR(C477="",D477="")),",","")&amp;IF(OR(入力シート!$J$18=入力リスト!$K$4,入力シート!$J$22=入力リスト!$K$4),IF(C477="","入社年月日",""),"")&amp;IF(AND(C477="",D477=""),",","")&amp;IF(D477="","性別","")&amp;IF(IF(A477="","従業員番号","")&amp;IF(B477="","雇用形態","")&amp;IF(OR(入力シート!$J$18=入力リスト!$K$4,入力シート!$J$22=入力リスト!$K$4),IF(C477="","入社年月日",""),"")&amp;IF(D477="","性別","")="","","が空白です。"),IF(J477,"入社年月日に「基準日」の翌日以降の日付が入力されています。","")&amp;IF(I477,"入社年月日に数値以外（又は1900/1/1以前の日付）が入力されています。","")&amp;IF(H477,"雇用形態"&amp;IF(OR(K477,L477),",",""),"")&amp;IF(K477,"性別"&amp;IF(L477,",",""),"")&amp;IF(L477,"役職","")&amp;IF(OR(H477,K477,L477),"に、［入力シート］(4)「貴社」欄と異なる文言が入力されています。","")))))</f>
        <v/>
      </c>
      <c r="G477" s="236" t="b">
        <f>COUNTIF($A$4:A476,$A477)&gt;0</f>
        <v>0</v>
      </c>
      <c r="H477" s="237" t="b">
        <f>IF(COUNTIF(入力シート!$J$16:$S$23,入力リスト!$K$4)=0,FALSE,IF(入力シート!$J$16=入力リスト!$K$5,FALSE,ISERROR(VLOOKUP(B477,入力シート!$S$37:$V$62,1,0))))</f>
        <v>0</v>
      </c>
      <c r="I477" s="237" t="b">
        <f>IF(AND(OR(入力シート!$J$18=入力リスト!$K$4,入力シート!$J$22=入力リスト!$K$4),入力シート!$J$24&lt;&gt;""),IF(ISERROR(C477+1),TRUE,IF(ISNUMBER(C477),FALSE,TRUE)),FALSE)</f>
        <v>0</v>
      </c>
      <c r="J477" s="237" t="b">
        <f>IF(AND(入力シート!$J$18=入力リスト!$K$4,入力シート!$J$22=入力リスト!$K$4),FALSE,IF(I477=TRUE,FALSE,IF(ISERROR(C477+1),FALSE,C477&gt;入力シート!$J$24)))</f>
        <v>0</v>
      </c>
      <c r="K477" s="237" t="b">
        <f>IF(COUNTIF(入力シート!$J$16:$S$23,入力リスト!$K$4)=0,FALSE,IF(AND(入力シート!$J$16&lt;&gt;入力リスト!$K$5,入力シート!$J$18&lt;&gt;入力リスト!$K$5,入力シート!$J$20&lt;&gt;入力リスト!$K$5,入力シート!$J$22&lt;&gt;入力リスト!$K$5),FALSE,ISERROR(VLOOKUP(D477,入力シート!$AW$37:$AY$38,1,0))))</f>
        <v>0</v>
      </c>
      <c r="L477" s="237" t="b">
        <f>IF(COUNTIF(入力シート!$J$16:$S$23,入力リスト!$K$4)=0,FALSE,IF(入力シート!$J$20=入力リスト!$K$5,FALSE,IF(E477="",FALSE,ISERROR(VLOOKUP(E477,入力シート!$AH$37:$AK$62,1,0)))))</f>
        <v>0</v>
      </c>
      <c r="M477" s="238" t="str">
        <f t="shared" si="7"/>
        <v/>
      </c>
      <c r="N477" s="236" t="str">
        <f>IF(B477="","",VLOOKUP('従業員情報(給与以外)'!$B477,入力シート!$S$37:$Z$62,5,0))</f>
        <v/>
      </c>
      <c r="O477" s="182" t="str">
        <f>IF(ISNUMBER(C477)=FALSE,"",IF(C477&gt;入力シート!$J$24,"",_xlfn.DAYS(入力シート!$J$24,'従業員情報(給与以外)'!$C477)/365))</f>
        <v/>
      </c>
      <c r="P477" s="237" t="str">
        <f>IF(O477="","",VLOOKUP(_xlfn.DAYS(入力シート!$J$24,'従業員情報(給与以外)'!$C477)/365,入力リスト!$H$4:$I$12,2,2))</f>
        <v/>
      </c>
      <c r="Q477" s="236" t="str">
        <f>IF(D477="","",VLOOKUP('従業員情報(給与以外)'!$D477,入力シート!$AW$37:$BB$38,4,0))</f>
        <v/>
      </c>
      <c r="R477" s="236" t="str">
        <f>IF(A477="","",IF(E477="","非役職",VLOOKUP('従業員情報(給与以外)'!$E477,入力シート!$AH$37:$AO$62,5,0)))</f>
        <v/>
      </c>
      <c r="S477" s="116" t="str">
        <f>IF(OR(入力シート!$C$5&lt;&gt;入力リスト!$N$4,COUNTIF(入力シート!$J$16:$S$23,入力リスト!$K$4)=0),"",IF($A477="","",IF(ISERROR(AVERAGEIF(従業員の給与情報!$B:$B,$A477,従業員の給与情報!$C:$C)),0,IF(ISERROR(AVERAGEIF(従業員の給与情報!$B:$B,$A477,従業員の給与情報!$C:$C)),0,AVERAGEIF(従業員の給与情報!$B:$B,$A477,従業員の給与情報!$C:$C)))))</f>
        <v/>
      </c>
      <c r="T477" s="116" t="str">
        <f>IF(OR(入力シート!$C$5&lt;&gt;入力リスト!$N$4,COUNTIF(入力シート!$J$16:$S$23,入力リスト!$K$4)=0),"",IF(A477="","",IF(ISERROR(AVERAGEIF(従業員の給与情報!$B:$B,$A477,従業員の給与情報!$D:$D)),0,IF(ISERROR(AVERAGEIF(従業員の給与情報!$B:$B,$A477,従業員の給与情報!$D:$D)),0,AVERAGEIF(従業員の給与情報!$B:$B,$A477,従業員の給与情報!$D:$D)))))</f>
        <v/>
      </c>
      <c r="U477" s="116" t="str">
        <f>IF(OR(入力シート!$C$5&lt;&gt;入力リスト!$N$4,COUNTIF(入力シート!$J$16:$S$23,入力リスト!$K$4)=0),"",IF(A477="","",IF(ISERROR(AVERAGEIF(従業員の給与情報!$B:$B,$A477,従業員の給与情報!$E:$E)),0,IF(ISERROR(AVERAGEIF(従業員の給与情報!$B:$B,$A477,従業員の給与情報!$E:$E)),0,AVERAGEIF(従業員の給与情報!$B:$B,$A477,従業員の給与情報!$E:$E)))))</f>
        <v/>
      </c>
      <c r="V477" s="117" t="str">
        <f>IF(OR(入力シート!$C$5&lt;&gt;入力リスト!$N$4,COUNTIF(入力シート!$J$16:$S$23,入力リスト!$K$4)=0),"",IF(A477="","",IF(ISERROR(AVERAGEIF(従業員の給与情報!$B:$B,$A477,従業員の給与情報!$F:$F)),0,IF(ISERROR(AVERAGEIF(従業員の給与情報!$B:$B,$A477,従業員の給与情報!$F:$F)),0,AVERAGEIF(従業員の給与情報!$B:$B,$A477,従業員の給与情報!$F:$F)))))</f>
        <v/>
      </c>
      <c r="W477" s="182"/>
      <c r="X477" s="260"/>
    </row>
    <row r="478" spans="1:24">
      <c r="A478" s="368"/>
      <c r="B478" s="361"/>
      <c r="C478" s="362"/>
      <c r="D478" s="361"/>
      <c r="E478" s="361"/>
      <c r="F478" s="372" t="str">
        <f>IF(G478,"この従業員番号は、すでに他のセルで入力されています。",IF(入力シート!$C$5=入力リスト!$N$5,"",IF(AND(A478="",B478="",C478="",D478="",E478=""),"",IF(OR(A478="",B478="",C478="",D478=""),IF(A478="","従業員番号","")&amp;IF(AND(A478="",OR(B478="",C478="",D478="")),",","")&amp;IF(B478="","雇用形態","")&amp;IF(AND(B478="",OR(C478="",D478="")),",","")&amp;IF(OR(入力シート!$J$18=入力リスト!$K$4,入力シート!$J$22=入力リスト!$K$4),IF(C478="","入社年月日",""),"")&amp;IF(AND(C478="",D478=""),",","")&amp;IF(D478="","性別","")&amp;IF(IF(A478="","従業員番号","")&amp;IF(B478="","雇用形態","")&amp;IF(OR(入力シート!$J$18=入力リスト!$K$4,入力シート!$J$22=入力リスト!$K$4),IF(C478="","入社年月日",""),"")&amp;IF(D478="","性別","")="","","が空白です。"),IF(J478,"入社年月日に「基準日」の翌日以降の日付が入力されています。","")&amp;IF(I478,"入社年月日に数値以外（又は1900/1/1以前の日付）が入力されています。","")&amp;IF(H478,"雇用形態"&amp;IF(OR(K478,L478),",",""),"")&amp;IF(K478,"性別"&amp;IF(L478,",",""),"")&amp;IF(L478,"役職","")&amp;IF(OR(H478,K478,L478),"に、［入力シート］(4)「貴社」欄と異なる文言が入力されています。","")))))</f>
        <v/>
      </c>
      <c r="G478" s="236" t="b">
        <f>COUNTIF($A$4:A477,$A478)&gt;0</f>
        <v>0</v>
      </c>
      <c r="H478" s="237" t="b">
        <f>IF(COUNTIF(入力シート!$J$16:$S$23,入力リスト!$K$4)=0,FALSE,IF(入力シート!$J$16=入力リスト!$K$5,FALSE,ISERROR(VLOOKUP(B478,入力シート!$S$37:$V$62,1,0))))</f>
        <v>0</v>
      </c>
      <c r="I478" s="237" t="b">
        <f>IF(AND(OR(入力シート!$J$18=入力リスト!$K$4,入力シート!$J$22=入力リスト!$K$4),入力シート!$J$24&lt;&gt;""),IF(ISERROR(C478+1),TRUE,IF(ISNUMBER(C478),FALSE,TRUE)),FALSE)</f>
        <v>0</v>
      </c>
      <c r="J478" s="237" t="b">
        <f>IF(AND(入力シート!$J$18=入力リスト!$K$4,入力シート!$J$22=入力リスト!$K$4),FALSE,IF(I478=TRUE,FALSE,IF(ISERROR(C478+1),FALSE,C478&gt;入力シート!$J$24)))</f>
        <v>0</v>
      </c>
      <c r="K478" s="237" t="b">
        <f>IF(COUNTIF(入力シート!$J$16:$S$23,入力リスト!$K$4)=0,FALSE,IF(AND(入力シート!$J$16&lt;&gt;入力リスト!$K$5,入力シート!$J$18&lt;&gt;入力リスト!$K$5,入力シート!$J$20&lt;&gt;入力リスト!$K$5,入力シート!$J$22&lt;&gt;入力リスト!$K$5),FALSE,ISERROR(VLOOKUP(D478,入力シート!$AW$37:$AY$38,1,0))))</f>
        <v>0</v>
      </c>
      <c r="L478" s="237" t="b">
        <f>IF(COUNTIF(入力シート!$J$16:$S$23,入力リスト!$K$4)=0,FALSE,IF(入力シート!$J$20=入力リスト!$K$5,FALSE,IF(E478="",FALSE,ISERROR(VLOOKUP(E478,入力シート!$AH$37:$AK$62,1,0)))))</f>
        <v>0</v>
      </c>
      <c r="M478" s="238" t="str">
        <f t="shared" si="7"/>
        <v/>
      </c>
      <c r="N478" s="236" t="str">
        <f>IF(B478="","",VLOOKUP('従業員情報(給与以外)'!$B478,入力シート!$S$37:$Z$62,5,0))</f>
        <v/>
      </c>
      <c r="O478" s="182" t="str">
        <f>IF(ISNUMBER(C478)=FALSE,"",IF(C478&gt;入力シート!$J$24,"",_xlfn.DAYS(入力シート!$J$24,'従業員情報(給与以外)'!$C478)/365))</f>
        <v/>
      </c>
      <c r="P478" s="237" t="str">
        <f>IF(O478="","",VLOOKUP(_xlfn.DAYS(入力シート!$J$24,'従業員情報(給与以外)'!$C478)/365,入力リスト!$H$4:$I$12,2,2))</f>
        <v/>
      </c>
      <c r="Q478" s="236" t="str">
        <f>IF(D478="","",VLOOKUP('従業員情報(給与以外)'!$D478,入力シート!$AW$37:$BB$38,4,0))</f>
        <v/>
      </c>
      <c r="R478" s="236" t="str">
        <f>IF(A478="","",IF(E478="","非役職",VLOOKUP('従業員情報(給与以外)'!$E478,入力シート!$AH$37:$AO$62,5,0)))</f>
        <v/>
      </c>
      <c r="S478" s="116" t="str">
        <f>IF(OR(入力シート!$C$5&lt;&gt;入力リスト!$N$4,COUNTIF(入力シート!$J$16:$S$23,入力リスト!$K$4)=0),"",IF($A478="","",IF(ISERROR(AVERAGEIF(従業員の給与情報!$B:$B,$A478,従業員の給与情報!$C:$C)),0,IF(ISERROR(AVERAGEIF(従業員の給与情報!$B:$B,$A478,従業員の給与情報!$C:$C)),0,AVERAGEIF(従業員の給与情報!$B:$B,$A478,従業員の給与情報!$C:$C)))))</f>
        <v/>
      </c>
      <c r="T478" s="116" t="str">
        <f>IF(OR(入力シート!$C$5&lt;&gt;入力リスト!$N$4,COUNTIF(入力シート!$J$16:$S$23,入力リスト!$K$4)=0),"",IF(A478="","",IF(ISERROR(AVERAGEIF(従業員の給与情報!$B:$B,$A478,従業員の給与情報!$D:$D)),0,IF(ISERROR(AVERAGEIF(従業員の給与情報!$B:$B,$A478,従業員の給与情報!$D:$D)),0,AVERAGEIF(従業員の給与情報!$B:$B,$A478,従業員の給与情報!$D:$D)))))</f>
        <v/>
      </c>
      <c r="U478" s="116" t="str">
        <f>IF(OR(入力シート!$C$5&lt;&gt;入力リスト!$N$4,COUNTIF(入力シート!$J$16:$S$23,入力リスト!$K$4)=0),"",IF(A478="","",IF(ISERROR(AVERAGEIF(従業員の給与情報!$B:$B,$A478,従業員の給与情報!$E:$E)),0,IF(ISERROR(AVERAGEIF(従業員の給与情報!$B:$B,$A478,従業員の給与情報!$E:$E)),0,AVERAGEIF(従業員の給与情報!$B:$B,$A478,従業員の給与情報!$E:$E)))))</f>
        <v/>
      </c>
      <c r="V478" s="117" t="str">
        <f>IF(OR(入力シート!$C$5&lt;&gt;入力リスト!$N$4,COUNTIF(入力シート!$J$16:$S$23,入力リスト!$K$4)=0),"",IF(A478="","",IF(ISERROR(AVERAGEIF(従業員の給与情報!$B:$B,$A478,従業員の給与情報!$F:$F)),0,IF(ISERROR(AVERAGEIF(従業員の給与情報!$B:$B,$A478,従業員の給与情報!$F:$F)),0,AVERAGEIF(従業員の給与情報!$B:$B,$A478,従業員の給与情報!$F:$F)))))</f>
        <v/>
      </c>
      <c r="W478" s="182"/>
      <c r="X478" s="260"/>
    </row>
    <row r="479" spans="1:24">
      <c r="A479" s="368"/>
      <c r="B479" s="361"/>
      <c r="C479" s="362"/>
      <c r="D479" s="361"/>
      <c r="E479" s="361"/>
      <c r="F479" s="372" t="str">
        <f>IF(G479,"この従業員番号は、すでに他のセルで入力されています。",IF(入力シート!$C$5=入力リスト!$N$5,"",IF(AND(A479="",B479="",C479="",D479="",E479=""),"",IF(OR(A479="",B479="",C479="",D479=""),IF(A479="","従業員番号","")&amp;IF(AND(A479="",OR(B479="",C479="",D479="")),",","")&amp;IF(B479="","雇用形態","")&amp;IF(AND(B479="",OR(C479="",D479="")),",","")&amp;IF(OR(入力シート!$J$18=入力リスト!$K$4,入力シート!$J$22=入力リスト!$K$4),IF(C479="","入社年月日",""),"")&amp;IF(AND(C479="",D479=""),",","")&amp;IF(D479="","性別","")&amp;IF(IF(A479="","従業員番号","")&amp;IF(B479="","雇用形態","")&amp;IF(OR(入力シート!$J$18=入力リスト!$K$4,入力シート!$J$22=入力リスト!$K$4),IF(C479="","入社年月日",""),"")&amp;IF(D479="","性別","")="","","が空白です。"),IF(J479,"入社年月日に「基準日」の翌日以降の日付が入力されています。","")&amp;IF(I479,"入社年月日に数値以外（又は1900/1/1以前の日付）が入力されています。","")&amp;IF(H479,"雇用形態"&amp;IF(OR(K479,L479),",",""),"")&amp;IF(K479,"性別"&amp;IF(L479,",",""),"")&amp;IF(L479,"役職","")&amp;IF(OR(H479,K479,L479),"に、［入力シート］(4)「貴社」欄と異なる文言が入力されています。","")))))</f>
        <v/>
      </c>
      <c r="G479" s="236" t="b">
        <f>COUNTIF($A$4:A478,$A479)&gt;0</f>
        <v>0</v>
      </c>
      <c r="H479" s="237" t="b">
        <f>IF(COUNTIF(入力シート!$J$16:$S$23,入力リスト!$K$4)=0,FALSE,IF(入力シート!$J$16=入力リスト!$K$5,FALSE,ISERROR(VLOOKUP(B479,入力シート!$S$37:$V$62,1,0))))</f>
        <v>0</v>
      </c>
      <c r="I479" s="237" t="b">
        <f>IF(AND(OR(入力シート!$J$18=入力リスト!$K$4,入力シート!$J$22=入力リスト!$K$4),入力シート!$J$24&lt;&gt;""),IF(ISERROR(C479+1),TRUE,IF(ISNUMBER(C479),FALSE,TRUE)),FALSE)</f>
        <v>0</v>
      </c>
      <c r="J479" s="237" t="b">
        <f>IF(AND(入力シート!$J$18=入力リスト!$K$4,入力シート!$J$22=入力リスト!$K$4),FALSE,IF(I479=TRUE,FALSE,IF(ISERROR(C479+1),FALSE,C479&gt;入力シート!$J$24)))</f>
        <v>0</v>
      </c>
      <c r="K479" s="237" t="b">
        <f>IF(COUNTIF(入力シート!$J$16:$S$23,入力リスト!$K$4)=0,FALSE,IF(AND(入力シート!$J$16&lt;&gt;入力リスト!$K$5,入力シート!$J$18&lt;&gt;入力リスト!$K$5,入力シート!$J$20&lt;&gt;入力リスト!$K$5,入力シート!$J$22&lt;&gt;入力リスト!$K$5),FALSE,ISERROR(VLOOKUP(D479,入力シート!$AW$37:$AY$38,1,0))))</f>
        <v>0</v>
      </c>
      <c r="L479" s="237" t="b">
        <f>IF(COUNTIF(入力シート!$J$16:$S$23,入力リスト!$K$4)=0,FALSE,IF(入力シート!$J$20=入力リスト!$K$5,FALSE,IF(E479="",FALSE,ISERROR(VLOOKUP(E479,入力シート!$AH$37:$AK$62,1,0)))))</f>
        <v>0</v>
      </c>
      <c r="M479" s="238" t="str">
        <f t="shared" si="7"/>
        <v/>
      </c>
      <c r="N479" s="236" t="str">
        <f>IF(B479="","",VLOOKUP('従業員情報(給与以外)'!$B479,入力シート!$S$37:$Z$62,5,0))</f>
        <v/>
      </c>
      <c r="O479" s="182" t="str">
        <f>IF(ISNUMBER(C479)=FALSE,"",IF(C479&gt;入力シート!$J$24,"",_xlfn.DAYS(入力シート!$J$24,'従業員情報(給与以外)'!$C479)/365))</f>
        <v/>
      </c>
      <c r="P479" s="237" t="str">
        <f>IF(O479="","",VLOOKUP(_xlfn.DAYS(入力シート!$J$24,'従業員情報(給与以外)'!$C479)/365,入力リスト!$H$4:$I$12,2,2))</f>
        <v/>
      </c>
      <c r="Q479" s="236" t="str">
        <f>IF(D479="","",VLOOKUP('従業員情報(給与以外)'!$D479,入力シート!$AW$37:$BB$38,4,0))</f>
        <v/>
      </c>
      <c r="R479" s="236" t="str">
        <f>IF(A479="","",IF(E479="","非役職",VLOOKUP('従業員情報(給与以外)'!$E479,入力シート!$AH$37:$AO$62,5,0)))</f>
        <v/>
      </c>
      <c r="S479" s="116" t="str">
        <f>IF(OR(入力シート!$C$5&lt;&gt;入力リスト!$N$4,COUNTIF(入力シート!$J$16:$S$23,入力リスト!$K$4)=0),"",IF($A479="","",IF(ISERROR(AVERAGEIF(従業員の給与情報!$B:$B,$A479,従業員の給与情報!$C:$C)),0,IF(ISERROR(AVERAGEIF(従業員の給与情報!$B:$B,$A479,従業員の給与情報!$C:$C)),0,AVERAGEIF(従業員の給与情報!$B:$B,$A479,従業員の給与情報!$C:$C)))))</f>
        <v/>
      </c>
      <c r="T479" s="116" t="str">
        <f>IF(OR(入力シート!$C$5&lt;&gt;入力リスト!$N$4,COUNTIF(入力シート!$J$16:$S$23,入力リスト!$K$4)=0),"",IF(A479="","",IF(ISERROR(AVERAGEIF(従業員の給与情報!$B:$B,$A479,従業員の給与情報!$D:$D)),0,IF(ISERROR(AVERAGEIF(従業員の給与情報!$B:$B,$A479,従業員の給与情報!$D:$D)),0,AVERAGEIF(従業員の給与情報!$B:$B,$A479,従業員の給与情報!$D:$D)))))</f>
        <v/>
      </c>
      <c r="U479" s="116" t="str">
        <f>IF(OR(入力シート!$C$5&lt;&gt;入力リスト!$N$4,COUNTIF(入力シート!$J$16:$S$23,入力リスト!$K$4)=0),"",IF(A479="","",IF(ISERROR(AVERAGEIF(従業員の給与情報!$B:$B,$A479,従業員の給与情報!$E:$E)),0,IF(ISERROR(AVERAGEIF(従業員の給与情報!$B:$B,$A479,従業員の給与情報!$E:$E)),0,AVERAGEIF(従業員の給与情報!$B:$B,$A479,従業員の給与情報!$E:$E)))))</f>
        <v/>
      </c>
      <c r="V479" s="117" t="str">
        <f>IF(OR(入力シート!$C$5&lt;&gt;入力リスト!$N$4,COUNTIF(入力シート!$J$16:$S$23,入力リスト!$K$4)=0),"",IF(A479="","",IF(ISERROR(AVERAGEIF(従業員の給与情報!$B:$B,$A479,従業員の給与情報!$F:$F)),0,IF(ISERROR(AVERAGEIF(従業員の給与情報!$B:$B,$A479,従業員の給与情報!$F:$F)),0,AVERAGEIF(従業員の給与情報!$B:$B,$A479,従業員の給与情報!$F:$F)))))</f>
        <v/>
      </c>
      <c r="W479" s="182"/>
      <c r="X479" s="260"/>
    </row>
    <row r="480" spans="1:24">
      <c r="A480" s="368"/>
      <c r="B480" s="361"/>
      <c r="C480" s="362"/>
      <c r="D480" s="361"/>
      <c r="E480" s="361"/>
      <c r="F480" s="372" t="str">
        <f>IF(G480,"この従業員番号は、すでに他のセルで入力されています。",IF(入力シート!$C$5=入力リスト!$N$5,"",IF(AND(A480="",B480="",C480="",D480="",E480=""),"",IF(OR(A480="",B480="",C480="",D480=""),IF(A480="","従業員番号","")&amp;IF(AND(A480="",OR(B480="",C480="",D480="")),",","")&amp;IF(B480="","雇用形態","")&amp;IF(AND(B480="",OR(C480="",D480="")),",","")&amp;IF(OR(入力シート!$J$18=入力リスト!$K$4,入力シート!$J$22=入力リスト!$K$4),IF(C480="","入社年月日",""),"")&amp;IF(AND(C480="",D480=""),",","")&amp;IF(D480="","性別","")&amp;IF(IF(A480="","従業員番号","")&amp;IF(B480="","雇用形態","")&amp;IF(OR(入力シート!$J$18=入力リスト!$K$4,入力シート!$J$22=入力リスト!$K$4),IF(C480="","入社年月日",""),"")&amp;IF(D480="","性別","")="","","が空白です。"),IF(J480,"入社年月日に「基準日」の翌日以降の日付が入力されています。","")&amp;IF(I480,"入社年月日に数値以外（又は1900/1/1以前の日付）が入力されています。","")&amp;IF(H480,"雇用形態"&amp;IF(OR(K480,L480),",",""),"")&amp;IF(K480,"性別"&amp;IF(L480,",",""),"")&amp;IF(L480,"役職","")&amp;IF(OR(H480,K480,L480),"に、［入力シート］(4)「貴社」欄と異なる文言が入力されています。","")))))</f>
        <v/>
      </c>
      <c r="G480" s="236" t="b">
        <f>COUNTIF($A$4:A479,$A480)&gt;0</f>
        <v>0</v>
      </c>
      <c r="H480" s="237" t="b">
        <f>IF(COUNTIF(入力シート!$J$16:$S$23,入力リスト!$K$4)=0,FALSE,IF(入力シート!$J$16=入力リスト!$K$5,FALSE,ISERROR(VLOOKUP(B480,入力シート!$S$37:$V$62,1,0))))</f>
        <v>0</v>
      </c>
      <c r="I480" s="237" t="b">
        <f>IF(AND(OR(入力シート!$J$18=入力リスト!$K$4,入力シート!$J$22=入力リスト!$K$4),入力シート!$J$24&lt;&gt;""),IF(ISERROR(C480+1),TRUE,IF(ISNUMBER(C480),FALSE,TRUE)),FALSE)</f>
        <v>0</v>
      </c>
      <c r="J480" s="237" t="b">
        <f>IF(AND(入力シート!$J$18=入力リスト!$K$4,入力シート!$J$22=入力リスト!$K$4),FALSE,IF(I480=TRUE,FALSE,IF(ISERROR(C480+1),FALSE,C480&gt;入力シート!$J$24)))</f>
        <v>0</v>
      </c>
      <c r="K480" s="237" t="b">
        <f>IF(COUNTIF(入力シート!$J$16:$S$23,入力リスト!$K$4)=0,FALSE,IF(AND(入力シート!$J$16&lt;&gt;入力リスト!$K$5,入力シート!$J$18&lt;&gt;入力リスト!$K$5,入力シート!$J$20&lt;&gt;入力リスト!$K$5,入力シート!$J$22&lt;&gt;入力リスト!$K$5),FALSE,ISERROR(VLOOKUP(D480,入力シート!$AW$37:$AY$38,1,0))))</f>
        <v>0</v>
      </c>
      <c r="L480" s="237" t="b">
        <f>IF(COUNTIF(入力シート!$J$16:$S$23,入力リスト!$K$4)=0,FALSE,IF(入力シート!$J$20=入力リスト!$K$5,FALSE,IF(E480="",FALSE,ISERROR(VLOOKUP(E480,入力シート!$AH$37:$AK$62,1,0)))))</f>
        <v>0</v>
      </c>
      <c r="M480" s="238" t="str">
        <f t="shared" si="7"/>
        <v/>
      </c>
      <c r="N480" s="236" t="str">
        <f>IF(B480="","",VLOOKUP('従業員情報(給与以外)'!$B480,入力シート!$S$37:$Z$62,5,0))</f>
        <v/>
      </c>
      <c r="O480" s="182" t="str">
        <f>IF(ISNUMBER(C480)=FALSE,"",IF(C480&gt;入力シート!$J$24,"",_xlfn.DAYS(入力シート!$J$24,'従業員情報(給与以外)'!$C480)/365))</f>
        <v/>
      </c>
      <c r="P480" s="237" t="str">
        <f>IF(O480="","",VLOOKUP(_xlfn.DAYS(入力シート!$J$24,'従業員情報(給与以外)'!$C480)/365,入力リスト!$H$4:$I$12,2,2))</f>
        <v/>
      </c>
      <c r="Q480" s="236" t="str">
        <f>IF(D480="","",VLOOKUP('従業員情報(給与以外)'!$D480,入力シート!$AW$37:$BB$38,4,0))</f>
        <v/>
      </c>
      <c r="R480" s="236" t="str">
        <f>IF(A480="","",IF(E480="","非役職",VLOOKUP('従業員情報(給与以外)'!$E480,入力シート!$AH$37:$AO$62,5,0)))</f>
        <v/>
      </c>
      <c r="S480" s="116" t="str">
        <f>IF(OR(入力シート!$C$5&lt;&gt;入力リスト!$N$4,COUNTIF(入力シート!$J$16:$S$23,入力リスト!$K$4)=0),"",IF($A480="","",IF(ISERROR(AVERAGEIF(従業員の給与情報!$B:$B,$A480,従業員の給与情報!$C:$C)),0,IF(ISERROR(AVERAGEIF(従業員の給与情報!$B:$B,$A480,従業員の給与情報!$C:$C)),0,AVERAGEIF(従業員の給与情報!$B:$B,$A480,従業員の給与情報!$C:$C)))))</f>
        <v/>
      </c>
      <c r="T480" s="116" t="str">
        <f>IF(OR(入力シート!$C$5&lt;&gt;入力リスト!$N$4,COUNTIF(入力シート!$J$16:$S$23,入力リスト!$K$4)=0),"",IF(A480="","",IF(ISERROR(AVERAGEIF(従業員の給与情報!$B:$B,$A480,従業員の給与情報!$D:$D)),0,IF(ISERROR(AVERAGEIF(従業員の給与情報!$B:$B,$A480,従業員の給与情報!$D:$D)),0,AVERAGEIF(従業員の給与情報!$B:$B,$A480,従業員の給与情報!$D:$D)))))</f>
        <v/>
      </c>
      <c r="U480" s="116" t="str">
        <f>IF(OR(入力シート!$C$5&lt;&gt;入力リスト!$N$4,COUNTIF(入力シート!$J$16:$S$23,入力リスト!$K$4)=0),"",IF(A480="","",IF(ISERROR(AVERAGEIF(従業員の給与情報!$B:$B,$A480,従業員の給与情報!$E:$E)),0,IF(ISERROR(AVERAGEIF(従業員の給与情報!$B:$B,$A480,従業員の給与情報!$E:$E)),0,AVERAGEIF(従業員の給与情報!$B:$B,$A480,従業員の給与情報!$E:$E)))))</f>
        <v/>
      </c>
      <c r="V480" s="117" t="str">
        <f>IF(OR(入力シート!$C$5&lt;&gt;入力リスト!$N$4,COUNTIF(入力シート!$J$16:$S$23,入力リスト!$K$4)=0),"",IF(A480="","",IF(ISERROR(AVERAGEIF(従業員の給与情報!$B:$B,$A480,従業員の給与情報!$F:$F)),0,IF(ISERROR(AVERAGEIF(従業員の給与情報!$B:$B,$A480,従業員の給与情報!$F:$F)),0,AVERAGEIF(従業員の給与情報!$B:$B,$A480,従業員の給与情報!$F:$F)))))</f>
        <v/>
      </c>
      <c r="W480" s="182"/>
      <c r="X480" s="260"/>
    </row>
    <row r="481" spans="1:24">
      <c r="A481" s="368"/>
      <c r="B481" s="361"/>
      <c r="C481" s="362"/>
      <c r="D481" s="361"/>
      <c r="E481" s="361"/>
      <c r="F481" s="372" t="str">
        <f>IF(G481,"この従業員番号は、すでに他のセルで入力されています。",IF(入力シート!$C$5=入力リスト!$N$5,"",IF(AND(A481="",B481="",C481="",D481="",E481=""),"",IF(OR(A481="",B481="",C481="",D481=""),IF(A481="","従業員番号","")&amp;IF(AND(A481="",OR(B481="",C481="",D481="")),",","")&amp;IF(B481="","雇用形態","")&amp;IF(AND(B481="",OR(C481="",D481="")),",","")&amp;IF(OR(入力シート!$J$18=入力リスト!$K$4,入力シート!$J$22=入力リスト!$K$4),IF(C481="","入社年月日",""),"")&amp;IF(AND(C481="",D481=""),",","")&amp;IF(D481="","性別","")&amp;IF(IF(A481="","従業員番号","")&amp;IF(B481="","雇用形態","")&amp;IF(OR(入力シート!$J$18=入力リスト!$K$4,入力シート!$J$22=入力リスト!$K$4),IF(C481="","入社年月日",""),"")&amp;IF(D481="","性別","")="","","が空白です。"),IF(J481,"入社年月日に「基準日」の翌日以降の日付が入力されています。","")&amp;IF(I481,"入社年月日に数値以外（又は1900/1/1以前の日付）が入力されています。","")&amp;IF(H481,"雇用形態"&amp;IF(OR(K481,L481),",",""),"")&amp;IF(K481,"性別"&amp;IF(L481,",",""),"")&amp;IF(L481,"役職","")&amp;IF(OR(H481,K481,L481),"に、［入力シート］(4)「貴社」欄と異なる文言が入力されています。","")))))</f>
        <v/>
      </c>
      <c r="G481" s="236" t="b">
        <f>COUNTIF($A$4:A480,$A481)&gt;0</f>
        <v>0</v>
      </c>
      <c r="H481" s="237" t="b">
        <f>IF(COUNTIF(入力シート!$J$16:$S$23,入力リスト!$K$4)=0,FALSE,IF(入力シート!$J$16=入力リスト!$K$5,FALSE,ISERROR(VLOOKUP(B481,入力シート!$S$37:$V$62,1,0))))</f>
        <v>0</v>
      </c>
      <c r="I481" s="237" t="b">
        <f>IF(AND(OR(入力シート!$J$18=入力リスト!$K$4,入力シート!$J$22=入力リスト!$K$4),入力シート!$J$24&lt;&gt;""),IF(ISERROR(C481+1),TRUE,IF(ISNUMBER(C481),FALSE,TRUE)),FALSE)</f>
        <v>0</v>
      </c>
      <c r="J481" s="237" t="b">
        <f>IF(AND(入力シート!$J$18=入力リスト!$K$4,入力シート!$J$22=入力リスト!$K$4),FALSE,IF(I481=TRUE,FALSE,IF(ISERROR(C481+1),FALSE,C481&gt;入力シート!$J$24)))</f>
        <v>0</v>
      </c>
      <c r="K481" s="237" t="b">
        <f>IF(COUNTIF(入力シート!$J$16:$S$23,入力リスト!$K$4)=0,FALSE,IF(AND(入力シート!$J$16&lt;&gt;入力リスト!$K$5,入力シート!$J$18&lt;&gt;入力リスト!$K$5,入力シート!$J$20&lt;&gt;入力リスト!$K$5,入力シート!$J$22&lt;&gt;入力リスト!$K$5),FALSE,ISERROR(VLOOKUP(D481,入力シート!$AW$37:$AY$38,1,0))))</f>
        <v>0</v>
      </c>
      <c r="L481" s="237" t="b">
        <f>IF(COUNTIF(入力シート!$J$16:$S$23,入力リスト!$K$4)=0,FALSE,IF(入力シート!$J$20=入力リスト!$K$5,FALSE,IF(E481="",FALSE,ISERROR(VLOOKUP(E481,入力シート!$AH$37:$AK$62,1,0)))))</f>
        <v>0</v>
      </c>
      <c r="M481" s="238" t="str">
        <f t="shared" si="7"/>
        <v/>
      </c>
      <c r="N481" s="236" t="str">
        <f>IF(B481="","",VLOOKUP('従業員情報(給与以外)'!$B481,入力シート!$S$37:$Z$62,5,0))</f>
        <v/>
      </c>
      <c r="O481" s="182" t="str">
        <f>IF(ISNUMBER(C481)=FALSE,"",IF(C481&gt;入力シート!$J$24,"",_xlfn.DAYS(入力シート!$J$24,'従業員情報(給与以外)'!$C481)/365))</f>
        <v/>
      </c>
      <c r="P481" s="237" t="str">
        <f>IF(O481="","",VLOOKUP(_xlfn.DAYS(入力シート!$J$24,'従業員情報(給与以外)'!$C481)/365,入力リスト!$H$4:$I$12,2,2))</f>
        <v/>
      </c>
      <c r="Q481" s="236" t="str">
        <f>IF(D481="","",VLOOKUP('従業員情報(給与以外)'!$D481,入力シート!$AW$37:$BB$38,4,0))</f>
        <v/>
      </c>
      <c r="R481" s="236" t="str">
        <f>IF(A481="","",IF(E481="","非役職",VLOOKUP('従業員情報(給与以外)'!$E481,入力シート!$AH$37:$AO$62,5,0)))</f>
        <v/>
      </c>
      <c r="S481" s="116" t="str">
        <f>IF(OR(入力シート!$C$5&lt;&gt;入力リスト!$N$4,COUNTIF(入力シート!$J$16:$S$23,入力リスト!$K$4)=0),"",IF($A481="","",IF(ISERROR(AVERAGEIF(従業員の給与情報!$B:$B,$A481,従業員の給与情報!$C:$C)),0,IF(ISERROR(AVERAGEIF(従業員の給与情報!$B:$B,$A481,従業員の給与情報!$C:$C)),0,AVERAGEIF(従業員の給与情報!$B:$B,$A481,従業員の給与情報!$C:$C)))))</f>
        <v/>
      </c>
      <c r="T481" s="116" t="str">
        <f>IF(OR(入力シート!$C$5&lt;&gt;入力リスト!$N$4,COUNTIF(入力シート!$J$16:$S$23,入力リスト!$K$4)=0),"",IF(A481="","",IF(ISERROR(AVERAGEIF(従業員の給与情報!$B:$B,$A481,従業員の給与情報!$D:$D)),0,IF(ISERROR(AVERAGEIF(従業員の給与情報!$B:$B,$A481,従業員の給与情報!$D:$D)),0,AVERAGEIF(従業員の給与情報!$B:$B,$A481,従業員の給与情報!$D:$D)))))</f>
        <v/>
      </c>
      <c r="U481" s="116" t="str">
        <f>IF(OR(入力シート!$C$5&lt;&gt;入力リスト!$N$4,COUNTIF(入力シート!$J$16:$S$23,入力リスト!$K$4)=0),"",IF(A481="","",IF(ISERROR(AVERAGEIF(従業員の給与情報!$B:$B,$A481,従業員の給与情報!$E:$E)),0,IF(ISERROR(AVERAGEIF(従業員の給与情報!$B:$B,$A481,従業員の給与情報!$E:$E)),0,AVERAGEIF(従業員の給与情報!$B:$B,$A481,従業員の給与情報!$E:$E)))))</f>
        <v/>
      </c>
      <c r="V481" s="117" t="str">
        <f>IF(OR(入力シート!$C$5&lt;&gt;入力リスト!$N$4,COUNTIF(入力シート!$J$16:$S$23,入力リスト!$K$4)=0),"",IF(A481="","",IF(ISERROR(AVERAGEIF(従業員の給与情報!$B:$B,$A481,従業員の給与情報!$F:$F)),0,IF(ISERROR(AVERAGEIF(従業員の給与情報!$B:$B,$A481,従業員の給与情報!$F:$F)),0,AVERAGEIF(従業員の給与情報!$B:$B,$A481,従業員の給与情報!$F:$F)))))</f>
        <v/>
      </c>
      <c r="W481" s="182"/>
      <c r="X481" s="260"/>
    </row>
    <row r="482" spans="1:24">
      <c r="A482" s="368"/>
      <c r="B482" s="361"/>
      <c r="C482" s="362"/>
      <c r="D482" s="361"/>
      <c r="E482" s="361"/>
      <c r="F482" s="372" t="str">
        <f>IF(G482,"この従業員番号は、すでに他のセルで入力されています。",IF(入力シート!$C$5=入力リスト!$N$5,"",IF(AND(A482="",B482="",C482="",D482="",E482=""),"",IF(OR(A482="",B482="",C482="",D482=""),IF(A482="","従業員番号","")&amp;IF(AND(A482="",OR(B482="",C482="",D482="")),",","")&amp;IF(B482="","雇用形態","")&amp;IF(AND(B482="",OR(C482="",D482="")),",","")&amp;IF(OR(入力シート!$J$18=入力リスト!$K$4,入力シート!$J$22=入力リスト!$K$4),IF(C482="","入社年月日",""),"")&amp;IF(AND(C482="",D482=""),",","")&amp;IF(D482="","性別","")&amp;IF(IF(A482="","従業員番号","")&amp;IF(B482="","雇用形態","")&amp;IF(OR(入力シート!$J$18=入力リスト!$K$4,入力シート!$J$22=入力リスト!$K$4),IF(C482="","入社年月日",""),"")&amp;IF(D482="","性別","")="","","が空白です。"),IF(J482,"入社年月日に「基準日」の翌日以降の日付が入力されています。","")&amp;IF(I482,"入社年月日に数値以外（又は1900/1/1以前の日付）が入力されています。","")&amp;IF(H482,"雇用形態"&amp;IF(OR(K482,L482),",",""),"")&amp;IF(K482,"性別"&amp;IF(L482,",",""),"")&amp;IF(L482,"役職","")&amp;IF(OR(H482,K482,L482),"に、［入力シート］(4)「貴社」欄と異なる文言が入力されています。","")))))</f>
        <v/>
      </c>
      <c r="G482" s="236" t="b">
        <f>COUNTIF($A$4:A481,$A482)&gt;0</f>
        <v>0</v>
      </c>
      <c r="H482" s="237" t="b">
        <f>IF(COUNTIF(入力シート!$J$16:$S$23,入力リスト!$K$4)=0,FALSE,IF(入力シート!$J$16=入力リスト!$K$5,FALSE,ISERROR(VLOOKUP(B482,入力シート!$S$37:$V$62,1,0))))</f>
        <v>0</v>
      </c>
      <c r="I482" s="237" t="b">
        <f>IF(AND(OR(入力シート!$J$18=入力リスト!$K$4,入力シート!$J$22=入力リスト!$K$4),入力シート!$J$24&lt;&gt;""),IF(ISERROR(C482+1),TRUE,IF(ISNUMBER(C482),FALSE,TRUE)),FALSE)</f>
        <v>0</v>
      </c>
      <c r="J482" s="237" t="b">
        <f>IF(AND(入力シート!$J$18=入力リスト!$K$4,入力シート!$J$22=入力リスト!$K$4),FALSE,IF(I482=TRUE,FALSE,IF(ISERROR(C482+1),FALSE,C482&gt;入力シート!$J$24)))</f>
        <v>0</v>
      </c>
      <c r="K482" s="237" t="b">
        <f>IF(COUNTIF(入力シート!$J$16:$S$23,入力リスト!$K$4)=0,FALSE,IF(AND(入力シート!$J$16&lt;&gt;入力リスト!$K$5,入力シート!$J$18&lt;&gt;入力リスト!$K$5,入力シート!$J$20&lt;&gt;入力リスト!$K$5,入力シート!$J$22&lt;&gt;入力リスト!$K$5),FALSE,ISERROR(VLOOKUP(D482,入力シート!$AW$37:$AY$38,1,0))))</f>
        <v>0</v>
      </c>
      <c r="L482" s="237" t="b">
        <f>IF(COUNTIF(入力シート!$J$16:$S$23,入力リスト!$K$4)=0,FALSE,IF(入力シート!$J$20=入力リスト!$K$5,FALSE,IF(E482="",FALSE,ISERROR(VLOOKUP(E482,入力シート!$AH$37:$AK$62,1,0)))))</f>
        <v>0</v>
      </c>
      <c r="M482" s="238" t="str">
        <f t="shared" si="7"/>
        <v/>
      </c>
      <c r="N482" s="236" t="str">
        <f>IF(B482="","",VLOOKUP('従業員情報(給与以外)'!$B482,入力シート!$S$37:$Z$62,5,0))</f>
        <v/>
      </c>
      <c r="O482" s="182" t="str">
        <f>IF(ISNUMBER(C482)=FALSE,"",IF(C482&gt;入力シート!$J$24,"",_xlfn.DAYS(入力シート!$J$24,'従業員情報(給与以外)'!$C482)/365))</f>
        <v/>
      </c>
      <c r="P482" s="237" t="str">
        <f>IF(O482="","",VLOOKUP(_xlfn.DAYS(入力シート!$J$24,'従業員情報(給与以外)'!$C482)/365,入力リスト!$H$4:$I$12,2,2))</f>
        <v/>
      </c>
      <c r="Q482" s="236" t="str">
        <f>IF(D482="","",VLOOKUP('従業員情報(給与以外)'!$D482,入力シート!$AW$37:$BB$38,4,0))</f>
        <v/>
      </c>
      <c r="R482" s="236" t="str">
        <f>IF(A482="","",IF(E482="","非役職",VLOOKUP('従業員情報(給与以外)'!$E482,入力シート!$AH$37:$AO$62,5,0)))</f>
        <v/>
      </c>
      <c r="S482" s="116" t="str">
        <f>IF(OR(入力シート!$C$5&lt;&gt;入力リスト!$N$4,COUNTIF(入力シート!$J$16:$S$23,入力リスト!$K$4)=0),"",IF($A482="","",IF(ISERROR(AVERAGEIF(従業員の給与情報!$B:$B,$A482,従業員の給与情報!$C:$C)),0,IF(ISERROR(AVERAGEIF(従業員の給与情報!$B:$B,$A482,従業員の給与情報!$C:$C)),0,AVERAGEIF(従業員の給与情報!$B:$B,$A482,従業員の給与情報!$C:$C)))))</f>
        <v/>
      </c>
      <c r="T482" s="116" t="str">
        <f>IF(OR(入力シート!$C$5&lt;&gt;入力リスト!$N$4,COUNTIF(入力シート!$J$16:$S$23,入力リスト!$K$4)=0),"",IF(A482="","",IF(ISERROR(AVERAGEIF(従業員の給与情報!$B:$B,$A482,従業員の給与情報!$D:$D)),0,IF(ISERROR(AVERAGEIF(従業員の給与情報!$B:$B,$A482,従業員の給与情報!$D:$D)),0,AVERAGEIF(従業員の給与情報!$B:$B,$A482,従業員の給与情報!$D:$D)))))</f>
        <v/>
      </c>
      <c r="U482" s="116" t="str">
        <f>IF(OR(入力シート!$C$5&lt;&gt;入力リスト!$N$4,COUNTIF(入力シート!$J$16:$S$23,入力リスト!$K$4)=0),"",IF(A482="","",IF(ISERROR(AVERAGEIF(従業員の給与情報!$B:$B,$A482,従業員の給与情報!$E:$E)),0,IF(ISERROR(AVERAGEIF(従業員の給与情報!$B:$B,$A482,従業員の給与情報!$E:$E)),0,AVERAGEIF(従業員の給与情報!$B:$B,$A482,従業員の給与情報!$E:$E)))))</f>
        <v/>
      </c>
      <c r="V482" s="117" t="str">
        <f>IF(OR(入力シート!$C$5&lt;&gt;入力リスト!$N$4,COUNTIF(入力シート!$J$16:$S$23,入力リスト!$K$4)=0),"",IF(A482="","",IF(ISERROR(AVERAGEIF(従業員の給与情報!$B:$B,$A482,従業員の給与情報!$F:$F)),0,IF(ISERROR(AVERAGEIF(従業員の給与情報!$B:$B,$A482,従業員の給与情報!$F:$F)),0,AVERAGEIF(従業員の給与情報!$B:$B,$A482,従業員の給与情報!$F:$F)))))</f>
        <v/>
      </c>
      <c r="W482" s="182"/>
      <c r="X482" s="260"/>
    </row>
    <row r="483" spans="1:24">
      <c r="A483" s="368"/>
      <c r="B483" s="361"/>
      <c r="C483" s="362"/>
      <c r="D483" s="361"/>
      <c r="E483" s="361"/>
      <c r="F483" s="372" t="str">
        <f>IF(G483,"この従業員番号は、すでに他のセルで入力されています。",IF(入力シート!$C$5=入力リスト!$N$5,"",IF(AND(A483="",B483="",C483="",D483="",E483=""),"",IF(OR(A483="",B483="",C483="",D483=""),IF(A483="","従業員番号","")&amp;IF(AND(A483="",OR(B483="",C483="",D483="")),",","")&amp;IF(B483="","雇用形態","")&amp;IF(AND(B483="",OR(C483="",D483="")),",","")&amp;IF(OR(入力シート!$J$18=入力リスト!$K$4,入力シート!$J$22=入力リスト!$K$4),IF(C483="","入社年月日",""),"")&amp;IF(AND(C483="",D483=""),",","")&amp;IF(D483="","性別","")&amp;IF(IF(A483="","従業員番号","")&amp;IF(B483="","雇用形態","")&amp;IF(OR(入力シート!$J$18=入力リスト!$K$4,入力シート!$J$22=入力リスト!$K$4),IF(C483="","入社年月日",""),"")&amp;IF(D483="","性別","")="","","が空白です。"),IF(J483,"入社年月日に「基準日」の翌日以降の日付が入力されています。","")&amp;IF(I483,"入社年月日に数値以外（又は1900/1/1以前の日付）が入力されています。","")&amp;IF(H483,"雇用形態"&amp;IF(OR(K483,L483),",",""),"")&amp;IF(K483,"性別"&amp;IF(L483,",",""),"")&amp;IF(L483,"役職","")&amp;IF(OR(H483,K483,L483),"に、［入力シート］(4)「貴社」欄と異なる文言が入力されています。","")))))</f>
        <v/>
      </c>
      <c r="G483" s="236" t="b">
        <f>COUNTIF($A$4:A482,$A483)&gt;0</f>
        <v>0</v>
      </c>
      <c r="H483" s="237" t="b">
        <f>IF(COUNTIF(入力シート!$J$16:$S$23,入力リスト!$K$4)=0,FALSE,IF(入力シート!$J$16=入力リスト!$K$5,FALSE,ISERROR(VLOOKUP(B483,入力シート!$S$37:$V$62,1,0))))</f>
        <v>0</v>
      </c>
      <c r="I483" s="237" t="b">
        <f>IF(AND(OR(入力シート!$J$18=入力リスト!$K$4,入力シート!$J$22=入力リスト!$K$4),入力シート!$J$24&lt;&gt;""),IF(ISERROR(C483+1),TRUE,IF(ISNUMBER(C483),FALSE,TRUE)),FALSE)</f>
        <v>0</v>
      </c>
      <c r="J483" s="237" t="b">
        <f>IF(AND(入力シート!$J$18=入力リスト!$K$4,入力シート!$J$22=入力リスト!$K$4),FALSE,IF(I483=TRUE,FALSE,IF(ISERROR(C483+1),FALSE,C483&gt;入力シート!$J$24)))</f>
        <v>0</v>
      </c>
      <c r="K483" s="237" t="b">
        <f>IF(COUNTIF(入力シート!$J$16:$S$23,入力リスト!$K$4)=0,FALSE,IF(AND(入力シート!$J$16&lt;&gt;入力リスト!$K$5,入力シート!$J$18&lt;&gt;入力リスト!$K$5,入力シート!$J$20&lt;&gt;入力リスト!$K$5,入力シート!$J$22&lt;&gt;入力リスト!$K$5),FALSE,ISERROR(VLOOKUP(D483,入力シート!$AW$37:$AY$38,1,0))))</f>
        <v>0</v>
      </c>
      <c r="L483" s="237" t="b">
        <f>IF(COUNTIF(入力シート!$J$16:$S$23,入力リスト!$K$4)=0,FALSE,IF(入力シート!$J$20=入力リスト!$K$5,FALSE,IF(E483="",FALSE,ISERROR(VLOOKUP(E483,入力シート!$AH$37:$AK$62,1,0)))))</f>
        <v>0</v>
      </c>
      <c r="M483" s="238" t="str">
        <f t="shared" si="7"/>
        <v/>
      </c>
      <c r="N483" s="236" t="str">
        <f>IF(B483="","",VLOOKUP('従業員情報(給与以外)'!$B483,入力シート!$S$37:$Z$62,5,0))</f>
        <v/>
      </c>
      <c r="O483" s="182" t="str">
        <f>IF(ISNUMBER(C483)=FALSE,"",IF(C483&gt;入力シート!$J$24,"",_xlfn.DAYS(入力シート!$J$24,'従業員情報(給与以外)'!$C483)/365))</f>
        <v/>
      </c>
      <c r="P483" s="237" t="str">
        <f>IF(O483="","",VLOOKUP(_xlfn.DAYS(入力シート!$J$24,'従業員情報(給与以外)'!$C483)/365,入力リスト!$H$4:$I$12,2,2))</f>
        <v/>
      </c>
      <c r="Q483" s="236" t="str">
        <f>IF(D483="","",VLOOKUP('従業員情報(給与以外)'!$D483,入力シート!$AW$37:$BB$38,4,0))</f>
        <v/>
      </c>
      <c r="R483" s="236" t="str">
        <f>IF(A483="","",IF(E483="","非役職",VLOOKUP('従業員情報(給与以外)'!$E483,入力シート!$AH$37:$AO$62,5,0)))</f>
        <v/>
      </c>
      <c r="S483" s="116" t="str">
        <f>IF(OR(入力シート!$C$5&lt;&gt;入力リスト!$N$4,COUNTIF(入力シート!$J$16:$S$23,入力リスト!$K$4)=0),"",IF($A483="","",IF(ISERROR(AVERAGEIF(従業員の給与情報!$B:$B,$A483,従業員の給与情報!$C:$C)),0,IF(ISERROR(AVERAGEIF(従業員の給与情報!$B:$B,$A483,従業員の給与情報!$C:$C)),0,AVERAGEIF(従業員の給与情報!$B:$B,$A483,従業員の給与情報!$C:$C)))))</f>
        <v/>
      </c>
      <c r="T483" s="116" t="str">
        <f>IF(OR(入力シート!$C$5&lt;&gt;入力リスト!$N$4,COUNTIF(入力シート!$J$16:$S$23,入力リスト!$K$4)=0),"",IF(A483="","",IF(ISERROR(AVERAGEIF(従業員の給与情報!$B:$B,$A483,従業員の給与情報!$D:$D)),0,IF(ISERROR(AVERAGEIF(従業員の給与情報!$B:$B,$A483,従業員の給与情報!$D:$D)),0,AVERAGEIF(従業員の給与情報!$B:$B,$A483,従業員の給与情報!$D:$D)))))</f>
        <v/>
      </c>
      <c r="U483" s="116" t="str">
        <f>IF(OR(入力シート!$C$5&lt;&gt;入力リスト!$N$4,COUNTIF(入力シート!$J$16:$S$23,入力リスト!$K$4)=0),"",IF(A483="","",IF(ISERROR(AVERAGEIF(従業員の給与情報!$B:$B,$A483,従業員の給与情報!$E:$E)),0,IF(ISERROR(AVERAGEIF(従業員の給与情報!$B:$B,$A483,従業員の給与情報!$E:$E)),0,AVERAGEIF(従業員の給与情報!$B:$B,$A483,従業員の給与情報!$E:$E)))))</f>
        <v/>
      </c>
      <c r="V483" s="117" t="str">
        <f>IF(OR(入力シート!$C$5&lt;&gt;入力リスト!$N$4,COUNTIF(入力シート!$J$16:$S$23,入力リスト!$K$4)=0),"",IF(A483="","",IF(ISERROR(AVERAGEIF(従業員の給与情報!$B:$B,$A483,従業員の給与情報!$F:$F)),0,IF(ISERROR(AVERAGEIF(従業員の給与情報!$B:$B,$A483,従業員の給与情報!$F:$F)),0,AVERAGEIF(従業員の給与情報!$B:$B,$A483,従業員の給与情報!$F:$F)))))</f>
        <v/>
      </c>
      <c r="W483" s="182"/>
      <c r="X483" s="260"/>
    </row>
    <row r="484" spans="1:24">
      <c r="A484" s="368"/>
      <c r="B484" s="361"/>
      <c r="C484" s="362"/>
      <c r="D484" s="361"/>
      <c r="E484" s="361"/>
      <c r="F484" s="372" t="str">
        <f>IF(G484,"この従業員番号は、すでに他のセルで入力されています。",IF(入力シート!$C$5=入力リスト!$N$5,"",IF(AND(A484="",B484="",C484="",D484="",E484=""),"",IF(OR(A484="",B484="",C484="",D484=""),IF(A484="","従業員番号","")&amp;IF(AND(A484="",OR(B484="",C484="",D484="")),",","")&amp;IF(B484="","雇用形態","")&amp;IF(AND(B484="",OR(C484="",D484="")),",","")&amp;IF(OR(入力シート!$J$18=入力リスト!$K$4,入力シート!$J$22=入力リスト!$K$4),IF(C484="","入社年月日",""),"")&amp;IF(AND(C484="",D484=""),",","")&amp;IF(D484="","性別","")&amp;IF(IF(A484="","従業員番号","")&amp;IF(B484="","雇用形態","")&amp;IF(OR(入力シート!$J$18=入力リスト!$K$4,入力シート!$J$22=入力リスト!$K$4),IF(C484="","入社年月日",""),"")&amp;IF(D484="","性別","")="","","が空白です。"),IF(J484,"入社年月日に「基準日」の翌日以降の日付が入力されています。","")&amp;IF(I484,"入社年月日に数値以外（又は1900/1/1以前の日付）が入力されています。","")&amp;IF(H484,"雇用形態"&amp;IF(OR(K484,L484),",",""),"")&amp;IF(K484,"性別"&amp;IF(L484,",",""),"")&amp;IF(L484,"役職","")&amp;IF(OR(H484,K484,L484),"に、［入力シート］(4)「貴社」欄と異なる文言が入力されています。","")))))</f>
        <v/>
      </c>
      <c r="G484" s="236" t="b">
        <f>COUNTIF($A$4:A483,$A484)&gt;0</f>
        <v>0</v>
      </c>
      <c r="H484" s="237" t="b">
        <f>IF(COUNTIF(入力シート!$J$16:$S$23,入力リスト!$K$4)=0,FALSE,IF(入力シート!$J$16=入力リスト!$K$5,FALSE,ISERROR(VLOOKUP(B484,入力シート!$S$37:$V$62,1,0))))</f>
        <v>0</v>
      </c>
      <c r="I484" s="237" t="b">
        <f>IF(AND(OR(入力シート!$J$18=入力リスト!$K$4,入力シート!$J$22=入力リスト!$K$4),入力シート!$J$24&lt;&gt;""),IF(ISERROR(C484+1),TRUE,IF(ISNUMBER(C484),FALSE,TRUE)),FALSE)</f>
        <v>0</v>
      </c>
      <c r="J484" s="237" t="b">
        <f>IF(AND(入力シート!$J$18=入力リスト!$K$4,入力シート!$J$22=入力リスト!$K$4),FALSE,IF(I484=TRUE,FALSE,IF(ISERROR(C484+1),FALSE,C484&gt;入力シート!$J$24)))</f>
        <v>0</v>
      </c>
      <c r="K484" s="237" t="b">
        <f>IF(COUNTIF(入力シート!$J$16:$S$23,入力リスト!$K$4)=0,FALSE,IF(AND(入力シート!$J$16&lt;&gt;入力リスト!$K$5,入力シート!$J$18&lt;&gt;入力リスト!$K$5,入力シート!$J$20&lt;&gt;入力リスト!$K$5,入力シート!$J$22&lt;&gt;入力リスト!$K$5),FALSE,ISERROR(VLOOKUP(D484,入力シート!$AW$37:$AY$38,1,0))))</f>
        <v>0</v>
      </c>
      <c r="L484" s="237" t="b">
        <f>IF(COUNTIF(入力シート!$J$16:$S$23,入力リスト!$K$4)=0,FALSE,IF(入力シート!$J$20=入力リスト!$K$5,FALSE,IF(E484="",FALSE,ISERROR(VLOOKUP(E484,入力シート!$AH$37:$AK$62,1,0)))))</f>
        <v>0</v>
      </c>
      <c r="M484" s="238" t="str">
        <f t="shared" si="7"/>
        <v/>
      </c>
      <c r="N484" s="236" t="str">
        <f>IF(B484="","",VLOOKUP('従業員情報(給与以外)'!$B484,入力シート!$S$37:$Z$62,5,0))</f>
        <v/>
      </c>
      <c r="O484" s="182" t="str">
        <f>IF(ISNUMBER(C484)=FALSE,"",IF(C484&gt;入力シート!$J$24,"",_xlfn.DAYS(入力シート!$J$24,'従業員情報(給与以外)'!$C484)/365))</f>
        <v/>
      </c>
      <c r="P484" s="237" t="str">
        <f>IF(O484="","",VLOOKUP(_xlfn.DAYS(入力シート!$J$24,'従業員情報(給与以外)'!$C484)/365,入力リスト!$H$4:$I$12,2,2))</f>
        <v/>
      </c>
      <c r="Q484" s="236" t="str">
        <f>IF(D484="","",VLOOKUP('従業員情報(給与以外)'!$D484,入力シート!$AW$37:$BB$38,4,0))</f>
        <v/>
      </c>
      <c r="R484" s="236" t="str">
        <f>IF(A484="","",IF(E484="","非役職",VLOOKUP('従業員情報(給与以外)'!$E484,入力シート!$AH$37:$AO$62,5,0)))</f>
        <v/>
      </c>
      <c r="S484" s="116" t="str">
        <f>IF(OR(入力シート!$C$5&lt;&gt;入力リスト!$N$4,COUNTIF(入力シート!$J$16:$S$23,入力リスト!$K$4)=0),"",IF($A484="","",IF(ISERROR(AVERAGEIF(従業員の給与情報!$B:$B,$A484,従業員の給与情報!$C:$C)),0,IF(ISERROR(AVERAGEIF(従業員の給与情報!$B:$B,$A484,従業員の給与情報!$C:$C)),0,AVERAGEIF(従業員の給与情報!$B:$B,$A484,従業員の給与情報!$C:$C)))))</f>
        <v/>
      </c>
      <c r="T484" s="116" t="str">
        <f>IF(OR(入力シート!$C$5&lt;&gt;入力リスト!$N$4,COUNTIF(入力シート!$J$16:$S$23,入力リスト!$K$4)=0),"",IF(A484="","",IF(ISERROR(AVERAGEIF(従業員の給与情報!$B:$B,$A484,従業員の給与情報!$D:$D)),0,IF(ISERROR(AVERAGEIF(従業員の給与情報!$B:$B,$A484,従業員の給与情報!$D:$D)),0,AVERAGEIF(従業員の給与情報!$B:$B,$A484,従業員の給与情報!$D:$D)))))</f>
        <v/>
      </c>
      <c r="U484" s="116" t="str">
        <f>IF(OR(入力シート!$C$5&lt;&gt;入力リスト!$N$4,COUNTIF(入力シート!$J$16:$S$23,入力リスト!$K$4)=0),"",IF(A484="","",IF(ISERROR(AVERAGEIF(従業員の給与情報!$B:$B,$A484,従業員の給与情報!$E:$E)),0,IF(ISERROR(AVERAGEIF(従業員の給与情報!$B:$B,$A484,従業員の給与情報!$E:$E)),0,AVERAGEIF(従業員の給与情報!$B:$B,$A484,従業員の給与情報!$E:$E)))))</f>
        <v/>
      </c>
      <c r="V484" s="117" t="str">
        <f>IF(OR(入力シート!$C$5&lt;&gt;入力リスト!$N$4,COUNTIF(入力シート!$J$16:$S$23,入力リスト!$K$4)=0),"",IF(A484="","",IF(ISERROR(AVERAGEIF(従業員の給与情報!$B:$B,$A484,従業員の給与情報!$F:$F)),0,IF(ISERROR(AVERAGEIF(従業員の給与情報!$B:$B,$A484,従業員の給与情報!$F:$F)),0,AVERAGEIF(従業員の給与情報!$B:$B,$A484,従業員の給与情報!$F:$F)))))</f>
        <v/>
      </c>
      <c r="W484" s="182"/>
      <c r="X484" s="260"/>
    </row>
    <row r="485" spans="1:24">
      <c r="A485" s="368"/>
      <c r="B485" s="361"/>
      <c r="C485" s="362"/>
      <c r="D485" s="361"/>
      <c r="E485" s="361"/>
      <c r="F485" s="372" t="str">
        <f>IF(G485,"この従業員番号は、すでに他のセルで入力されています。",IF(入力シート!$C$5=入力リスト!$N$5,"",IF(AND(A485="",B485="",C485="",D485="",E485=""),"",IF(OR(A485="",B485="",C485="",D485=""),IF(A485="","従業員番号","")&amp;IF(AND(A485="",OR(B485="",C485="",D485="")),",","")&amp;IF(B485="","雇用形態","")&amp;IF(AND(B485="",OR(C485="",D485="")),",","")&amp;IF(OR(入力シート!$J$18=入力リスト!$K$4,入力シート!$J$22=入力リスト!$K$4),IF(C485="","入社年月日",""),"")&amp;IF(AND(C485="",D485=""),",","")&amp;IF(D485="","性別","")&amp;IF(IF(A485="","従業員番号","")&amp;IF(B485="","雇用形態","")&amp;IF(OR(入力シート!$J$18=入力リスト!$K$4,入力シート!$J$22=入力リスト!$K$4),IF(C485="","入社年月日",""),"")&amp;IF(D485="","性別","")="","","が空白です。"),IF(J485,"入社年月日に「基準日」の翌日以降の日付が入力されています。","")&amp;IF(I485,"入社年月日に数値以外（又は1900/1/1以前の日付）が入力されています。","")&amp;IF(H485,"雇用形態"&amp;IF(OR(K485,L485),",",""),"")&amp;IF(K485,"性別"&amp;IF(L485,",",""),"")&amp;IF(L485,"役職","")&amp;IF(OR(H485,K485,L485),"に、［入力シート］(4)「貴社」欄と異なる文言が入力されています。","")))))</f>
        <v/>
      </c>
      <c r="G485" s="236" t="b">
        <f>COUNTIF($A$4:A484,$A485)&gt;0</f>
        <v>0</v>
      </c>
      <c r="H485" s="237" t="b">
        <f>IF(COUNTIF(入力シート!$J$16:$S$23,入力リスト!$K$4)=0,FALSE,IF(入力シート!$J$16=入力リスト!$K$5,FALSE,ISERROR(VLOOKUP(B485,入力シート!$S$37:$V$62,1,0))))</f>
        <v>0</v>
      </c>
      <c r="I485" s="237" t="b">
        <f>IF(AND(OR(入力シート!$J$18=入力リスト!$K$4,入力シート!$J$22=入力リスト!$K$4),入力シート!$J$24&lt;&gt;""),IF(ISERROR(C485+1),TRUE,IF(ISNUMBER(C485),FALSE,TRUE)),FALSE)</f>
        <v>0</v>
      </c>
      <c r="J485" s="237" t="b">
        <f>IF(AND(入力シート!$J$18=入力リスト!$K$4,入力シート!$J$22=入力リスト!$K$4),FALSE,IF(I485=TRUE,FALSE,IF(ISERROR(C485+1),FALSE,C485&gt;入力シート!$J$24)))</f>
        <v>0</v>
      </c>
      <c r="K485" s="237" t="b">
        <f>IF(COUNTIF(入力シート!$J$16:$S$23,入力リスト!$K$4)=0,FALSE,IF(AND(入力シート!$J$16&lt;&gt;入力リスト!$K$5,入力シート!$J$18&lt;&gt;入力リスト!$K$5,入力シート!$J$20&lt;&gt;入力リスト!$K$5,入力シート!$J$22&lt;&gt;入力リスト!$K$5),FALSE,ISERROR(VLOOKUP(D485,入力シート!$AW$37:$AY$38,1,0))))</f>
        <v>0</v>
      </c>
      <c r="L485" s="237" t="b">
        <f>IF(COUNTIF(入力シート!$J$16:$S$23,入力リスト!$K$4)=0,FALSE,IF(入力シート!$J$20=入力リスト!$K$5,FALSE,IF(E485="",FALSE,ISERROR(VLOOKUP(E485,入力シート!$AH$37:$AK$62,1,0)))))</f>
        <v>0</v>
      </c>
      <c r="M485" s="238" t="str">
        <f t="shared" si="7"/>
        <v/>
      </c>
      <c r="N485" s="236" t="str">
        <f>IF(B485="","",VLOOKUP('従業員情報(給与以外)'!$B485,入力シート!$S$37:$Z$62,5,0))</f>
        <v/>
      </c>
      <c r="O485" s="182" t="str">
        <f>IF(ISNUMBER(C485)=FALSE,"",IF(C485&gt;入力シート!$J$24,"",_xlfn.DAYS(入力シート!$J$24,'従業員情報(給与以外)'!$C485)/365))</f>
        <v/>
      </c>
      <c r="P485" s="237" t="str">
        <f>IF(O485="","",VLOOKUP(_xlfn.DAYS(入力シート!$J$24,'従業員情報(給与以外)'!$C485)/365,入力リスト!$H$4:$I$12,2,2))</f>
        <v/>
      </c>
      <c r="Q485" s="236" t="str">
        <f>IF(D485="","",VLOOKUP('従業員情報(給与以外)'!$D485,入力シート!$AW$37:$BB$38,4,0))</f>
        <v/>
      </c>
      <c r="R485" s="236" t="str">
        <f>IF(A485="","",IF(E485="","非役職",VLOOKUP('従業員情報(給与以外)'!$E485,入力シート!$AH$37:$AO$62,5,0)))</f>
        <v/>
      </c>
      <c r="S485" s="116" t="str">
        <f>IF(OR(入力シート!$C$5&lt;&gt;入力リスト!$N$4,COUNTIF(入力シート!$J$16:$S$23,入力リスト!$K$4)=0),"",IF($A485="","",IF(ISERROR(AVERAGEIF(従業員の給与情報!$B:$B,$A485,従業員の給与情報!$C:$C)),0,IF(ISERROR(AVERAGEIF(従業員の給与情報!$B:$B,$A485,従業員の給与情報!$C:$C)),0,AVERAGEIF(従業員の給与情報!$B:$B,$A485,従業員の給与情報!$C:$C)))))</f>
        <v/>
      </c>
      <c r="T485" s="116" t="str">
        <f>IF(OR(入力シート!$C$5&lt;&gt;入力リスト!$N$4,COUNTIF(入力シート!$J$16:$S$23,入力リスト!$K$4)=0),"",IF(A485="","",IF(ISERROR(AVERAGEIF(従業員の給与情報!$B:$B,$A485,従業員の給与情報!$D:$D)),0,IF(ISERROR(AVERAGEIF(従業員の給与情報!$B:$B,$A485,従業員の給与情報!$D:$D)),0,AVERAGEIF(従業員の給与情報!$B:$B,$A485,従業員の給与情報!$D:$D)))))</f>
        <v/>
      </c>
      <c r="U485" s="116" t="str">
        <f>IF(OR(入力シート!$C$5&lt;&gt;入力リスト!$N$4,COUNTIF(入力シート!$J$16:$S$23,入力リスト!$K$4)=0),"",IF(A485="","",IF(ISERROR(AVERAGEIF(従業員の給与情報!$B:$B,$A485,従業員の給与情報!$E:$E)),0,IF(ISERROR(AVERAGEIF(従業員の給与情報!$B:$B,$A485,従業員の給与情報!$E:$E)),0,AVERAGEIF(従業員の給与情報!$B:$B,$A485,従業員の給与情報!$E:$E)))))</f>
        <v/>
      </c>
      <c r="V485" s="117" t="str">
        <f>IF(OR(入力シート!$C$5&lt;&gt;入力リスト!$N$4,COUNTIF(入力シート!$J$16:$S$23,入力リスト!$K$4)=0),"",IF(A485="","",IF(ISERROR(AVERAGEIF(従業員の給与情報!$B:$B,$A485,従業員の給与情報!$F:$F)),0,IF(ISERROR(AVERAGEIF(従業員の給与情報!$B:$B,$A485,従業員の給与情報!$F:$F)),0,AVERAGEIF(従業員の給与情報!$B:$B,$A485,従業員の給与情報!$F:$F)))))</f>
        <v/>
      </c>
      <c r="W485" s="182"/>
      <c r="X485" s="260"/>
    </row>
    <row r="486" spans="1:24">
      <c r="A486" s="368"/>
      <c r="B486" s="361"/>
      <c r="C486" s="362"/>
      <c r="D486" s="361"/>
      <c r="E486" s="361"/>
      <c r="F486" s="372" t="str">
        <f>IF(G486,"この従業員番号は、すでに他のセルで入力されています。",IF(入力シート!$C$5=入力リスト!$N$5,"",IF(AND(A486="",B486="",C486="",D486="",E486=""),"",IF(OR(A486="",B486="",C486="",D486=""),IF(A486="","従業員番号","")&amp;IF(AND(A486="",OR(B486="",C486="",D486="")),",","")&amp;IF(B486="","雇用形態","")&amp;IF(AND(B486="",OR(C486="",D486="")),",","")&amp;IF(OR(入力シート!$J$18=入力リスト!$K$4,入力シート!$J$22=入力リスト!$K$4),IF(C486="","入社年月日",""),"")&amp;IF(AND(C486="",D486=""),",","")&amp;IF(D486="","性別","")&amp;IF(IF(A486="","従業員番号","")&amp;IF(B486="","雇用形態","")&amp;IF(OR(入力シート!$J$18=入力リスト!$K$4,入力シート!$J$22=入力リスト!$K$4),IF(C486="","入社年月日",""),"")&amp;IF(D486="","性別","")="","","が空白です。"),IF(J486,"入社年月日に「基準日」の翌日以降の日付が入力されています。","")&amp;IF(I486,"入社年月日に数値以外（又は1900/1/1以前の日付）が入力されています。","")&amp;IF(H486,"雇用形態"&amp;IF(OR(K486,L486),",",""),"")&amp;IF(K486,"性別"&amp;IF(L486,",",""),"")&amp;IF(L486,"役職","")&amp;IF(OR(H486,K486,L486),"に、［入力シート］(4)「貴社」欄と異なる文言が入力されています。","")))))</f>
        <v/>
      </c>
      <c r="G486" s="236" t="b">
        <f>COUNTIF($A$4:A485,$A486)&gt;0</f>
        <v>0</v>
      </c>
      <c r="H486" s="237" t="b">
        <f>IF(COUNTIF(入力シート!$J$16:$S$23,入力リスト!$K$4)=0,FALSE,IF(入力シート!$J$16=入力リスト!$K$5,FALSE,ISERROR(VLOOKUP(B486,入力シート!$S$37:$V$62,1,0))))</f>
        <v>0</v>
      </c>
      <c r="I486" s="237" t="b">
        <f>IF(AND(OR(入力シート!$J$18=入力リスト!$K$4,入力シート!$J$22=入力リスト!$K$4),入力シート!$J$24&lt;&gt;""),IF(ISERROR(C486+1),TRUE,IF(ISNUMBER(C486),FALSE,TRUE)),FALSE)</f>
        <v>0</v>
      </c>
      <c r="J486" s="237" t="b">
        <f>IF(AND(入力シート!$J$18=入力リスト!$K$4,入力シート!$J$22=入力リスト!$K$4),FALSE,IF(I486=TRUE,FALSE,IF(ISERROR(C486+1),FALSE,C486&gt;入力シート!$J$24)))</f>
        <v>0</v>
      </c>
      <c r="K486" s="237" t="b">
        <f>IF(COUNTIF(入力シート!$J$16:$S$23,入力リスト!$K$4)=0,FALSE,IF(AND(入力シート!$J$16&lt;&gt;入力リスト!$K$5,入力シート!$J$18&lt;&gt;入力リスト!$K$5,入力シート!$J$20&lt;&gt;入力リスト!$K$5,入力シート!$J$22&lt;&gt;入力リスト!$K$5),FALSE,ISERROR(VLOOKUP(D486,入力シート!$AW$37:$AY$38,1,0))))</f>
        <v>0</v>
      </c>
      <c r="L486" s="237" t="b">
        <f>IF(COUNTIF(入力シート!$J$16:$S$23,入力リスト!$K$4)=0,FALSE,IF(入力シート!$J$20=入力リスト!$K$5,FALSE,IF(E486="",FALSE,ISERROR(VLOOKUP(E486,入力シート!$AH$37:$AK$62,1,0)))))</f>
        <v>0</v>
      </c>
      <c r="M486" s="238" t="str">
        <f t="shared" si="7"/>
        <v/>
      </c>
      <c r="N486" s="236" t="str">
        <f>IF(B486="","",VLOOKUP('従業員情報(給与以外)'!$B486,入力シート!$S$37:$Z$62,5,0))</f>
        <v/>
      </c>
      <c r="O486" s="182" t="str">
        <f>IF(ISNUMBER(C486)=FALSE,"",IF(C486&gt;入力シート!$J$24,"",_xlfn.DAYS(入力シート!$J$24,'従業員情報(給与以外)'!$C486)/365))</f>
        <v/>
      </c>
      <c r="P486" s="237" t="str">
        <f>IF(O486="","",VLOOKUP(_xlfn.DAYS(入力シート!$J$24,'従業員情報(給与以外)'!$C486)/365,入力リスト!$H$4:$I$12,2,2))</f>
        <v/>
      </c>
      <c r="Q486" s="236" t="str">
        <f>IF(D486="","",VLOOKUP('従業員情報(給与以外)'!$D486,入力シート!$AW$37:$BB$38,4,0))</f>
        <v/>
      </c>
      <c r="R486" s="236" t="str">
        <f>IF(A486="","",IF(E486="","非役職",VLOOKUP('従業員情報(給与以外)'!$E486,入力シート!$AH$37:$AO$62,5,0)))</f>
        <v/>
      </c>
      <c r="S486" s="116" t="str">
        <f>IF(OR(入力シート!$C$5&lt;&gt;入力リスト!$N$4,COUNTIF(入力シート!$J$16:$S$23,入力リスト!$K$4)=0),"",IF($A486="","",IF(ISERROR(AVERAGEIF(従業員の給与情報!$B:$B,$A486,従業員の給与情報!$C:$C)),0,IF(ISERROR(AVERAGEIF(従業員の給与情報!$B:$B,$A486,従業員の給与情報!$C:$C)),0,AVERAGEIF(従業員の給与情報!$B:$B,$A486,従業員の給与情報!$C:$C)))))</f>
        <v/>
      </c>
      <c r="T486" s="116" t="str">
        <f>IF(OR(入力シート!$C$5&lt;&gt;入力リスト!$N$4,COUNTIF(入力シート!$J$16:$S$23,入力リスト!$K$4)=0),"",IF(A486="","",IF(ISERROR(AVERAGEIF(従業員の給与情報!$B:$B,$A486,従業員の給与情報!$D:$D)),0,IF(ISERROR(AVERAGEIF(従業員の給与情報!$B:$B,$A486,従業員の給与情報!$D:$D)),0,AVERAGEIF(従業員の給与情報!$B:$B,$A486,従業員の給与情報!$D:$D)))))</f>
        <v/>
      </c>
      <c r="U486" s="116" t="str">
        <f>IF(OR(入力シート!$C$5&lt;&gt;入力リスト!$N$4,COUNTIF(入力シート!$J$16:$S$23,入力リスト!$K$4)=0),"",IF(A486="","",IF(ISERROR(AVERAGEIF(従業員の給与情報!$B:$B,$A486,従業員の給与情報!$E:$E)),0,IF(ISERROR(AVERAGEIF(従業員の給与情報!$B:$B,$A486,従業員の給与情報!$E:$E)),0,AVERAGEIF(従業員の給与情報!$B:$B,$A486,従業員の給与情報!$E:$E)))))</f>
        <v/>
      </c>
      <c r="V486" s="117" t="str">
        <f>IF(OR(入力シート!$C$5&lt;&gt;入力リスト!$N$4,COUNTIF(入力シート!$J$16:$S$23,入力リスト!$K$4)=0),"",IF(A486="","",IF(ISERROR(AVERAGEIF(従業員の給与情報!$B:$B,$A486,従業員の給与情報!$F:$F)),0,IF(ISERROR(AVERAGEIF(従業員の給与情報!$B:$B,$A486,従業員の給与情報!$F:$F)),0,AVERAGEIF(従業員の給与情報!$B:$B,$A486,従業員の給与情報!$F:$F)))))</f>
        <v/>
      </c>
      <c r="W486" s="182"/>
      <c r="X486" s="260"/>
    </row>
    <row r="487" spans="1:24">
      <c r="A487" s="368"/>
      <c r="B487" s="361"/>
      <c r="C487" s="362"/>
      <c r="D487" s="361"/>
      <c r="E487" s="361"/>
      <c r="F487" s="372" t="str">
        <f>IF(G487,"この従業員番号は、すでに他のセルで入力されています。",IF(入力シート!$C$5=入力リスト!$N$5,"",IF(AND(A487="",B487="",C487="",D487="",E487=""),"",IF(OR(A487="",B487="",C487="",D487=""),IF(A487="","従業員番号","")&amp;IF(AND(A487="",OR(B487="",C487="",D487="")),",","")&amp;IF(B487="","雇用形態","")&amp;IF(AND(B487="",OR(C487="",D487="")),",","")&amp;IF(OR(入力シート!$J$18=入力リスト!$K$4,入力シート!$J$22=入力リスト!$K$4),IF(C487="","入社年月日",""),"")&amp;IF(AND(C487="",D487=""),",","")&amp;IF(D487="","性別","")&amp;IF(IF(A487="","従業員番号","")&amp;IF(B487="","雇用形態","")&amp;IF(OR(入力シート!$J$18=入力リスト!$K$4,入力シート!$J$22=入力リスト!$K$4),IF(C487="","入社年月日",""),"")&amp;IF(D487="","性別","")="","","が空白です。"),IF(J487,"入社年月日に「基準日」の翌日以降の日付が入力されています。","")&amp;IF(I487,"入社年月日に数値以外（又は1900/1/1以前の日付）が入力されています。","")&amp;IF(H487,"雇用形態"&amp;IF(OR(K487,L487),",",""),"")&amp;IF(K487,"性別"&amp;IF(L487,",",""),"")&amp;IF(L487,"役職","")&amp;IF(OR(H487,K487,L487),"に、［入力シート］(4)「貴社」欄と異なる文言が入力されています。","")))))</f>
        <v/>
      </c>
      <c r="G487" s="236" t="b">
        <f>COUNTIF($A$4:A486,$A487)&gt;0</f>
        <v>0</v>
      </c>
      <c r="H487" s="237" t="b">
        <f>IF(COUNTIF(入力シート!$J$16:$S$23,入力リスト!$K$4)=0,FALSE,IF(入力シート!$J$16=入力リスト!$K$5,FALSE,ISERROR(VLOOKUP(B487,入力シート!$S$37:$V$62,1,0))))</f>
        <v>0</v>
      </c>
      <c r="I487" s="237" t="b">
        <f>IF(AND(OR(入力シート!$J$18=入力リスト!$K$4,入力シート!$J$22=入力リスト!$K$4),入力シート!$J$24&lt;&gt;""),IF(ISERROR(C487+1),TRUE,IF(ISNUMBER(C487),FALSE,TRUE)),FALSE)</f>
        <v>0</v>
      </c>
      <c r="J487" s="237" t="b">
        <f>IF(AND(入力シート!$J$18=入力リスト!$K$4,入力シート!$J$22=入力リスト!$K$4),FALSE,IF(I487=TRUE,FALSE,IF(ISERROR(C487+1),FALSE,C487&gt;入力シート!$J$24)))</f>
        <v>0</v>
      </c>
      <c r="K487" s="237" t="b">
        <f>IF(COUNTIF(入力シート!$J$16:$S$23,入力リスト!$K$4)=0,FALSE,IF(AND(入力シート!$J$16&lt;&gt;入力リスト!$K$5,入力シート!$J$18&lt;&gt;入力リスト!$K$5,入力シート!$J$20&lt;&gt;入力リスト!$K$5,入力シート!$J$22&lt;&gt;入力リスト!$K$5),FALSE,ISERROR(VLOOKUP(D487,入力シート!$AW$37:$AY$38,1,0))))</f>
        <v>0</v>
      </c>
      <c r="L487" s="237" t="b">
        <f>IF(COUNTIF(入力シート!$J$16:$S$23,入力リスト!$K$4)=0,FALSE,IF(入力シート!$J$20=入力リスト!$K$5,FALSE,IF(E487="",FALSE,ISERROR(VLOOKUP(E487,入力シート!$AH$37:$AK$62,1,0)))))</f>
        <v>0</v>
      </c>
      <c r="M487" s="238" t="str">
        <f t="shared" si="7"/>
        <v/>
      </c>
      <c r="N487" s="236" t="str">
        <f>IF(B487="","",VLOOKUP('従業員情報(給与以外)'!$B487,入力シート!$S$37:$Z$62,5,0))</f>
        <v/>
      </c>
      <c r="O487" s="182" t="str">
        <f>IF(ISNUMBER(C487)=FALSE,"",IF(C487&gt;入力シート!$J$24,"",_xlfn.DAYS(入力シート!$J$24,'従業員情報(給与以外)'!$C487)/365))</f>
        <v/>
      </c>
      <c r="P487" s="237" t="str">
        <f>IF(O487="","",VLOOKUP(_xlfn.DAYS(入力シート!$J$24,'従業員情報(給与以外)'!$C487)/365,入力リスト!$H$4:$I$12,2,2))</f>
        <v/>
      </c>
      <c r="Q487" s="236" t="str">
        <f>IF(D487="","",VLOOKUP('従業員情報(給与以外)'!$D487,入力シート!$AW$37:$BB$38,4,0))</f>
        <v/>
      </c>
      <c r="R487" s="236" t="str">
        <f>IF(A487="","",IF(E487="","非役職",VLOOKUP('従業員情報(給与以外)'!$E487,入力シート!$AH$37:$AO$62,5,0)))</f>
        <v/>
      </c>
      <c r="S487" s="116" t="str">
        <f>IF(OR(入力シート!$C$5&lt;&gt;入力リスト!$N$4,COUNTIF(入力シート!$J$16:$S$23,入力リスト!$K$4)=0),"",IF($A487="","",IF(ISERROR(AVERAGEIF(従業員の給与情報!$B:$B,$A487,従業員の給与情報!$C:$C)),0,IF(ISERROR(AVERAGEIF(従業員の給与情報!$B:$B,$A487,従業員の給与情報!$C:$C)),0,AVERAGEIF(従業員の給与情報!$B:$B,$A487,従業員の給与情報!$C:$C)))))</f>
        <v/>
      </c>
      <c r="T487" s="116" t="str">
        <f>IF(OR(入力シート!$C$5&lt;&gt;入力リスト!$N$4,COUNTIF(入力シート!$J$16:$S$23,入力リスト!$K$4)=0),"",IF(A487="","",IF(ISERROR(AVERAGEIF(従業員の給与情報!$B:$B,$A487,従業員の給与情報!$D:$D)),0,IF(ISERROR(AVERAGEIF(従業員の給与情報!$B:$B,$A487,従業員の給与情報!$D:$D)),0,AVERAGEIF(従業員の給与情報!$B:$B,$A487,従業員の給与情報!$D:$D)))))</f>
        <v/>
      </c>
      <c r="U487" s="116" t="str">
        <f>IF(OR(入力シート!$C$5&lt;&gt;入力リスト!$N$4,COUNTIF(入力シート!$J$16:$S$23,入力リスト!$K$4)=0),"",IF(A487="","",IF(ISERROR(AVERAGEIF(従業員の給与情報!$B:$B,$A487,従業員の給与情報!$E:$E)),0,IF(ISERROR(AVERAGEIF(従業員の給与情報!$B:$B,$A487,従業員の給与情報!$E:$E)),0,AVERAGEIF(従業員の給与情報!$B:$B,$A487,従業員の給与情報!$E:$E)))))</f>
        <v/>
      </c>
      <c r="V487" s="117" t="str">
        <f>IF(OR(入力シート!$C$5&lt;&gt;入力リスト!$N$4,COUNTIF(入力シート!$J$16:$S$23,入力リスト!$K$4)=0),"",IF(A487="","",IF(ISERROR(AVERAGEIF(従業員の給与情報!$B:$B,$A487,従業員の給与情報!$F:$F)),0,IF(ISERROR(AVERAGEIF(従業員の給与情報!$B:$B,$A487,従業員の給与情報!$F:$F)),0,AVERAGEIF(従業員の給与情報!$B:$B,$A487,従業員の給与情報!$F:$F)))))</f>
        <v/>
      </c>
      <c r="W487" s="182"/>
      <c r="X487" s="260"/>
    </row>
    <row r="488" spans="1:24">
      <c r="A488" s="368"/>
      <c r="B488" s="361"/>
      <c r="C488" s="362"/>
      <c r="D488" s="361"/>
      <c r="E488" s="361"/>
      <c r="F488" s="372" t="str">
        <f>IF(G488,"この従業員番号は、すでに他のセルで入力されています。",IF(入力シート!$C$5=入力リスト!$N$5,"",IF(AND(A488="",B488="",C488="",D488="",E488=""),"",IF(OR(A488="",B488="",C488="",D488=""),IF(A488="","従業員番号","")&amp;IF(AND(A488="",OR(B488="",C488="",D488="")),",","")&amp;IF(B488="","雇用形態","")&amp;IF(AND(B488="",OR(C488="",D488="")),",","")&amp;IF(OR(入力シート!$J$18=入力リスト!$K$4,入力シート!$J$22=入力リスト!$K$4),IF(C488="","入社年月日",""),"")&amp;IF(AND(C488="",D488=""),",","")&amp;IF(D488="","性別","")&amp;IF(IF(A488="","従業員番号","")&amp;IF(B488="","雇用形態","")&amp;IF(OR(入力シート!$J$18=入力リスト!$K$4,入力シート!$J$22=入力リスト!$K$4),IF(C488="","入社年月日",""),"")&amp;IF(D488="","性別","")="","","が空白です。"),IF(J488,"入社年月日に「基準日」の翌日以降の日付が入力されています。","")&amp;IF(I488,"入社年月日に数値以外（又は1900/1/1以前の日付）が入力されています。","")&amp;IF(H488,"雇用形態"&amp;IF(OR(K488,L488),",",""),"")&amp;IF(K488,"性別"&amp;IF(L488,",",""),"")&amp;IF(L488,"役職","")&amp;IF(OR(H488,K488,L488),"に、［入力シート］(4)「貴社」欄と異なる文言が入力されています。","")))))</f>
        <v/>
      </c>
      <c r="G488" s="236" t="b">
        <f>COUNTIF($A$4:A487,$A488)&gt;0</f>
        <v>0</v>
      </c>
      <c r="H488" s="237" t="b">
        <f>IF(COUNTIF(入力シート!$J$16:$S$23,入力リスト!$K$4)=0,FALSE,IF(入力シート!$J$16=入力リスト!$K$5,FALSE,ISERROR(VLOOKUP(B488,入力シート!$S$37:$V$62,1,0))))</f>
        <v>0</v>
      </c>
      <c r="I488" s="237" t="b">
        <f>IF(AND(OR(入力シート!$J$18=入力リスト!$K$4,入力シート!$J$22=入力リスト!$K$4),入力シート!$J$24&lt;&gt;""),IF(ISERROR(C488+1),TRUE,IF(ISNUMBER(C488),FALSE,TRUE)),FALSE)</f>
        <v>0</v>
      </c>
      <c r="J488" s="237" t="b">
        <f>IF(AND(入力シート!$J$18=入力リスト!$K$4,入力シート!$J$22=入力リスト!$K$4),FALSE,IF(I488=TRUE,FALSE,IF(ISERROR(C488+1),FALSE,C488&gt;入力シート!$J$24)))</f>
        <v>0</v>
      </c>
      <c r="K488" s="237" t="b">
        <f>IF(COUNTIF(入力シート!$J$16:$S$23,入力リスト!$K$4)=0,FALSE,IF(AND(入力シート!$J$16&lt;&gt;入力リスト!$K$5,入力シート!$J$18&lt;&gt;入力リスト!$K$5,入力シート!$J$20&lt;&gt;入力リスト!$K$5,入力シート!$J$22&lt;&gt;入力リスト!$K$5),FALSE,ISERROR(VLOOKUP(D488,入力シート!$AW$37:$AY$38,1,0))))</f>
        <v>0</v>
      </c>
      <c r="L488" s="237" t="b">
        <f>IF(COUNTIF(入力シート!$J$16:$S$23,入力リスト!$K$4)=0,FALSE,IF(入力シート!$J$20=入力リスト!$K$5,FALSE,IF(E488="",FALSE,ISERROR(VLOOKUP(E488,入力シート!$AH$37:$AK$62,1,0)))))</f>
        <v>0</v>
      </c>
      <c r="M488" s="238" t="str">
        <f t="shared" si="7"/>
        <v/>
      </c>
      <c r="N488" s="236" t="str">
        <f>IF(B488="","",VLOOKUP('従業員情報(給与以外)'!$B488,入力シート!$S$37:$Z$62,5,0))</f>
        <v/>
      </c>
      <c r="O488" s="182" t="str">
        <f>IF(ISNUMBER(C488)=FALSE,"",IF(C488&gt;入力シート!$J$24,"",_xlfn.DAYS(入力シート!$J$24,'従業員情報(給与以外)'!$C488)/365))</f>
        <v/>
      </c>
      <c r="P488" s="237" t="str">
        <f>IF(O488="","",VLOOKUP(_xlfn.DAYS(入力シート!$J$24,'従業員情報(給与以外)'!$C488)/365,入力リスト!$H$4:$I$12,2,2))</f>
        <v/>
      </c>
      <c r="Q488" s="236" t="str">
        <f>IF(D488="","",VLOOKUP('従業員情報(給与以外)'!$D488,入力シート!$AW$37:$BB$38,4,0))</f>
        <v/>
      </c>
      <c r="R488" s="236" t="str">
        <f>IF(A488="","",IF(E488="","非役職",VLOOKUP('従業員情報(給与以外)'!$E488,入力シート!$AH$37:$AO$62,5,0)))</f>
        <v/>
      </c>
      <c r="S488" s="116" t="str">
        <f>IF(OR(入力シート!$C$5&lt;&gt;入力リスト!$N$4,COUNTIF(入力シート!$J$16:$S$23,入力リスト!$K$4)=0),"",IF($A488="","",IF(ISERROR(AVERAGEIF(従業員の給与情報!$B:$B,$A488,従業員の給与情報!$C:$C)),0,IF(ISERROR(AVERAGEIF(従業員の給与情報!$B:$B,$A488,従業員の給与情報!$C:$C)),0,AVERAGEIF(従業員の給与情報!$B:$B,$A488,従業員の給与情報!$C:$C)))))</f>
        <v/>
      </c>
      <c r="T488" s="116" t="str">
        <f>IF(OR(入力シート!$C$5&lt;&gt;入力リスト!$N$4,COUNTIF(入力シート!$J$16:$S$23,入力リスト!$K$4)=0),"",IF(A488="","",IF(ISERROR(AVERAGEIF(従業員の給与情報!$B:$B,$A488,従業員の給与情報!$D:$D)),0,IF(ISERROR(AVERAGEIF(従業員の給与情報!$B:$B,$A488,従業員の給与情報!$D:$D)),0,AVERAGEIF(従業員の給与情報!$B:$B,$A488,従業員の給与情報!$D:$D)))))</f>
        <v/>
      </c>
      <c r="U488" s="116" t="str">
        <f>IF(OR(入力シート!$C$5&lt;&gt;入力リスト!$N$4,COUNTIF(入力シート!$J$16:$S$23,入力リスト!$K$4)=0),"",IF(A488="","",IF(ISERROR(AVERAGEIF(従業員の給与情報!$B:$B,$A488,従業員の給与情報!$E:$E)),0,IF(ISERROR(AVERAGEIF(従業員の給与情報!$B:$B,$A488,従業員の給与情報!$E:$E)),0,AVERAGEIF(従業員の給与情報!$B:$B,$A488,従業員の給与情報!$E:$E)))))</f>
        <v/>
      </c>
      <c r="V488" s="117" t="str">
        <f>IF(OR(入力シート!$C$5&lt;&gt;入力リスト!$N$4,COUNTIF(入力シート!$J$16:$S$23,入力リスト!$K$4)=0),"",IF(A488="","",IF(ISERROR(AVERAGEIF(従業員の給与情報!$B:$B,$A488,従業員の給与情報!$F:$F)),0,IF(ISERROR(AVERAGEIF(従業員の給与情報!$B:$B,$A488,従業員の給与情報!$F:$F)),0,AVERAGEIF(従業員の給与情報!$B:$B,$A488,従業員の給与情報!$F:$F)))))</f>
        <v/>
      </c>
      <c r="W488" s="182"/>
      <c r="X488" s="260"/>
    </row>
    <row r="489" spans="1:24">
      <c r="A489" s="368"/>
      <c r="B489" s="361"/>
      <c r="C489" s="362"/>
      <c r="D489" s="361"/>
      <c r="E489" s="361"/>
      <c r="F489" s="372" t="str">
        <f>IF(G489,"この従業員番号は、すでに他のセルで入力されています。",IF(入力シート!$C$5=入力リスト!$N$5,"",IF(AND(A489="",B489="",C489="",D489="",E489=""),"",IF(OR(A489="",B489="",C489="",D489=""),IF(A489="","従業員番号","")&amp;IF(AND(A489="",OR(B489="",C489="",D489="")),",","")&amp;IF(B489="","雇用形態","")&amp;IF(AND(B489="",OR(C489="",D489="")),",","")&amp;IF(OR(入力シート!$J$18=入力リスト!$K$4,入力シート!$J$22=入力リスト!$K$4),IF(C489="","入社年月日",""),"")&amp;IF(AND(C489="",D489=""),",","")&amp;IF(D489="","性別","")&amp;IF(IF(A489="","従業員番号","")&amp;IF(B489="","雇用形態","")&amp;IF(OR(入力シート!$J$18=入力リスト!$K$4,入力シート!$J$22=入力リスト!$K$4),IF(C489="","入社年月日",""),"")&amp;IF(D489="","性別","")="","","が空白です。"),IF(J489,"入社年月日に「基準日」の翌日以降の日付が入力されています。","")&amp;IF(I489,"入社年月日に数値以外（又は1900/1/1以前の日付）が入力されています。","")&amp;IF(H489,"雇用形態"&amp;IF(OR(K489,L489),",",""),"")&amp;IF(K489,"性別"&amp;IF(L489,",",""),"")&amp;IF(L489,"役職","")&amp;IF(OR(H489,K489,L489),"に、［入力シート］(4)「貴社」欄と異なる文言が入力されています。","")))))</f>
        <v/>
      </c>
      <c r="G489" s="236" t="b">
        <f>COUNTIF($A$4:A488,$A489)&gt;0</f>
        <v>0</v>
      </c>
      <c r="H489" s="237" t="b">
        <f>IF(COUNTIF(入力シート!$J$16:$S$23,入力リスト!$K$4)=0,FALSE,IF(入力シート!$J$16=入力リスト!$K$5,FALSE,ISERROR(VLOOKUP(B489,入力シート!$S$37:$V$62,1,0))))</f>
        <v>0</v>
      </c>
      <c r="I489" s="237" t="b">
        <f>IF(AND(OR(入力シート!$J$18=入力リスト!$K$4,入力シート!$J$22=入力リスト!$K$4),入力シート!$J$24&lt;&gt;""),IF(ISERROR(C489+1),TRUE,IF(ISNUMBER(C489),FALSE,TRUE)),FALSE)</f>
        <v>0</v>
      </c>
      <c r="J489" s="237" t="b">
        <f>IF(AND(入力シート!$J$18=入力リスト!$K$4,入力シート!$J$22=入力リスト!$K$4),FALSE,IF(I489=TRUE,FALSE,IF(ISERROR(C489+1),FALSE,C489&gt;入力シート!$J$24)))</f>
        <v>0</v>
      </c>
      <c r="K489" s="237" t="b">
        <f>IF(COUNTIF(入力シート!$J$16:$S$23,入力リスト!$K$4)=0,FALSE,IF(AND(入力シート!$J$16&lt;&gt;入力リスト!$K$5,入力シート!$J$18&lt;&gt;入力リスト!$K$5,入力シート!$J$20&lt;&gt;入力リスト!$K$5,入力シート!$J$22&lt;&gt;入力リスト!$K$5),FALSE,ISERROR(VLOOKUP(D489,入力シート!$AW$37:$AY$38,1,0))))</f>
        <v>0</v>
      </c>
      <c r="L489" s="237" t="b">
        <f>IF(COUNTIF(入力シート!$J$16:$S$23,入力リスト!$K$4)=0,FALSE,IF(入力シート!$J$20=入力リスト!$K$5,FALSE,IF(E489="",FALSE,ISERROR(VLOOKUP(E489,入力シート!$AH$37:$AK$62,1,0)))))</f>
        <v>0</v>
      </c>
      <c r="M489" s="238" t="str">
        <f t="shared" si="7"/>
        <v/>
      </c>
      <c r="N489" s="236" t="str">
        <f>IF(B489="","",VLOOKUP('従業員情報(給与以外)'!$B489,入力シート!$S$37:$Z$62,5,0))</f>
        <v/>
      </c>
      <c r="O489" s="182" t="str">
        <f>IF(ISNUMBER(C489)=FALSE,"",IF(C489&gt;入力シート!$J$24,"",_xlfn.DAYS(入力シート!$J$24,'従業員情報(給与以外)'!$C489)/365))</f>
        <v/>
      </c>
      <c r="P489" s="237" t="str">
        <f>IF(O489="","",VLOOKUP(_xlfn.DAYS(入力シート!$J$24,'従業員情報(給与以外)'!$C489)/365,入力リスト!$H$4:$I$12,2,2))</f>
        <v/>
      </c>
      <c r="Q489" s="236" t="str">
        <f>IF(D489="","",VLOOKUP('従業員情報(給与以外)'!$D489,入力シート!$AW$37:$BB$38,4,0))</f>
        <v/>
      </c>
      <c r="R489" s="236" t="str">
        <f>IF(A489="","",IF(E489="","非役職",VLOOKUP('従業員情報(給与以外)'!$E489,入力シート!$AH$37:$AO$62,5,0)))</f>
        <v/>
      </c>
      <c r="S489" s="116" t="str">
        <f>IF(OR(入力シート!$C$5&lt;&gt;入力リスト!$N$4,COUNTIF(入力シート!$J$16:$S$23,入力リスト!$K$4)=0),"",IF($A489="","",IF(ISERROR(AVERAGEIF(従業員の給与情報!$B:$B,$A489,従業員の給与情報!$C:$C)),0,IF(ISERROR(AVERAGEIF(従業員の給与情報!$B:$B,$A489,従業員の給与情報!$C:$C)),0,AVERAGEIF(従業員の給与情報!$B:$B,$A489,従業員の給与情報!$C:$C)))))</f>
        <v/>
      </c>
      <c r="T489" s="116" t="str">
        <f>IF(OR(入力シート!$C$5&lt;&gt;入力リスト!$N$4,COUNTIF(入力シート!$J$16:$S$23,入力リスト!$K$4)=0),"",IF(A489="","",IF(ISERROR(AVERAGEIF(従業員の給与情報!$B:$B,$A489,従業員の給与情報!$D:$D)),0,IF(ISERROR(AVERAGEIF(従業員の給与情報!$B:$B,$A489,従業員の給与情報!$D:$D)),0,AVERAGEIF(従業員の給与情報!$B:$B,$A489,従業員の給与情報!$D:$D)))))</f>
        <v/>
      </c>
      <c r="U489" s="116" t="str">
        <f>IF(OR(入力シート!$C$5&lt;&gt;入力リスト!$N$4,COUNTIF(入力シート!$J$16:$S$23,入力リスト!$K$4)=0),"",IF(A489="","",IF(ISERROR(AVERAGEIF(従業員の給与情報!$B:$B,$A489,従業員の給与情報!$E:$E)),0,IF(ISERROR(AVERAGEIF(従業員の給与情報!$B:$B,$A489,従業員の給与情報!$E:$E)),0,AVERAGEIF(従業員の給与情報!$B:$B,$A489,従業員の給与情報!$E:$E)))))</f>
        <v/>
      </c>
      <c r="V489" s="117" t="str">
        <f>IF(OR(入力シート!$C$5&lt;&gt;入力リスト!$N$4,COUNTIF(入力シート!$J$16:$S$23,入力リスト!$K$4)=0),"",IF(A489="","",IF(ISERROR(AVERAGEIF(従業員の給与情報!$B:$B,$A489,従業員の給与情報!$F:$F)),0,IF(ISERROR(AVERAGEIF(従業員の給与情報!$B:$B,$A489,従業員の給与情報!$F:$F)),0,AVERAGEIF(従業員の給与情報!$B:$B,$A489,従業員の給与情報!$F:$F)))))</f>
        <v/>
      </c>
      <c r="W489" s="182"/>
      <c r="X489" s="260"/>
    </row>
    <row r="490" spans="1:24">
      <c r="A490" s="368"/>
      <c r="B490" s="361"/>
      <c r="C490" s="362"/>
      <c r="D490" s="361"/>
      <c r="E490" s="361"/>
      <c r="F490" s="372" t="str">
        <f>IF(G490,"この従業員番号は、すでに他のセルで入力されています。",IF(入力シート!$C$5=入力リスト!$N$5,"",IF(AND(A490="",B490="",C490="",D490="",E490=""),"",IF(OR(A490="",B490="",C490="",D490=""),IF(A490="","従業員番号","")&amp;IF(AND(A490="",OR(B490="",C490="",D490="")),",","")&amp;IF(B490="","雇用形態","")&amp;IF(AND(B490="",OR(C490="",D490="")),",","")&amp;IF(OR(入力シート!$J$18=入力リスト!$K$4,入力シート!$J$22=入力リスト!$K$4),IF(C490="","入社年月日",""),"")&amp;IF(AND(C490="",D490=""),",","")&amp;IF(D490="","性別","")&amp;IF(IF(A490="","従業員番号","")&amp;IF(B490="","雇用形態","")&amp;IF(OR(入力シート!$J$18=入力リスト!$K$4,入力シート!$J$22=入力リスト!$K$4),IF(C490="","入社年月日",""),"")&amp;IF(D490="","性別","")="","","が空白です。"),IF(J490,"入社年月日に「基準日」の翌日以降の日付が入力されています。","")&amp;IF(I490,"入社年月日に数値以外（又は1900/1/1以前の日付）が入力されています。","")&amp;IF(H490,"雇用形態"&amp;IF(OR(K490,L490),",",""),"")&amp;IF(K490,"性別"&amp;IF(L490,",",""),"")&amp;IF(L490,"役職","")&amp;IF(OR(H490,K490,L490),"に、［入力シート］(4)「貴社」欄と異なる文言が入力されています。","")))))</f>
        <v/>
      </c>
      <c r="G490" s="236" t="b">
        <f>COUNTIF($A$4:A489,$A490)&gt;0</f>
        <v>0</v>
      </c>
      <c r="H490" s="237" t="b">
        <f>IF(COUNTIF(入力シート!$J$16:$S$23,入力リスト!$K$4)=0,FALSE,IF(入力シート!$J$16=入力リスト!$K$5,FALSE,ISERROR(VLOOKUP(B490,入力シート!$S$37:$V$62,1,0))))</f>
        <v>0</v>
      </c>
      <c r="I490" s="237" t="b">
        <f>IF(AND(OR(入力シート!$J$18=入力リスト!$K$4,入力シート!$J$22=入力リスト!$K$4),入力シート!$J$24&lt;&gt;""),IF(ISERROR(C490+1),TRUE,IF(ISNUMBER(C490),FALSE,TRUE)),FALSE)</f>
        <v>0</v>
      </c>
      <c r="J490" s="237" t="b">
        <f>IF(AND(入力シート!$J$18=入力リスト!$K$4,入力シート!$J$22=入力リスト!$K$4),FALSE,IF(I490=TRUE,FALSE,IF(ISERROR(C490+1),FALSE,C490&gt;入力シート!$J$24)))</f>
        <v>0</v>
      </c>
      <c r="K490" s="237" t="b">
        <f>IF(COUNTIF(入力シート!$J$16:$S$23,入力リスト!$K$4)=0,FALSE,IF(AND(入力シート!$J$16&lt;&gt;入力リスト!$K$5,入力シート!$J$18&lt;&gt;入力リスト!$K$5,入力シート!$J$20&lt;&gt;入力リスト!$K$5,入力シート!$J$22&lt;&gt;入力リスト!$K$5),FALSE,ISERROR(VLOOKUP(D490,入力シート!$AW$37:$AY$38,1,0))))</f>
        <v>0</v>
      </c>
      <c r="L490" s="237" t="b">
        <f>IF(COUNTIF(入力シート!$J$16:$S$23,入力リスト!$K$4)=0,FALSE,IF(入力シート!$J$20=入力リスト!$K$5,FALSE,IF(E490="",FALSE,ISERROR(VLOOKUP(E490,入力シート!$AH$37:$AK$62,1,0)))))</f>
        <v>0</v>
      </c>
      <c r="M490" s="238" t="str">
        <f t="shared" si="7"/>
        <v/>
      </c>
      <c r="N490" s="236" t="str">
        <f>IF(B490="","",VLOOKUP('従業員情報(給与以外)'!$B490,入力シート!$S$37:$Z$62,5,0))</f>
        <v/>
      </c>
      <c r="O490" s="182" t="str">
        <f>IF(ISNUMBER(C490)=FALSE,"",IF(C490&gt;入力シート!$J$24,"",_xlfn.DAYS(入力シート!$J$24,'従業員情報(給与以外)'!$C490)/365))</f>
        <v/>
      </c>
      <c r="P490" s="237" t="str">
        <f>IF(O490="","",VLOOKUP(_xlfn.DAYS(入力シート!$J$24,'従業員情報(給与以外)'!$C490)/365,入力リスト!$H$4:$I$12,2,2))</f>
        <v/>
      </c>
      <c r="Q490" s="236" t="str">
        <f>IF(D490="","",VLOOKUP('従業員情報(給与以外)'!$D490,入力シート!$AW$37:$BB$38,4,0))</f>
        <v/>
      </c>
      <c r="R490" s="236" t="str">
        <f>IF(A490="","",IF(E490="","非役職",VLOOKUP('従業員情報(給与以外)'!$E490,入力シート!$AH$37:$AO$62,5,0)))</f>
        <v/>
      </c>
      <c r="S490" s="116" t="str">
        <f>IF(OR(入力シート!$C$5&lt;&gt;入力リスト!$N$4,COUNTIF(入力シート!$J$16:$S$23,入力リスト!$K$4)=0),"",IF($A490="","",IF(ISERROR(AVERAGEIF(従業員の給与情報!$B:$B,$A490,従業員の給与情報!$C:$C)),0,IF(ISERROR(AVERAGEIF(従業員の給与情報!$B:$B,$A490,従業員の給与情報!$C:$C)),0,AVERAGEIF(従業員の給与情報!$B:$B,$A490,従業員の給与情報!$C:$C)))))</f>
        <v/>
      </c>
      <c r="T490" s="116" t="str">
        <f>IF(OR(入力シート!$C$5&lt;&gt;入力リスト!$N$4,COUNTIF(入力シート!$J$16:$S$23,入力リスト!$K$4)=0),"",IF(A490="","",IF(ISERROR(AVERAGEIF(従業員の給与情報!$B:$B,$A490,従業員の給与情報!$D:$D)),0,IF(ISERROR(AVERAGEIF(従業員の給与情報!$B:$B,$A490,従業員の給与情報!$D:$D)),0,AVERAGEIF(従業員の給与情報!$B:$B,$A490,従業員の給与情報!$D:$D)))))</f>
        <v/>
      </c>
      <c r="U490" s="116" t="str">
        <f>IF(OR(入力シート!$C$5&lt;&gt;入力リスト!$N$4,COUNTIF(入力シート!$J$16:$S$23,入力リスト!$K$4)=0),"",IF(A490="","",IF(ISERROR(AVERAGEIF(従業員の給与情報!$B:$B,$A490,従業員の給与情報!$E:$E)),0,IF(ISERROR(AVERAGEIF(従業員の給与情報!$B:$B,$A490,従業員の給与情報!$E:$E)),0,AVERAGEIF(従業員の給与情報!$B:$B,$A490,従業員の給与情報!$E:$E)))))</f>
        <v/>
      </c>
      <c r="V490" s="117" t="str">
        <f>IF(OR(入力シート!$C$5&lt;&gt;入力リスト!$N$4,COUNTIF(入力シート!$J$16:$S$23,入力リスト!$K$4)=0),"",IF(A490="","",IF(ISERROR(AVERAGEIF(従業員の給与情報!$B:$B,$A490,従業員の給与情報!$F:$F)),0,IF(ISERROR(AVERAGEIF(従業員の給与情報!$B:$B,$A490,従業員の給与情報!$F:$F)),0,AVERAGEIF(従業員の給与情報!$B:$B,$A490,従業員の給与情報!$F:$F)))))</f>
        <v/>
      </c>
      <c r="W490" s="182"/>
      <c r="X490" s="260"/>
    </row>
    <row r="491" spans="1:24">
      <c r="A491" s="368"/>
      <c r="B491" s="361"/>
      <c r="C491" s="362"/>
      <c r="D491" s="361"/>
      <c r="E491" s="361"/>
      <c r="F491" s="372" t="str">
        <f>IF(G491,"この従業員番号は、すでに他のセルで入力されています。",IF(入力シート!$C$5=入力リスト!$N$5,"",IF(AND(A491="",B491="",C491="",D491="",E491=""),"",IF(OR(A491="",B491="",C491="",D491=""),IF(A491="","従業員番号","")&amp;IF(AND(A491="",OR(B491="",C491="",D491="")),",","")&amp;IF(B491="","雇用形態","")&amp;IF(AND(B491="",OR(C491="",D491="")),",","")&amp;IF(OR(入力シート!$J$18=入力リスト!$K$4,入力シート!$J$22=入力リスト!$K$4),IF(C491="","入社年月日",""),"")&amp;IF(AND(C491="",D491=""),",","")&amp;IF(D491="","性別","")&amp;IF(IF(A491="","従業員番号","")&amp;IF(B491="","雇用形態","")&amp;IF(OR(入力シート!$J$18=入力リスト!$K$4,入力シート!$J$22=入力リスト!$K$4),IF(C491="","入社年月日",""),"")&amp;IF(D491="","性別","")="","","が空白です。"),IF(J491,"入社年月日に「基準日」の翌日以降の日付が入力されています。","")&amp;IF(I491,"入社年月日に数値以外（又は1900/1/1以前の日付）が入力されています。","")&amp;IF(H491,"雇用形態"&amp;IF(OR(K491,L491),",",""),"")&amp;IF(K491,"性別"&amp;IF(L491,",",""),"")&amp;IF(L491,"役職","")&amp;IF(OR(H491,K491,L491),"に、［入力シート］(4)「貴社」欄と異なる文言が入力されています。","")))))</f>
        <v/>
      </c>
      <c r="G491" s="236" t="b">
        <f>COUNTIF($A$4:A490,$A491)&gt;0</f>
        <v>0</v>
      </c>
      <c r="H491" s="237" t="b">
        <f>IF(COUNTIF(入力シート!$J$16:$S$23,入力リスト!$K$4)=0,FALSE,IF(入力シート!$J$16=入力リスト!$K$5,FALSE,ISERROR(VLOOKUP(B491,入力シート!$S$37:$V$62,1,0))))</f>
        <v>0</v>
      </c>
      <c r="I491" s="237" t="b">
        <f>IF(AND(OR(入力シート!$J$18=入力リスト!$K$4,入力シート!$J$22=入力リスト!$K$4),入力シート!$J$24&lt;&gt;""),IF(ISERROR(C491+1),TRUE,IF(ISNUMBER(C491),FALSE,TRUE)),FALSE)</f>
        <v>0</v>
      </c>
      <c r="J491" s="237" t="b">
        <f>IF(AND(入力シート!$J$18=入力リスト!$K$4,入力シート!$J$22=入力リスト!$K$4),FALSE,IF(I491=TRUE,FALSE,IF(ISERROR(C491+1),FALSE,C491&gt;入力シート!$J$24)))</f>
        <v>0</v>
      </c>
      <c r="K491" s="237" t="b">
        <f>IF(COUNTIF(入力シート!$J$16:$S$23,入力リスト!$K$4)=0,FALSE,IF(AND(入力シート!$J$16&lt;&gt;入力リスト!$K$5,入力シート!$J$18&lt;&gt;入力リスト!$K$5,入力シート!$J$20&lt;&gt;入力リスト!$K$5,入力シート!$J$22&lt;&gt;入力リスト!$K$5),FALSE,ISERROR(VLOOKUP(D491,入力シート!$AW$37:$AY$38,1,0))))</f>
        <v>0</v>
      </c>
      <c r="L491" s="237" t="b">
        <f>IF(COUNTIF(入力シート!$J$16:$S$23,入力リスト!$K$4)=0,FALSE,IF(入力シート!$J$20=入力リスト!$K$5,FALSE,IF(E491="",FALSE,ISERROR(VLOOKUP(E491,入力シート!$AH$37:$AK$62,1,0)))))</f>
        <v>0</v>
      </c>
      <c r="M491" s="238" t="str">
        <f t="shared" si="7"/>
        <v/>
      </c>
      <c r="N491" s="236" t="str">
        <f>IF(B491="","",VLOOKUP('従業員情報(給与以外)'!$B491,入力シート!$S$37:$Z$62,5,0))</f>
        <v/>
      </c>
      <c r="O491" s="182" t="str">
        <f>IF(ISNUMBER(C491)=FALSE,"",IF(C491&gt;入力シート!$J$24,"",_xlfn.DAYS(入力シート!$J$24,'従業員情報(給与以外)'!$C491)/365))</f>
        <v/>
      </c>
      <c r="P491" s="237" t="str">
        <f>IF(O491="","",VLOOKUP(_xlfn.DAYS(入力シート!$J$24,'従業員情報(給与以外)'!$C491)/365,入力リスト!$H$4:$I$12,2,2))</f>
        <v/>
      </c>
      <c r="Q491" s="236" t="str">
        <f>IF(D491="","",VLOOKUP('従業員情報(給与以外)'!$D491,入力シート!$AW$37:$BB$38,4,0))</f>
        <v/>
      </c>
      <c r="R491" s="236" t="str">
        <f>IF(A491="","",IF(E491="","非役職",VLOOKUP('従業員情報(給与以外)'!$E491,入力シート!$AH$37:$AO$62,5,0)))</f>
        <v/>
      </c>
      <c r="S491" s="116" t="str">
        <f>IF(OR(入力シート!$C$5&lt;&gt;入力リスト!$N$4,COUNTIF(入力シート!$J$16:$S$23,入力リスト!$K$4)=0),"",IF($A491="","",IF(ISERROR(AVERAGEIF(従業員の給与情報!$B:$B,$A491,従業員の給与情報!$C:$C)),0,IF(ISERROR(AVERAGEIF(従業員の給与情報!$B:$B,$A491,従業員の給与情報!$C:$C)),0,AVERAGEIF(従業員の給与情報!$B:$B,$A491,従業員の給与情報!$C:$C)))))</f>
        <v/>
      </c>
      <c r="T491" s="116" t="str">
        <f>IF(OR(入力シート!$C$5&lt;&gt;入力リスト!$N$4,COUNTIF(入力シート!$J$16:$S$23,入力リスト!$K$4)=0),"",IF(A491="","",IF(ISERROR(AVERAGEIF(従業員の給与情報!$B:$B,$A491,従業員の給与情報!$D:$D)),0,IF(ISERROR(AVERAGEIF(従業員の給与情報!$B:$B,$A491,従業員の給与情報!$D:$D)),0,AVERAGEIF(従業員の給与情報!$B:$B,$A491,従業員の給与情報!$D:$D)))))</f>
        <v/>
      </c>
      <c r="U491" s="116" t="str">
        <f>IF(OR(入力シート!$C$5&lt;&gt;入力リスト!$N$4,COUNTIF(入力シート!$J$16:$S$23,入力リスト!$K$4)=0),"",IF(A491="","",IF(ISERROR(AVERAGEIF(従業員の給与情報!$B:$B,$A491,従業員の給与情報!$E:$E)),0,IF(ISERROR(AVERAGEIF(従業員の給与情報!$B:$B,$A491,従業員の給与情報!$E:$E)),0,AVERAGEIF(従業員の給与情報!$B:$B,$A491,従業員の給与情報!$E:$E)))))</f>
        <v/>
      </c>
      <c r="V491" s="117" t="str">
        <f>IF(OR(入力シート!$C$5&lt;&gt;入力リスト!$N$4,COUNTIF(入力シート!$J$16:$S$23,入力リスト!$K$4)=0),"",IF(A491="","",IF(ISERROR(AVERAGEIF(従業員の給与情報!$B:$B,$A491,従業員の給与情報!$F:$F)),0,IF(ISERROR(AVERAGEIF(従業員の給与情報!$B:$B,$A491,従業員の給与情報!$F:$F)),0,AVERAGEIF(従業員の給与情報!$B:$B,$A491,従業員の給与情報!$F:$F)))))</f>
        <v/>
      </c>
      <c r="W491" s="182"/>
      <c r="X491" s="260"/>
    </row>
    <row r="492" spans="1:24">
      <c r="A492" s="368"/>
      <c r="B492" s="361"/>
      <c r="C492" s="362"/>
      <c r="D492" s="361"/>
      <c r="E492" s="361"/>
      <c r="F492" s="372" t="str">
        <f>IF(G492,"この従業員番号は、すでに他のセルで入力されています。",IF(入力シート!$C$5=入力リスト!$N$5,"",IF(AND(A492="",B492="",C492="",D492="",E492=""),"",IF(OR(A492="",B492="",C492="",D492=""),IF(A492="","従業員番号","")&amp;IF(AND(A492="",OR(B492="",C492="",D492="")),",","")&amp;IF(B492="","雇用形態","")&amp;IF(AND(B492="",OR(C492="",D492="")),",","")&amp;IF(OR(入力シート!$J$18=入力リスト!$K$4,入力シート!$J$22=入力リスト!$K$4),IF(C492="","入社年月日",""),"")&amp;IF(AND(C492="",D492=""),",","")&amp;IF(D492="","性別","")&amp;IF(IF(A492="","従業員番号","")&amp;IF(B492="","雇用形態","")&amp;IF(OR(入力シート!$J$18=入力リスト!$K$4,入力シート!$J$22=入力リスト!$K$4),IF(C492="","入社年月日",""),"")&amp;IF(D492="","性別","")="","","が空白です。"),IF(J492,"入社年月日に「基準日」の翌日以降の日付が入力されています。","")&amp;IF(I492,"入社年月日に数値以外（又は1900/1/1以前の日付）が入力されています。","")&amp;IF(H492,"雇用形態"&amp;IF(OR(K492,L492),",",""),"")&amp;IF(K492,"性別"&amp;IF(L492,",",""),"")&amp;IF(L492,"役職","")&amp;IF(OR(H492,K492,L492),"に、［入力シート］(4)「貴社」欄と異なる文言が入力されています。","")))))</f>
        <v/>
      </c>
      <c r="G492" s="236" t="b">
        <f>COUNTIF($A$4:A491,$A492)&gt;0</f>
        <v>0</v>
      </c>
      <c r="H492" s="237" t="b">
        <f>IF(COUNTIF(入力シート!$J$16:$S$23,入力リスト!$K$4)=0,FALSE,IF(入力シート!$J$16=入力リスト!$K$5,FALSE,ISERROR(VLOOKUP(B492,入力シート!$S$37:$V$62,1,0))))</f>
        <v>0</v>
      </c>
      <c r="I492" s="237" t="b">
        <f>IF(AND(OR(入力シート!$J$18=入力リスト!$K$4,入力シート!$J$22=入力リスト!$K$4),入力シート!$J$24&lt;&gt;""),IF(ISERROR(C492+1),TRUE,IF(ISNUMBER(C492),FALSE,TRUE)),FALSE)</f>
        <v>0</v>
      </c>
      <c r="J492" s="237" t="b">
        <f>IF(AND(入力シート!$J$18=入力リスト!$K$4,入力シート!$J$22=入力リスト!$K$4),FALSE,IF(I492=TRUE,FALSE,IF(ISERROR(C492+1),FALSE,C492&gt;入力シート!$J$24)))</f>
        <v>0</v>
      </c>
      <c r="K492" s="237" t="b">
        <f>IF(COUNTIF(入力シート!$J$16:$S$23,入力リスト!$K$4)=0,FALSE,IF(AND(入力シート!$J$16&lt;&gt;入力リスト!$K$5,入力シート!$J$18&lt;&gt;入力リスト!$K$5,入力シート!$J$20&lt;&gt;入力リスト!$K$5,入力シート!$J$22&lt;&gt;入力リスト!$K$5),FALSE,ISERROR(VLOOKUP(D492,入力シート!$AW$37:$AY$38,1,0))))</f>
        <v>0</v>
      </c>
      <c r="L492" s="237" t="b">
        <f>IF(COUNTIF(入力シート!$J$16:$S$23,入力リスト!$K$4)=0,FALSE,IF(入力シート!$J$20=入力リスト!$K$5,FALSE,IF(E492="",FALSE,ISERROR(VLOOKUP(E492,入力シート!$AH$37:$AK$62,1,0)))))</f>
        <v>0</v>
      </c>
      <c r="M492" s="238" t="str">
        <f t="shared" si="7"/>
        <v/>
      </c>
      <c r="N492" s="236" t="str">
        <f>IF(B492="","",VLOOKUP('従業員情報(給与以外)'!$B492,入力シート!$S$37:$Z$62,5,0))</f>
        <v/>
      </c>
      <c r="O492" s="182" t="str">
        <f>IF(ISNUMBER(C492)=FALSE,"",IF(C492&gt;入力シート!$J$24,"",_xlfn.DAYS(入力シート!$J$24,'従業員情報(給与以外)'!$C492)/365))</f>
        <v/>
      </c>
      <c r="P492" s="237" t="str">
        <f>IF(O492="","",VLOOKUP(_xlfn.DAYS(入力シート!$J$24,'従業員情報(給与以外)'!$C492)/365,入力リスト!$H$4:$I$12,2,2))</f>
        <v/>
      </c>
      <c r="Q492" s="236" t="str">
        <f>IF(D492="","",VLOOKUP('従業員情報(給与以外)'!$D492,入力シート!$AW$37:$BB$38,4,0))</f>
        <v/>
      </c>
      <c r="R492" s="236" t="str">
        <f>IF(A492="","",IF(E492="","非役職",VLOOKUP('従業員情報(給与以外)'!$E492,入力シート!$AH$37:$AO$62,5,0)))</f>
        <v/>
      </c>
      <c r="S492" s="116" t="str">
        <f>IF(OR(入力シート!$C$5&lt;&gt;入力リスト!$N$4,COUNTIF(入力シート!$J$16:$S$23,入力リスト!$K$4)=0),"",IF($A492="","",IF(ISERROR(AVERAGEIF(従業員の給与情報!$B:$B,$A492,従業員の給与情報!$C:$C)),0,IF(ISERROR(AVERAGEIF(従業員の給与情報!$B:$B,$A492,従業員の給与情報!$C:$C)),0,AVERAGEIF(従業員の給与情報!$B:$B,$A492,従業員の給与情報!$C:$C)))))</f>
        <v/>
      </c>
      <c r="T492" s="116" t="str">
        <f>IF(OR(入力シート!$C$5&lt;&gt;入力リスト!$N$4,COUNTIF(入力シート!$J$16:$S$23,入力リスト!$K$4)=0),"",IF(A492="","",IF(ISERROR(AVERAGEIF(従業員の給与情報!$B:$B,$A492,従業員の給与情報!$D:$D)),0,IF(ISERROR(AVERAGEIF(従業員の給与情報!$B:$B,$A492,従業員の給与情報!$D:$D)),0,AVERAGEIF(従業員の給与情報!$B:$B,$A492,従業員の給与情報!$D:$D)))))</f>
        <v/>
      </c>
      <c r="U492" s="116" t="str">
        <f>IF(OR(入力シート!$C$5&lt;&gt;入力リスト!$N$4,COUNTIF(入力シート!$J$16:$S$23,入力リスト!$K$4)=0),"",IF(A492="","",IF(ISERROR(AVERAGEIF(従業員の給与情報!$B:$B,$A492,従業員の給与情報!$E:$E)),0,IF(ISERROR(AVERAGEIF(従業員の給与情報!$B:$B,$A492,従業員の給与情報!$E:$E)),0,AVERAGEIF(従業員の給与情報!$B:$B,$A492,従業員の給与情報!$E:$E)))))</f>
        <v/>
      </c>
      <c r="V492" s="117" t="str">
        <f>IF(OR(入力シート!$C$5&lt;&gt;入力リスト!$N$4,COUNTIF(入力シート!$J$16:$S$23,入力リスト!$K$4)=0),"",IF(A492="","",IF(ISERROR(AVERAGEIF(従業員の給与情報!$B:$B,$A492,従業員の給与情報!$F:$F)),0,IF(ISERROR(AVERAGEIF(従業員の給与情報!$B:$B,$A492,従業員の給与情報!$F:$F)),0,AVERAGEIF(従業員の給与情報!$B:$B,$A492,従業員の給与情報!$F:$F)))))</f>
        <v/>
      </c>
      <c r="W492" s="182"/>
      <c r="X492" s="260"/>
    </row>
    <row r="493" spans="1:24">
      <c r="A493" s="368"/>
      <c r="B493" s="361"/>
      <c r="C493" s="362"/>
      <c r="D493" s="361"/>
      <c r="E493" s="361"/>
      <c r="F493" s="372" t="str">
        <f>IF(G493,"この従業員番号は、すでに他のセルで入力されています。",IF(入力シート!$C$5=入力リスト!$N$5,"",IF(AND(A493="",B493="",C493="",D493="",E493=""),"",IF(OR(A493="",B493="",C493="",D493=""),IF(A493="","従業員番号","")&amp;IF(AND(A493="",OR(B493="",C493="",D493="")),",","")&amp;IF(B493="","雇用形態","")&amp;IF(AND(B493="",OR(C493="",D493="")),",","")&amp;IF(OR(入力シート!$J$18=入力リスト!$K$4,入力シート!$J$22=入力リスト!$K$4),IF(C493="","入社年月日",""),"")&amp;IF(AND(C493="",D493=""),",","")&amp;IF(D493="","性別","")&amp;IF(IF(A493="","従業員番号","")&amp;IF(B493="","雇用形態","")&amp;IF(OR(入力シート!$J$18=入力リスト!$K$4,入力シート!$J$22=入力リスト!$K$4),IF(C493="","入社年月日",""),"")&amp;IF(D493="","性別","")="","","が空白です。"),IF(J493,"入社年月日に「基準日」の翌日以降の日付が入力されています。","")&amp;IF(I493,"入社年月日に数値以外（又は1900/1/1以前の日付）が入力されています。","")&amp;IF(H493,"雇用形態"&amp;IF(OR(K493,L493),",",""),"")&amp;IF(K493,"性別"&amp;IF(L493,",",""),"")&amp;IF(L493,"役職","")&amp;IF(OR(H493,K493,L493),"に、［入力シート］(4)「貴社」欄と異なる文言が入力されています。","")))))</f>
        <v/>
      </c>
      <c r="G493" s="236" t="b">
        <f>COUNTIF($A$4:A492,$A493)&gt;0</f>
        <v>0</v>
      </c>
      <c r="H493" s="237" t="b">
        <f>IF(COUNTIF(入力シート!$J$16:$S$23,入力リスト!$K$4)=0,FALSE,IF(入力シート!$J$16=入力リスト!$K$5,FALSE,ISERROR(VLOOKUP(B493,入力シート!$S$37:$V$62,1,0))))</f>
        <v>0</v>
      </c>
      <c r="I493" s="237" t="b">
        <f>IF(AND(OR(入力シート!$J$18=入力リスト!$K$4,入力シート!$J$22=入力リスト!$K$4),入力シート!$J$24&lt;&gt;""),IF(ISERROR(C493+1),TRUE,IF(ISNUMBER(C493),FALSE,TRUE)),FALSE)</f>
        <v>0</v>
      </c>
      <c r="J493" s="237" t="b">
        <f>IF(AND(入力シート!$J$18=入力リスト!$K$4,入力シート!$J$22=入力リスト!$K$4),FALSE,IF(I493=TRUE,FALSE,IF(ISERROR(C493+1),FALSE,C493&gt;入力シート!$J$24)))</f>
        <v>0</v>
      </c>
      <c r="K493" s="237" t="b">
        <f>IF(COUNTIF(入力シート!$J$16:$S$23,入力リスト!$K$4)=0,FALSE,IF(AND(入力シート!$J$16&lt;&gt;入力リスト!$K$5,入力シート!$J$18&lt;&gt;入力リスト!$K$5,入力シート!$J$20&lt;&gt;入力リスト!$K$5,入力シート!$J$22&lt;&gt;入力リスト!$K$5),FALSE,ISERROR(VLOOKUP(D493,入力シート!$AW$37:$AY$38,1,0))))</f>
        <v>0</v>
      </c>
      <c r="L493" s="237" t="b">
        <f>IF(COUNTIF(入力シート!$J$16:$S$23,入力リスト!$K$4)=0,FALSE,IF(入力シート!$J$20=入力リスト!$K$5,FALSE,IF(E493="",FALSE,ISERROR(VLOOKUP(E493,入力シート!$AH$37:$AK$62,1,0)))))</f>
        <v>0</v>
      </c>
      <c r="M493" s="238" t="str">
        <f t="shared" si="7"/>
        <v/>
      </c>
      <c r="N493" s="236" t="str">
        <f>IF(B493="","",VLOOKUP('従業員情報(給与以外)'!$B493,入力シート!$S$37:$Z$62,5,0))</f>
        <v/>
      </c>
      <c r="O493" s="182" t="str">
        <f>IF(ISNUMBER(C493)=FALSE,"",IF(C493&gt;入力シート!$J$24,"",_xlfn.DAYS(入力シート!$J$24,'従業員情報(給与以外)'!$C493)/365))</f>
        <v/>
      </c>
      <c r="P493" s="237" t="str">
        <f>IF(O493="","",VLOOKUP(_xlfn.DAYS(入力シート!$J$24,'従業員情報(給与以外)'!$C493)/365,入力リスト!$H$4:$I$12,2,2))</f>
        <v/>
      </c>
      <c r="Q493" s="236" t="str">
        <f>IF(D493="","",VLOOKUP('従業員情報(給与以外)'!$D493,入力シート!$AW$37:$BB$38,4,0))</f>
        <v/>
      </c>
      <c r="R493" s="236" t="str">
        <f>IF(A493="","",IF(E493="","非役職",VLOOKUP('従業員情報(給与以外)'!$E493,入力シート!$AH$37:$AO$62,5,0)))</f>
        <v/>
      </c>
      <c r="S493" s="116" t="str">
        <f>IF(OR(入力シート!$C$5&lt;&gt;入力リスト!$N$4,COUNTIF(入力シート!$J$16:$S$23,入力リスト!$K$4)=0),"",IF($A493="","",IF(ISERROR(AVERAGEIF(従業員の給与情報!$B:$B,$A493,従業員の給与情報!$C:$C)),0,IF(ISERROR(AVERAGEIF(従業員の給与情報!$B:$B,$A493,従業員の給与情報!$C:$C)),0,AVERAGEIF(従業員の給与情報!$B:$B,$A493,従業員の給与情報!$C:$C)))))</f>
        <v/>
      </c>
      <c r="T493" s="116" t="str">
        <f>IF(OR(入力シート!$C$5&lt;&gt;入力リスト!$N$4,COUNTIF(入力シート!$J$16:$S$23,入力リスト!$K$4)=0),"",IF(A493="","",IF(ISERROR(AVERAGEIF(従業員の給与情報!$B:$B,$A493,従業員の給与情報!$D:$D)),0,IF(ISERROR(AVERAGEIF(従業員の給与情報!$B:$B,$A493,従業員の給与情報!$D:$D)),0,AVERAGEIF(従業員の給与情報!$B:$B,$A493,従業員の給与情報!$D:$D)))))</f>
        <v/>
      </c>
      <c r="U493" s="116" t="str">
        <f>IF(OR(入力シート!$C$5&lt;&gt;入力リスト!$N$4,COUNTIF(入力シート!$J$16:$S$23,入力リスト!$K$4)=0),"",IF(A493="","",IF(ISERROR(AVERAGEIF(従業員の給与情報!$B:$B,$A493,従業員の給与情報!$E:$E)),0,IF(ISERROR(AVERAGEIF(従業員の給与情報!$B:$B,$A493,従業員の給与情報!$E:$E)),0,AVERAGEIF(従業員の給与情報!$B:$B,$A493,従業員の給与情報!$E:$E)))))</f>
        <v/>
      </c>
      <c r="V493" s="117" t="str">
        <f>IF(OR(入力シート!$C$5&lt;&gt;入力リスト!$N$4,COUNTIF(入力シート!$J$16:$S$23,入力リスト!$K$4)=0),"",IF(A493="","",IF(ISERROR(AVERAGEIF(従業員の給与情報!$B:$B,$A493,従業員の給与情報!$F:$F)),0,IF(ISERROR(AVERAGEIF(従業員の給与情報!$B:$B,$A493,従業員の給与情報!$F:$F)),0,AVERAGEIF(従業員の給与情報!$B:$B,$A493,従業員の給与情報!$F:$F)))))</f>
        <v/>
      </c>
      <c r="W493" s="182"/>
      <c r="X493" s="260"/>
    </row>
    <row r="494" spans="1:24">
      <c r="A494" s="368"/>
      <c r="B494" s="361"/>
      <c r="C494" s="362"/>
      <c r="D494" s="361"/>
      <c r="E494" s="361"/>
      <c r="F494" s="372" t="str">
        <f>IF(G494,"この従業員番号は、すでに他のセルで入力されています。",IF(入力シート!$C$5=入力リスト!$N$5,"",IF(AND(A494="",B494="",C494="",D494="",E494=""),"",IF(OR(A494="",B494="",C494="",D494=""),IF(A494="","従業員番号","")&amp;IF(AND(A494="",OR(B494="",C494="",D494="")),",","")&amp;IF(B494="","雇用形態","")&amp;IF(AND(B494="",OR(C494="",D494="")),",","")&amp;IF(OR(入力シート!$J$18=入力リスト!$K$4,入力シート!$J$22=入力リスト!$K$4),IF(C494="","入社年月日",""),"")&amp;IF(AND(C494="",D494=""),",","")&amp;IF(D494="","性別","")&amp;IF(IF(A494="","従業員番号","")&amp;IF(B494="","雇用形態","")&amp;IF(OR(入力シート!$J$18=入力リスト!$K$4,入力シート!$J$22=入力リスト!$K$4),IF(C494="","入社年月日",""),"")&amp;IF(D494="","性別","")="","","が空白です。"),IF(J494,"入社年月日に「基準日」の翌日以降の日付が入力されています。","")&amp;IF(I494,"入社年月日に数値以外（又は1900/1/1以前の日付）が入力されています。","")&amp;IF(H494,"雇用形態"&amp;IF(OR(K494,L494),",",""),"")&amp;IF(K494,"性別"&amp;IF(L494,",",""),"")&amp;IF(L494,"役職","")&amp;IF(OR(H494,K494,L494),"に、［入力シート］(4)「貴社」欄と異なる文言が入力されています。","")))))</f>
        <v/>
      </c>
      <c r="G494" s="236" t="b">
        <f>COUNTIF($A$4:A493,$A494)&gt;0</f>
        <v>0</v>
      </c>
      <c r="H494" s="237" t="b">
        <f>IF(COUNTIF(入力シート!$J$16:$S$23,入力リスト!$K$4)=0,FALSE,IF(入力シート!$J$16=入力リスト!$K$5,FALSE,ISERROR(VLOOKUP(B494,入力シート!$S$37:$V$62,1,0))))</f>
        <v>0</v>
      </c>
      <c r="I494" s="237" t="b">
        <f>IF(AND(OR(入力シート!$J$18=入力リスト!$K$4,入力シート!$J$22=入力リスト!$K$4),入力シート!$J$24&lt;&gt;""),IF(ISERROR(C494+1),TRUE,IF(ISNUMBER(C494),FALSE,TRUE)),FALSE)</f>
        <v>0</v>
      </c>
      <c r="J494" s="237" t="b">
        <f>IF(AND(入力シート!$J$18=入力リスト!$K$4,入力シート!$J$22=入力リスト!$K$4),FALSE,IF(I494=TRUE,FALSE,IF(ISERROR(C494+1),FALSE,C494&gt;入力シート!$J$24)))</f>
        <v>0</v>
      </c>
      <c r="K494" s="237" t="b">
        <f>IF(COUNTIF(入力シート!$J$16:$S$23,入力リスト!$K$4)=0,FALSE,IF(AND(入力シート!$J$16&lt;&gt;入力リスト!$K$5,入力シート!$J$18&lt;&gt;入力リスト!$K$5,入力シート!$J$20&lt;&gt;入力リスト!$K$5,入力シート!$J$22&lt;&gt;入力リスト!$K$5),FALSE,ISERROR(VLOOKUP(D494,入力シート!$AW$37:$AY$38,1,0))))</f>
        <v>0</v>
      </c>
      <c r="L494" s="237" t="b">
        <f>IF(COUNTIF(入力シート!$J$16:$S$23,入力リスト!$K$4)=0,FALSE,IF(入力シート!$J$20=入力リスト!$K$5,FALSE,IF(E494="",FALSE,ISERROR(VLOOKUP(E494,入力シート!$AH$37:$AK$62,1,0)))))</f>
        <v>0</v>
      </c>
      <c r="M494" s="238" t="str">
        <f t="shared" si="7"/>
        <v/>
      </c>
      <c r="N494" s="236" t="str">
        <f>IF(B494="","",VLOOKUP('従業員情報(給与以外)'!$B494,入力シート!$S$37:$Z$62,5,0))</f>
        <v/>
      </c>
      <c r="O494" s="182" t="str">
        <f>IF(ISNUMBER(C494)=FALSE,"",IF(C494&gt;入力シート!$J$24,"",_xlfn.DAYS(入力シート!$J$24,'従業員情報(給与以外)'!$C494)/365))</f>
        <v/>
      </c>
      <c r="P494" s="237" t="str">
        <f>IF(O494="","",VLOOKUP(_xlfn.DAYS(入力シート!$J$24,'従業員情報(給与以外)'!$C494)/365,入力リスト!$H$4:$I$12,2,2))</f>
        <v/>
      </c>
      <c r="Q494" s="236" t="str">
        <f>IF(D494="","",VLOOKUP('従業員情報(給与以外)'!$D494,入力シート!$AW$37:$BB$38,4,0))</f>
        <v/>
      </c>
      <c r="R494" s="236" t="str">
        <f>IF(A494="","",IF(E494="","非役職",VLOOKUP('従業員情報(給与以外)'!$E494,入力シート!$AH$37:$AO$62,5,0)))</f>
        <v/>
      </c>
      <c r="S494" s="116" t="str">
        <f>IF(OR(入力シート!$C$5&lt;&gt;入力リスト!$N$4,COUNTIF(入力シート!$J$16:$S$23,入力リスト!$K$4)=0),"",IF($A494="","",IF(ISERROR(AVERAGEIF(従業員の給与情報!$B:$B,$A494,従業員の給与情報!$C:$C)),0,IF(ISERROR(AVERAGEIF(従業員の給与情報!$B:$B,$A494,従業員の給与情報!$C:$C)),0,AVERAGEIF(従業員の給与情報!$B:$B,$A494,従業員の給与情報!$C:$C)))))</f>
        <v/>
      </c>
      <c r="T494" s="116" t="str">
        <f>IF(OR(入力シート!$C$5&lt;&gt;入力リスト!$N$4,COUNTIF(入力シート!$J$16:$S$23,入力リスト!$K$4)=0),"",IF(A494="","",IF(ISERROR(AVERAGEIF(従業員の給与情報!$B:$B,$A494,従業員の給与情報!$D:$D)),0,IF(ISERROR(AVERAGEIF(従業員の給与情報!$B:$B,$A494,従業員の給与情報!$D:$D)),0,AVERAGEIF(従業員の給与情報!$B:$B,$A494,従業員の給与情報!$D:$D)))))</f>
        <v/>
      </c>
      <c r="U494" s="116" t="str">
        <f>IF(OR(入力シート!$C$5&lt;&gt;入力リスト!$N$4,COUNTIF(入力シート!$J$16:$S$23,入力リスト!$K$4)=0),"",IF(A494="","",IF(ISERROR(AVERAGEIF(従業員の給与情報!$B:$B,$A494,従業員の給与情報!$E:$E)),0,IF(ISERROR(AVERAGEIF(従業員の給与情報!$B:$B,$A494,従業員の給与情報!$E:$E)),0,AVERAGEIF(従業員の給与情報!$B:$B,$A494,従業員の給与情報!$E:$E)))))</f>
        <v/>
      </c>
      <c r="V494" s="117" t="str">
        <f>IF(OR(入力シート!$C$5&lt;&gt;入力リスト!$N$4,COUNTIF(入力シート!$J$16:$S$23,入力リスト!$K$4)=0),"",IF(A494="","",IF(ISERROR(AVERAGEIF(従業員の給与情報!$B:$B,$A494,従業員の給与情報!$F:$F)),0,IF(ISERROR(AVERAGEIF(従業員の給与情報!$B:$B,$A494,従業員の給与情報!$F:$F)),0,AVERAGEIF(従業員の給与情報!$B:$B,$A494,従業員の給与情報!$F:$F)))))</f>
        <v/>
      </c>
      <c r="W494" s="182"/>
      <c r="X494" s="260"/>
    </row>
    <row r="495" spans="1:24">
      <c r="A495" s="368"/>
      <c r="B495" s="361"/>
      <c r="C495" s="362"/>
      <c r="D495" s="361"/>
      <c r="E495" s="361"/>
      <c r="F495" s="372" t="str">
        <f>IF(G495,"この従業員番号は、すでに他のセルで入力されています。",IF(入力シート!$C$5=入力リスト!$N$5,"",IF(AND(A495="",B495="",C495="",D495="",E495=""),"",IF(OR(A495="",B495="",C495="",D495=""),IF(A495="","従業員番号","")&amp;IF(AND(A495="",OR(B495="",C495="",D495="")),",","")&amp;IF(B495="","雇用形態","")&amp;IF(AND(B495="",OR(C495="",D495="")),",","")&amp;IF(OR(入力シート!$J$18=入力リスト!$K$4,入力シート!$J$22=入力リスト!$K$4),IF(C495="","入社年月日",""),"")&amp;IF(AND(C495="",D495=""),",","")&amp;IF(D495="","性別","")&amp;IF(IF(A495="","従業員番号","")&amp;IF(B495="","雇用形態","")&amp;IF(OR(入力シート!$J$18=入力リスト!$K$4,入力シート!$J$22=入力リスト!$K$4),IF(C495="","入社年月日",""),"")&amp;IF(D495="","性別","")="","","が空白です。"),IF(J495,"入社年月日に「基準日」の翌日以降の日付が入力されています。","")&amp;IF(I495,"入社年月日に数値以外（又は1900/1/1以前の日付）が入力されています。","")&amp;IF(H495,"雇用形態"&amp;IF(OR(K495,L495),",",""),"")&amp;IF(K495,"性別"&amp;IF(L495,",",""),"")&amp;IF(L495,"役職","")&amp;IF(OR(H495,K495,L495),"に、［入力シート］(4)「貴社」欄と異なる文言が入力されています。","")))))</f>
        <v/>
      </c>
      <c r="G495" s="236" t="b">
        <f>COUNTIF($A$4:A494,$A495)&gt;0</f>
        <v>0</v>
      </c>
      <c r="H495" s="237" t="b">
        <f>IF(COUNTIF(入力シート!$J$16:$S$23,入力リスト!$K$4)=0,FALSE,IF(入力シート!$J$16=入力リスト!$K$5,FALSE,ISERROR(VLOOKUP(B495,入力シート!$S$37:$V$62,1,0))))</f>
        <v>0</v>
      </c>
      <c r="I495" s="237" t="b">
        <f>IF(AND(OR(入力シート!$J$18=入力リスト!$K$4,入力シート!$J$22=入力リスト!$K$4),入力シート!$J$24&lt;&gt;""),IF(ISERROR(C495+1),TRUE,IF(ISNUMBER(C495),FALSE,TRUE)),FALSE)</f>
        <v>0</v>
      </c>
      <c r="J495" s="237" t="b">
        <f>IF(AND(入力シート!$J$18=入力リスト!$K$4,入力シート!$J$22=入力リスト!$K$4),FALSE,IF(I495=TRUE,FALSE,IF(ISERROR(C495+1),FALSE,C495&gt;入力シート!$J$24)))</f>
        <v>0</v>
      </c>
      <c r="K495" s="237" t="b">
        <f>IF(COUNTIF(入力シート!$J$16:$S$23,入力リスト!$K$4)=0,FALSE,IF(AND(入力シート!$J$16&lt;&gt;入力リスト!$K$5,入力シート!$J$18&lt;&gt;入力リスト!$K$5,入力シート!$J$20&lt;&gt;入力リスト!$K$5,入力シート!$J$22&lt;&gt;入力リスト!$K$5),FALSE,ISERROR(VLOOKUP(D495,入力シート!$AW$37:$AY$38,1,0))))</f>
        <v>0</v>
      </c>
      <c r="L495" s="237" t="b">
        <f>IF(COUNTIF(入力シート!$J$16:$S$23,入力リスト!$K$4)=0,FALSE,IF(入力シート!$J$20=入力リスト!$K$5,FALSE,IF(E495="",FALSE,ISERROR(VLOOKUP(E495,入力シート!$AH$37:$AK$62,1,0)))))</f>
        <v>0</v>
      </c>
      <c r="M495" s="238" t="str">
        <f t="shared" si="7"/>
        <v/>
      </c>
      <c r="N495" s="236" t="str">
        <f>IF(B495="","",VLOOKUP('従業員情報(給与以外)'!$B495,入力シート!$S$37:$Z$62,5,0))</f>
        <v/>
      </c>
      <c r="O495" s="182" t="str">
        <f>IF(ISNUMBER(C495)=FALSE,"",IF(C495&gt;入力シート!$J$24,"",_xlfn.DAYS(入力シート!$J$24,'従業員情報(給与以外)'!$C495)/365))</f>
        <v/>
      </c>
      <c r="P495" s="237" t="str">
        <f>IF(O495="","",VLOOKUP(_xlfn.DAYS(入力シート!$J$24,'従業員情報(給与以外)'!$C495)/365,入力リスト!$H$4:$I$12,2,2))</f>
        <v/>
      </c>
      <c r="Q495" s="236" t="str">
        <f>IF(D495="","",VLOOKUP('従業員情報(給与以外)'!$D495,入力シート!$AW$37:$BB$38,4,0))</f>
        <v/>
      </c>
      <c r="R495" s="236" t="str">
        <f>IF(A495="","",IF(E495="","非役職",VLOOKUP('従業員情報(給与以外)'!$E495,入力シート!$AH$37:$AO$62,5,0)))</f>
        <v/>
      </c>
      <c r="S495" s="116" t="str">
        <f>IF(OR(入力シート!$C$5&lt;&gt;入力リスト!$N$4,COUNTIF(入力シート!$J$16:$S$23,入力リスト!$K$4)=0),"",IF($A495="","",IF(ISERROR(AVERAGEIF(従業員の給与情報!$B:$B,$A495,従業員の給与情報!$C:$C)),0,IF(ISERROR(AVERAGEIF(従業員の給与情報!$B:$B,$A495,従業員の給与情報!$C:$C)),0,AVERAGEIF(従業員の給与情報!$B:$B,$A495,従業員の給与情報!$C:$C)))))</f>
        <v/>
      </c>
      <c r="T495" s="116" t="str">
        <f>IF(OR(入力シート!$C$5&lt;&gt;入力リスト!$N$4,COUNTIF(入力シート!$J$16:$S$23,入力リスト!$K$4)=0),"",IF(A495="","",IF(ISERROR(AVERAGEIF(従業員の給与情報!$B:$B,$A495,従業員の給与情報!$D:$D)),0,IF(ISERROR(AVERAGEIF(従業員の給与情報!$B:$B,$A495,従業員の給与情報!$D:$D)),0,AVERAGEIF(従業員の給与情報!$B:$B,$A495,従業員の給与情報!$D:$D)))))</f>
        <v/>
      </c>
      <c r="U495" s="116" t="str">
        <f>IF(OR(入力シート!$C$5&lt;&gt;入力リスト!$N$4,COUNTIF(入力シート!$J$16:$S$23,入力リスト!$K$4)=0),"",IF(A495="","",IF(ISERROR(AVERAGEIF(従業員の給与情報!$B:$B,$A495,従業員の給与情報!$E:$E)),0,IF(ISERROR(AVERAGEIF(従業員の給与情報!$B:$B,$A495,従業員の給与情報!$E:$E)),0,AVERAGEIF(従業員の給与情報!$B:$B,$A495,従業員の給与情報!$E:$E)))))</f>
        <v/>
      </c>
      <c r="V495" s="117" t="str">
        <f>IF(OR(入力シート!$C$5&lt;&gt;入力リスト!$N$4,COUNTIF(入力シート!$J$16:$S$23,入力リスト!$K$4)=0),"",IF(A495="","",IF(ISERROR(AVERAGEIF(従業員の給与情報!$B:$B,$A495,従業員の給与情報!$F:$F)),0,IF(ISERROR(AVERAGEIF(従業員の給与情報!$B:$B,$A495,従業員の給与情報!$F:$F)),0,AVERAGEIF(従業員の給与情報!$B:$B,$A495,従業員の給与情報!$F:$F)))))</f>
        <v/>
      </c>
      <c r="W495" s="182"/>
      <c r="X495" s="260"/>
    </row>
    <row r="496" spans="1:24">
      <c r="A496" s="368"/>
      <c r="B496" s="361"/>
      <c r="C496" s="362"/>
      <c r="D496" s="361"/>
      <c r="E496" s="361"/>
      <c r="F496" s="372" t="str">
        <f>IF(G496,"この従業員番号は、すでに他のセルで入力されています。",IF(入力シート!$C$5=入力リスト!$N$5,"",IF(AND(A496="",B496="",C496="",D496="",E496=""),"",IF(OR(A496="",B496="",C496="",D496=""),IF(A496="","従業員番号","")&amp;IF(AND(A496="",OR(B496="",C496="",D496="")),",","")&amp;IF(B496="","雇用形態","")&amp;IF(AND(B496="",OR(C496="",D496="")),",","")&amp;IF(OR(入力シート!$J$18=入力リスト!$K$4,入力シート!$J$22=入力リスト!$K$4),IF(C496="","入社年月日",""),"")&amp;IF(AND(C496="",D496=""),",","")&amp;IF(D496="","性別","")&amp;IF(IF(A496="","従業員番号","")&amp;IF(B496="","雇用形態","")&amp;IF(OR(入力シート!$J$18=入力リスト!$K$4,入力シート!$J$22=入力リスト!$K$4),IF(C496="","入社年月日",""),"")&amp;IF(D496="","性別","")="","","が空白です。"),IF(J496,"入社年月日に「基準日」の翌日以降の日付が入力されています。","")&amp;IF(I496,"入社年月日に数値以外（又は1900/1/1以前の日付）が入力されています。","")&amp;IF(H496,"雇用形態"&amp;IF(OR(K496,L496),",",""),"")&amp;IF(K496,"性別"&amp;IF(L496,",",""),"")&amp;IF(L496,"役職","")&amp;IF(OR(H496,K496,L496),"に、［入力シート］(4)「貴社」欄と異なる文言が入力されています。","")))))</f>
        <v/>
      </c>
      <c r="G496" s="236" t="b">
        <f>COUNTIF($A$4:A495,$A496)&gt;0</f>
        <v>0</v>
      </c>
      <c r="H496" s="237" t="b">
        <f>IF(COUNTIF(入力シート!$J$16:$S$23,入力リスト!$K$4)=0,FALSE,IF(入力シート!$J$16=入力リスト!$K$5,FALSE,ISERROR(VLOOKUP(B496,入力シート!$S$37:$V$62,1,0))))</f>
        <v>0</v>
      </c>
      <c r="I496" s="237" t="b">
        <f>IF(AND(OR(入力シート!$J$18=入力リスト!$K$4,入力シート!$J$22=入力リスト!$K$4),入力シート!$J$24&lt;&gt;""),IF(ISERROR(C496+1),TRUE,IF(ISNUMBER(C496),FALSE,TRUE)),FALSE)</f>
        <v>0</v>
      </c>
      <c r="J496" s="237" t="b">
        <f>IF(AND(入力シート!$J$18=入力リスト!$K$4,入力シート!$J$22=入力リスト!$K$4),FALSE,IF(I496=TRUE,FALSE,IF(ISERROR(C496+1),FALSE,C496&gt;入力シート!$J$24)))</f>
        <v>0</v>
      </c>
      <c r="K496" s="237" t="b">
        <f>IF(COUNTIF(入力シート!$J$16:$S$23,入力リスト!$K$4)=0,FALSE,IF(AND(入力シート!$J$16&lt;&gt;入力リスト!$K$5,入力シート!$J$18&lt;&gt;入力リスト!$K$5,入力シート!$J$20&lt;&gt;入力リスト!$K$5,入力シート!$J$22&lt;&gt;入力リスト!$K$5),FALSE,ISERROR(VLOOKUP(D496,入力シート!$AW$37:$AY$38,1,0))))</f>
        <v>0</v>
      </c>
      <c r="L496" s="237" t="b">
        <f>IF(COUNTIF(入力シート!$J$16:$S$23,入力リスト!$K$4)=0,FALSE,IF(入力シート!$J$20=入力リスト!$K$5,FALSE,IF(E496="",FALSE,ISERROR(VLOOKUP(E496,入力シート!$AH$37:$AK$62,1,0)))))</f>
        <v>0</v>
      </c>
      <c r="M496" s="238" t="str">
        <f t="shared" si="7"/>
        <v/>
      </c>
      <c r="N496" s="236" t="str">
        <f>IF(B496="","",VLOOKUP('従業員情報(給与以外)'!$B496,入力シート!$S$37:$Z$62,5,0))</f>
        <v/>
      </c>
      <c r="O496" s="182" t="str">
        <f>IF(ISNUMBER(C496)=FALSE,"",IF(C496&gt;入力シート!$J$24,"",_xlfn.DAYS(入力シート!$J$24,'従業員情報(給与以外)'!$C496)/365))</f>
        <v/>
      </c>
      <c r="P496" s="237" t="str">
        <f>IF(O496="","",VLOOKUP(_xlfn.DAYS(入力シート!$J$24,'従業員情報(給与以外)'!$C496)/365,入力リスト!$H$4:$I$12,2,2))</f>
        <v/>
      </c>
      <c r="Q496" s="236" t="str">
        <f>IF(D496="","",VLOOKUP('従業員情報(給与以外)'!$D496,入力シート!$AW$37:$BB$38,4,0))</f>
        <v/>
      </c>
      <c r="R496" s="236" t="str">
        <f>IF(A496="","",IF(E496="","非役職",VLOOKUP('従業員情報(給与以外)'!$E496,入力シート!$AH$37:$AO$62,5,0)))</f>
        <v/>
      </c>
      <c r="S496" s="116" t="str">
        <f>IF(OR(入力シート!$C$5&lt;&gt;入力リスト!$N$4,COUNTIF(入力シート!$J$16:$S$23,入力リスト!$K$4)=0),"",IF($A496="","",IF(ISERROR(AVERAGEIF(従業員の給与情報!$B:$B,$A496,従業員の給与情報!$C:$C)),0,IF(ISERROR(AVERAGEIF(従業員の給与情報!$B:$B,$A496,従業員の給与情報!$C:$C)),0,AVERAGEIF(従業員の給与情報!$B:$B,$A496,従業員の給与情報!$C:$C)))))</f>
        <v/>
      </c>
      <c r="T496" s="116" t="str">
        <f>IF(OR(入力シート!$C$5&lt;&gt;入力リスト!$N$4,COUNTIF(入力シート!$J$16:$S$23,入力リスト!$K$4)=0),"",IF(A496="","",IF(ISERROR(AVERAGEIF(従業員の給与情報!$B:$B,$A496,従業員の給与情報!$D:$D)),0,IF(ISERROR(AVERAGEIF(従業員の給与情報!$B:$B,$A496,従業員の給与情報!$D:$D)),0,AVERAGEIF(従業員の給与情報!$B:$B,$A496,従業員の給与情報!$D:$D)))))</f>
        <v/>
      </c>
      <c r="U496" s="116" t="str">
        <f>IF(OR(入力シート!$C$5&lt;&gt;入力リスト!$N$4,COUNTIF(入力シート!$J$16:$S$23,入力リスト!$K$4)=0),"",IF(A496="","",IF(ISERROR(AVERAGEIF(従業員の給与情報!$B:$B,$A496,従業員の給与情報!$E:$E)),0,IF(ISERROR(AVERAGEIF(従業員の給与情報!$B:$B,$A496,従業員の給与情報!$E:$E)),0,AVERAGEIF(従業員の給与情報!$B:$B,$A496,従業員の給与情報!$E:$E)))))</f>
        <v/>
      </c>
      <c r="V496" s="117" t="str">
        <f>IF(OR(入力シート!$C$5&lt;&gt;入力リスト!$N$4,COUNTIF(入力シート!$J$16:$S$23,入力リスト!$K$4)=0),"",IF(A496="","",IF(ISERROR(AVERAGEIF(従業員の給与情報!$B:$B,$A496,従業員の給与情報!$F:$F)),0,IF(ISERROR(AVERAGEIF(従業員の給与情報!$B:$B,$A496,従業員の給与情報!$F:$F)),0,AVERAGEIF(従業員の給与情報!$B:$B,$A496,従業員の給与情報!$F:$F)))))</f>
        <v/>
      </c>
      <c r="W496" s="182"/>
      <c r="X496" s="260"/>
    </row>
    <row r="497" spans="1:24">
      <c r="A497" s="368"/>
      <c r="B497" s="361"/>
      <c r="C497" s="362"/>
      <c r="D497" s="361"/>
      <c r="E497" s="361"/>
      <c r="F497" s="372" t="str">
        <f>IF(G497,"この従業員番号は、すでに他のセルで入力されています。",IF(入力シート!$C$5=入力リスト!$N$5,"",IF(AND(A497="",B497="",C497="",D497="",E497=""),"",IF(OR(A497="",B497="",C497="",D497=""),IF(A497="","従業員番号","")&amp;IF(AND(A497="",OR(B497="",C497="",D497="")),",","")&amp;IF(B497="","雇用形態","")&amp;IF(AND(B497="",OR(C497="",D497="")),",","")&amp;IF(OR(入力シート!$J$18=入力リスト!$K$4,入力シート!$J$22=入力リスト!$K$4),IF(C497="","入社年月日",""),"")&amp;IF(AND(C497="",D497=""),",","")&amp;IF(D497="","性別","")&amp;IF(IF(A497="","従業員番号","")&amp;IF(B497="","雇用形態","")&amp;IF(OR(入力シート!$J$18=入力リスト!$K$4,入力シート!$J$22=入力リスト!$K$4),IF(C497="","入社年月日",""),"")&amp;IF(D497="","性別","")="","","が空白です。"),IF(J497,"入社年月日に「基準日」の翌日以降の日付が入力されています。","")&amp;IF(I497,"入社年月日に数値以外（又は1900/1/1以前の日付）が入力されています。","")&amp;IF(H497,"雇用形態"&amp;IF(OR(K497,L497),",",""),"")&amp;IF(K497,"性別"&amp;IF(L497,",",""),"")&amp;IF(L497,"役職","")&amp;IF(OR(H497,K497,L497),"に、［入力シート］(4)「貴社」欄と異なる文言が入力されています。","")))))</f>
        <v/>
      </c>
      <c r="G497" s="236" t="b">
        <f>COUNTIF($A$4:A496,$A497)&gt;0</f>
        <v>0</v>
      </c>
      <c r="H497" s="237" t="b">
        <f>IF(COUNTIF(入力シート!$J$16:$S$23,入力リスト!$K$4)=0,FALSE,IF(入力シート!$J$16=入力リスト!$K$5,FALSE,ISERROR(VLOOKUP(B497,入力シート!$S$37:$V$62,1,0))))</f>
        <v>0</v>
      </c>
      <c r="I497" s="237" t="b">
        <f>IF(AND(OR(入力シート!$J$18=入力リスト!$K$4,入力シート!$J$22=入力リスト!$K$4),入力シート!$J$24&lt;&gt;""),IF(ISERROR(C497+1),TRUE,IF(ISNUMBER(C497),FALSE,TRUE)),FALSE)</f>
        <v>0</v>
      </c>
      <c r="J497" s="237" t="b">
        <f>IF(AND(入力シート!$J$18=入力リスト!$K$4,入力シート!$J$22=入力リスト!$K$4),FALSE,IF(I497=TRUE,FALSE,IF(ISERROR(C497+1),FALSE,C497&gt;入力シート!$J$24)))</f>
        <v>0</v>
      </c>
      <c r="K497" s="237" t="b">
        <f>IF(COUNTIF(入力シート!$J$16:$S$23,入力リスト!$K$4)=0,FALSE,IF(AND(入力シート!$J$16&lt;&gt;入力リスト!$K$5,入力シート!$J$18&lt;&gt;入力リスト!$K$5,入力シート!$J$20&lt;&gt;入力リスト!$K$5,入力シート!$J$22&lt;&gt;入力リスト!$K$5),FALSE,ISERROR(VLOOKUP(D497,入力シート!$AW$37:$AY$38,1,0))))</f>
        <v>0</v>
      </c>
      <c r="L497" s="237" t="b">
        <f>IF(COUNTIF(入力シート!$J$16:$S$23,入力リスト!$K$4)=0,FALSE,IF(入力シート!$J$20=入力リスト!$K$5,FALSE,IF(E497="",FALSE,ISERROR(VLOOKUP(E497,入力シート!$AH$37:$AK$62,1,0)))))</f>
        <v>0</v>
      </c>
      <c r="M497" s="238" t="str">
        <f t="shared" si="7"/>
        <v/>
      </c>
      <c r="N497" s="236" t="str">
        <f>IF(B497="","",VLOOKUP('従業員情報(給与以外)'!$B497,入力シート!$S$37:$Z$62,5,0))</f>
        <v/>
      </c>
      <c r="O497" s="182" t="str">
        <f>IF(ISNUMBER(C497)=FALSE,"",IF(C497&gt;入力シート!$J$24,"",_xlfn.DAYS(入力シート!$J$24,'従業員情報(給与以外)'!$C497)/365))</f>
        <v/>
      </c>
      <c r="P497" s="237" t="str">
        <f>IF(O497="","",VLOOKUP(_xlfn.DAYS(入力シート!$J$24,'従業員情報(給与以外)'!$C497)/365,入力リスト!$H$4:$I$12,2,2))</f>
        <v/>
      </c>
      <c r="Q497" s="236" t="str">
        <f>IF(D497="","",VLOOKUP('従業員情報(給与以外)'!$D497,入力シート!$AW$37:$BB$38,4,0))</f>
        <v/>
      </c>
      <c r="R497" s="236" t="str">
        <f>IF(A497="","",IF(E497="","非役職",VLOOKUP('従業員情報(給与以外)'!$E497,入力シート!$AH$37:$AO$62,5,0)))</f>
        <v/>
      </c>
      <c r="S497" s="116" t="str">
        <f>IF(OR(入力シート!$C$5&lt;&gt;入力リスト!$N$4,COUNTIF(入力シート!$J$16:$S$23,入力リスト!$K$4)=0),"",IF($A497="","",IF(ISERROR(AVERAGEIF(従業員の給与情報!$B:$B,$A497,従業員の給与情報!$C:$C)),0,IF(ISERROR(AVERAGEIF(従業員の給与情報!$B:$B,$A497,従業員の給与情報!$C:$C)),0,AVERAGEIF(従業員の給与情報!$B:$B,$A497,従業員の給与情報!$C:$C)))))</f>
        <v/>
      </c>
      <c r="T497" s="116" t="str">
        <f>IF(OR(入力シート!$C$5&lt;&gt;入力リスト!$N$4,COUNTIF(入力シート!$J$16:$S$23,入力リスト!$K$4)=0),"",IF(A497="","",IF(ISERROR(AVERAGEIF(従業員の給与情報!$B:$B,$A497,従業員の給与情報!$D:$D)),0,IF(ISERROR(AVERAGEIF(従業員の給与情報!$B:$B,$A497,従業員の給与情報!$D:$D)),0,AVERAGEIF(従業員の給与情報!$B:$B,$A497,従業員の給与情報!$D:$D)))))</f>
        <v/>
      </c>
      <c r="U497" s="116" t="str">
        <f>IF(OR(入力シート!$C$5&lt;&gt;入力リスト!$N$4,COUNTIF(入力シート!$J$16:$S$23,入力リスト!$K$4)=0),"",IF(A497="","",IF(ISERROR(AVERAGEIF(従業員の給与情報!$B:$B,$A497,従業員の給与情報!$E:$E)),0,IF(ISERROR(AVERAGEIF(従業員の給与情報!$B:$B,$A497,従業員の給与情報!$E:$E)),0,AVERAGEIF(従業員の給与情報!$B:$B,$A497,従業員の給与情報!$E:$E)))))</f>
        <v/>
      </c>
      <c r="V497" s="117" t="str">
        <f>IF(OR(入力シート!$C$5&lt;&gt;入力リスト!$N$4,COUNTIF(入力シート!$J$16:$S$23,入力リスト!$K$4)=0),"",IF(A497="","",IF(ISERROR(AVERAGEIF(従業員の給与情報!$B:$B,$A497,従業員の給与情報!$F:$F)),0,IF(ISERROR(AVERAGEIF(従業員の給与情報!$B:$B,$A497,従業員の給与情報!$F:$F)),0,AVERAGEIF(従業員の給与情報!$B:$B,$A497,従業員の給与情報!$F:$F)))))</f>
        <v/>
      </c>
      <c r="W497" s="182"/>
      <c r="X497" s="260"/>
    </row>
    <row r="498" spans="1:24">
      <c r="A498" s="368"/>
      <c r="B498" s="361"/>
      <c r="C498" s="362"/>
      <c r="D498" s="361"/>
      <c r="E498" s="361"/>
      <c r="F498" s="372" t="str">
        <f>IF(G498,"この従業員番号は、すでに他のセルで入力されています。",IF(入力シート!$C$5=入力リスト!$N$5,"",IF(AND(A498="",B498="",C498="",D498="",E498=""),"",IF(OR(A498="",B498="",C498="",D498=""),IF(A498="","従業員番号","")&amp;IF(AND(A498="",OR(B498="",C498="",D498="")),",","")&amp;IF(B498="","雇用形態","")&amp;IF(AND(B498="",OR(C498="",D498="")),",","")&amp;IF(OR(入力シート!$J$18=入力リスト!$K$4,入力シート!$J$22=入力リスト!$K$4),IF(C498="","入社年月日",""),"")&amp;IF(AND(C498="",D498=""),",","")&amp;IF(D498="","性別","")&amp;IF(IF(A498="","従業員番号","")&amp;IF(B498="","雇用形態","")&amp;IF(OR(入力シート!$J$18=入力リスト!$K$4,入力シート!$J$22=入力リスト!$K$4),IF(C498="","入社年月日",""),"")&amp;IF(D498="","性別","")="","","が空白です。"),IF(J498,"入社年月日に「基準日」の翌日以降の日付が入力されています。","")&amp;IF(I498,"入社年月日に数値以外（又は1900/1/1以前の日付）が入力されています。","")&amp;IF(H498,"雇用形態"&amp;IF(OR(K498,L498),",",""),"")&amp;IF(K498,"性別"&amp;IF(L498,",",""),"")&amp;IF(L498,"役職","")&amp;IF(OR(H498,K498,L498),"に、［入力シート］(4)「貴社」欄と異なる文言が入力されています。","")))))</f>
        <v/>
      </c>
      <c r="G498" s="236" t="b">
        <f>COUNTIF($A$4:A497,$A498)&gt;0</f>
        <v>0</v>
      </c>
      <c r="H498" s="237" t="b">
        <f>IF(COUNTIF(入力シート!$J$16:$S$23,入力リスト!$K$4)=0,FALSE,IF(入力シート!$J$16=入力リスト!$K$5,FALSE,ISERROR(VLOOKUP(B498,入力シート!$S$37:$V$62,1,0))))</f>
        <v>0</v>
      </c>
      <c r="I498" s="237" t="b">
        <f>IF(AND(OR(入力シート!$J$18=入力リスト!$K$4,入力シート!$J$22=入力リスト!$K$4),入力シート!$J$24&lt;&gt;""),IF(ISERROR(C498+1),TRUE,IF(ISNUMBER(C498),FALSE,TRUE)),FALSE)</f>
        <v>0</v>
      </c>
      <c r="J498" s="237" t="b">
        <f>IF(AND(入力シート!$J$18=入力リスト!$K$4,入力シート!$J$22=入力リスト!$K$4),FALSE,IF(I498=TRUE,FALSE,IF(ISERROR(C498+1),FALSE,C498&gt;入力シート!$J$24)))</f>
        <v>0</v>
      </c>
      <c r="K498" s="237" t="b">
        <f>IF(COUNTIF(入力シート!$J$16:$S$23,入力リスト!$K$4)=0,FALSE,IF(AND(入力シート!$J$16&lt;&gt;入力リスト!$K$5,入力シート!$J$18&lt;&gt;入力リスト!$K$5,入力シート!$J$20&lt;&gt;入力リスト!$K$5,入力シート!$J$22&lt;&gt;入力リスト!$K$5),FALSE,ISERROR(VLOOKUP(D498,入力シート!$AW$37:$AY$38,1,0))))</f>
        <v>0</v>
      </c>
      <c r="L498" s="237" t="b">
        <f>IF(COUNTIF(入力シート!$J$16:$S$23,入力リスト!$K$4)=0,FALSE,IF(入力シート!$J$20=入力リスト!$K$5,FALSE,IF(E498="",FALSE,ISERROR(VLOOKUP(E498,入力シート!$AH$37:$AK$62,1,0)))))</f>
        <v>0</v>
      </c>
      <c r="M498" s="238" t="str">
        <f t="shared" si="7"/>
        <v/>
      </c>
      <c r="N498" s="236" t="str">
        <f>IF(B498="","",VLOOKUP('従業員情報(給与以外)'!$B498,入力シート!$S$37:$Z$62,5,0))</f>
        <v/>
      </c>
      <c r="O498" s="182" t="str">
        <f>IF(ISNUMBER(C498)=FALSE,"",IF(C498&gt;入力シート!$J$24,"",_xlfn.DAYS(入力シート!$J$24,'従業員情報(給与以外)'!$C498)/365))</f>
        <v/>
      </c>
      <c r="P498" s="237" t="str">
        <f>IF(O498="","",VLOOKUP(_xlfn.DAYS(入力シート!$J$24,'従業員情報(給与以外)'!$C498)/365,入力リスト!$H$4:$I$12,2,2))</f>
        <v/>
      </c>
      <c r="Q498" s="236" t="str">
        <f>IF(D498="","",VLOOKUP('従業員情報(給与以外)'!$D498,入力シート!$AW$37:$BB$38,4,0))</f>
        <v/>
      </c>
      <c r="R498" s="236" t="str">
        <f>IF(A498="","",IF(E498="","非役職",VLOOKUP('従業員情報(給与以外)'!$E498,入力シート!$AH$37:$AO$62,5,0)))</f>
        <v/>
      </c>
      <c r="S498" s="116" t="str">
        <f>IF(OR(入力シート!$C$5&lt;&gt;入力リスト!$N$4,COUNTIF(入力シート!$J$16:$S$23,入力リスト!$K$4)=0),"",IF($A498="","",IF(ISERROR(AVERAGEIF(従業員の給与情報!$B:$B,$A498,従業員の給与情報!$C:$C)),0,IF(ISERROR(AVERAGEIF(従業員の給与情報!$B:$B,$A498,従業員の給与情報!$C:$C)),0,AVERAGEIF(従業員の給与情報!$B:$B,$A498,従業員の給与情報!$C:$C)))))</f>
        <v/>
      </c>
      <c r="T498" s="116" t="str">
        <f>IF(OR(入力シート!$C$5&lt;&gt;入力リスト!$N$4,COUNTIF(入力シート!$J$16:$S$23,入力リスト!$K$4)=0),"",IF(A498="","",IF(ISERROR(AVERAGEIF(従業員の給与情報!$B:$B,$A498,従業員の給与情報!$D:$D)),0,IF(ISERROR(AVERAGEIF(従業員の給与情報!$B:$B,$A498,従業員の給与情報!$D:$D)),0,AVERAGEIF(従業員の給与情報!$B:$B,$A498,従業員の給与情報!$D:$D)))))</f>
        <v/>
      </c>
      <c r="U498" s="116" t="str">
        <f>IF(OR(入力シート!$C$5&lt;&gt;入力リスト!$N$4,COUNTIF(入力シート!$J$16:$S$23,入力リスト!$K$4)=0),"",IF(A498="","",IF(ISERROR(AVERAGEIF(従業員の給与情報!$B:$B,$A498,従業員の給与情報!$E:$E)),0,IF(ISERROR(AVERAGEIF(従業員の給与情報!$B:$B,$A498,従業員の給与情報!$E:$E)),0,AVERAGEIF(従業員の給与情報!$B:$B,$A498,従業員の給与情報!$E:$E)))))</f>
        <v/>
      </c>
      <c r="V498" s="117" t="str">
        <f>IF(OR(入力シート!$C$5&lt;&gt;入力リスト!$N$4,COUNTIF(入力シート!$J$16:$S$23,入力リスト!$K$4)=0),"",IF(A498="","",IF(ISERROR(AVERAGEIF(従業員の給与情報!$B:$B,$A498,従業員の給与情報!$F:$F)),0,IF(ISERROR(AVERAGEIF(従業員の給与情報!$B:$B,$A498,従業員の給与情報!$F:$F)),0,AVERAGEIF(従業員の給与情報!$B:$B,$A498,従業員の給与情報!$F:$F)))))</f>
        <v/>
      </c>
      <c r="W498" s="182"/>
      <c r="X498" s="260"/>
    </row>
    <row r="499" spans="1:24">
      <c r="A499" s="368"/>
      <c r="B499" s="361"/>
      <c r="C499" s="362"/>
      <c r="D499" s="361"/>
      <c r="E499" s="361"/>
      <c r="F499" s="372" t="str">
        <f>IF(G499,"この従業員番号は、すでに他のセルで入力されています。",IF(入力シート!$C$5=入力リスト!$N$5,"",IF(AND(A499="",B499="",C499="",D499="",E499=""),"",IF(OR(A499="",B499="",C499="",D499=""),IF(A499="","従業員番号","")&amp;IF(AND(A499="",OR(B499="",C499="",D499="")),",","")&amp;IF(B499="","雇用形態","")&amp;IF(AND(B499="",OR(C499="",D499="")),",","")&amp;IF(OR(入力シート!$J$18=入力リスト!$K$4,入力シート!$J$22=入力リスト!$K$4),IF(C499="","入社年月日",""),"")&amp;IF(AND(C499="",D499=""),",","")&amp;IF(D499="","性別","")&amp;IF(IF(A499="","従業員番号","")&amp;IF(B499="","雇用形態","")&amp;IF(OR(入力シート!$J$18=入力リスト!$K$4,入力シート!$J$22=入力リスト!$K$4),IF(C499="","入社年月日",""),"")&amp;IF(D499="","性別","")="","","が空白です。"),IF(J499,"入社年月日に「基準日」の翌日以降の日付が入力されています。","")&amp;IF(I499,"入社年月日に数値以外（又は1900/1/1以前の日付）が入力されています。","")&amp;IF(H499,"雇用形態"&amp;IF(OR(K499,L499),",",""),"")&amp;IF(K499,"性別"&amp;IF(L499,",",""),"")&amp;IF(L499,"役職","")&amp;IF(OR(H499,K499,L499),"に、［入力シート］(4)「貴社」欄と異なる文言が入力されています。","")))))</f>
        <v/>
      </c>
      <c r="G499" s="236" t="b">
        <f>COUNTIF($A$4:A498,$A499)&gt;0</f>
        <v>0</v>
      </c>
      <c r="H499" s="237" t="b">
        <f>IF(COUNTIF(入力シート!$J$16:$S$23,入力リスト!$K$4)=0,FALSE,IF(入力シート!$J$16=入力リスト!$K$5,FALSE,ISERROR(VLOOKUP(B499,入力シート!$S$37:$V$62,1,0))))</f>
        <v>0</v>
      </c>
      <c r="I499" s="237" t="b">
        <f>IF(AND(OR(入力シート!$J$18=入力リスト!$K$4,入力シート!$J$22=入力リスト!$K$4),入力シート!$J$24&lt;&gt;""),IF(ISERROR(C499+1),TRUE,IF(ISNUMBER(C499),FALSE,TRUE)),FALSE)</f>
        <v>0</v>
      </c>
      <c r="J499" s="237" t="b">
        <f>IF(AND(入力シート!$J$18=入力リスト!$K$4,入力シート!$J$22=入力リスト!$K$4),FALSE,IF(I499=TRUE,FALSE,IF(ISERROR(C499+1),FALSE,C499&gt;入力シート!$J$24)))</f>
        <v>0</v>
      </c>
      <c r="K499" s="237" t="b">
        <f>IF(COUNTIF(入力シート!$J$16:$S$23,入力リスト!$K$4)=0,FALSE,IF(AND(入力シート!$J$16&lt;&gt;入力リスト!$K$5,入力シート!$J$18&lt;&gt;入力リスト!$K$5,入力シート!$J$20&lt;&gt;入力リスト!$K$5,入力シート!$J$22&lt;&gt;入力リスト!$K$5),FALSE,ISERROR(VLOOKUP(D499,入力シート!$AW$37:$AY$38,1,0))))</f>
        <v>0</v>
      </c>
      <c r="L499" s="237" t="b">
        <f>IF(COUNTIF(入力シート!$J$16:$S$23,入力リスト!$K$4)=0,FALSE,IF(入力シート!$J$20=入力リスト!$K$5,FALSE,IF(E499="",FALSE,ISERROR(VLOOKUP(E499,入力シート!$AH$37:$AK$62,1,0)))))</f>
        <v>0</v>
      </c>
      <c r="M499" s="238" t="str">
        <f t="shared" si="7"/>
        <v/>
      </c>
      <c r="N499" s="236" t="str">
        <f>IF(B499="","",VLOOKUP('従業員情報(給与以外)'!$B499,入力シート!$S$37:$Z$62,5,0))</f>
        <v/>
      </c>
      <c r="O499" s="182" t="str">
        <f>IF(ISNUMBER(C499)=FALSE,"",IF(C499&gt;入力シート!$J$24,"",_xlfn.DAYS(入力シート!$J$24,'従業員情報(給与以外)'!$C499)/365))</f>
        <v/>
      </c>
      <c r="P499" s="237" t="str">
        <f>IF(O499="","",VLOOKUP(_xlfn.DAYS(入力シート!$J$24,'従業員情報(給与以外)'!$C499)/365,入力リスト!$H$4:$I$12,2,2))</f>
        <v/>
      </c>
      <c r="Q499" s="236" t="str">
        <f>IF(D499="","",VLOOKUP('従業員情報(給与以外)'!$D499,入力シート!$AW$37:$BB$38,4,0))</f>
        <v/>
      </c>
      <c r="R499" s="236" t="str">
        <f>IF(A499="","",IF(E499="","非役職",VLOOKUP('従業員情報(給与以外)'!$E499,入力シート!$AH$37:$AO$62,5,0)))</f>
        <v/>
      </c>
      <c r="S499" s="116" t="str">
        <f>IF(OR(入力シート!$C$5&lt;&gt;入力リスト!$N$4,COUNTIF(入力シート!$J$16:$S$23,入力リスト!$K$4)=0),"",IF($A499="","",IF(ISERROR(AVERAGEIF(従業員の給与情報!$B:$B,$A499,従業員の給与情報!$C:$C)),0,IF(ISERROR(AVERAGEIF(従業員の給与情報!$B:$B,$A499,従業員の給与情報!$C:$C)),0,AVERAGEIF(従業員の給与情報!$B:$B,$A499,従業員の給与情報!$C:$C)))))</f>
        <v/>
      </c>
      <c r="T499" s="116" t="str">
        <f>IF(OR(入力シート!$C$5&lt;&gt;入力リスト!$N$4,COUNTIF(入力シート!$J$16:$S$23,入力リスト!$K$4)=0),"",IF(A499="","",IF(ISERROR(AVERAGEIF(従業員の給与情報!$B:$B,$A499,従業員の給与情報!$D:$D)),0,IF(ISERROR(AVERAGEIF(従業員の給与情報!$B:$B,$A499,従業員の給与情報!$D:$D)),0,AVERAGEIF(従業員の給与情報!$B:$B,$A499,従業員の給与情報!$D:$D)))))</f>
        <v/>
      </c>
      <c r="U499" s="116" t="str">
        <f>IF(OR(入力シート!$C$5&lt;&gt;入力リスト!$N$4,COUNTIF(入力シート!$J$16:$S$23,入力リスト!$K$4)=0),"",IF(A499="","",IF(ISERROR(AVERAGEIF(従業員の給与情報!$B:$B,$A499,従業員の給与情報!$E:$E)),0,IF(ISERROR(AVERAGEIF(従業員の給与情報!$B:$B,$A499,従業員の給与情報!$E:$E)),0,AVERAGEIF(従業員の給与情報!$B:$B,$A499,従業員の給与情報!$E:$E)))))</f>
        <v/>
      </c>
      <c r="V499" s="117" t="str">
        <f>IF(OR(入力シート!$C$5&lt;&gt;入力リスト!$N$4,COUNTIF(入力シート!$J$16:$S$23,入力リスト!$K$4)=0),"",IF(A499="","",IF(ISERROR(AVERAGEIF(従業員の給与情報!$B:$B,$A499,従業員の給与情報!$F:$F)),0,IF(ISERROR(AVERAGEIF(従業員の給与情報!$B:$B,$A499,従業員の給与情報!$F:$F)),0,AVERAGEIF(従業員の給与情報!$B:$B,$A499,従業員の給与情報!$F:$F)))))</f>
        <v/>
      </c>
      <c r="W499" s="182"/>
      <c r="X499" s="260"/>
    </row>
    <row r="500" spans="1:24">
      <c r="A500" s="368"/>
      <c r="B500" s="361"/>
      <c r="C500" s="362"/>
      <c r="D500" s="361"/>
      <c r="E500" s="361"/>
      <c r="F500" s="372" t="str">
        <f>IF(G500,"この従業員番号は、すでに他のセルで入力されています。",IF(入力シート!$C$5=入力リスト!$N$5,"",IF(AND(A500="",B500="",C500="",D500="",E500=""),"",IF(OR(A500="",B500="",C500="",D500=""),IF(A500="","従業員番号","")&amp;IF(AND(A500="",OR(B500="",C500="",D500="")),",","")&amp;IF(B500="","雇用形態","")&amp;IF(AND(B500="",OR(C500="",D500="")),",","")&amp;IF(OR(入力シート!$J$18=入力リスト!$K$4,入力シート!$J$22=入力リスト!$K$4),IF(C500="","入社年月日",""),"")&amp;IF(AND(C500="",D500=""),",","")&amp;IF(D500="","性別","")&amp;IF(IF(A500="","従業員番号","")&amp;IF(B500="","雇用形態","")&amp;IF(OR(入力シート!$J$18=入力リスト!$K$4,入力シート!$J$22=入力リスト!$K$4),IF(C500="","入社年月日",""),"")&amp;IF(D500="","性別","")="","","が空白です。"),IF(J500,"入社年月日に「基準日」の翌日以降の日付が入力されています。","")&amp;IF(I500,"入社年月日に数値以外（又は1900/1/1以前の日付）が入力されています。","")&amp;IF(H500,"雇用形態"&amp;IF(OR(K500,L500),",",""),"")&amp;IF(K500,"性別"&amp;IF(L500,",",""),"")&amp;IF(L500,"役職","")&amp;IF(OR(H500,K500,L500),"に、［入力シート］(4)「貴社」欄と異なる文言が入力されています。","")))))</f>
        <v/>
      </c>
      <c r="G500" s="236" t="b">
        <f>COUNTIF($A$4:A499,$A500)&gt;0</f>
        <v>0</v>
      </c>
      <c r="H500" s="237" t="b">
        <f>IF(COUNTIF(入力シート!$J$16:$S$23,入力リスト!$K$4)=0,FALSE,IF(入力シート!$J$16=入力リスト!$K$5,FALSE,ISERROR(VLOOKUP(B500,入力シート!$S$37:$V$62,1,0))))</f>
        <v>0</v>
      </c>
      <c r="I500" s="237" t="b">
        <f>IF(AND(OR(入力シート!$J$18=入力リスト!$K$4,入力シート!$J$22=入力リスト!$K$4),入力シート!$J$24&lt;&gt;""),IF(ISERROR(C500+1),TRUE,IF(ISNUMBER(C500),FALSE,TRUE)),FALSE)</f>
        <v>0</v>
      </c>
      <c r="J500" s="237" t="b">
        <f>IF(AND(入力シート!$J$18=入力リスト!$K$4,入力シート!$J$22=入力リスト!$K$4),FALSE,IF(I500=TRUE,FALSE,IF(ISERROR(C500+1),FALSE,C500&gt;入力シート!$J$24)))</f>
        <v>0</v>
      </c>
      <c r="K500" s="237" t="b">
        <f>IF(COUNTIF(入力シート!$J$16:$S$23,入力リスト!$K$4)=0,FALSE,IF(AND(入力シート!$J$16&lt;&gt;入力リスト!$K$5,入力シート!$J$18&lt;&gt;入力リスト!$K$5,入力シート!$J$20&lt;&gt;入力リスト!$K$5,入力シート!$J$22&lt;&gt;入力リスト!$K$5),FALSE,ISERROR(VLOOKUP(D500,入力シート!$AW$37:$AY$38,1,0))))</f>
        <v>0</v>
      </c>
      <c r="L500" s="237" t="b">
        <f>IF(COUNTIF(入力シート!$J$16:$S$23,入力リスト!$K$4)=0,FALSE,IF(入力シート!$J$20=入力リスト!$K$5,FALSE,IF(E500="",FALSE,ISERROR(VLOOKUP(E500,入力シート!$AH$37:$AK$62,1,0)))))</f>
        <v>0</v>
      </c>
      <c r="M500" s="238" t="str">
        <f t="shared" si="7"/>
        <v/>
      </c>
      <c r="N500" s="236" t="str">
        <f>IF(B500="","",VLOOKUP('従業員情報(給与以外)'!$B500,入力シート!$S$37:$Z$62,5,0))</f>
        <v/>
      </c>
      <c r="O500" s="182" t="str">
        <f>IF(ISNUMBER(C500)=FALSE,"",IF(C500&gt;入力シート!$J$24,"",_xlfn.DAYS(入力シート!$J$24,'従業員情報(給与以外)'!$C500)/365))</f>
        <v/>
      </c>
      <c r="P500" s="237" t="str">
        <f>IF(O500="","",VLOOKUP(_xlfn.DAYS(入力シート!$J$24,'従業員情報(給与以外)'!$C500)/365,入力リスト!$H$4:$I$12,2,2))</f>
        <v/>
      </c>
      <c r="Q500" s="236" t="str">
        <f>IF(D500="","",VLOOKUP('従業員情報(給与以外)'!$D500,入力シート!$AW$37:$BB$38,4,0))</f>
        <v/>
      </c>
      <c r="R500" s="236" t="str">
        <f>IF(A500="","",IF(E500="","非役職",VLOOKUP('従業員情報(給与以外)'!$E500,入力シート!$AH$37:$AO$62,5,0)))</f>
        <v/>
      </c>
      <c r="S500" s="116" t="str">
        <f>IF(OR(入力シート!$C$5&lt;&gt;入力リスト!$N$4,COUNTIF(入力シート!$J$16:$S$23,入力リスト!$K$4)=0),"",IF($A500="","",IF(ISERROR(AVERAGEIF(従業員の給与情報!$B:$B,$A500,従業員の給与情報!$C:$C)),0,IF(ISERROR(AVERAGEIF(従業員の給与情報!$B:$B,$A500,従業員の給与情報!$C:$C)),0,AVERAGEIF(従業員の給与情報!$B:$B,$A500,従業員の給与情報!$C:$C)))))</f>
        <v/>
      </c>
      <c r="T500" s="116" t="str">
        <f>IF(OR(入力シート!$C$5&lt;&gt;入力リスト!$N$4,COUNTIF(入力シート!$J$16:$S$23,入力リスト!$K$4)=0),"",IF(A500="","",IF(ISERROR(AVERAGEIF(従業員の給与情報!$B:$B,$A500,従業員の給与情報!$D:$D)),0,IF(ISERROR(AVERAGEIF(従業員の給与情報!$B:$B,$A500,従業員の給与情報!$D:$D)),0,AVERAGEIF(従業員の給与情報!$B:$B,$A500,従業員の給与情報!$D:$D)))))</f>
        <v/>
      </c>
      <c r="U500" s="116" t="str">
        <f>IF(OR(入力シート!$C$5&lt;&gt;入力リスト!$N$4,COUNTIF(入力シート!$J$16:$S$23,入力リスト!$K$4)=0),"",IF(A500="","",IF(ISERROR(AVERAGEIF(従業員の給与情報!$B:$B,$A500,従業員の給与情報!$E:$E)),0,IF(ISERROR(AVERAGEIF(従業員の給与情報!$B:$B,$A500,従業員の給与情報!$E:$E)),0,AVERAGEIF(従業員の給与情報!$B:$B,$A500,従業員の給与情報!$E:$E)))))</f>
        <v/>
      </c>
      <c r="V500" s="117" t="str">
        <f>IF(OR(入力シート!$C$5&lt;&gt;入力リスト!$N$4,COUNTIF(入力シート!$J$16:$S$23,入力リスト!$K$4)=0),"",IF(A500="","",IF(ISERROR(AVERAGEIF(従業員の給与情報!$B:$B,$A500,従業員の給与情報!$F:$F)),0,IF(ISERROR(AVERAGEIF(従業員の給与情報!$B:$B,$A500,従業員の給与情報!$F:$F)),0,AVERAGEIF(従業員の給与情報!$B:$B,$A500,従業員の給与情報!$F:$F)))))</f>
        <v/>
      </c>
      <c r="W500" s="182"/>
      <c r="X500" s="260"/>
    </row>
    <row r="501" spans="1:24" ht="16.899999999999999" customHeight="1">
      <c r="A501" s="368"/>
      <c r="B501" s="361"/>
      <c r="C501" s="362"/>
      <c r="D501" s="361"/>
      <c r="E501" s="361"/>
      <c r="F501" s="372" t="str">
        <f>IF(G501,"この従業員番号は、すでに他のセルで入力されています。",IF(入力シート!$C$5=入力リスト!$N$5,"",IF(AND(A501="",B501="",C501="",D501="",E501=""),"",IF(OR(A501="",B501="",C501="",D501=""),IF(A501="","従業員番号","")&amp;IF(AND(A501="",OR(B501="",C501="",D501="")),",","")&amp;IF(B501="","雇用形態","")&amp;IF(AND(B501="",OR(C501="",D501="")),",","")&amp;IF(OR(入力シート!$J$18=入力リスト!$K$4,入力シート!$J$22=入力リスト!$K$4),IF(C501="","入社年月日",""),"")&amp;IF(AND(C501="",D501=""),",","")&amp;IF(D501="","性別","")&amp;IF(IF(A501="","従業員番号","")&amp;IF(B501="","雇用形態","")&amp;IF(OR(入力シート!$J$18=入力リスト!$K$4,入力シート!$J$22=入力リスト!$K$4),IF(C501="","入社年月日",""),"")&amp;IF(D501="","性別","")="","","が空白です。"),IF(J501,"入社年月日に「基準日」の翌日以降の日付が入力されています。","")&amp;IF(I501,"入社年月日に数値以外（又は1900/1/1以前の日付）が入力されています。","")&amp;IF(H501,"雇用形態"&amp;IF(OR(K501,L501),",",""),"")&amp;IF(K501,"性別"&amp;IF(L501,",",""),"")&amp;IF(L501,"役職","")&amp;IF(OR(H501,K501,L501),"に、［入力シート］(4)「貴社」欄と異なる文言が入力されています。","")))))</f>
        <v/>
      </c>
      <c r="G501" s="236" t="b">
        <f>COUNTIF($A$4:A500,$A501)&gt;0</f>
        <v>0</v>
      </c>
      <c r="H501" s="237" t="b">
        <f>IF(COUNTIF(入力シート!$J$16:$S$23,入力リスト!$K$4)=0,FALSE,IF(入力シート!$J$16=入力リスト!$K$5,FALSE,ISERROR(VLOOKUP(B501,入力シート!$S$37:$V$62,1,0))))</f>
        <v>0</v>
      </c>
      <c r="I501" s="237" t="b">
        <f>IF(AND(OR(入力シート!$J$18=入力リスト!$K$4,入力シート!$J$22=入力リスト!$K$4),入力シート!$J$24&lt;&gt;""),IF(ISERROR(C501+1),TRUE,IF(ISNUMBER(C501),FALSE,TRUE)),FALSE)</f>
        <v>0</v>
      </c>
      <c r="J501" s="237" t="b">
        <f>IF(AND(入力シート!$J$18=入力リスト!$K$4,入力シート!$J$22=入力リスト!$K$4),FALSE,IF(I501=TRUE,FALSE,IF(ISERROR(C501+1),FALSE,C501&gt;入力シート!$J$24)))</f>
        <v>0</v>
      </c>
      <c r="K501" s="237" t="b">
        <f>IF(COUNTIF(入力シート!$J$16:$S$23,入力リスト!$K$4)=0,FALSE,IF(AND(入力シート!$J$16&lt;&gt;入力リスト!$K$5,入力シート!$J$18&lt;&gt;入力リスト!$K$5,入力シート!$J$20&lt;&gt;入力リスト!$K$5,入力シート!$J$22&lt;&gt;入力リスト!$K$5),FALSE,ISERROR(VLOOKUP(D501,入力シート!$AW$37:$AY$38,1,0))))</f>
        <v>0</v>
      </c>
      <c r="L501" s="237" t="b">
        <f>IF(COUNTIF(入力シート!$J$16:$S$23,入力リスト!$K$4)=0,FALSE,IF(入力シート!$J$20=入力リスト!$K$5,FALSE,IF(E501="",FALSE,ISERROR(VLOOKUP(E501,入力シート!$AH$37:$AK$62,1,0)))))</f>
        <v>0</v>
      </c>
      <c r="M501" s="238" t="str">
        <f t="shared" si="7"/>
        <v/>
      </c>
      <c r="N501" s="236" t="str">
        <f>IF(B501="","",VLOOKUP('従業員情報(給与以外)'!$B501,入力シート!$S$37:$Z$62,5,0))</f>
        <v/>
      </c>
      <c r="O501" s="182" t="str">
        <f>IF(ISNUMBER(C501)=FALSE,"",IF(C501&gt;入力シート!$J$24,"",_xlfn.DAYS(入力シート!$J$24,'従業員情報(給与以外)'!$C501)/365))</f>
        <v/>
      </c>
      <c r="P501" s="237" t="str">
        <f>IF(O501="","",VLOOKUP(_xlfn.DAYS(入力シート!$J$24,'従業員情報(給与以外)'!$C501)/365,入力リスト!$H$4:$I$12,2,2))</f>
        <v/>
      </c>
      <c r="Q501" s="236" t="str">
        <f>IF(D501="","",VLOOKUP('従業員情報(給与以外)'!$D501,入力シート!$AW$37:$BB$38,4,0))</f>
        <v/>
      </c>
      <c r="R501" s="236" t="str">
        <f>IF(A501="","",IF(E501="","非役職",VLOOKUP('従業員情報(給与以外)'!$E501,入力シート!$AH$37:$AO$62,5,0)))</f>
        <v/>
      </c>
      <c r="S501" s="116" t="str">
        <f>IF(OR(入力シート!$C$5&lt;&gt;入力リスト!$N$4,COUNTIF(入力シート!$J$16:$S$23,入力リスト!$K$4)=0),"",IF($A501="","",IF(ISERROR(AVERAGEIF(従業員の給与情報!$B:$B,$A501,従業員の給与情報!$C:$C)),0,IF(ISERROR(AVERAGEIF(従業員の給与情報!$B:$B,$A501,従業員の給与情報!$C:$C)),0,AVERAGEIF(従業員の給与情報!$B:$B,$A501,従業員の給与情報!$C:$C)))))</f>
        <v/>
      </c>
      <c r="T501" s="116" t="str">
        <f>IF(OR(入力シート!$C$5&lt;&gt;入力リスト!$N$4,COUNTIF(入力シート!$J$16:$S$23,入力リスト!$K$4)=0),"",IF(A501="","",IF(ISERROR(AVERAGEIF(従業員の給与情報!$B:$B,$A501,従業員の給与情報!$D:$D)),0,IF(ISERROR(AVERAGEIF(従業員の給与情報!$B:$B,$A501,従業員の給与情報!$D:$D)),0,AVERAGEIF(従業員の給与情報!$B:$B,$A501,従業員の給与情報!$D:$D)))))</f>
        <v/>
      </c>
      <c r="U501" s="116" t="str">
        <f>IF(OR(入力シート!$C$5&lt;&gt;入力リスト!$N$4,COUNTIF(入力シート!$J$16:$S$23,入力リスト!$K$4)=0),"",IF(A501="","",IF(ISERROR(AVERAGEIF(従業員の給与情報!$B:$B,$A501,従業員の給与情報!$E:$E)),0,IF(ISERROR(AVERAGEIF(従業員の給与情報!$B:$B,$A501,従業員の給与情報!$E:$E)),0,AVERAGEIF(従業員の給与情報!$B:$B,$A501,従業員の給与情報!$E:$E)))))</f>
        <v/>
      </c>
      <c r="V501" s="117" t="str">
        <f>IF(OR(入力シート!$C$5&lt;&gt;入力リスト!$N$4,COUNTIF(入力シート!$J$16:$S$23,入力リスト!$K$4)=0),"",IF(A501="","",IF(ISERROR(AVERAGEIF(従業員の給与情報!$B:$B,$A501,従業員の給与情報!$F:$F)),0,IF(ISERROR(AVERAGEIF(従業員の給与情報!$B:$B,$A501,従業員の給与情報!$F:$F)),0,AVERAGEIF(従業員の給与情報!$B:$B,$A501,従業員の給与情報!$F:$F)))))</f>
        <v/>
      </c>
      <c r="W501" s="182"/>
      <c r="X501" s="260"/>
    </row>
    <row r="502" spans="1:24" ht="16.899999999999999" customHeight="1">
      <c r="A502" s="368"/>
      <c r="B502" s="361"/>
      <c r="C502" s="362"/>
      <c r="D502" s="361"/>
      <c r="E502" s="361"/>
      <c r="F502" s="374" t="str">
        <f>IF(G502,"この従業員番号は、すでに他のセルで入力されています。",IF(入力シート!$C$5=入力リスト!$N$5,"",IF(AND(A502="",B502="",C502="",D502="",E502=""),"",IF(OR(A502="",B502="",C502="",D502=""),IF(A502="","従業員番号","")&amp;IF(AND(A502="",OR(B502="",C502="",D502="")),",","")&amp;IF(B502="","雇用形態","")&amp;IF(AND(B502="",OR(C502="",D502="")),",","")&amp;IF(OR(入力シート!$J$18=入力リスト!$K$4,入力シート!$J$22=入力リスト!$K$4),IF(C502="","入社年月日",""),"")&amp;IF(AND(C502="",D502=""),",","")&amp;IF(D502="","性別","")&amp;IF(IF(A502="","従業員番号","")&amp;IF(B502="","雇用形態","")&amp;IF(OR(入力シート!$J$18=入力リスト!$K$4,入力シート!$J$22=入力リスト!$K$4),IF(C502="","入社年月日",""),"")&amp;IF(D502="","性別","")="","","が空白です。"),IF(J502,"入社年月日に「基準日」の翌日以降の日付が入力されています。","")&amp;IF(I502,"入社年月日に数値以外（又は1900/1/1以前の日付）が入力されています。","")&amp;IF(H502,"雇用形態"&amp;IF(OR(K502,L502),",",""),"")&amp;IF(K502,"性別"&amp;IF(L502,",",""),"")&amp;IF(L502,"役職","")&amp;IF(OR(H502,K502,L502),"に、［入力シート］(4)「貴社」欄と異なる文言が入力されています。","")))))</f>
        <v/>
      </c>
      <c r="G502" s="375" t="b">
        <f>COUNTIF($A$4:A501,$A502)&gt;0</f>
        <v>0</v>
      </c>
      <c r="H502" s="376" t="b">
        <f>IF(COUNTIF(入力シート!$J$16:$S$23,入力リスト!$K$4)=0,FALSE,IF(入力シート!$J$16=入力リスト!$K$5,FALSE,ISERROR(VLOOKUP(B502,入力シート!$S$37:$V$62,1,0))))</f>
        <v>0</v>
      </c>
      <c r="I502" s="376" t="b">
        <f>IF(AND(OR(入力シート!$J$18=入力リスト!$K$4,入力シート!$J$22=入力リスト!$K$4),入力シート!$J$24&lt;&gt;""),IF(ISERROR(C502+1),TRUE,IF(ISNUMBER(C502),FALSE,TRUE)),FALSE)</f>
        <v>0</v>
      </c>
      <c r="J502" s="377" t="b">
        <f>IF(AND(入力シート!$J$18=入力リスト!$K$4,入力シート!$J$22=入力リスト!$K$4),FALSE,IF(I502=TRUE,FALSE,IF(ISERROR(C502+1),FALSE,C502&gt;入力シート!$J$24)))</f>
        <v>0</v>
      </c>
      <c r="K502" s="376" t="b">
        <f>IF(COUNTIF(入力シート!$J$16:$S$23,入力リスト!$K$4)=0,FALSE,IF(AND(入力シート!$J$16&lt;&gt;入力リスト!$K$5,入力シート!$J$18&lt;&gt;入力リスト!$K$5,入力シート!$J$20&lt;&gt;入力リスト!$K$5,入力シート!$J$22&lt;&gt;入力リスト!$K$5),FALSE,ISERROR(VLOOKUP(D502,入力シート!$AW$37:$AY$38,1,0))))</f>
        <v>0</v>
      </c>
      <c r="L502" s="376" t="b">
        <f>IF(COUNTIF(入力シート!$J$16:$S$23,入力リスト!$K$4)=0,FALSE,IF(入力シート!$J$20=入力リスト!$K$5,FALSE,IF(E502="",FALSE,ISERROR(VLOOKUP(E502,入力シート!$AH$37:$AK$62,1,0)))))</f>
        <v>0</v>
      </c>
      <c r="M502" s="376" t="str">
        <f>IF(COUNTIF(F502,"*入社年月日に数値以外*"),"※1900/0/0以前は数値として認識されません。","")</f>
        <v/>
      </c>
      <c r="N502" s="378" t="str">
        <f>IF(B502="","",VLOOKUP('従業員情報(給与以外)'!$B502,入力シート!$S$37:$Z$62,5,0))</f>
        <v/>
      </c>
      <c r="O502" s="379" t="str">
        <f>IF(ISNUMBER(C502)=FALSE,"",IF(C502&gt;入力シート!$J$24,"",_xlfn.DAYS(入力シート!$J$24,'従業員情報(給与以外)'!$C502)/365))</f>
        <v/>
      </c>
      <c r="P502" s="377" t="str">
        <f>IF(O502="","",VLOOKUP(_xlfn.DAYS(入力シート!$J$24,'従業員情報(給与以外)'!$C502)/365,入力リスト!$H$4:$I$12,2,2))</f>
        <v/>
      </c>
      <c r="Q502" s="378" t="str">
        <f>IF(D502="","",VLOOKUP('従業員情報(給与以外)'!$D502,入力シート!$AW$37:$BB$38,4,0))</f>
        <v/>
      </c>
      <c r="R502" s="375" t="str">
        <f>IF(A502="","",IF(E502="","非役職",VLOOKUP('従業員情報(給与以外)'!$E502,入力シート!$AH$37:$AO$62,5,0)))</f>
        <v/>
      </c>
      <c r="S502" s="380" t="str">
        <f>IF(OR(入力シート!$C$5&lt;&gt;入力リスト!$N$4,COUNTIF(入力シート!$J$16:$S$23,入力リスト!$K$4)=0),"",IF($A502="","",IF(ISERROR(AVERAGEIF(従業員の給与情報!$B:$B,$A502,従業員の給与情報!$C:$C)),0,IF(ISERROR(AVERAGEIF(従業員の給与情報!$B:$B,$A502,従業員の給与情報!$C:$C)),0,AVERAGEIF(従業員の給与情報!$B:$B,$A502,従業員の給与情報!$C:$C)))))</f>
        <v/>
      </c>
      <c r="T502" s="380" t="str">
        <f>IF(OR(入力シート!$C$5&lt;&gt;入力リスト!$N$4,COUNTIF(入力シート!$J$16:$S$23,入力リスト!$K$4)=0),"",IF(A502="","",IF(ISERROR(AVERAGEIF(従業員の給与情報!$B:$B,$A502,従業員の給与情報!$D:$D)),0,IF(ISERROR(AVERAGEIF(従業員の給与情報!$B:$B,$A502,従業員の給与情報!$D:$D)),0,AVERAGEIF(従業員の給与情報!$B:$B,$A502,従業員の給与情報!$D:$D)))))</f>
        <v/>
      </c>
      <c r="U502" s="380" t="str">
        <f>IF(OR(入力シート!$C$5&lt;&gt;入力リスト!$N$4,COUNTIF(入力シート!$J$16:$S$23,入力リスト!$K$4)=0),"",IF(A502="","",IF(ISERROR(AVERAGEIF(従業員の給与情報!$B:$B,$A502,従業員の給与情報!$E:$E)),0,IF(ISERROR(AVERAGEIF(従業員の給与情報!$B:$B,$A502,従業員の給与情報!$E:$E)),0,AVERAGEIF(従業員の給与情報!$B:$B,$A502,従業員の給与情報!$E:$E)))))</f>
        <v/>
      </c>
      <c r="V502" s="381" t="str">
        <f>IF(OR(入力シート!$C$5&lt;&gt;入力リスト!$N$4,COUNTIF(入力シート!$J$16:$S$23,入力リスト!$K$4)=0),"",IF(A502="","",IF(ISERROR(AVERAGEIF(従業員の給与情報!$B:$B,$A502,従業員の給与情報!$F:$F)),0,IF(ISERROR(AVERAGEIF(従業員の給与情報!$B:$B,$A502,従業員の給与情報!$F:$F)),0,AVERAGEIF(従業員の給与情報!$B:$B,$A502,従業員の給与情報!$F:$F)))))</f>
        <v/>
      </c>
      <c r="W502" s="382" t="s">
        <v>179</v>
      </c>
      <c r="X502" s="261"/>
    </row>
    <row r="503" spans="1:24">
      <c r="A503" s="361"/>
      <c r="B503" s="361"/>
      <c r="C503" s="362"/>
      <c r="D503" s="361"/>
      <c r="E503" s="361"/>
      <c r="F503" s="383"/>
      <c r="G503" s="384"/>
      <c r="H503" s="238"/>
      <c r="I503" s="238"/>
      <c r="J503" s="385"/>
      <c r="K503" s="238"/>
      <c r="L503" s="238"/>
      <c r="M503" s="238"/>
      <c r="N503" s="386"/>
      <c r="O503" s="387"/>
      <c r="P503" s="385"/>
      <c r="Q503" s="386"/>
      <c r="R503" s="384"/>
      <c r="S503" s="266"/>
      <c r="T503" s="266"/>
      <c r="U503" s="266"/>
      <c r="V503" s="267"/>
      <c r="W503" s="391"/>
      <c r="X503" s="392"/>
    </row>
    <row r="504" spans="1:24">
      <c r="A504" s="361"/>
      <c r="B504" s="361"/>
      <c r="C504" s="362"/>
      <c r="D504" s="361"/>
      <c r="E504" s="361"/>
      <c r="F504" s="383"/>
      <c r="G504" s="384"/>
      <c r="H504" s="238"/>
      <c r="I504" s="238"/>
      <c r="J504" s="385"/>
      <c r="K504" s="238"/>
      <c r="L504" s="238"/>
      <c r="M504" s="238"/>
      <c r="N504" s="386"/>
      <c r="O504" s="387"/>
      <c r="P504" s="385"/>
      <c r="Q504" s="386"/>
      <c r="R504" s="384"/>
      <c r="S504" s="266"/>
      <c r="T504" s="266"/>
      <c r="U504" s="266"/>
      <c r="V504" s="267"/>
      <c r="W504" s="391"/>
      <c r="X504" s="392"/>
    </row>
    <row r="505" spans="1:24">
      <c r="A505" s="361"/>
      <c r="B505" s="361"/>
      <c r="C505" s="362"/>
      <c r="D505" s="361"/>
      <c r="E505" s="361"/>
      <c r="F505" s="383"/>
      <c r="G505" s="384"/>
      <c r="H505" s="238"/>
      <c r="I505" s="238"/>
      <c r="J505" s="385"/>
      <c r="K505" s="238"/>
      <c r="L505" s="238"/>
      <c r="M505" s="238"/>
      <c r="N505" s="386"/>
      <c r="O505" s="387"/>
      <c r="P505" s="385"/>
      <c r="Q505" s="386"/>
      <c r="R505" s="384"/>
      <c r="S505" s="266"/>
      <c r="T505" s="266"/>
      <c r="U505" s="266"/>
      <c r="V505" s="267"/>
      <c r="W505" s="391"/>
      <c r="X505" s="392"/>
    </row>
    <row r="506" spans="1:24">
      <c r="A506" s="361"/>
      <c r="B506" s="361"/>
      <c r="C506" s="362"/>
      <c r="D506" s="361"/>
      <c r="E506" s="361"/>
      <c r="F506" s="383"/>
      <c r="G506" s="384"/>
      <c r="H506" s="238"/>
      <c r="I506" s="238"/>
      <c r="J506" s="385"/>
      <c r="K506" s="238"/>
      <c r="L506" s="238"/>
      <c r="M506" s="238"/>
      <c r="N506" s="386"/>
      <c r="O506" s="387"/>
      <c r="P506" s="385"/>
      <c r="Q506" s="386"/>
      <c r="R506" s="384"/>
      <c r="S506" s="266"/>
      <c r="T506" s="266"/>
      <c r="U506" s="266"/>
      <c r="V506" s="267"/>
      <c r="W506" s="391"/>
      <c r="X506" s="392"/>
    </row>
    <row r="507" spans="1:24">
      <c r="A507" s="361"/>
      <c r="B507" s="361"/>
      <c r="C507" s="362"/>
      <c r="D507" s="361"/>
      <c r="E507" s="361"/>
      <c r="F507" s="383"/>
      <c r="G507" s="384"/>
      <c r="H507" s="238"/>
      <c r="I507" s="238"/>
      <c r="J507" s="385"/>
      <c r="K507" s="238"/>
      <c r="L507" s="238"/>
      <c r="M507" s="238"/>
      <c r="N507" s="386"/>
      <c r="O507" s="387"/>
      <c r="P507" s="385"/>
      <c r="Q507" s="386"/>
      <c r="R507" s="384"/>
      <c r="S507" s="266"/>
      <c r="T507" s="266"/>
      <c r="U507" s="266"/>
      <c r="V507" s="267"/>
      <c r="W507" s="391"/>
      <c r="X507" s="392"/>
    </row>
    <row r="508" spans="1:24">
      <c r="A508" s="361"/>
      <c r="B508" s="361"/>
      <c r="C508" s="362"/>
      <c r="D508" s="361"/>
      <c r="E508" s="361"/>
      <c r="F508" s="383"/>
      <c r="G508" s="384"/>
      <c r="H508" s="238"/>
      <c r="I508" s="238"/>
      <c r="J508" s="385"/>
      <c r="K508" s="238"/>
      <c r="L508" s="238"/>
      <c r="M508" s="238"/>
      <c r="N508" s="386"/>
      <c r="O508" s="387"/>
      <c r="P508" s="385"/>
      <c r="Q508" s="386"/>
      <c r="R508" s="384"/>
      <c r="S508" s="266"/>
      <c r="T508" s="266"/>
      <c r="U508" s="266"/>
      <c r="V508" s="267"/>
      <c r="W508" s="391"/>
      <c r="X508" s="392"/>
    </row>
    <row r="509" spans="1:24">
      <c r="A509" s="361"/>
      <c r="B509" s="361"/>
      <c r="C509" s="362"/>
      <c r="D509" s="361"/>
      <c r="E509" s="361"/>
      <c r="F509" s="383"/>
      <c r="G509" s="384"/>
      <c r="H509" s="238"/>
      <c r="I509" s="238"/>
      <c r="J509" s="385"/>
      <c r="K509" s="238"/>
      <c r="L509" s="238"/>
      <c r="M509" s="238"/>
      <c r="N509" s="386"/>
      <c r="O509" s="387"/>
      <c r="P509" s="385"/>
      <c r="Q509" s="386"/>
      <c r="R509" s="384"/>
      <c r="S509" s="266"/>
      <c r="T509" s="266"/>
      <c r="U509" s="266"/>
      <c r="V509" s="267"/>
      <c r="W509" s="391"/>
      <c r="X509" s="392"/>
    </row>
    <row r="510" spans="1:24">
      <c r="A510" s="361"/>
      <c r="B510" s="361"/>
      <c r="C510" s="362"/>
      <c r="D510" s="361"/>
      <c r="E510" s="361"/>
      <c r="F510" s="383"/>
      <c r="G510" s="384"/>
      <c r="H510" s="238"/>
      <c r="I510" s="238"/>
      <c r="J510" s="385"/>
      <c r="K510" s="238"/>
      <c r="L510" s="238"/>
      <c r="M510" s="238"/>
      <c r="N510" s="386"/>
      <c r="O510" s="387"/>
      <c r="P510" s="385"/>
      <c r="Q510" s="386"/>
      <c r="R510" s="384"/>
      <c r="S510" s="266"/>
      <c r="T510" s="266"/>
      <c r="U510" s="266"/>
      <c r="V510" s="267"/>
      <c r="W510" s="391"/>
      <c r="X510" s="392"/>
    </row>
    <row r="511" spans="1:24">
      <c r="A511" s="361"/>
      <c r="B511" s="361"/>
      <c r="C511" s="362"/>
      <c r="D511" s="361"/>
      <c r="E511" s="361"/>
      <c r="F511" s="383"/>
      <c r="G511" s="384"/>
      <c r="H511" s="238"/>
      <c r="I511" s="238"/>
      <c r="J511" s="385"/>
      <c r="K511" s="238"/>
      <c r="L511" s="238"/>
      <c r="M511" s="238"/>
      <c r="N511" s="386"/>
      <c r="O511" s="387"/>
      <c r="P511" s="385"/>
      <c r="Q511" s="386"/>
      <c r="R511" s="384"/>
      <c r="S511" s="266"/>
      <c r="T511" s="266"/>
      <c r="U511" s="266"/>
      <c r="V511" s="267"/>
      <c r="W511" s="391"/>
      <c r="X511" s="392"/>
    </row>
    <row r="512" spans="1:24">
      <c r="A512" s="361"/>
      <c r="B512" s="361"/>
      <c r="C512" s="362"/>
      <c r="D512" s="361"/>
      <c r="E512" s="361"/>
      <c r="F512" s="383"/>
      <c r="G512" s="384"/>
      <c r="H512" s="238"/>
      <c r="I512" s="238"/>
      <c r="J512" s="385"/>
      <c r="K512" s="238"/>
      <c r="L512" s="238"/>
      <c r="M512" s="238"/>
      <c r="N512" s="386"/>
      <c r="O512" s="387"/>
      <c r="P512" s="385"/>
      <c r="Q512" s="386"/>
      <c r="R512" s="384"/>
      <c r="S512" s="266"/>
      <c r="T512" s="266"/>
      <c r="U512" s="266"/>
      <c r="V512" s="267"/>
      <c r="W512" s="391"/>
      <c r="X512" s="392"/>
    </row>
    <row r="513" spans="1:24">
      <c r="A513" s="361"/>
      <c r="B513" s="361"/>
      <c r="C513" s="362"/>
      <c r="D513" s="361"/>
      <c r="E513" s="361"/>
      <c r="F513" s="383"/>
      <c r="G513" s="384"/>
      <c r="H513" s="238"/>
      <c r="I513" s="238"/>
      <c r="J513" s="385"/>
      <c r="K513" s="238"/>
      <c r="L513" s="238"/>
      <c r="M513" s="238"/>
      <c r="N513" s="386"/>
      <c r="O513" s="387"/>
      <c r="P513" s="385"/>
      <c r="Q513" s="386"/>
      <c r="R513" s="384"/>
      <c r="S513" s="266"/>
      <c r="T513" s="266"/>
      <c r="U513" s="266"/>
      <c r="V513" s="267"/>
      <c r="W513" s="391"/>
      <c r="X513" s="392"/>
    </row>
    <row r="514" spans="1:24">
      <c r="A514" s="361"/>
      <c r="B514" s="361"/>
      <c r="C514" s="362"/>
      <c r="D514" s="361"/>
      <c r="E514" s="361"/>
      <c r="F514" s="383"/>
      <c r="G514" s="384"/>
      <c r="H514" s="238"/>
      <c r="I514" s="238"/>
      <c r="J514" s="385"/>
      <c r="K514" s="238"/>
      <c r="L514" s="238"/>
      <c r="M514" s="238"/>
      <c r="N514" s="386"/>
      <c r="O514" s="387"/>
      <c r="P514" s="385"/>
      <c r="Q514" s="386"/>
      <c r="R514" s="384"/>
      <c r="S514" s="266"/>
      <c r="T514" s="266"/>
      <c r="U514" s="266"/>
      <c r="V514" s="267"/>
      <c r="W514" s="391"/>
      <c r="X514" s="392"/>
    </row>
    <row r="515" spans="1:24">
      <c r="A515" s="361"/>
      <c r="B515" s="361"/>
      <c r="C515" s="362"/>
      <c r="D515" s="361"/>
      <c r="E515" s="361"/>
      <c r="F515" s="383"/>
      <c r="G515" s="384"/>
      <c r="H515" s="238"/>
      <c r="I515" s="238"/>
      <c r="J515" s="385"/>
      <c r="K515" s="238"/>
      <c r="L515" s="238"/>
      <c r="M515" s="238"/>
      <c r="N515" s="386"/>
      <c r="O515" s="387"/>
      <c r="P515" s="385"/>
      <c r="Q515" s="386"/>
      <c r="R515" s="384"/>
      <c r="S515" s="266"/>
      <c r="T515" s="266"/>
      <c r="U515" s="266"/>
      <c r="V515" s="267"/>
      <c r="W515" s="391"/>
      <c r="X515" s="392"/>
    </row>
    <row r="516" spans="1:24">
      <c r="A516" s="361"/>
      <c r="B516" s="361"/>
      <c r="C516" s="362"/>
      <c r="D516" s="361"/>
      <c r="E516" s="361"/>
      <c r="F516" s="383"/>
      <c r="G516" s="384"/>
      <c r="H516" s="238"/>
      <c r="I516" s="238"/>
      <c r="J516" s="385"/>
      <c r="K516" s="238"/>
      <c r="L516" s="238"/>
      <c r="M516" s="238"/>
      <c r="N516" s="386"/>
      <c r="O516" s="387"/>
      <c r="P516" s="385"/>
      <c r="Q516" s="386"/>
      <c r="R516" s="384"/>
      <c r="S516" s="266"/>
      <c r="T516" s="266"/>
      <c r="U516" s="266"/>
      <c r="V516" s="267"/>
      <c r="W516" s="391"/>
      <c r="X516" s="392"/>
    </row>
    <row r="517" spans="1:24">
      <c r="A517" s="361"/>
      <c r="B517" s="361"/>
      <c r="C517" s="362"/>
      <c r="D517" s="361"/>
      <c r="E517" s="361"/>
      <c r="F517" s="383"/>
      <c r="G517" s="384"/>
      <c r="H517" s="238"/>
      <c r="I517" s="238"/>
      <c r="J517" s="385"/>
      <c r="K517" s="238"/>
      <c r="L517" s="238"/>
      <c r="M517" s="238"/>
      <c r="N517" s="386"/>
      <c r="O517" s="387"/>
      <c r="P517" s="385"/>
      <c r="Q517" s="386"/>
      <c r="R517" s="384"/>
      <c r="S517" s="266"/>
      <c r="T517" s="266"/>
      <c r="U517" s="266"/>
      <c r="V517" s="267"/>
      <c r="W517" s="391"/>
      <c r="X517" s="392"/>
    </row>
    <row r="518" spans="1:24">
      <c r="A518" s="361"/>
      <c r="B518" s="361"/>
      <c r="C518" s="362"/>
      <c r="D518" s="361"/>
      <c r="E518" s="361"/>
      <c r="F518" s="383"/>
      <c r="G518" s="384"/>
      <c r="H518" s="238"/>
      <c r="I518" s="238"/>
      <c r="J518" s="385"/>
      <c r="K518" s="238"/>
      <c r="L518" s="238"/>
      <c r="M518" s="238"/>
      <c r="N518" s="386"/>
      <c r="O518" s="387"/>
      <c r="P518" s="385"/>
      <c r="Q518" s="386"/>
      <c r="R518" s="384"/>
      <c r="S518" s="266"/>
      <c r="T518" s="266"/>
      <c r="U518" s="266"/>
      <c r="V518" s="267"/>
      <c r="W518" s="391"/>
      <c r="X518" s="392"/>
    </row>
    <row r="519" spans="1:24">
      <c r="A519" s="361"/>
      <c r="B519" s="361"/>
      <c r="C519" s="362"/>
      <c r="D519" s="361"/>
      <c r="E519" s="361"/>
      <c r="F519" s="383"/>
      <c r="G519" s="384"/>
      <c r="H519" s="238"/>
      <c r="I519" s="238"/>
      <c r="J519" s="385"/>
      <c r="K519" s="238"/>
      <c r="L519" s="238"/>
      <c r="M519" s="238"/>
      <c r="N519" s="386"/>
      <c r="O519" s="387"/>
      <c r="P519" s="385"/>
      <c r="Q519" s="386"/>
      <c r="R519" s="384"/>
      <c r="S519" s="266"/>
      <c r="T519" s="266"/>
      <c r="U519" s="266"/>
      <c r="V519" s="267"/>
      <c r="W519" s="391"/>
      <c r="X519" s="392"/>
    </row>
    <row r="520" spans="1:24">
      <c r="A520" s="361"/>
      <c r="B520" s="361"/>
      <c r="C520" s="362"/>
      <c r="D520" s="361"/>
      <c r="E520" s="361"/>
      <c r="F520" s="383"/>
      <c r="G520" s="384"/>
      <c r="H520" s="238"/>
      <c r="I520" s="238"/>
      <c r="J520" s="385"/>
      <c r="K520" s="238"/>
      <c r="L520" s="238"/>
      <c r="M520" s="238"/>
      <c r="N520" s="386"/>
      <c r="O520" s="387"/>
      <c r="P520" s="385"/>
      <c r="Q520" s="386"/>
      <c r="R520" s="384"/>
      <c r="S520" s="266"/>
      <c r="T520" s="266"/>
      <c r="U520" s="266"/>
      <c r="V520" s="267"/>
      <c r="W520" s="391"/>
      <c r="X520" s="392"/>
    </row>
    <row r="521" spans="1:24">
      <c r="A521" s="361"/>
      <c r="B521" s="361"/>
      <c r="C521" s="362"/>
      <c r="D521" s="361"/>
      <c r="E521" s="361"/>
      <c r="F521" s="383"/>
      <c r="G521" s="384"/>
      <c r="H521" s="238"/>
      <c r="I521" s="238"/>
      <c r="J521" s="385"/>
      <c r="K521" s="238"/>
      <c r="L521" s="238"/>
      <c r="M521" s="238"/>
      <c r="N521" s="386"/>
      <c r="O521" s="387"/>
      <c r="P521" s="385"/>
      <c r="Q521" s="386"/>
      <c r="R521" s="384"/>
      <c r="S521" s="266"/>
      <c r="T521" s="266"/>
      <c r="U521" s="266"/>
      <c r="V521" s="267"/>
      <c r="W521" s="391"/>
      <c r="X521" s="392"/>
    </row>
    <row r="522" spans="1:24">
      <c r="A522" s="361"/>
      <c r="B522" s="361"/>
      <c r="C522" s="362"/>
      <c r="D522" s="361"/>
      <c r="E522" s="361"/>
      <c r="F522" s="383"/>
      <c r="G522" s="384"/>
      <c r="H522" s="238"/>
      <c r="I522" s="238"/>
      <c r="J522" s="385"/>
      <c r="K522" s="238"/>
      <c r="L522" s="238"/>
      <c r="M522" s="238"/>
      <c r="N522" s="386"/>
      <c r="O522" s="387"/>
      <c r="P522" s="385"/>
      <c r="Q522" s="386"/>
      <c r="R522" s="384"/>
      <c r="S522" s="266"/>
      <c r="T522" s="266"/>
      <c r="U522" s="266"/>
      <c r="V522" s="267"/>
      <c r="W522" s="391"/>
      <c r="X522" s="392"/>
    </row>
    <row r="523" spans="1:24">
      <c r="A523" s="361"/>
      <c r="B523" s="361"/>
      <c r="C523" s="362"/>
      <c r="D523" s="361"/>
      <c r="E523" s="361"/>
      <c r="F523" s="383"/>
      <c r="G523" s="384"/>
      <c r="H523" s="238"/>
      <c r="I523" s="238"/>
      <c r="J523" s="385"/>
      <c r="K523" s="238"/>
      <c r="L523" s="238"/>
      <c r="M523" s="238"/>
      <c r="N523" s="386"/>
      <c r="O523" s="387"/>
      <c r="P523" s="385"/>
      <c r="Q523" s="386"/>
      <c r="R523" s="384"/>
      <c r="S523" s="266"/>
      <c r="T523" s="266"/>
      <c r="U523" s="266"/>
      <c r="V523" s="267"/>
      <c r="W523" s="391"/>
      <c r="X523" s="392"/>
    </row>
    <row r="524" spans="1:24">
      <c r="A524" s="361"/>
      <c r="B524" s="361"/>
      <c r="C524" s="362"/>
      <c r="D524" s="361"/>
      <c r="E524" s="361"/>
      <c r="F524" s="383"/>
      <c r="G524" s="384"/>
      <c r="H524" s="238"/>
      <c r="I524" s="238"/>
      <c r="J524" s="385"/>
      <c r="K524" s="238"/>
      <c r="L524" s="238"/>
      <c r="M524" s="238"/>
      <c r="N524" s="386"/>
      <c r="O524" s="387"/>
      <c r="P524" s="385"/>
      <c r="Q524" s="386"/>
      <c r="R524" s="384"/>
      <c r="S524" s="266"/>
      <c r="T524" s="266"/>
      <c r="U524" s="266"/>
      <c r="V524" s="267"/>
      <c r="W524" s="391"/>
      <c r="X524" s="392"/>
    </row>
    <row r="525" spans="1:24">
      <c r="A525" s="361"/>
      <c r="B525" s="361"/>
      <c r="C525" s="362"/>
      <c r="D525" s="361"/>
      <c r="E525" s="361"/>
      <c r="F525" s="383"/>
      <c r="G525" s="384"/>
      <c r="H525" s="238"/>
      <c r="I525" s="238"/>
      <c r="J525" s="385"/>
      <c r="K525" s="238"/>
      <c r="L525" s="238"/>
      <c r="M525" s="238"/>
      <c r="N525" s="386"/>
      <c r="O525" s="387"/>
      <c r="P525" s="385"/>
      <c r="Q525" s="386"/>
      <c r="R525" s="384"/>
      <c r="S525" s="266"/>
      <c r="T525" s="266"/>
      <c r="U525" s="266"/>
      <c r="V525" s="267"/>
      <c r="W525" s="391"/>
      <c r="X525" s="392"/>
    </row>
    <row r="526" spans="1:24">
      <c r="A526" s="361"/>
      <c r="B526" s="361"/>
      <c r="C526" s="362"/>
      <c r="D526" s="361"/>
      <c r="E526" s="361"/>
      <c r="F526" s="383"/>
      <c r="G526" s="384"/>
      <c r="H526" s="238"/>
      <c r="I526" s="238"/>
      <c r="J526" s="385"/>
      <c r="K526" s="238"/>
      <c r="L526" s="238"/>
      <c r="M526" s="238"/>
      <c r="N526" s="386"/>
      <c r="O526" s="387"/>
      <c r="P526" s="385"/>
      <c r="Q526" s="386"/>
      <c r="R526" s="384"/>
      <c r="S526" s="266"/>
      <c r="T526" s="266"/>
      <c r="U526" s="266"/>
      <c r="V526" s="267"/>
      <c r="W526" s="391"/>
      <c r="X526" s="392"/>
    </row>
    <row r="527" spans="1:24">
      <c r="A527" s="361"/>
      <c r="B527" s="361"/>
      <c r="C527" s="362"/>
      <c r="D527" s="361"/>
      <c r="E527" s="361"/>
      <c r="F527" s="383"/>
      <c r="G527" s="384"/>
      <c r="H527" s="238"/>
      <c r="I527" s="238"/>
      <c r="J527" s="385"/>
      <c r="K527" s="238"/>
      <c r="L527" s="238"/>
      <c r="M527" s="238"/>
      <c r="N527" s="386"/>
      <c r="O527" s="387"/>
      <c r="P527" s="385"/>
      <c r="Q527" s="386"/>
      <c r="R527" s="384"/>
      <c r="S527" s="266"/>
      <c r="T527" s="266"/>
      <c r="U527" s="266"/>
      <c r="V527" s="267"/>
      <c r="W527" s="391"/>
      <c r="X527" s="392"/>
    </row>
    <row r="528" spans="1:24">
      <c r="A528" s="361"/>
      <c r="B528" s="361"/>
      <c r="C528" s="362"/>
      <c r="D528" s="361"/>
      <c r="E528" s="361"/>
      <c r="F528" s="383"/>
      <c r="G528" s="384"/>
      <c r="H528" s="238"/>
      <c r="I528" s="238"/>
      <c r="J528" s="385"/>
      <c r="K528" s="238"/>
      <c r="L528" s="238"/>
      <c r="M528" s="238"/>
      <c r="N528" s="386"/>
      <c r="O528" s="387"/>
      <c r="P528" s="385"/>
      <c r="Q528" s="386"/>
      <c r="R528" s="384"/>
      <c r="S528" s="266"/>
      <c r="T528" s="266"/>
      <c r="U528" s="266"/>
      <c r="V528" s="267"/>
      <c r="W528" s="391"/>
      <c r="X528" s="392"/>
    </row>
    <row r="529" spans="1:24">
      <c r="A529" s="361"/>
      <c r="B529" s="361"/>
      <c r="C529" s="362"/>
      <c r="D529" s="361"/>
      <c r="E529" s="361"/>
      <c r="F529" s="383"/>
      <c r="G529" s="384"/>
      <c r="H529" s="238"/>
      <c r="I529" s="238"/>
      <c r="J529" s="385"/>
      <c r="K529" s="238"/>
      <c r="L529" s="238"/>
      <c r="M529" s="238"/>
      <c r="N529" s="386"/>
      <c r="O529" s="387"/>
      <c r="P529" s="385"/>
      <c r="Q529" s="386"/>
      <c r="R529" s="384"/>
      <c r="S529" s="266"/>
      <c r="T529" s="266"/>
      <c r="U529" s="266"/>
      <c r="V529" s="267"/>
      <c r="W529" s="391"/>
      <c r="X529" s="392"/>
    </row>
    <row r="530" spans="1:24">
      <c r="A530" s="361"/>
      <c r="B530" s="361"/>
      <c r="C530" s="362"/>
      <c r="D530" s="361"/>
      <c r="E530" s="361"/>
      <c r="F530" s="383"/>
      <c r="G530" s="384"/>
      <c r="H530" s="238"/>
      <c r="I530" s="238"/>
      <c r="J530" s="385"/>
      <c r="K530" s="238"/>
      <c r="L530" s="238"/>
      <c r="M530" s="238"/>
      <c r="N530" s="386"/>
      <c r="O530" s="387"/>
      <c r="P530" s="385"/>
      <c r="Q530" s="386"/>
      <c r="R530" s="384"/>
      <c r="S530" s="266"/>
      <c r="T530" s="266"/>
      <c r="U530" s="266"/>
      <c r="V530" s="267"/>
      <c r="W530" s="391"/>
      <c r="X530" s="392"/>
    </row>
    <row r="531" spans="1:24">
      <c r="A531" s="361"/>
      <c r="B531" s="361"/>
      <c r="C531" s="362"/>
      <c r="D531" s="361"/>
      <c r="E531" s="361"/>
      <c r="F531" s="383"/>
      <c r="G531" s="384"/>
      <c r="H531" s="238"/>
      <c r="I531" s="238"/>
      <c r="J531" s="385"/>
      <c r="K531" s="238"/>
      <c r="L531" s="238"/>
      <c r="M531" s="238"/>
      <c r="N531" s="386"/>
      <c r="O531" s="387"/>
      <c r="P531" s="385"/>
      <c r="Q531" s="386"/>
      <c r="R531" s="384"/>
      <c r="S531" s="266"/>
      <c r="T531" s="266"/>
      <c r="U531" s="266"/>
      <c r="V531" s="267"/>
      <c r="W531" s="391"/>
      <c r="X531" s="392"/>
    </row>
    <row r="532" spans="1:24">
      <c r="A532" s="361"/>
      <c r="B532" s="361"/>
      <c r="C532" s="362"/>
      <c r="D532" s="361"/>
      <c r="E532" s="361"/>
      <c r="F532" s="383"/>
      <c r="G532" s="384"/>
      <c r="H532" s="238"/>
      <c r="I532" s="238"/>
      <c r="J532" s="385"/>
      <c r="K532" s="238"/>
      <c r="L532" s="238"/>
      <c r="M532" s="238"/>
      <c r="N532" s="386"/>
      <c r="O532" s="387"/>
      <c r="P532" s="385"/>
      <c r="Q532" s="386"/>
      <c r="R532" s="384"/>
      <c r="S532" s="266"/>
      <c r="T532" s="266"/>
      <c r="U532" s="266"/>
      <c r="V532" s="267"/>
      <c r="W532" s="391"/>
      <c r="X532" s="392"/>
    </row>
    <row r="533" spans="1:24">
      <c r="A533" s="361"/>
      <c r="B533" s="361"/>
      <c r="C533" s="362"/>
      <c r="D533" s="361"/>
      <c r="E533" s="361"/>
      <c r="F533" s="383"/>
      <c r="G533" s="384"/>
      <c r="H533" s="238"/>
      <c r="I533" s="238"/>
      <c r="J533" s="385"/>
      <c r="K533" s="238"/>
      <c r="L533" s="238"/>
      <c r="M533" s="238"/>
      <c r="N533" s="386"/>
      <c r="O533" s="387"/>
      <c r="P533" s="385"/>
      <c r="Q533" s="386"/>
      <c r="R533" s="384"/>
      <c r="S533" s="266"/>
      <c r="T533" s="266"/>
      <c r="U533" s="266"/>
      <c r="V533" s="267"/>
      <c r="W533" s="391"/>
      <c r="X533" s="392"/>
    </row>
    <row r="534" spans="1:24">
      <c r="A534" s="361"/>
      <c r="B534" s="361"/>
      <c r="C534" s="362"/>
      <c r="D534" s="361"/>
      <c r="E534" s="361"/>
      <c r="F534" s="383"/>
      <c r="G534" s="384"/>
      <c r="H534" s="238"/>
      <c r="I534" s="238"/>
      <c r="J534" s="385"/>
      <c r="K534" s="238"/>
      <c r="L534" s="238"/>
      <c r="M534" s="238"/>
      <c r="N534" s="386"/>
      <c r="O534" s="387"/>
      <c r="P534" s="385"/>
      <c r="Q534" s="386"/>
      <c r="R534" s="384"/>
      <c r="S534" s="266"/>
      <c r="T534" s="266"/>
      <c r="U534" s="266"/>
      <c r="V534" s="267"/>
      <c r="W534" s="391"/>
      <c r="X534" s="392"/>
    </row>
    <row r="535" spans="1:24">
      <c r="A535" s="361"/>
      <c r="B535" s="361"/>
      <c r="C535" s="362"/>
      <c r="D535" s="361"/>
      <c r="E535" s="361"/>
      <c r="F535" s="383"/>
      <c r="G535" s="384"/>
      <c r="H535" s="238"/>
      <c r="I535" s="238"/>
      <c r="J535" s="385"/>
      <c r="K535" s="238"/>
      <c r="L535" s="238"/>
      <c r="M535" s="238"/>
      <c r="N535" s="386"/>
      <c r="O535" s="387"/>
      <c r="P535" s="385"/>
      <c r="Q535" s="386"/>
      <c r="R535" s="384"/>
      <c r="S535" s="266"/>
      <c r="T535" s="266"/>
      <c r="U535" s="266"/>
      <c r="V535" s="267"/>
      <c r="W535" s="391"/>
      <c r="X535" s="392"/>
    </row>
    <row r="536" spans="1:24">
      <c r="A536" s="361"/>
      <c r="B536" s="361"/>
      <c r="C536" s="362"/>
      <c r="D536" s="361"/>
      <c r="E536" s="361"/>
      <c r="F536" s="383"/>
      <c r="G536" s="384"/>
      <c r="H536" s="238"/>
      <c r="I536" s="238"/>
      <c r="J536" s="385"/>
      <c r="K536" s="238"/>
      <c r="L536" s="238"/>
      <c r="M536" s="238"/>
      <c r="N536" s="386"/>
      <c r="O536" s="387"/>
      <c r="P536" s="385"/>
      <c r="Q536" s="386"/>
      <c r="R536" s="384"/>
      <c r="S536" s="266"/>
      <c r="T536" s="266"/>
      <c r="U536" s="266"/>
      <c r="V536" s="267"/>
      <c r="W536" s="391"/>
      <c r="X536" s="392"/>
    </row>
    <row r="537" spans="1:24">
      <c r="A537" s="361"/>
      <c r="B537" s="361"/>
      <c r="C537" s="362"/>
      <c r="D537" s="361"/>
      <c r="E537" s="361"/>
      <c r="F537" s="383"/>
      <c r="G537" s="384"/>
      <c r="H537" s="238"/>
      <c r="I537" s="238"/>
      <c r="J537" s="385"/>
      <c r="K537" s="238"/>
      <c r="L537" s="238"/>
      <c r="M537" s="238"/>
      <c r="N537" s="386"/>
      <c r="O537" s="387"/>
      <c r="P537" s="385"/>
      <c r="Q537" s="386"/>
      <c r="R537" s="384"/>
      <c r="S537" s="266"/>
      <c r="T537" s="266"/>
      <c r="U537" s="266"/>
      <c r="V537" s="267"/>
      <c r="W537" s="391"/>
      <c r="X537" s="392"/>
    </row>
    <row r="538" spans="1:24">
      <c r="A538" s="361"/>
      <c r="B538" s="361"/>
      <c r="C538" s="362"/>
      <c r="D538" s="361"/>
      <c r="E538" s="361"/>
      <c r="F538" s="383"/>
      <c r="G538" s="384"/>
      <c r="H538" s="238"/>
      <c r="I538" s="238"/>
      <c r="J538" s="385"/>
      <c r="K538" s="238"/>
      <c r="L538" s="238"/>
      <c r="M538" s="238"/>
      <c r="N538" s="386"/>
      <c r="O538" s="387"/>
      <c r="P538" s="385"/>
      <c r="Q538" s="386"/>
      <c r="R538" s="384"/>
      <c r="S538" s="266"/>
      <c r="T538" s="266"/>
      <c r="U538" s="266"/>
      <c r="V538" s="267"/>
      <c r="W538" s="391"/>
      <c r="X538" s="392"/>
    </row>
    <row r="539" spans="1:24">
      <c r="A539" s="361"/>
      <c r="B539" s="361"/>
      <c r="C539" s="362"/>
      <c r="D539" s="361"/>
      <c r="E539" s="361"/>
      <c r="F539" s="383"/>
      <c r="G539" s="384"/>
      <c r="H539" s="238"/>
      <c r="I539" s="238"/>
      <c r="J539" s="385"/>
      <c r="K539" s="238"/>
      <c r="L539" s="238"/>
      <c r="M539" s="238"/>
      <c r="N539" s="386"/>
      <c r="O539" s="387"/>
      <c r="P539" s="385"/>
      <c r="Q539" s="386"/>
      <c r="R539" s="384"/>
      <c r="S539" s="266"/>
      <c r="T539" s="266"/>
      <c r="U539" s="266"/>
      <c r="V539" s="267"/>
      <c r="W539" s="391"/>
      <c r="X539" s="392"/>
    </row>
    <row r="540" spans="1:24">
      <c r="A540" s="361"/>
      <c r="B540" s="361"/>
      <c r="C540" s="362"/>
      <c r="D540" s="361"/>
      <c r="E540" s="361"/>
      <c r="F540" s="383"/>
      <c r="G540" s="384"/>
      <c r="H540" s="238"/>
      <c r="I540" s="238"/>
      <c r="J540" s="385"/>
      <c r="K540" s="238"/>
      <c r="L540" s="238"/>
      <c r="M540" s="238"/>
      <c r="N540" s="386"/>
      <c r="O540" s="387"/>
      <c r="P540" s="385"/>
      <c r="Q540" s="386"/>
      <c r="R540" s="384"/>
      <c r="S540" s="266"/>
      <c r="T540" s="266"/>
      <c r="U540" s="266"/>
      <c r="V540" s="267"/>
      <c r="W540" s="391"/>
      <c r="X540" s="392"/>
    </row>
    <row r="541" spans="1:24">
      <c r="A541" s="361"/>
      <c r="B541" s="361"/>
      <c r="C541" s="362"/>
      <c r="D541" s="361"/>
      <c r="E541" s="361"/>
      <c r="F541" s="383"/>
      <c r="G541" s="384"/>
      <c r="H541" s="238"/>
      <c r="I541" s="238"/>
      <c r="J541" s="385"/>
      <c r="K541" s="238"/>
      <c r="L541" s="238"/>
      <c r="M541" s="238"/>
      <c r="N541" s="386"/>
      <c r="O541" s="387"/>
      <c r="P541" s="385"/>
      <c r="Q541" s="386"/>
      <c r="R541" s="384"/>
      <c r="S541" s="266"/>
      <c r="T541" s="266"/>
      <c r="U541" s="266"/>
      <c r="V541" s="267"/>
      <c r="W541" s="391"/>
      <c r="X541" s="392"/>
    </row>
    <row r="542" spans="1:24">
      <c r="A542" s="361"/>
      <c r="B542" s="361"/>
      <c r="C542" s="362"/>
      <c r="D542" s="361"/>
      <c r="E542" s="361"/>
      <c r="F542" s="383"/>
      <c r="G542" s="384"/>
      <c r="H542" s="238"/>
      <c r="I542" s="238"/>
      <c r="J542" s="385"/>
      <c r="K542" s="238"/>
      <c r="L542" s="238"/>
      <c r="M542" s="238"/>
      <c r="N542" s="386"/>
      <c r="O542" s="387"/>
      <c r="P542" s="385"/>
      <c r="Q542" s="386"/>
      <c r="R542" s="384"/>
      <c r="S542" s="266"/>
      <c r="T542" s="266"/>
      <c r="U542" s="266"/>
      <c r="V542" s="267"/>
      <c r="W542" s="391"/>
      <c r="X542" s="392"/>
    </row>
    <row r="543" spans="1:24">
      <c r="A543" s="361"/>
      <c r="B543" s="361"/>
      <c r="C543" s="362"/>
      <c r="D543" s="361"/>
      <c r="E543" s="361"/>
      <c r="F543" s="383"/>
      <c r="G543" s="384"/>
      <c r="H543" s="238"/>
      <c r="I543" s="238"/>
      <c r="J543" s="385"/>
      <c r="K543" s="238"/>
      <c r="L543" s="238"/>
      <c r="M543" s="238"/>
      <c r="N543" s="386"/>
      <c r="O543" s="387"/>
      <c r="P543" s="385"/>
      <c r="Q543" s="386"/>
      <c r="R543" s="384"/>
      <c r="S543" s="266"/>
      <c r="T543" s="266"/>
      <c r="U543" s="266"/>
      <c r="V543" s="267"/>
      <c r="W543" s="391"/>
      <c r="X543" s="392"/>
    </row>
    <row r="544" spans="1:24">
      <c r="A544" s="361"/>
      <c r="B544" s="361"/>
      <c r="C544" s="362"/>
      <c r="D544" s="361"/>
      <c r="E544" s="361"/>
      <c r="F544" s="383"/>
      <c r="G544" s="384"/>
      <c r="H544" s="238"/>
      <c r="I544" s="238"/>
      <c r="J544" s="385"/>
      <c r="K544" s="238"/>
      <c r="L544" s="238"/>
      <c r="M544" s="238"/>
      <c r="N544" s="386"/>
      <c r="O544" s="387"/>
      <c r="P544" s="385"/>
      <c r="Q544" s="386"/>
      <c r="R544" s="384"/>
      <c r="S544" s="266"/>
      <c r="T544" s="266"/>
      <c r="U544" s="266"/>
      <c r="V544" s="267"/>
      <c r="W544" s="391"/>
      <c r="X544" s="392"/>
    </row>
    <row r="545" spans="1:24">
      <c r="A545" s="361"/>
      <c r="B545" s="361"/>
      <c r="C545" s="362"/>
      <c r="D545" s="361"/>
      <c r="E545" s="361"/>
      <c r="F545" s="383"/>
      <c r="G545" s="384"/>
      <c r="H545" s="238"/>
      <c r="I545" s="238"/>
      <c r="J545" s="385"/>
      <c r="K545" s="238"/>
      <c r="L545" s="238"/>
      <c r="M545" s="238"/>
      <c r="N545" s="386"/>
      <c r="O545" s="387"/>
      <c r="P545" s="385"/>
      <c r="Q545" s="386"/>
      <c r="R545" s="384"/>
      <c r="S545" s="266"/>
      <c r="T545" s="266"/>
      <c r="U545" s="266"/>
      <c r="V545" s="267"/>
      <c r="W545" s="391"/>
      <c r="X545" s="392"/>
    </row>
    <row r="546" spans="1:24">
      <c r="A546" s="361"/>
      <c r="B546" s="361"/>
      <c r="C546" s="362"/>
      <c r="D546" s="361"/>
      <c r="E546" s="361"/>
      <c r="F546" s="383"/>
      <c r="G546" s="384"/>
      <c r="H546" s="238"/>
      <c r="I546" s="238"/>
      <c r="J546" s="385"/>
      <c r="K546" s="238"/>
      <c r="L546" s="238"/>
      <c r="M546" s="238"/>
      <c r="N546" s="386"/>
      <c r="O546" s="387"/>
      <c r="P546" s="385"/>
      <c r="Q546" s="386"/>
      <c r="R546" s="384"/>
      <c r="S546" s="266"/>
      <c r="T546" s="266"/>
      <c r="U546" s="266"/>
      <c r="V546" s="267"/>
      <c r="W546" s="391"/>
      <c r="X546" s="392"/>
    </row>
    <row r="547" spans="1:24">
      <c r="A547" s="361"/>
      <c r="B547" s="361"/>
      <c r="C547" s="362"/>
      <c r="D547" s="361"/>
      <c r="E547" s="361"/>
      <c r="F547" s="383"/>
      <c r="G547" s="384"/>
      <c r="H547" s="238"/>
      <c r="I547" s="238"/>
      <c r="J547" s="385"/>
      <c r="K547" s="238"/>
      <c r="L547" s="238"/>
      <c r="M547" s="238"/>
      <c r="N547" s="386"/>
      <c r="O547" s="387"/>
      <c r="P547" s="385"/>
      <c r="Q547" s="386"/>
      <c r="R547" s="384"/>
      <c r="S547" s="266"/>
      <c r="T547" s="266"/>
      <c r="U547" s="266"/>
      <c r="V547" s="267"/>
      <c r="W547" s="391"/>
      <c r="X547" s="392"/>
    </row>
    <row r="548" spans="1:24">
      <c r="A548" s="361"/>
      <c r="B548" s="361"/>
      <c r="C548" s="362"/>
      <c r="D548" s="361"/>
      <c r="E548" s="361"/>
      <c r="F548" s="383"/>
      <c r="G548" s="384"/>
      <c r="H548" s="238"/>
      <c r="I548" s="238"/>
      <c r="J548" s="385"/>
      <c r="K548" s="238"/>
      <c r="L548" s="238"/>
      <c r="M548" s="238"/>
      <c r="N548" s="386"/>
      <c r="O548" s="387"/>
      <c r="P548" s="385"/>
      <c r="Q548" s="386"/>
      <c r="R548" s="384"/>
      <c r="S548" s="266"/>
      <c r="T548" s="266"/>
      <c r="U548" s="266"/>
      <c r="V548" s="267"/>
      <c r="W548" s="391"/>
      <c r="X548" s="392"/>
    </row>
    <row r="549" spans="1:24">
      <c r="A549" s="361"/>
      <c r="B549" s="361"/>
      <c r="C549" s="362"/>
      <c r="D549" s="361"/>
      <c r="E549" s="361"/>
      <c r="F549" s="383"/>
      <c r="G549" s="384"/>
      <c r="H549" s="238"/>
      <c r="I549" s="238"/>
      <c r="J549" s="385"/>
      <c r="K549" s="238"/>
      <c r="L549" s="238"/>
      <c r="M549" s="238"/>
      <c r="N549" s="386"/>
      <c r="O549" s="387"/>
      <c r="P549" s="385"/>
      <c r="Q549" s="386"/>
      <c r="R549" s="384"/>
      <c r="S549" s="266"/>
      <c r="T549" s="266"/>
      <c r="U549" s="266"/>
      <c r="V549" s="267"/>
      <c r="W549" s="391"/>
      <c r="X549" s="392"/>
    </row>
    <row r="550" spans="1:24">
      <c r="A550" s="361"/>
      <c r="B550" s="361"/>
      <c r="C550" s="362"/>
      <c r="D550" s="361"/>
      <c r="E550" s="361"/>
      <c r="F550" s="383"/>
      <c r="G550" s="384"/>
      <c r="H550" s="238"/>
      <c r="I550" s="238"/>
      <c r="J550" s="385"/>
      <c r="K550" s="238"/>
      <c r="L550" s="238"/>
      <c r="M550" s="238"/>
      <c r="N550" s="386"/>
      <c r="O550" s="387"/>
      <c r="P550" s="385"/>
      <c r="Q550" s="386"/>
      <c r="R550" s="384"/>
      <c r="S550" s="266"/>
      <c r="T550" s="266"/>
      <c r="U550" s="266"/>
      <c r="V550" s="267"/>
      <c r="W550" s="391"/>
      <c r="X550" s="392"/>
    </row>
    <row r="551" spans="1:24">
      <c r="A551" s="361"/>
      <c r="B551" s="361"/>
      <c r="C551" s="362"/>
      <c r="D551" s="361"/>
      <c r="E551" s="361"/>
      <c r="F551" s="383"/>
      <c r="G551" s="384"/>
      <c r="H551" s="238"/>
      <c r="I551" s="238"/>
      <c r="J551" s="385"/>
      <c r="K551" s="238"/>
      <c r="L551" s="238"/>
      <c r="M551" s="238"/>
      <c r="N551" s="386"/>
      <c r="O551" s="387"/>
      <c r="P551" s="385"/>
      <c r="Q551" s="386"/>
      <c r="R551" s="384"/>
      <c r="S551" s="266"/>
      <c r="T551" s="266"/>
      <c r="U551" s="266"/>
      <c r="V551" s="267"/>
      <c r="W551" s="391"/>
      <c r="X551" s="392"/>
    </row>
    <row r="552" spans="1:24">
      <c r="A552" s="361"/>
      <c r="B552" s="361"/>
      <c r="C552" s="362"/>
      <c r="D552" s="361"/>
      <c r="E552" s="361"/>
      <c r="F552" s="383"/>
      <c r="G552" s="384"/>
      <c r="H552" s="238"/>
      <c r="I552" s="238"/>
      <c r="J552" s="385"/>
      <c r="K552" s="238"/>
      <c r="L552" s="238"/>
      <c r="M552" s="238"/>
      <c r="N552" s="386"/>
      <c r="O552" s="387"/>
      <c r="P552" s="385"/>
      <c r="Q552" s="386"/>
      <c r="R552" s="384"/>
      <c r="S552" s="266"/>
      <c r="T552" s="266"/>
      <c r="U552" s="266"/>
      <c r="V552" s="267"/>
      <c r="W552" s="391"/>
      <c r="X552" s="392"/>
    </row>
    <row r="553" spans="1:24">
      <c r="A553" s="361"/>
      <c r="B553" s="361"/>
      <c r="C553" s="362"/>
      <c r="D553" s="361"/>
      <c r="E553" s="361"/>
      <c r="F553" s="383"/>
      <c r="G553" s="384"/>
      <c r="H553" s="238"/>
      <c r="I553" s="238"/>
      <c r="J553" s="385"/>
      <c r="K553" s="238"/>
      <c r="L553" s="238"/>
      <c r="M553" s="238"/>
      <c r="N553" s="386"/>
      <c r="O553" s="387"/>
      <c r="P553" s="385"/>
      <c r="Q553" s="386"/>
      <c r="R553" s="384"/>
      <c r="S553" s="266"/>
      <c r="T553" s="266"/>
      <c r="U553" s="266"/>
      <c r="V553" s="267"/>
      <c r="W553" s="391"/>
      <c r="X553" s="392"/>
    </row>
    <row r="554" spans="1:24">
      <c r="A554" s="361"/>
      <c r="B554" s="361"/>
      <c r="C554" s="362"/>
      <c r="D554" s="361"/>
      <c r="E554" s="361"/>
      <c r="F554" s="383"/>
      <c r="G554" s="384"/>
      <c r="H554" s="238"/>
      <c r="I554" s="238"/>
      <c r="J554" s="385"/>
      <c r="K554" s="238"/>
      <c r="L554" s="238"/>
      <c r="M554" s="238"/>
      <c r="N554" s="386"/>
      <c r="O554" s="387"/>
      <c r="P554" s="385"/>
      <c r="Q554" s="386"/>
      <c r="R554" s="384"/>
      <c r="S554" s="266"/>
      <c r="T554" s="266"/>
      <c r="U554" s="266"/>
      <c r="V554" s="267"/>
      <c r="W554" s="391"/>
      <c r="X554" s="392"/>
    </row>
    <row r="555" spans="1:24">
      <c r="A555" s="361"/>
      <c r="B555" s="361"/>
      <c r="C555" s="362"/>
      <c r="D555" s="361"/>
      <c r="E555" s="361"/>
      <c r="F555" s="383"/>
      <c r="G555" s="384"/>
      <c r="H555" s="238"/>
      <c r="I555" s="238"/>
      <c r="J555" s="385"/>
      <c r="K555" s="238"/>
      <c r="L555" s="238"/>
      <c r="M555" s="238"/>
      <c r="N555" s="386"/>
      <c r="O555" s="387"/>
      <c r="P555" s="385"/>
      <c r="Q555" s="386"/>
      <c r="R555" s="384"/>
      <c r="S555" s="266"/>
      <c r="T555" s="266"/>
      <c r="U555" s="266"/>
      <c r="V555" s="267"/>
      <c r="W555" s="391"/>
      <c r="X555" s="392"/>
    </row>
    <row r="556" spans="1:24">
      <c r="A556" s="361"/>
      <c r="B556" s="361"/>
      <c r="C556" s="362"/>
      <c r="D556" s="361"/>
      <c r="E556" s="361"/>
      <c r="F556" s="383"/>
      <c r="G556" s="384"/>
      <c r="H556" s="238"/>
      <c r="I556" s="238"/>
      <c r="J556" s="385"/>
      <c r="K556" s="238"/>
      <c r="L556" s="238"/>
      <c r="M556" s="238"/>
      <c r="N556" s="386"/>
      <c r="O556" s="387"/>
      <c r="P556" s="385"/>
      <c r="Q556" s="386"/>
      <c r="R556" s="384"/>
      <c r="S556" s="266"/>
      <c r="T556" s="266"/>
      <c r="U556" s="266"/>
      <c r="V556" s="267"/>
      <c r="W556" s="391"/>
      <c r="X556" s="392"/>
    </row>
    <row r="557" spans="1:24">
      <c r="A557" s="361"/>
      <c r="B557" s="361"/>
      <c r="C557" s="362"/>
      <c r="D557" s="361"/>
      <c r="E557" s="361"/>
      <c r="F557" s="383"/>
      <c r="G557" s="384"/>
      <c r="H557" s="238"/>
      <c r="I557" s="238"/>
      <c r="J557" s="385"/>
      <c r="K557" s="238"/>
      <c r="L557" s="238"/>
      <c r="M557" s="238"/>
      <c r="N557" s="386"/>
      <c r="O557" s="387"/>
      <c r="P557" s="385"/>
      <c r="Q557" s="386"/>
      <c r="R557" s="384"/>
      <c r="S557" s="266"/>
      <c r="T557" s="266"/>
      <c r="U557" s="266"/>
      <c r="V557" s="267"/>
      <c r="W557" s="391"/>
      <c r="X557" s="392"/>
    </row>
    <row r="558" spans="1:24">
      <c r="A558" s="361"/>
      <c r="B558" s="361"/>
      <c r="C558" s="362"/>
      <c r="D558" s="361"/>
      <c r="E558" s="361"/>
      <c r="F558" s="383"/>
      <c r="G558" s="384"/>
      <c r="H558" s="238"/>
      <c r="I558" s="238"/>
      <c r="J558" s="385"/>
      <c r="K558" s="238"/>
      <c r="L558" s="238"/>
      <c r="M558" s="238"/>
      <c r="N558" s="386"/>
      <c r="O558" s="387"/>
      <c r="P558" s="385"/>
      <c r="Q558" s="386"/>
      <c r="R558" s="384"/>
      <c r="S558" s="266"/>
      <c r="T558" s="266"/>
      <c r="U558" s="266"/>
      <c r="V558" s="267"/>
      <c r="W558" s="391"/>
      <c r="X558" s="392"/>
    </row>
    <row r="559" spans="1:24">
      <c r="A559" s="361"/>
      <c r="B559" s="361"/>
      <c r="C559" s="362"/>
      <c r="D559" s="361"/>
      <c r="E559" s="361"/>
      <c r="F559" s="383"/>
      <c r="G559" s="384"/>
      <c r="H559" s="238"/>
      <c r="I559" s="238"/>
      <c r="J559" s="385"/>
      <c r="K559" s="238"/>
      <c r="L559" s="238"/>
      <c r="M559" s="238"/>
      <c r="N559" s="386"/>
      <c r="O559" s="387"/>
      <c r="P559" s="385"/>
      <c r="Q559" s="386"/>
      <c r="R559" s="384"/>
      <c r="S559" s="266"/>
      <c r="T559" s="266"/>
      <c r="U559" s="266"/>
      <c r="V559" s="267"/>
      <c r="W559" s="391"/>
      <c r="X559" s="392"/>
    </row>
    <row r="560" spans="1:24">
      <c r="A560" s="361"/>
      <c r="B560" s="361"/>
      <c r="C560" s="362"/>
      <c r="D560" s="361"/>
      <c r="E560" s="361"/>
      <c r="F560" s="383"/>
      <c r="G560" s="384"/>
      <c r="H560" s="238"/>
      <c r="I560" s="238"/>
      <c r="J560" s="385"/>
      <c r="K560" s="238"/>
      <c r="L560" s="238"/>
      <c r="M560" s="238"/>
      <c r="N560" s="386"/>
      <c r="O560" s="387"/>
      <c r="P560" s="385"/>
      <c r="Q560" s="386"/>
      <c r="R560" s="384"/>
      <c r="S560" s="266"/>
      <c r="T560" s="266"/>
      <c r="U560" s="266"/>
      <c r="V560" s="267"/>
      <c r="W560" s="391"/>
      <c r="X560" s="392"/>
    </row>
    <row r="561" spans="1:24">
      <c r="A561" s="361"/>
      <c r="B561" s="361"/>
      <c r="C561" s="362"/>
      <c r="D561" s="361"/>
      <c r="E561" s="361"/>
      <c r="F561" s="383"/>
      <c r="G561" s="384"/>
      <c r="H561" s="238"/>
      <c r="I561" s="238"/>
      <c r="J561" s="385"/>
      <c r="K561" s="238"/>
      <c r="L561" s="238"/>
      <c r="M561" s="238"/>
      <c r="N561" s="386"/>
      <c r="O561" s="387"/>
      <c r="P561" s="385"/>
      <c r="Q561" s="386"/>
      <c r="R561" s="384"/>
      <c r="S561" s="266"/>
      <c r="T561" s="266"/>
      <c r="U561" s="266"/>
      <c r="V561" s="267"/>
      <c r="W561" s="391"/>
      <c r="X561" s="392"/>
    </row>
    <row r="562" spans="1:24">
      <c r="A562" s="361"/>
      <c r="B562" s="361"/>
      <c r="C562" s="362"/>
      <c r="D562" s="361"/>
      <c r="E562" s="361"/>
      <c r="F562" s="383"/>
      <c r="G562" s="384"/>
      <c r="H562" s="238"/>
      <c r="I562" s="238"/>
      <c r="J562" s="385"/>
      <c r="K562" s="238"/>
      <c r="L562" s="238"/>
      <c r="M562" s="238"/>
      <c r="N562" s="386"/>
      <c r="O562" s="387"/>
      <c r="P562" s="385"/>
      <c r="Q562" s="386"/>
      <c r="R562" s="384"/>
      <c r="S562" s="266"/>
      <c r="T562" s="266"/>
      <c r="U562" s="266"/>
      <c r="V562" s="267"/>
      <c r="W562" s="391"/>
      <c r="X562" s="392"/>
    </row>
    <row r="563" spans="1:24">
      <c r="A563" s="361"/>
      <c r="B563" s="361"/>
      <c r="C563" s="362"/>
      <c r="D563" s="361"/>
      <c r="E563" s="361"/>
      <c r="F563" s="383"/>
      <c r="G563" s="384"/>
      <c r="H563" s="238"/>
      <c r="I563" s="238"/>
      <c r="J563" s="385"/>
      <c r="K563" s="238"/>
      <c r="L563" s="238"/>
      <c r="M563" s="238"/>
      <c r="N563" s="386"/>
      <c r="O563" s="387"/>
      <c r="P563" s="385"/>
      <c r="Q563" s="386"/>
      <c r="R563" s="384"/>
      <c r="S563" s="266"/>
      <c r="T563" s="266"/>
      <c r="U563" s="266"/>
      <c r="V563" s="267"/>
      <c r="W563" s="391"/>
      <c r="X563" s="392"/>
    </row>
    <row r="564" spans="1:24">
      <c r="A564" s="361"/>
      <c r="B564" s="361"/>
      <c r="C564" s="362"/>
      <c r="D564" s="361"/>
      <c r="E564" s="361"/>
      <c r="F564" s="383"/>
      <c r="G564" s="384"/>
      <c r="H564" s="238"/>
      <c r="I564" s="238"/>
      <c r="J564" s="385"/>
      <c r="K564" s="238"/>
      <c r="L564" s="238"/>
      <c r="M564" s="238"/>
      <c r="N564" s="386"/>
      <c r="O564" s="387"/>
      <c r="P564" s="385"/>
      <c r="Q564" s="386"/>
      <c r="R564" s="384"/>
      <c r="S564" s="266"/>
      <c r="T564" s="266"/>
      <c r="U564" s="266"/>
      <c r="V564" s="267"/>
      <c r="W564" s="391"/>
      <c r="X564" s="392"/>
    </row>
    <row r="565" spans="1:24">
      <c r="A565" s="361"/>
      <c r="B565" s="361"/>
      <c r="C565" s="362"/>
      <c r="D565" s="361"/>
      <c r="E565" s="361"/>
      <c r="F565" s="383"/>
      <c r="G565" s="384"/>
      <c r="H565" s="238"/>
      <c r="I565" s="238"/>
      <c r="J565" s="385"/>
      <c r="K565" s="238"/>
      <c r="L565" s="238"/>
      <c r="M565" s="238"/>
      <c r="N565" s="386"/>
      <c r="O565" s="387"/>
      <c r="P565" s="385"/>
      <c r="Q565" s="386"/>
      <c r="R565" s="384"/>
      <c r="S565" s="266"/>
      <c r="T565" s="266"/>
      <c r="U565" s="266"/>
      <c r="V565" s="267"/>
      <c r="W565" s="391"/>
      <c r="X565" s="392"/>
    </row>
    <row r="566" spans="1:24">
      <c r="A566" s="361"/>
      <c r="B566" s="361"/>
      <c r="C566" s="362"/>
      <c r="D566" s="361"/>
      <c r="E566" s="361"/>
      <c r="F566" s="383"/>
      <c r="G566" s="384"/>
      <c r="H566" s="238"/>
      <c r="I566" s="238"/>
      <c r="J566" s="385"/>
      <c r="K566" s="238"/>
      <c r="L566" s="238"/>
      <c r="M566" s="238"/>
      <c r="N566" s="386"/>
      <c r="O566" s="387"/>
      <c r="P566" s="385"/>
      <c r="Q566" s="386"/>
      <c r="R566" s="384"/>
      <c r="S566" s="266"/>
      <c r="T566" s="266"/>
      <c r="U566" s="266"/>
      <c r="V566" s="267"/>
      <c r="W566" s="391"/>
      <c r="X566" s="392"/>
    </row>
    <row r="567" spans="1:24">
      <c r="A567" s="361"/>
      <c r="B567" s="361"/>
      <c r="C567" s="362"/>
      <c r="D567" s="361"/>
      <c r="E567" s="361"/>
      <c r="F567" s="383"/>
      <c r="G567" s="384"/>
      <c r="H567" s="238"/>
      <c r="I567" s="238"/>
      <c r="J567" s="385"/>
      <c r="K567" s="238"/>
      <c r="L567" s="238"/>
      <c r="M567" s="238"/>
      <c r="N567" s="386"/>
      <c r="O567" s="387"/>
      <c r="P567" s="385"/>
      <c r="Q567" s="386"/>
      <c r="R567" s="384"/>
      <c r="S567" s="266"/>
      <c r="T567" s="266"/>
      <c r="U567" s="266"/>
      <c r="V567" s="267"/>
      <c r="W567" s="391"/>
      <c r="X567" s="392"/>
    </row>
    <row r="568" spans="1:24">
      <c r="A568" s="361"/>
      <c r="B568" s="361"/>
      <c r="C568" s="362"/>
      <c r="D568" s="361"/>
      <c r="E568" s="361"/>
      <c r="F568" s="383"/>
      <c r="G568" s="384"/>
      <c r="H568" s="238"/>
      <c r="I568" s="238"/>
      <c r="J568" s="385"/>
      <c r="K568" s="238"/>
      <c r="L568" s="238"/>
      <c r="M568" s="238"/>
      <c r="N568" s="386"/>
      <c r="O568" s="387"/>
      <c r="P568" s="385"/>
      <c r="Q568" s="386"/>
      <c r="R568" s="384"/>
      <c r="S568" s="266"/>
      <c r="T568" s="266"/>
      <c r="U568" s="266"/>
      <c r="V568" s="267"/>
      <c r="W568" s="391"/>
      <c r="X568" s="392"/>
    </row>
    <row r="569" spans="1:24">
      <c r="A569" s="361"/>
      <c r="B569" s="361"/>
      <c r="C569" s="362"/>
      <c r="D569" s="361"/>
      <c r="E569" s="361"/>
      <c r="F569" s="383"/>
      <c r="G569" s="384"/>
      <c r="H569" s="238"/>
      <c r="I569" s="238"/>
      <c r="J569" s="385"/>
      <c r="K569" s="238"/>
      <c r="L569" s="238"/>
      <c r="M569" s="238"/>
      <c r="N569" s="386"/>
      <c r="O569" s="387"/>
      <c r="P569" s="385"/>
      <c r="Q569" s="386"/>
      <c r="R569" s="384"/>
      <c r="S569" s="266"/>
      <c r="T569" s="266"/>
      <c r="U569" s="266"/>
      <c r="V569" s="267"/>
      <c r="W569" s="391"/>
      <c r="X569" s="392"/>
    </row>
    <row r="570" spans="1:24">
      <c r="A570" s="361"/>
      <c r="B570" s="361"/>
      <c r="C570" s="362"/>
      <c r="D570" s="361"/>
      <c r="E570" s="361"/>
      <c r="F570" s="383"/>
      <c r="G570" s="384"/>
      <c r="H570" s="238"/>
      <c r="I570" s="238"/>
      <c r="J570" s="385"/>
      <c r="K570" s="238"/>
      <c r="L570" s="238"/>
      <c r="M570" s="238"/>
      <c r="N570" s="386"/>
      <c r="O570" s="387"/>
      <c r="P570" s="385"/>
      <c r="Q570" s="386"/>
      <c r="R570" s="384"/>
      <c r="S570" s="266"/>
      <c r="T570" s="266"/>
      <c r="U570" s="266"/>
      <c r="V570" s="267"/>
      <c r="W570" s="391"/>
      <c r="X570" s="392"/>
    </row>
    <row r="571" spans="1:24">
      <c r="A571" s="361"/>
      <c r="B571" s="361"/>
      <c r="C571" s="362"/>
      <c r="D571" s="361"/>
      <c r="E571" s="361"/>
      <c r="F571" s="383"/>
      <c r="G571" s="384"/>
      <c r="H571" s="238"/>
      <c r="I571" s="238"/>
      <c r="J571" s="385"/>
      <c r="K571" s="238"/>
      <c r="L571" s="238"/>
      <c r="M571" s="238"/>
      <c r="N571" s="386"/>
      <c r="O571" s="387"/>
      <c r="P571" s="385"/>
      <c r="Q571" s="386"/>
      <c r="R571" s="384"/>
      <c r="S571" s="266"/>
      <c r="T571" s="266"/>
      <c r="U571" s="266"/>
      <c r="V571" s="267"/>
      <c r="W571" s="391"/>
      <c r="X571" s="392"/>
    </row>
    <row r="572" spans="1:24">
      <c r="A572" s="361"/>
      <c r="B572" s="361"/>
      <c r="C572" s="362"/>
      <c r="D572" s="361"/>
      <c r="E572" s="361"/>
      <c r="F572" s="383"/>
      <c r="G572" s="384"/>
      <c r="H572" s="238"/>
      <c r="I572" s="238"/>
      <c r="J572" s="385"/>
      <c r="K572" s="238"/>
      <c r="L572" s="238"/>
      <c r="M572" s="238"/>
      <c r="N572" s="386"/>
      <c r="O572" s="387"/>
      <c r="P572" s="385"/>
      <c r="Q572" s="386"/>
      <c r="R572" s="384"/>
      <c r="S572" s="266"/>
      <c r="T572" s="266"/>
      <c r="U572" s="266"/>
      <c r="V572" s="267"/>
      <c r="W572" s="391"/>
      <c r="X572" s="392"/>
    </row>
    <row r="573" spans="1:24">
      <c r="A573" s="361"/>
      <c r="B573" s="361"/>
      <c r="C573" s="362"/>
      <c r="D573" s="361"/>
      <c r="E573" s="361"/>
      <c r="F573" s="383"/>
      <c r="G573" s="384"/>
      <c r="H573" s="238"/>
      <c r="I573" s="238"/>
      <c r="J573" s="385"/>
      <c r="K573" s="238"/>
      <c r="L573" s="238"/>
      <c r="M573" s="238"/>
      <c r="N573" s="386"/>
      <c r="O573" s="387"/>
      <c r="P573" s="385"/>
      <c r="Q573" s="386"/>
      <c r="R573" s="384"/>
      <c r="S573" s="266"/>
      <c r="T573" s="266"/>
      <c r="U573" s="266"/>
      <c r="V573" s="267"/>
      <c r="W573" s="391"/>
      <c r="X573" s="392"/>
    </row>
    <row r="574" spans="1:24">
      <c r="A574" s="361"/>
      <c r="B574" s="361"/>
      <c r="C574" s="362"/>
      <c r="D574" s="361"/>
      <c r="E574" s="361"/>
      <c r="F574" s="383"/>
      <c r="G574" s="384"/>
      <c r="H574" s="238"/>
      <c r="I574" s="238"/>
      <c r="J574" s="385"/>
      <c r="K574" s="238"/>
      <c r="L574" s="238"/>
      <c r="M574" s="238"/>
      <c r="N574" s="386"/>
      <c r="O574" s="387"/>
      <c r="P574" s="385"/>
      <c r="Q574" s="386"/>
      <c r="R574" s="384"/>
      <c r="S574" s="266"/>
      <c r="T574" s="266"/>
      <c r="U574" s="266"/>
      <c r="V574" s="267"/>
      <c r="W574" s="391"/>
      <c r="X574" s="392"/>
    </row>
    <row r="575" spans="1:24">
      <c r="A575" s="361"/>
      <c r="B575" s="361"/>
      <c r="C575" s="362"/>
      <c r="D575" s="361"/>
      <c r="E575" s="361"/>
      <c r="F575" s="383"/>
      <c r="G575" s="384"/>
      <c r="H575" s="238"/>
      <c r="I575" s="238"/>
      <c r="J575" s="385"/>
      <c r="K575" s="238"/>
      <c r="L575" s="238"/>
      <c r="M575" s="238"/>
      <c r="N575" s="386"/>
      <c r="O575" s="387"/>
      <c r="P575" s="385"/>
      <c r="Q575" s="386"/>
      <c r="R575" s="384"/>
      <c r="S575" s="266"/>
      <c r="T575" s="266"/>
      <c r="U575" s="266"/>
      <c r="V575" s="267"/>
      <c r="W575" s="391"/>
      <c r="X575" s="392"/>
    </row>
    <row r="576" spans="1:24">
      <c r="A576" s="361"/>
      <c r="B576" s="361"/>
      <c r="C576" s="362"/>
      <c r="D576" s="361"/>
      <c r="E576" s="361"/>
      <c r="F576" s="383"/>
      <c r="G576" s="384"/>
      <c r="H576" s="238"/>
      <c r="I576" s="238"/>
      <c r="J576" s="385"/>
      <c r="K576" s="238"/>
      <c r="L576" s="238"/>
      <c r="M576" s="238"/>
      <c r="N576" s="386"/>
      <c r="O576" s="387"/>
      <c r="P576" s="385"/>
      <c r="Q576" s="386"/>
      <c r="R576" s="384"/>
      <c r="S576" s="266"/>
      <c r="T576" s="266"/>
      <c r="U576" s="266"/>
      <c r="V576" s="267"/>
      <c r="W576" s="391"/>
      <c r="X576" s="392"/>
    </row>
    <row r="577" spans="1:24">
      <c r="A577" s="361"/>
      <c r="B577" s="361"/>
      <c r="C577" s="362"/>
      <c r="D577" s="361"/>
      <c r="E577" s="361"/>
      <c r="F577" s="383"/>
      <c r="G577" s="384"/>
      <c r="H577" s="238"/>
      <c r="I577" s="238"/>
      <c r="J577" s="385"/>
      <c r="K577" s="238"/>
      <c r="L577" s="238"/>
      <c r="M577" s="238"/>
      <c r="N577" s="386"/>
      <c r="O577" s="387"/>
      <c r="P577" s="385"/>
      <c r="Q577" s="386"/>
      <c r="R577" s="384"/>
      <c r="S577" s="266"/>
      <c r="T577" s="266"/>
      <c r="U577" s="266"/>
      <c r="V577" s="267"/>
      <c r="W577" s="391"/>
      <c r="X577" s="392"/>
    </row>
    <row r="578" spans="1:24">
      <c r="A578" s="361"/>
      <c r="B578" s="361"/>
      <c r="C578" s="362"/>
      <c r="D578" s="361"/>
      <c r="E578" s="361"/>
      <c r="F578" s="383"/>
      <c r="G578" s="384"/>
      <c r="H578" s="238"/>
      <c r="I578" s="238"/>
      <c r="J578" s="385"/>
      <c r="K578" s="238"/>
      <c r="L578" s="238"/>
      <c r="M578" s="238"/>
      <c r="N578" s="386"/>
      <c r="O578" s="387"/>
      <c r="P578" s="385"/>
      <c r="Q578" s="386"/>
      <c r="R578" s="384"/>
      <c r="S578" s="266"/>
      <c r="T578" s="266"/>
      <c r="U578" s="266"/>
      <c r="V578" s="267"/>
      <c r="W578" s="391"/>
      <c r="X578" s="392"/>
    </row>
    <row r="579" spans="1:24">
      <c r="A579" s="361"/>
      <c r="B579" s="361"/>
      <c r="C579" s="362"/>
      <c r="D579" s="361"/>
      <c r="E579" s="361"/>
      <c r="F579" s="383"/>
      <c r="G579" s="384"/>
      <c r="H579" s="238"/>
      <c r="I579" s="238"/>
      <c r="J579" s="385"/>
      <c r="K579" s="238"/>
      <c r="L579" s="238"/>
      <c r="M579" s="238"/>
      <c r="N579" s="386"/>
      <c r="O579" s="387"/>
      <c r="P579" s="385"/>
      <c r="Q579" s="386"/>
      <c r="R579" s="384"/>
      <c r="S579" s="266"/>
      <c r="T579" s="266"/>
      <c r="U579" s="266"/>
      <c r="V579" s="267"/>
      <c r="W579" s="391"/>
      <c r="X579" s="392"/>
    </row>
    <row r="580" spans="1:24">
      <c r="A580" s="361"/>
      <c r="B580" s="361"/>
      <c r="C580" s="362"/>
      <c r="D580" s="361"/>
      <c r="E580" s="361"/>
      <c r="F580" s="383"/>
      <c r="G580" s="384"/>
      <c r="H580" s="238"/>
      <c r="I580" s="238"/>
      <c r="J580" s="385"/>
      <c r="K580" s="238"/>
      <c r="L580" s="238"/>
      <c r="M580" s="238"/>
      <c r="N580" s="386"/>
      <c r="O580" s="387"/>
      <c r="P580" s="385"/>
      <c r="Q580" s="386"/>
      <c r="R580" s="384"/>
      <c r="S580" s="266"/>
      <c r="T580" s="266"/>
      <c r="U580" s="266"/>
      <c r="V580" s="267"/>
      <c r="W580" s="391"/>
      <c r="X580" s="392"/>
    </row>
    <row r="581" spans="1:24">
      <c r="A581" s="361"/>
      <c r="B581" s="361"/>
      <c r="C581" s="362"/>
      <c r="D581" s="361"/>
      <c r="E581" s="361"/>
      <c r="F581" s="383"/>
      <c r="G581" s="384"/>
      <c r="H581" s="238"/>
      <c r="I581" s="238"/>
      <c r="J581" s="385"/>
      <c r="K581" s="238"/>
      <c r="L581" s="238"/>
      <c r="M581" s="238"/>
      <c r="N581" s="386"/>
      <c r="O581" s="387"/>
      <c r="P581" s="385"/>
      <c r="Q581" s="386"/>
      <c r="R581" s="384"/>
      <c r="S581" s="266"/>
      <c r="T581" s="266"/>
      <c r="U581" s="266"/>
      <c r="V581" s="267"/>
      <c r="W581" s="391"/>
      <c r="X581" s="392"/>
    </row>
    <row r="582" spans="1:24">
      <c r="A582" s="361"/>
      <c r="B582" s="361"/>
      <c r="C582" s="362"/>
      <c r="D582" s="361"/>
      <c r="E582" s="361"/>
      <c r="F582" s="383"/>
      <c r="G582" s="384"/>
      <c r="H582" s="238"/>
      <c r="I582" s="238"/>
      <c r="J582" s="385"/>
      <c r="K582" s="238"/>
      <c r="L582" s="238"/>
      <c r="M582" s="238"/>
      <c r="N582" s="386"/>
      <c r="O582" s="387"/>
      <c r="P582" s="385"/>
      <c r="Q582" s="386"/>
      <c r="R582" s="384"/>
      <c r="S582" s="266"/>
      <c r="T582" s="266"/>
      <c r="U582" s="266"/>
      <c r="V582" s="267"/>
      <c r="W582" s="391"/>
      <c r="X582" s="392"/>
    </row>
    <row r="583" spans="1:24">
      <c r="A583" s="361"/>
      <c r="B583" s="361"/>
      <c r="C583" s="362"/>
      <c r="D583" s="361"/>
      <c r="E583" s="361"/>
      <c r="F583" s="383"/>
      <c r="G583" s="384"/>
      <c r="H583" s="238"/>
      <c r="I583" s="238"/>
      <c r="J583" s="385"/>
      <c r="K583" s="238"/>
      <c r="L583" s="238"/>
      <c r="M583" s="238"/>
      <c r="N583" s="386"/>
      <c r="O583" s="387"/>
      <c r="P583" s="385"/>
      <c r="Q583" s="386"/>
      <c r="R583" s="384"/>
      <c r="S583" s="266"/>
      <c r="T583" s="266"/>
      <c r="U583" s="266"/>
      <c r="V583" s="267"/>
      <c r="W583" s="391"/>
      <c r="X583" s="392"/>
    </row>
    <row r="584" spans="1:24">
      <c r="A584" s="361"/>
      <c r="B584" s="361"/>
      <c r="C584" s="362"/>
      <c r="D584" s="361"/>
      <c r="E584" s="361"/>
      <c r="F584" s="383"/>
      <c r="G584" s="384"/>
      <c r="H584" s="238"/>
      <c r="I584" s="238"/>
      <c r="J584" s="385"/>
      <c r="K584" s="238"/>
      <c r="L584" s="238"/>
      <c r="M584" s="238"/>
      <c r="N584" s="386"/>
      <c r="O584" s="387"/>
      <c r="P584" s="385"/>
      <c r="Q584" s="386"/>
      <c r="R584" s="384"/>
      <c r="S584" s="266"/>
      <c r="T584" s="266"/>
      <c r="U584" s="266"/>
      <c r="V584" s="267"/>
      <c r="W584" s="391"/>
      <c r="X584" s="392"/>
    </row>
    <row r="585" spans="1:24">
      <c r="A585" s="361"/>
      <c r="B585" s="361"/>
      <c r="C585" s="362"/>
      <c r="D585" s="361"/>
      <c r="E585" s="361"/>
      <c r="F585" s="383"/>
      <c r="G585" s="384"/>
      <c r="H585" s="238"/>
      <c r="I585" s="238"/>
      <c r="J585" s="385"/>
      <c r="K585" s="238"/>
      <c r="L585" s="238"/>
      <c r="M585" s="238"/>
      <c r="N585" s="386"/>
      <c r="O585" s="387"/>
      <c r="P585" s="385"/>
      <c r="Q585" s="386"/>
      <c r="R585" s="384"/>
      <c r="S585" s="266"/>
      <c r="T585" s="266"/>
      <c r="U585" s="266"/>
      <c r="V585" s="267"/>
      <c r="W585" s="391"/>
      <c r="X585" s="392"/>
    </row>
    <row r="586" spans="1:24">
      <c r="A586" s="361"/>
      <c r="B586" s="361"/>
      <c r="C586" s="362"/>
      <c r="D586" s="361"/>
      <c r="E586" s="361"/>
      <c r="F586" s="383"/>
      <c r="G586" s="384"/>
      <c r="H586" s="238"/>
      <c r="I586" s="238"/>
      <c r="J586" s="385"/>
      <c r="K586" s="238"/>
      <c r="L586" s="238"/>
      <c r="M586" s="238"/>
      <c r="N586" s="386"/>
      <c r="O586" s="387"/>
      <c r="P586" s="385"/>
      <c r="Q586" s="386"/>
      <c r="R586" s="384"/>
      <c r="S586" s="266"/>
      <c r="T586" s="266"/>
      <c r="U586" s="266"/>
      <c r="V586" s="267"/>
      <c r="W586" s="391"/>
      <c r="X586" s="392"/>
    </row>
    <row r="587" spans="1:24">
      <c r="A587" s="361"/>
      <c r="B587" s="361"/>
      <c r="C587" s="362"/>
      <c r="D587" s="361"/>
      <c r="E587" s="361"/>
      <c r="F587" s="383"/>
      <c r="G587" s="384"/>
      <c r="H587" s="238"/>
      <c r="I587" s="238"/>
      <c r="J587" s="385"/>
      <c r="K587" s="238"/>
      <c r="L587" s="238"/>
      <c r="M587" s="238"/>
      <c r="N587" s="386"/>
      <c r="O587" s="387"/>
      <c r="P587" s="385"/>
      <c r="Q587" s="386"/>
      <c r="R587" s="384"/>
      <c r="S587" s="266"/>
      <c r="T587" s="266"/>
      <c r="U587" s="266"/>
      <c r="V587" s="267"/>
      <c r="W587" s="391"/>
      <c r="X587" s="392"/>
    </row>
    <row r="588" spans="1:24">
      <c r="A588" s="361"/>
      <c r="B588" s="361"/>
      <c r="C588" s="362"/>
      <c r="D588" s="361"/>
      <c r="E588" s="361"/>
      <c r="F588" s="383"/>
      <c r="G588" s="384"/>
      <c r="H588" s="238"/>
      <c r="I588" s="238"/>
      <c r="J588" s="385"/>
      <c r="K588" s="238"/>
      <c r="L588" s="238"/>
      <c r="M588" s="238"/>
      <c r="N588" s="386"/>
      <c r="O588" s="387"/>
      <c r="P588" s="385"/>
      <c r="Q588" s="386"/>
      <c r="R588" s="384"/>
      <c r="S588" s="266"/>
      <c r="T588" s="266"/>
      <c r="U588" s="266"/>
      <c r="V588" s="267"/>
      <c r="W588" s="391"/>
      <c r="X588" s="392"/>
    </row>
    <row r="589" spans="1:24">
      <c r="A589" s="361"/>
      <c r="B589" s="361"/>
      <c r="C589" s="362"/>
      <c r="D589" s="361"/>
      <c r="E589" s="361"/>
      <c r="F589" s="383"/>
      <c r="G589" s="384"/>
      <c r="H589" s="238"/>
      <c r="I589" s="238"/>
      <c r="J589" s="385"/>
      <c r="K589" s="238"/>
      <c r="L589" s="238"/>
      <c r="M589" s="238"/>
      <c r="N589" s="386"/>
      <c r="O589" s="387"/>
      <c r="P589" s="385"/>
      <c r="Q589" s="386"/>
      <c r="R589" s="384"/>
      <c r="S589" s="266"/>
      <c r="T589" s="266"/>
      <c r="U589" s="266"/>
      <c r="V589" s="267"/>
      <c r="W589" s="391"/>
      <c r="X589" s="392"/>
    </row>
    <row r="590" spans="1:24">
      <c r="A590" s="361"/>
      <c r="B590" s="361"/>
      <c r="C590" s="362"/>
      <c r="D590" s="361"/>
      <c r="E590" s="361"/>
      <c r="F590" s="383"/>
      <c r="G590" s="384"/>
      <c r="H590" s="238"/>
      <c r="I590" s="238"/>
      <c r="J590" s="385"/>
      <c r="K590" s="238"/>
      <c r="L590" s="238"/>
      <c r="M590" s="238"/>
      <c r="N590" s="386"/>
      <c r="O590" s="387"/>
      <c r="P590" s="385"/>
      <c r="Q590" s="386"/>
      <c r="R590" s="384"/>
      <c r="S590" s="266"/>
      <c r="T590" s="266"/>
      <c r="U590" s="266"/>
      <c r="V590" s="267"/>
      <c r="W590" s="391"/>
      <c r="X590" s="392"/>
    </row>
    <row r="591" spans="1:24">
      <c r="A591" s="361"/>
      <c r="B591" s="361"/>
      <c r="C591" s="362"/>
      <c r="D591" s="361"/>
      <c r="E591" s="361"/>
      <c r="F591" s="383"/>
      <c r="G591" s="384"/>
      <c r="H591" s="238"/>
      <c r="I591" s="238"/>
      <c r="J591" s="385"/>
      <c r="K591" s="238"/>
      <c r="L591" s="238"/>
      <c r="M591" s="238"/>
      <c r="N591" s="386"/>
      <c r="O591" s="387"/>
      <c r="P591" s="385"/>
      <c r="Q591" s="386"/>
      <c r="R591" s="384"/>
      <c r="S591" s="266"/>
      <c r="T591" s="266"/>
      <c r="U591" s="266"/>
      <c r="V591" s="267"/>
      <c r="W591" s="391"/>
      <c r="X591" s="392"/>
    </row>
    <row r="592" spans="1:24">
      <c r="A592" s="361"/>
      <c r="B592" s="361"/>
      <c r="C592" s="362"/>
      <c r="D592" s="361"/>
      <c r="E592" s="361"/>
      <c r="F592" s="383"/>
      <c r="G592" s="384"/>
      <c r="H592" s="238"/>
      <c r="I592" s="238"/>
      <c r="J592" s="385"/>
      <c r="K592" s="238"/>
      <c r="L592" s="238"/>
      <c r="M592" s="238"/>
      <c r="N592" s="386"/>
      <c r="O592" s="387"/>
      <c r="P592" s="385"/>
      <c r="Q592" s="386"/>
      <c r="R592" s="384"/>
      <c r="S592" s="266"/>
      <c r="T592" s="266"/>
      <c r="U592" s="266"/>
      <c r="V592" s="267"/>
      <c r="W592" s="391"/>
      <c r="X592" s="392"/>
    </row>
    <row r="593" spans="1:24">
      <c r="A593" s="361"/>
      <c r="B593" s="361"/>
      <c r="C593" s="362"/>
      <c r="D593" s="361"/>
      <c r="E593" s="361"/>
      <c r="F593" s="383"/>
      <c r="G593" s="384"/>
      <c r="H593" s="238"/>
      <c r="I593" s="238"/>
      <c r="J593" s="385"/>
      <c r="K593" s="238"/>
      <c r="L593" s="238"/>
      <c r="M593" s="238"/>
      <c r="N593" s="386"/>
      <c r="O593" s="387"/>
      <c r="P593" s="385"/>
      <c r="Q593" s="386"/>
      <c r="R593" s="384"/>
      <c r="S593" s="266"/>
      <c r="T593" s="266"/>
      <c r="U593" s="266"/>
      <c r="V593" s="267"/>
      <c r="W593" s="391"/>
      <c r="X593" s="392"/>
    </row>
    <row r="594" spans="1:24">
      <c r="A594" s="361"/>
      <c r="B594" s="361"/>
      <c r="C594" s="362"/>
      <c r="D594" s="361"/>
      <c r="E594" s="361"/>
      <c r="F594" s="383"/>
      <c r="G594" s="384"/>
      <c r="H594" s="238"/>
      <c r="I594" s="238"/>
      <c r="J594" s="385"/>
      <c r="K594" s="238"/>
      <c r="L594" s="238"/>
      <c r="M594" s="238"/>
      <c r="N594" s="386"/>
      <c r="O594" s="387"/>
      <c r="P594" s="385"/>
      <c r="Q594" s="386"/>
      <c r="R594" s="384"/>
      <c r="S594" s="266"/>
      <c r="T594" s="266"/>
      <c r="U594" s="266"/>
      <c r="V594" s="267"/>
      <c r="W594" s="391"/>
      <c r="X594" s="392"/>
    </row>
    <row r="595" spans="1:24">
      <c r="A595" s="361"/>
      <c r="B595" s="361"/>
      <c r="C595" s="362"/>
      <c r="D595" s="361"/>
      <c r="E595" s="361"/>
      <c r="F595" s="383"/>
      <c r="G595" s="384"/>
      <c r="H595" s="238"/>
      <c r="I595" s="238"/>
      <c r="J595" s="385"/>
      <c r="K595" s="238"/>
      <c r="L595" s="238"/>
      <c r="M595" s="238"/>
      <c r="N595" s="386"/>
      <c r="O595" s="387"/>
      <c r="P595" s="385"/>
      <c r="Q595" s="386"/>
      <c r="R595" s="384"/>
      <c r="S595" s="266"/>
      <c r="T595" s="266"/>
      <c r="U595" s="266"/>
      <c r="V595" s="267"/>
      <c r="W595" s="391"/>
      <c r="X595" s="392"/>
    </row>
    <row r="596" spans="1:24">
      <c r="A596" s="361"/>
      <c r="B596" s="361"/>
      <c r="C596" s="362"/>
      <c r="D596" s="361"/>
      <c r="E596" s="361"/>
      <c r="F596" s="383"/>
      <c r="G596" s="384"/>
      <c r="H596" s="238"/>
      <c r="I596" s="238"/>
      <c r="J596" s="385"/>
      <c r="K596" s="238"/>
      <c r="L596" s="238"/>
      <c r="M596" s="238"/>
      <c r="N596" s="386"/>
      <c r="O596" s="387"/>
      <c r="P596" s="385"/>
      <c r="Q596" s="386"/>
      <c r="R596" s="384"/>
      <c r="S596" s="266"/>
      <c r="T596" s="266"/>
      <c r="U596" s="266"/>
      <c r="V596" s="267"/>
      <c r="W596" s="391"/>
      <c r="X596" s="392"/>
    </row>
    <row r="597" spans="1:24">
      <c r="A597" s="361"/>
      <c r="B597" s="361"/>
      <c r="C597" s="362"/>
      <c r="D597" s="361"/>
      <c r="E597" s="361"/>
      <c r="F597" s="383"/>
      <c r="G597" s="384"/>
      <c r="H597" s="238"/>
      <c r="I597" s="238"/>
      <c r="J597" s="385"/>
      <c r="K597" s="238"/>
      <c r="L597" s="238"/>
      <c r="M597" s="238"/>
      <c r="N597" s="386"/>
      <c r="O597" s="387"/>
      <c r="P597" s="385"/>
      <c r="Q597" s="386"/>
      <c r="R597" s="384"/>
      <c r="S597" s="266"/>
      <c r="T597" s="266"/>
      <c r="U597" s="266"/>
      <c r="V597" s="267"/>
      <c r="W597" s="391"/>
      <c r="X597" s="392"/>
    </row>
    <row r="598" spans="1:24">
      <c r="A598" s="361"/>
      <c r="B598" s="361"/>
      <c r="C598" s="362"/>
      <c r="D598" s="361"/>
      <c r="E598" s="361"/>
      <c r="F598" s="383"/>
      <c r="G598" s="384"/>
      <c r="H598" s="238"/>
      <c r="I598" s="238"/>
      <c r="J598" s="385"/>
      <c r="K598" s="238"/>
      <c r="L598" s="238"/>
      <c r="M598" s="238"/>
      <c r="N598" s="386"/>
      <c r="O598" s="387"/>
      <c r="P598" s="385"/>
      <c r="Q598" s="386"/>
      <c r="R598" s="384"/>
      <c r="S598" s="266"/>
      <c r="T598" s="266"/>
      <c r="U598" s="266"/>
      <c r="V598" s="267"/>
      <c r="W598" s="391"/>
      <c r="X598" s="392"/>
    </row>
    <row r="599" spans="1:24">
      <c r="A599" s="361"/>
      <c r="B599" s="361"/>
      <c r="C599" s="362"/>
      <c r="D599" s="361"/>
      <c r="E599" s="361"/>
      <c r="F599" s="383"/>
      <c r="G599" s="384"/>
      <c r="H599" s="238"/>
      <c r="I599" s="238"/>
      <c r="J599" s="385"/>
      <c r="K599" s="238"/>
      <c r="L599" s="238"/>
      <c r="M599" s="238"/>
      <c r="N599" s="386"/>
      <c r="O599" s="387"/>
      <c r="P599" s="385"/>
      <c r="Q599" s="386"/>
      <c r="R599" s="384"/>
      <c r="S599" s="266"/>
      <c r="T599" s="266"/>
      <c r="U599" s="266"/>
      <c r="V599" s="267"/>
      <c r="W599" s="391"/>
      <c r="X599" s="392"/>
    </row>
    <row r="600" spans="1:24">
      <c r="A600" s="361"/>
      <c r="B600" s="361"/>
      <c r="C600" s="362"/>
      <c r="D600" s="361"/>
      <c r="E600" s="361"/>
      <c r="F600" s="383"/>
      <c r="G600" s="384"/>
      <c r="H600" s="238"/>
      <c r="I600" s="238"/>
      <c r="J600" s="385"/>
      <c r="K600" s="238"/>
      <c r="L600" s="238"/>
      <c r="M600" s="238"/>
      <c r="N600" s="386"/>
      <c r="O600" s="387"/>
      <c r="P600" s="385"/>
      <c r="Q600" s="386"/>
      <c r="R600" s="384"/>
      <c r="S600" s="266"/>
      <c r="T600" s="266"/>
      <c r="U600" s="266"/>
      <c r="V600" s="267"/>
      <c r="W600" s="391"/>
      <c r="X600" s="392"/>
    </row>
    <row r="601" spans="1:24">
      <c r="A601" s="361"/>
      <c r="B601" s="361"/>
      <c r="C601" s="362"/>
      <c r="D601" s="361"/>
      <c r="E601" s="361"/>
      <c r="F601" s="383"/>
      <c r="G601" s="384"/>
      <c r="H601" s="238"/>
      <c r="I601" s="238"/>
      <c r="J601" s="385"/>
      <c r="K601" s="238"/>
      <c r="L601" s="238"/>
      <c r="M601" s="238"/>
      <c r="N601" s="386"/>
      <c r="O601" s="387"/>
      <c r="P601" s="385"/>
      <c r="Q601" s="386"/>
      <c r="R601" s="384"/>
      <c r="S601" s="266"/>
      <c r="T601" s="266"/>
      <c r="U601" s="266"/>
      <c r="V601" s="267"/>
      <c r="W601" s="391"/>
      <c r="X601" s="392"/>
    </row>
    <row r="602" spans="1:24">
      <c r="A602" s="361"/>
      <c r="B602" s="361"/>
      <c r="C602" s="362"/>
      <c r="D602" s="361"/>
      <c r="E602" s="361"/>
      <c r="F602" s="383"/>
      <c r="G602" s="384"/>
      <c r="H602" s="238"/>
      <c r="I602" s="238"/>
      <c r="J602" s="385"/>
      <c r="K602" s="238"/>
      <c r="L602" s="238"/>
      <c r="M602" s="238"/>
      <c r="N602" s="386"/>
      <c r="O602" s="387"/>
      <c r="P602" s="385"/>
      <c r="Q602" s="386"/>
      <c r="R602" s="384"/>
      <c r="S602" s="266"/>
      <c r="T602" s="266"/>
      <c r="U602" s="266"/>
      <c r="V602" s="267"/>
      <c r="W602" s="391"/>
      <c r="X602" s="392"/>
    </row>
    <row r="603" spans="1:24">
      <c r="A603" s="361"/>
      <c r="B603" s="361"/>
      <c r="C603" s="362"/>
      <c r="D603" s="361"/>
      <c r="E603" s="361"/>
      <c r="F603" s="383"/>
      <c r="G603" s="384"/>
      <c r="H603" s="238"/>
      <c r="I603" s="238"/>
      <c r="J603" s="385"/>
      <c r="K603" s="238"/>
      <c r="L603" s="238"/>
      <c r="M603" s="238"/>
      <c r="N603" s="386"/>
      <c r="O603" s="387"/>
      <c r="P603" s="385"/>
      <c r="Q603" s="386"/>
      <c r="R603" s="384"/>
      <c r="S603" s="266"/>
      <c r="T603" s="266"/>
      <c r="U603" s="266"/>
      <c r="V603" s="267"/>
      <c r="W603" s="391"/>
      <c r="X603" s="392"/>
    </row>
    <row r="604" spans="1:24">
      <c r="A604" s="361"/>
      <c r="B604" s="361"/>
      <c r="C604" s="362"/>
      <c r="D604" s="361"/>
      <c r="E604" s="361"/>
      <c r="F604" s="383"/>
      <c r="G604" s="384"/>
      <c r="H604" s="238"/>
      <c r="I604" s="238"/>
      <c r="J604" s="385"/>
      <c r="K604" s="238"/>
      <c r="L604" s="238"/>
      <c r="M604" s="238"/>
      <c r="N604" s="386"/>
      <c r="O604" s="387"/>
      <c r="P604" s="385"/>
      <c r="Q604" s="386"/>
      <c r="R604" s="384"/>
      <c r="S604" s="266"/>
      <c r="T604" s="266"/>
      <c r="U604" s="266"/>
      <c r="V604" s="267"/>
      <c r="W604" s="391"/>
      <c r="X604" s="392"/>
    </row>
    <row r="605" spans="1:24">
      <c r="A605" s="361"/>
      <c r="B605" s="361"/>
      <c r="C605" s="362"/>
      <c r="D605" s="361"/>
      <c r="E605" s="361"/>
      <c r="F605" s="383"/>
      <c r="G605" s="384"/>
      <c r="H605" s="238"/>
      <c r="I605" s="238"/>
      <c r="J605" s="385"/>
      <c r="K605" s="238"/>
      <c r="L605" s="238"/>
      <c r="M605" s="238"/>
      <c r="N605" s="386"/>
      <c r="O605" s="387"/>
      <c r="P605" s="385"/>
      <c r="Q605" s="386"/>
      <c r="R605" s="384"/>
      <c r="S605" s="266"/>
      <c r="T605" s="266"/>
      <c r="U605" s="266"/>
      <c r="V605" s="267"/>
      <c r="W605" s="391"/>
      <c r="X605" s="392"/>
    </row>
    <row r="606" spans="1:24">
      <c r="A606" s="361"/>
      <c r="B606" s="361"/>
      <c r="C606" s="362"/>
      <c r="D606" s="361"/>
      <c r="E606" s="361"/>
      <c r="F606" s="383"/>
      <c r="G606" s="384"/>
      <c r="H606" s="238"/>
      <c r="I606" s="238"/>
      <c r="J606" s="385"/>
      <c r="K606" s="238"/>
      <c r="L606" s="238"/>
      <c r="M606" s="238"/>
      <c r="N606" s="386"/>
      <c r="O606" s="387"/>
      <c r="P606" s="385"/>
      <c r="Q606" s="386"/>
      <c r="R606" s="384"/>
      <c r="S606" s="266"/>
      <c r="T606" s="266"/>
      <c r="U606" s="266"/>
      <c r="V606" s="267"/>
      <c r="W606" s="391"/>
      <c r="X606" s="392"/>
    </row>
    <row r="607" spans="1:24">
      <c r="A607" s="361"/>
      <c r="B607" s="361"/>
      <c r="C607" s="362"/>
      <c r="D607" s="361"/>
      <c r="E607" s="361"/>
      <c r="F607" s="383"/>
      <c r="G607" s="384"/>
      <c r="H607" s="238"/>
      <c r="I607" s="238"/>
      <c r="J607" s="385"/>
      <c r="K607" s="238"/>
      <c r="L607" s="238"/>
      <c r="M607" s="238"/>
      <c r="N607" s="386"/>
      <c r="O607" s="387"/>
      <c r="P607" s="385"/>
      <c r="Q607" s="386"/>
      <c r="R607" s="384"/>
      <c r="S607" s="266"/>
      <c r="T607" s="266"/>
      <c r="U607" s="266"/>
      <c r="V607" s="267"/>
      <c r="W607" s="391"/>
      <c r="X607" s="392"/>
    </row>
    <row r="608" spans="1:24">
      <c r="A608" s="361"/>
      <c r="B608" s="361"/>
      <c r="C608" s="362"/>
      <c r="D608" s="361"/>
      <c r="E608" s="361"/>
      <c r="F608" s="383"/>
      <c r="G608" s="384"/>
      <c r="H608" s="238"/>
      <c r="I608" s="238"/>
      <c r="J608" s="385"/>
      <c r="K608" s="238"/>
      <c r="L608" s="238"/>
      <c r="M608" s="238"/>
      <c r="N608" s="386"/>
      <c r="O608" s="387"/>
      <c r="P608" s="385"/>
      <c r="Q608" s="386"/>
      <c r="R608" s="384"/>
      <c r="S608" s="266"/>
      <c r="T608" s="266"/>
      <c r="U608" s="266"/>
      <c r="V608" s="267"/>
      <c r="W608" s="391"/>
      <c r="X608" s="392"/>
    </row>
    <row r="609" spans="1:24">
      <c r="A609" s="361"/>
      <c r="B609" s="361"/>
      <c r="C609" s="362"/>
      <c r="D609" s="361"/>
      <c r="E609" s="361"/>
      <c r="F609" s="383"/>
      <c r="G609" s="384"/>
      <c r="H609" s="238"/>
      <c r="I609" s="238"/>
      <c r="J609" s="385"/>
      <c r="K609" s="238"/>
      <c r="L609" s="238"/>
      <c r="M609" s="238"/>
      <c r="N609" s="386"/>
      <c r="O609" s="387"/>
      <c r="P609" s="385"/>
      <c r="Q609" s="386"/>
      <c r="R609" s="384"/>
      <c r="S609" s="266"/>
      <c r="T609" s="266"/>
      <c r="U609" s="266"/>
      <c r="V609" s="267"/>
      <c r="W609" s="391"/>
      <c r="X609" s="392"/>
    </row>
    <row r="610" spans="1:24">
      <c r="A610" s="361"/>
      <c r="B610" s="361"/>
      <c r="C610" s="362"/>
      <c r="D610" s="361"/>
      <c r="E610" s="361"/>
      <c r="F610" s="383"/>
      <c r="G610" s="384"/>
      <c r="H610" s="238"/>
      <c r="I610" s="238"/>
      <c r="J610" s="385"/>
      <c r="K610" s="238"/>
      <c r="L610" s="238"/>
      <c r="M610" s="238"/>
      <c r="N610" s="386"/>
      <c r="O610" s="387"/>
      <c r="P610" s="385"/>
      <c r="Q610" s="386"/>
      <c r="R610" s="384"/>
      <c r="S610" s="266"/>
      <c r="T610" s="266"/>
      <c r="U610" s="266"/>
      <c r="V610" s="267"/>
      <c r="W610" s="391"/>
      <c r="X610" s="392"/>
    </row>
    <row r="611" spans="1:24">
      <c r="A611" s="361"/>
      <c r="B611" s="361"/>
      <c r="C611" s="362"/>
      <c r="D611" s="361"/>
      <c r="E611" s="361"/>
      <c r="F611" s="383"/>
      <c r="G611" s="384"/>
      <c r="H611" s="238"/>
      <c r="I611" s="238"/>
      <c r="J611" s="385"/>
      <c r="K611" s="238"/>
      <c r="L611" s="238"/>
      <c r="M611" s="238"/>
      <c r="N611" s="386"/>
      <c r="O611" s="387"/>
      <c r="P611" s="385"/>
      <c r="Q611" s="386"/>
      <c r="R611" s="384"/>
      <c r="S611" s="266"/>
      <c r="T611" s="266"/>
      <c r="U611" s="266"/>
      <c r="V611" s="267"/>
      <c r="W611" s="391"/>
      <c r="X611" s="392"/>
    </row>
    <row r="612" spans="1:24">
      <c r="A612" s="361"/>
      <c r="B612" s="361"/>
      <c r="C612" s="362"/>
      <c r="D612" s="361"/>
      <c r="E612" s="361"/>
      <c r="F612" s="383"/>
      <c r="G612" s="384"/>
      <c r="H612" s="238"/>
      <c r="I612" s="238"/>
      <c r="J612" s="385"/>
      <c r="K612" s="238"/>
      <c r="L612" s="238"/>
      <c r="M612" s="238"/>
      <c r="N612" s="386"/>
      <c r="O612" s="387"/>
      <c r="P612" s="385"/>
      <c r="Q612" s="386"/>
      <c r="R612" s="384"/>
      <c r="S612" s="266"/>
      <c r="T612" s="266"/>
      <c r="U612" s="266"/>
      <c r="V612" s="267"/>
      <c r="W612" s="391"/>
      <c r="X612" s="392"/>
    </row>
    <row r="613" spans="1:24">
      <c r="A613" s="361"/>
      <c r="B613" s="361"/>
      <c r="C613" s="362"/>
      <c r="D613" s="361"/>
      <c r="E613" s="361"/>
      <c r="F613" s="383"/>
      <c r="G613" s="384"/>
      <c r="H613" s="238"/>
      <c r="I613" s="238"/>
      <c r="J613" s="385"/>
      <c r="K613" s="238"/>
      <c r="L613" s="238"/>
      <c r="M613" s="238"/>
      <c r="N613" s="386"/>
      <c r="O613" s="387"/>
      <c r="P613" s="385"/>
      <c r="Q613" s="386"/>
      <c r="R613" s="384"/>
      <c r="S613" s="266"/>
      <c r="T613" s="266"/>
      <c r="U613" s="266"/>
      <c r="V613" s="267"/>
      <c r="W613" s="391"/>
      <c r="X613" s="392"/>
    </row>
    <row r="614" spans="1:24">
      <c r="A614" s="361"/>
      <c r="B614" s="361"/>
      <c r="C614" s="362"/>
      <c r="D614" s="361"/>
      <c r="E614" s="361"/>
      <c r="F614" s="383"/>
      <c r="G614" s="384"/>
      <c r="H614" s="238"/>
      <c r="I614" s="238"/>
      <c r="J614" s="385"/>
      <c r="K614" s="238"/>
      <c r="L614" s="238"/>
      <c r="M614" s="238"/>
      <c r="N614" s="386"/>
      <c r="O614" s="387"/>
      <c r="P614" s="385"/>
      <c r="Q614" s="386"/>
      <c r="R614" s="384"/>
      <c r="S614" s="266"/>
      <c r="T614" s="266"/>
      <c r="U614" s="266"/>
      <c r="V614" s="267"/>
      <c r="W614" s="391"/>
      <c r="X614" s="392"/>
    </row>
    <row r="615" spans="1:24">
      <c r="A615" s="361"/>
      <c r="B615" s="361"/>
      <c r="C615" s="362"/>
      <c r="D615" s="361"/>
      <c r="E615" s="361"/>
      <c r="F615" s="383"/>
      <c r="G615" s="384"/>
      <c r="H615" s="238"/>
      <c r="I615" s="238"/>
      <c r="J615" s="385"/>
      <c r="K615" s="238"/>
      <c r="L615" s="238"/>
      <c r="M615" s="238"/>
      <c r="N615" s="386"/>
      <c r="O615" s="387"/>
      <c r="P615" s="385"/>
      <c r="Q615" s="386"/>
      <c r="R615" s="384"/>
      <c r="S615" s="266"/>
      <c r="T615" s="266"/>
      <c r="U615" s="266"/>
      <c r="V615" s="267"/>
      <c r="W615" s="391"/>
      <c r="X615" s="392"/>
    </row>
    <row r="616" spans="1:24">
      <c r="A616" s="361"/>
      <c r="B616" s="361"/>
      <c r="C616" s="362"/>
      <c r="D616" s="361"/>
      <c r="E616" s="361"/>
      <c r="F616" s="383"/>
      <c r="G616" s="384"/>
      <c r="H616" s="238"/>
      <c r="I616" s="238"/>
      <c r="J616" s="385"/>
      <c r="K616" s="238"/>
      <c r="L616" s="238"/>
      <c r="M616" s="238"/>
      <c r="N616" s="386"/>
      <c r="O616" s="387"/>
      <c r="P616" s="385"/>
      <c r="Q616" s="386"/>
      <c r="R616" s="384"/>
      <c r="S616" s="266"/>
      <c r="T616" s="266"/>
      <c r="U616" s="266"/>
      <c r="V616" s="267"/>
      <c r="W616" s="391"/>
      <c r="X616" s="392"/>
    </row>
    <row r="617" spans="1:24">
      <c r="A617" s="361"/>
      <c r="B617" s="361"/>
      <c r="C617" s="362"/>
      <c r="D617" s="361"/>
      <c r="E617" s="361"/>
      <c r="F617" s="383"/>
      <c r="G617" s="384"/>
      <c r="H617" s="238"/>
      <c r="I617" s="238"/>
      <c r="J617" s="385"/>
      <c r="K617" s="238"/>
      <c r="L617" s="238"/>
      <c r="M617" s="238"/>
      <c r="N617" s="386"/>
      <c r="O617" s="387"/>
      <c r="P617" s="385"/>
      <c r="Q617" s="386"/>
      <c r="R617" s="384"/>
      <c r="S617" s="266"/>
      <c r="T617" s="266"/>
      <c r="U617" s="266"/>
      <c r="V617" s="267"/>
      <c r="W617" s="391"/>
      <c r="X617" s="392"/>
    </row>
    <row r="618" spans="1:24">
      <c r="A618" s="361"/>
      <c r="B618" s="361"/>
      <c r="C618" s="362"/>
      <c r="D618" s="361"/>
      <c r="E618" s="361"/>
      <c r="F618" s="383"/>
      <c r="G618" s="384"/>
      <c r="H618" s="238"/>
      <c r="I618" s="238"/>
      <c r="J618" s="385"/>
      <c r="K618" s="238"/>
      <c r="L618" s="238"/>
      <c r="M618" s="238"/>
      <c r="N618" s="386"/>
      <c r="O618" s="387"/>
      <c r="P618" s="385"/>
      <c r="Q618" s="386"/>
      <c r="R618" s="384"/>
      <c r="S618" s="266"/>
      <c r="T618" s="266"/>
      <c r="U618" s="266"/>
      <c r="V618" s="267"/>
      <c r="W618" s="391"/>
      <c r="X618" s="392"/>
    </row>
    <row r="619" spans="1:24">
      <c r="A619" s="361"/>
      <c r="B619" s="361"/>
      <c r="C619" s="362"/>
      <c r="D619" s="361"/>
      <c r="E619" s="361"/>
      <c r="F619" s="383"/>
      <c r="G619" s="384"/>
      <c r="H619" s="238"/>
      <c r="I619" s="238"/>
      <c r="J619" s="385"/>
      <c r="K619" s="238"/>
      <c r="L619" s="238"/>
      <c r="M619" s="238"/>
      <c r="N619" s="386"/>
      <c r="O619" s="387"/>
      <c r="P619" s="385"/>
      <c r="Q619" s="386"/>
      <c r="R619" s="384"/>
      <c r="S619" s="266"/>
      <c r="T619" s="266"/>
      <c r="U619" s="266"/>
      <c r="V619" s="267"/>
      <c r="W619" s="391"/>
      <c r="X619" s="392"/>
    </row>
    <row r="620" spans="1:24">
      <c r="A620" s="361"/>
      <c r="B620" s="361"/>
      <c r="C620" s="362"/>
      <c r="D620" s="361"/>
      <c r="E620" s="361"/>
      <c r="F620" s="383"/>
      <c r="G620" s="384"/>
      <c r="H620" s="238"/>
      <c r="I620" s="238"/>
      <c r="J620" s="385"/>
      <c r="K620" s="238"/>
      <c r="L620" s="238"/>
      <c r="M620" s="238"/>
      <c r="N620" s="386"/>
      <c r="O620" s="387"/>
      <c r="P620" s="385"/>
      <c r="Q620" s="386"/>
      <c r="R620" s="384"/>
      <c r="S620" s="266"/>
      <c r="T620" s="266"/>
      <c r="U620" s="266"/>
      <c r="V620" s="267"/>
      <c r="W620" s="391"/>
      <c r="X620" s="392"/>
    </row>
    <row r="621" spans="1:24">
      <c r="A621" s="361"/>
      <c r="B621" s="361"/>
      <c r="C621" s="362"/>
      <c r="D621" s="361"/>
      <c r="E621" s="361"/>
      <c r="F621" s="383"/>
      <c r="G621" s="384"/>
      <c r="H621" s="238"/>
      <c r="I621" s="238"/>
      <c r="J621" s="385"/>
      <c r="K621" s="238"/>
      <c r="L621" s="238"/>
      <c r="M621" s="238"/>
      <c r="N621" s="386"/>
      <c r="O621" s="387"/>
      <c r="P621" s="385"/>
      <c r="Q621" s="386"/>
      <c r="R621" s="384"/>
      <c r="S621" s="266"/>
      <c r="T621" s="266"/>
      <c r="U621" s="266"/>
      <c r="V621" s="267"/>
      <c r="W621" s="391"/>
      <c r="X621" s="392"/>
    </row>
    <row r="622" spans="1:24">
      <c r="A622" s="361"/>
      <c r="B622" s="361"/>
      <c r="C622" s="362"/>
      <c r="D622" s="361"/>
      <c r="E622" s="361"/>
      <c r="F622" s="383"/>
      <c r="G622" s="384"/>
      <c r="H622" s="238"/>
      <c r="I622" s="238"/>
      <c r="J622" s="385"/>
      <c r="K622" s="238"/>
      <c r="L622" s="238"/>
      <c r="M622" s="238"/>
      <c r="N622" s="386"/>
      <c r="O622" s="387"/>
      <c r="P622" s="385"/>
      <c r="Q622" s="386"/>
      <c r="R622" s="384"/>
      <c r="S622" s="266"/>
      <c r="T622" s="266"/>
      <c r="U622" s="266"/>
      <c r="V622" s="267"/>
      <c r="W622" s="391"/>
      <c r="X622" s="392"/>
    </row>
    <row r="623" spans="1:24">
      <c r="A623" s="361"/>
      <c r="B623" s="361"/>
      <c r="C623" s="362"/>
      <c r="D623" s="361"/>
      <c r="E623" s="361"/>
      <c r="F623" s="383"/>
      <c r="G623" s="384"/>
      <c r="H623" s="238"/>
      <c r="I623" s="238"/>
      <c r="J623" s="385"/>
      <c r="K623" s="238"/>
      <c r="L623" s="238"/>
      <c r="M623" s="238"/>
      <c r="N623" s="386"/>
      <c r="O623" s="387"/>
      <c r="P623" s="385"/>
      <c r="Q623" s="386"/>
      <c r="R623" s="384"/>
      <c r="S623" s="266"/>
      <c r="T623" s="266"/>
      <c r="U623" s="266"/>
      <c r="V623" s="267"/>
      <c r="W623" s="391"/>
      <c r="X623" s="392"/>
    </row>
    <row r="624" spans="1:24">
      <c r="A624" s="361"/>
      <c r="B624" s="361"/>
      <c r="C624" s="362"/>
      <c r="D624" s="361"/>
      <c r="E624" s="361"/>
      <c r="F624" s="383"/>
      <c r="G624" s="384"/>
      <c r="H624" s="238"/>
      <c r="I624" s="238"/>
      <c r="J624" s="385"/>
      <c r="K624" s="238"/>
      <c r="L624" s="238"/>
      <c r="M624" s="238"/>
      <c r="N624" s="386"/>
      <c r="O624" s="387"/>
      <c r="P624" s="385"/>
      <c r="Q624" s="386"/>
      <c r="R624" s="384"/>
      <c r="S624" s="266"/>
      <c r="T624" s="266"/>
      <c r="U624" s="266"/>
      <c r="V624" s="267"/>
      <c r="W624" s="391"/>
      <c r="X624" s="392"/>
    </row>
    <row r="625" spans="1:24">
      <c r="A625" s="361"/>
      <c r="B625" s="361"/>
      <c r="C625" s="362"/>
      <c r="D625" s="361"/>
      <c r="E625" s="361"/>
      <c r="F625" s="383"/>
      <c r="G625" s="384"/>
      <c r="H625" s="238"/>
      <c r="I625" s="238"/>
      <c r="J625" s="385"/>
      <c r="K625" s="238"/>
      <c r="L625" s="238"/>
      <c r="M625" s="238"/>
      <c r="N625" s="386"/>
      <c r="O625" s="387"/>
      <c r="P625" s="385"/>
      <c r="Q625" s="386"/>
      <c r="R625" s="384"/>
      <c r="S625" s="266"/>
      <c r="T625" s="266"/>
      <c r="U625" s="266"/>
      <c r="V625" s="267"/>
      <c r="W625" s="391"/>
      <c r="X625" s="392"/>
    </row>
    <row r="626" spans="1:24">
      <c r="A626" s="361"/>
      <c r="B626" s="361"/>
      <c r="C626" s="362"/>
      <c r="D626" s="361"/>
      <c r="E626" s="361"/>
      <c r="F626" s="383"/>
      <c r="G626" s="384"/>
      <c r="H626" s="238"/>
      <c r="I626" s="238"/>
      <c r="J626" s="385"/>
      <c r="K626" s="238"/>
      <c r="L626" s="238"/>
      <c r="M626" s="238"/>
      <c r="N626" s="386"/>
      <c r="O626" s="387"/>
      <c r="P626" s="385"/>
      <c r="Q626" s="386"/>
      <c r="R626" s="384"/>
      <c r="S626" s="266"/>
      <c r="T626" s="266"/>
      <c r="U626" s="266"/>
      <c r="V626" s="267"/>
      <c r="W626" s="391"/>
      <c r="X626" s="392"/>
    </row>
    <row r="627" spans="1:24">
      <c r="A627" s="361"/>
      <c r="B627" s="361"/>
      <c r="C627" s="362"/>
      <c r="D627" s="361"/>
      <c r="E627" s="361"/>
      <c r="F627" s="383"/>
      <c r="G627" s="384"/>
      <c r="H627" s="238"/>
      <c r="I627" s="238"/>
      <c r="J627" s="385"/>
      <c r="K627" s="238"/>
      <c r="L627" s="238"/>
      <c r="M627" s="238"/>
      <c r="N627" s="386"/>
      <c r="O627" s="387"/>
      <c r="P627" s="385"/>
      <c r="Q627" s="386"/>
      <c r="R627" s="384"/>
      <c r="S627" s="266"/>
      <c r="T627" s="266"/>
      <c r="U627" s="266"/>
      <c r="V627" s="267"/>
      <c r="W627" s="391"/>
      <c r="X627" s="392"/>
    </row>
    <row r="628" spans="1:24">
      <c r="A628" s="361"/>
      <c r="B628" s="361"/>
      <c r="C628" s="362"/>
      <c r="D628" s="361"/>
      <c r="E628" s="361"/>
      <c r="F628" s="383"/>
      <c r="G628" s="384"/>
      <c r="H628" s="238"/>
      <c r="I628" s="238"/>
      <c r="J628" s="385"/>
      <c r="K628" s="238"/>
      <c r="L628" s="238"/>
      <c r="M628" s="238"/>
      <c r="N628" s="386"/>
      <c r="O628" s="387"/>
      <c r="P628" s="385"/>
      <c r="Q628" s="386"/>
      <c r="R628" s="384"/>
      <c r="S628" s="266"/>
      <c r="T628" s="266"/>
      <c r="U628" s="266"/>
      <c r="V628" s="267"/>
      <c r="W628" s="391"/>
      <c r="X628" s="392"/>
    </row>
    <row r="629" spans="1:24">
      <c r="A629" s="361"/>
      <c r="B629" s="361"/>
      <c r="C629" s="362"/>
      <c r="D629" s="361"/>
      <c r="E629" s="361"/>
      <c r="F629" s="383"/>
      <c r="G629" s="384"/>
      <c r="H629" s="238"/>
      <c r="I629" s="238"/>
      <c r="J629" s="385"/>
      <c r="K629" s="238"/>
      <c r="L629" s="238"/>
      <c r="M629" s="238"/>
      <c r="N629" s="386"/>
      <c r="O629" s="387"/>
      <c r="P629" s="385"/>
      <c r="Q629" s="386"/>
      <c r="R629" s="384"/>
      <c r="S629" s="266"/>
      <c r="T629" s="266"/>
      <c r="U629" s="266"/>
      <c r="V629" s="267"/>
      <c r="W629" s="391"/>
      <c r="X629" s="392"/>
    </row>
    <row r="630" spans="1:24">
      <c r="A630" s="361"/>
      <c r="B630" s="361"/>
      <c r="C630" s="362"/>
      <c r="D630" s="361"/>
      <c r="E630" s="361"/>
      <c r="F630" s="383"/>
      <c r="G630" s="384"/>
      <c r="H630" s="238"/>
      <c r="I630" s="238"/>
      <c r="J630" s="385"/>
      <c r="K630" s="238"/>
      <c r="L630" s="238"/>
      <c r="M630" s="238"/>
      <c r="N630" s="386"/>
      <c r="O630" s="387"/>
      <c r="P630" s="385"/>
      <c r="Q630" s="386"/>
      <c r="R630" s="384"/>
      <c r="S630" s="266"/>
      <c r="T630" s="266"/>
      <c r="U630" s="266"/>
      <c r="V630" s="267"/>
      <c r="W630" s="391"/>
      <c r="X630" s="392"/>
    </row>
    <row r="631" spans="1:24">
      <c r="A631" s="361"/>
      <c r="B631" s="361"/>
      <c r="C631" s="362"/>
      <c r="D631" s="361"/>
      <c r="E631" s="361"/>
      <c r="F631" s="383"/>
      <c r="G631" s="384"/>
      <c r="H631" s="238"/>
      <c r="I631" s="238"/>
      <c r="J631" s="385"/>
      <c r="K631" s="238"/>
      <c r="L631" s="238"/>
      <c r="M631" s="238"/>
      <c r="N631" s="386"/>
      <c r="O631" s="387"/>
      <c r="P631" s="385"/>
      <c r="Q631" s="386"/>
      <c r="R631" s="384"/>
      <c r="S631" s="266"/>
      <c r="T631" s="266"/>
      <c r="U631" s="266"/>
      <c r="V631" s="267"/>
      <c r="W631" s="391"/>
      <c r="X631" s="392"/>
    </row>
    <row r="632" spans="1:24">
      <c r="A632" s="361"/>
      <c r="B632" s="361"/>
      <c r="C632" s="362"/>
      <c r="D632" s="361"/>
      <c r="E632" s="361"/>
      <c r="F632" s="383"/>
      <c r="G632" s="384"/>
      <c r="H632" s="238"/>
      <c r="I632" s="238"/>
      <c r="J632" s="385"/>
      <c r="K632" s="238"/>
      <c r="L632" s="238"/>
      <c r="M632" s="238"/>
      <c r="N632" s="386"/>
      <c r="O632" s="387"/>
      <c r="P632" s="385"/>
      <c r="Q632" s="386"/>
      <c r="R632" s="384"/>
      <c r="S632" s="266"/>
      <c r="T632" s="266"/>
      <c r="U632" s="266"/>
      <c r="V632" s="267"/>
      <c r="W632" s="391"/>
      <c r="X632" s="392"/>
    </row>
    <row r="633" spans="1:24">
      <c r="A633" s="361"/>
      <c r="B633" s="361"/>
      <c r="C633" s="362"/>
      <c r="D633" s="361"/>
      <c r="E633" s="361"/>
      <c r="F633" s="383"/>
      <c r="G633" s="384"/>
      <c r="H633" s="238"/>
      <c r="I633" s="238"/>
      <c r="J633" s="385"/>
      <c r="K633" s="238"/>
      <c r="L633" s="238"/>
      <c r="M633" s="238"/>
      <c r="N633" s="386"/>
      <c r="O633" s="387"/>
      <c r="P633" s="385"/>
      <c r="Q633" s="386"/>
      <c r="R633" s="384"/>
      <c r="S633" s="266"/>
      <c r="T633" s="266"/>
      <c r="U633" s="266"/>
      <c r="V633" s="267"/>
      <c r="W633" s="391"/>
      <c r="X633" s="392"/>
    </row>
    <row r="634" spans="1:24">
      <c r="A634" s="361"/>
      <c r="B634" s="361"/>
      <c r="C634" s="362"/>
      <c r="D634" s="361"/>
      <c r="E634" s="361"/>
      <c r="F634" s="383"/>
      <c r="G634" s="384"/>
      <c r="H634" s="238"/>
      <c r="I634" s="238"/>
      <c r="J634" s="385"/>
      <c r="K634" s="238"/>
      <c r="L634" s="238"/>
      <c r="M634" s="238"/>
      <c r="N634" s="386"/>
      <c r="O634" s="387"/>
      <c r="P634" s="385"/>
      <c r="Q634" s="386"/>
      <c r="R634" s="384"/>
      <c r="S634" s="266"/>
      <c r="T634" s="266"/>
      <c r="U634" s="266"/>
      <c r="V634" s="267"/>
      <c r="W634" s="391"/>
      <c r="X634" s="392"/>
    </row>
    <row r="635" spans="1:24">
      <c r="A635" s="361"/>
      <c r="B635" s="361"/>
      <c r="C635" s="362"/>
      <c r="D635" s="361"/>
      <c r="E635" s="361"/>
      <c r="F635" s="383"/>
      <c r="G635" s="384"/>
      <c r="H635" s="238"/>
      <c r="I635" s="238"/>
      <c r="J635" s="385"/>
      <c r="K635" s="238"/>
      <c r="L635" s="238"/>
      <c r="M635" s="238"/>
      <c r="N635" s="386"/>
      <c r="O635" s="387"/>
      <c r="P635" s="385"/>
      <c r="Q635" s="386"/>
      <c r="R635" s="384"/>
      <c r="S635" s="266"/>
      <c r="T635" s="266"/>
      <c r="U635" s="266"/>
      <c r="V635" s="267"/>
      <c r="W635" s="391"/>
      <c r="X635" s="392"/>
    </row>
    <row r="636" spans="1:24">
      <c r="A636" s="361"/>
      <c r="B636" s="361"/>
      <c r="C636" s="362"/>
      <c r="D636" s="361"/>
      <c r="E636" s="361"/>
      <c r="F636" s="383"/>
      <c r="G636" s="384"/>
      <c r="H636" s="238"/>
      <c r="I636" s="238"/>
      <c r="J636" s="385"/>
      <c r="K636" s="238"/>
      <c r="L636" s="238"/>
      <c r="M636" s="238"/>
      <c r="N636" s="386"/>
      <c r="O636" s="387"/>
      <c r="P636" s="385"/>
      <c r="Q636" s="386"/>
      <c r="R636" s="384"/>
      <c r="S636" s="266"/>
      <c r="T636" s="266"/>
      <c r="U636" s="266"/>
      <c r="V636" s="267"/>
      <c r="W636" s="391"/>
      <c r="X636" s="392"/>
    </row>
    <row r="637" spans="1:24">
      <c r="A637" s="361"/>
      <c r="B637" s="361"/>
      <c r="C637" s="362"/>
      <c r="D637" s="361"/>
      <c r="E637" s="361"/>
      <c r="F637" s="383"/>
      <c r="G637" s="384"/>
      <c r="H637" s="238"/>
      <c r="I637" s="238"/>
      <c r="J637" s="385"/>
      <c r="K637" s="238"/>
      <c r="L637" s="238"/>
      <c r="M637" s="238"/>
      <c r="N637" s="386"/>
      <c r="O637" s="387"/>
      <c r="P637" s="385"/>
      <c r="Q637" s="386"/>
      <c r="R637" s="384"/>
      <c r="S637" s="266"/>
      <c r="T637" s="266"/>
      <c r="U637" s="266"/>
      <c r="V637" s="267"/>
      <c r="W637" s="391"/>
      <c r="X637" s="392"/>
    </row>
    <row r="638" spans="1:24">
      <c r="A638" s="361"/>
      <c r="B638" s="361"/>
      <c r="C638" s="362"/>
      <c r="D638" s="361"/>
      <c r="E638" s="361"/>
      <c r="F638" s="383"/>
      <c r="G638" s="384"/>
      <c r="H638" s="238"/>
      <c r="I638" s="238"/>
      <c r="J638" s="385"/>
      <c r="K638" s="238"/>
      <c r="L638" s="238"/>
      <c r="M638" s="238"/>
      <c r="N638" s="386"/>
      <c r="O638" s="387"/>
      <c r="P638" s="385"/>
      <c r="Q638" s="386"/>
      <c r="R638" s="384"/>
      <c r="S638" s="266"/>
      <c r="T638" s="266"/>
      <c r="U638" s="266"/>
      <c r="V638" s="267"/>
      <c r="W638" s="391"/>
      <c r="X638" s="392"/>
    </row>
    <row r="639" spans="1:24">
      <c r="A639" s="361"/>
      <c r="B639" s="361"/>
      <c r="C639" s="362"/>
      <c r="D639" s="361"/>
      <c r="E639" s="361"/>
      <c r="F639" s="383"/>
      <c r="G639" s="384"/>
      <c r="H639" s="238"/>
      <c r="I639" s="238"/>
      <c r="J639" s="385"/>
      <c r="K639" s="238"/>
      <c r="L639" s="238"/>
      <c r="M639" s="238"/>
      <c r="N639" s="386"/>
      <c r="O639" s="387"/>
      <c r="P639" s="385"/>
      <c r="Q639" s="386"/>
      <c r="R639" s="384"/>
      <c r="S639" s="266"/>
      <c r="T639" s="266"/>
      <c r="U639" s="266"/>
      <c r="V639" s="267"/>
      <c r="W639" s="391"/>
      <c r="X639" s="392"/>
    </row>
    <row r="640" spans="1:24">
      <c r="A640" s="361"/>
      <c r="B640" s="361"/>
      <c r="C640" s="362"/>
      <c r="D640" s="361"/>
      <c r="E640" s="361"/>
      <c r="F640" s="383"/>
      <c r="G640" s="384"/>
      <c r="H640" s="238"/>
      <c r="I640" s="238"/>
      <c r="J640" s="385"/>
      <c r="K640" s="238"/>
      <c r="L640" s="238"/>
      <c r="M640" s="238"/>
      <c r="N640" s="386"/>
      <c r="O640" s="387"/>
      <c r="P640" s="385"/>
      <c r="Q640" s="386"/>
      <c r="R640" s="384"/>
      <c r="S640" s="266"/>
      <c r="T640" s="266"/>
      <c r="U640" s="266"/>
      <c r="V640" s="267"/>
      <c r="W640" s="391"/>
      <c r="X640" s="392"/>
    </row>
    <row r="641" spans="1:24">
      <c r="A641" s="361"/>
      <c r="B641" s="361"/>
      <c r="C641" s="362"/>
      <c r="D641" s="361"/>
      <c r="E641" s="361"/>
      <c r="F641" s="383"/>
      <c r="G641" s="384"/>
      <c r="H641" s="238"/>
      <c r="I641" s="238"/>
      <c r="J641" s="385"/>
      <c r="K641" s="238"/>
      <c r="L641" s="238"/>
      <c r="M641" s="238"/>
      <c r="N641" s="386"/>
      <c r="O641" s="387"/>
      <c r="P641" s="385"/>
      <c r="Q641" s="386"/>
      <c r="R641" s="384"/>
      <c r="S641" s="266"/>
      <c r="T641" s="266"/>
      <c r="U641" s="266"/>
      <c r="V641" s="267"/>
      <c r="W641" s="391"/>
      <c r="X641" s="392"/>
    </row>
    <row r="642" spans="1:24">
      <c r="A642" s="361"/>
      <c r="B642" s="361"/>
      <c r="C642" s="362"/>
      <c r="D642" s="361"/>
      <c r="E642" s="361"/>
      <c r="F642" s="383"/>
      <c r="G642" s="384"/>
      <c r="H642" s="238"/>
      <c r="I642" s="238"/>
      <c r="J642" s="385"/>
      <c r="K642" s="238"/>
      <c r="L642" s="238"/>
      <c r="M642" s="238"/>
      <c r="N642" s="386"/>
      <c r="O642" s="387"/>
      <c r="P642" s="385"/>
      <c r="Q642" s="386"/>
      <c r="R642" s="384"/>
      <c r="S642" s="266"/>
      <c r="T642" s="266"/>
      <c r="U642" s="266"/>
      <c r="V642" s="267"/>
      <c r="W642" s="391"/>
      <c r="X642" s="392"/>
    </row>
    <row r="643" spans="1:24">
      <c r="A643" s="361"/>
      <c r="B643" s="361"/>
      <c r="C643" s="362"/>
      <c r="D643" s="361"/>
      <c r="E643" s="361"/>
      <c r="F643" s="383"/>
      <c r="G643" s="384"/>
      <c r="H643" s="238"/>
      <c r="I643" s="238"/>
      <c r="J643" s="385"/>
      <c r="K643" s="238"/>
      <c r="L643" s="238"/>
      <c r="M643" s="238"/>
      <c r="N643" s="386"/>
      <c r="O643" s="387"/>
      <c r="P643" s="385"/>
      <c r="Q643" s="386"/>
      <c r="R643" s="384"/>
      <c r="S643" s="266"/>
      <c r="T643" s="266"/>
      <c r="U643" s="266"/>
      <c r="V643" s="267"/>
      <c r="W643" s="391"/>
      <c r="X643" s="392"/>
    </row>
    <row r="644" spans="1:24">
      <c r="A644" s="361"/>
      <c r="B644" s="361"/>
      <c r="C644" s="362"/>
      <c r="D644" s="361"/>
      <c r="E644" s="361"/>
      <c r="F644" s="383"/>
      <c r="G644" s="384"/>
      <c r="H644" s="238"/>
      <c r="I644" s="238"/>
      <c r="J644" s="385"/>
      <c r="K644" s="238"/>
      <c r="L644" s="238"/>
      <c r="M644" s="238"/>
      <c r="N644" s="386"/>
      <c r="O644" s="387"/>
      <c r="P644" s="385"/>
      <c r="Q644" s="386"/>
      <c r="R644" s="384"/>
      <c r="S644" s="266"/>
      <c r="T644" s="266"/>
      <c r="U644" s="266"/>
      <c r="V644" s="267"/>
      <c r="W644" s="391"/>
      <c r="X644" s="392"/>
    </row>
    <row r="645" spans="1:24">
      <c r="A645" s="361"/>
      <c r="B645" s="361"/>
      <c r="C645" s="362"/>
      <c r="D645" s="361"/>
      <c r="E645" s="361"/>
      <c r="F645" s="383"/>
      <c r="G645" s="384"/>
      <c r="H645" s="238"/>
      <c r="I645" s="238"/>
      <c r="J645" s="385"/>
      <c r="K645" s="238"/>
      <c r="L645" s="238"/>
      <c r="M645" s="238"/>
      <c r="N645" s="386"/>
      <c r="O645" s="387"/>
      <c r="P645" s="385"/>
      <c r="Q645" s="386"/>
      <c r="R645" s="384"/>
      <c r="S645" s="266"/>
      <c r="T645" s="266"/>
      <c r="U645" s="266"/>
      <c r="V645" s="267"/>
      <c r="W645" s="391"/>
      <c r="X645" s="392"/>
    </row>
    <row r="646" spans="1:24">
      <c r="A646" s="361"/>
      <c r="B646" s="361"/>
      <c r="C646" s="362"/>
      <c r="D646" s="361"/>
      <c r="E646" s="361"/>
      <c r="F646" s="383"/>
      <c r="G646" s="384"/>
      <c r="H646" s="238"/>
      <c r="I646" s="238"/>
      <c r="J646" s="385"/>
      <c r="K646" s="238"/>
      <c r="L646" s="238"/>
      <c r="M646" s="238"/>
      <c r="N646" s="386"/>
      <c r="O646" s="387"/>
      <c r="P646" s="385"/>
      <c r="Q646" s="386"/>
      <c r="R646" s="384"/>
      <c r="S646" s="266"/>
      <c r="T646" s="266"/>
      <c r="U646" s="266"/>
      <c r="V646" s="267"/>
      <c r="W646" s="391"/>
      <c r="X646" s="392"/>
    </row>
    <row r="647" spans="1:24">
      <c r="A647" s="361"/>
      <c r="B647" s="361"/>
      <c r="C647" s="362"/>
      <c r="D647" s="361"/>
      <c r="E647" s="361"/>
      <c r="F647" s="383"/>
      <c r="G647" s="384"/>
      <c r="H647" s="238"/>
      <c r="I647" s="238"/>
      <c r="J647" s="385"/>
      <c r="K647" s="238"/>
      <c r="L647" s="238"/>
      <c r="M647" s="238"/>
      <c r="N647" s="386"/>
      <c r="O647" s="387"/>
      <c r="P647" s="385"/>
      <c r="Q647" s="386"/>
      <c r="R647" s="384"/>
      <c r="S647" s="266"/>
      <c r="T647" s="266"/>
      <c r="U647" s="266"/>
      <c r="V647" s="267"/>
      <c r="W647" s="391"/>
      <c r="X647" s="392"/>
    </row>
    <row r="648" spans="1:24">
      <c r="A648" s="361"/>
      <c r="B648" s="361"/>
      <c r="C648" s="362"/>
      <c r="D648" s="361"/>
      <c r="E648" s="361"/>
      <c r="F648" s="383"/>
      <c r="G648" s="384"/>
      <c r="H648" s="238"/>
      <c r="I648" s="238"/>
      <c r="J648" s="385"/>
      <c r="K648" s="238"/>
      <c r="L648" s="238"/>
      <c r="M648" s="238"/>
      <c r="N648" s="386"/>
      <c r="O648" s="387"/>
      <c r="P648" s="385"/>
      <c r="Q648" s="386"/>
      <c r="R648" s="384"/>
      <c r="S648" s="266"/>
      <c r="T648" s="266"/>
      <c r="U648" s="266"/>
      <c r="V648" s="267"/>
      <c r="W648" s="391"/>
      <c r="X648" s="392"/>
    </row>
    <row r="649" spans="1:24">
      <c r="A649" s="361"/>
      <c r="B649" s="361"/>
      <c r="C649" s="362"/>
      <c r="D649" s="361"/>
      <c r="E649" s="361"/>
      <c r="F649" s="383"/>
      <c r="G649" s="384"/>
      <c r="H649" s="238"/>
      <c r="I649" s="238"/>
      <c r="J649" s="385"/>
      <c r="K649" s="238"/>
      <c r="L649" s="238"/>
      <c r="M649" s="238"/>
      <c r="N649" s="386"/>
      <c r="O649" s="387"/>
      <c r="P649" s="385"/>
      <c r="Q649" s="386"/>
      <c r="R649" s="384"/>
      <c r="S649" s="266"/>
      <c r="T649" s="266"/>
      <c r="U649" s="266"/>
      <c r="V649" s="267"/>
      <c r="W649" s="391"/>
      <c r="X649" s="392"/>
    </row>
    <row r="650" spans="1:24">
      <c r="A650" s="361"/>
      <c r="B650" s="361"/>
      <c r="C650" s="362"/>
      <c r="D650" s="361"/>
      <c r="E650" s="361"/>
      <c r="F650" s="383"/>
      <c r="G650" s="384"/>
      <c r="H650" s="238"/>
      <c r="I650" s="238"/>
      <c r="J650" s="385"/>
      <c r="K650" s="238"/>
      <c r="L650" s="238"/>
      <c r="M650" s="238"/>
      <c r="N650" s="386"/>
      <c r="O650" s="387"/>
      <c r="P650" s="385"/>
      <c r="Q650" s="386"/>
      <c r="R650" s="384"/>
      <c r="S650" s="266"/>
      <c r="T650" s="266"/>
      <c r="U650" s="266"/>
      <c r="V650" s="267"/>
      <c r="W650" s="391"/>
      <c r="X650" s="392"/>
    </row>
    <row r="651" spans="1:24">
      <c r="A651" s="361"/>
      <c r="B651" s="361"/>
      <c r="C651" s="362"/>
      <c r="D651" s="361"/>
      <c r="E651" s="361"/>
      <c r="F651" s="383"/>
      <c r="G651" s="384"/>
      <c r="H651" s="238"/>
      <c r="I651" s="238"/>
      <c r="J651" s="385"/>
      <c r="K651" s="238"/>
      <c r="L651" s="238"/>
      <c r="M651" s="238"/>
      <c r="N651" s="386"/>
      <c r="O651" s="387"/>
      <c r="P651" s="385"/>
      <c r="Q651" s="386"/>
      <c r="R651" s="384"/>
      <c r="S651" s="266"/>
      <c r="T651" s="266"/>
      <c r="U651" s="266"/>
      <c r="V651" s="267"/>
      <c r="W651" s="391"/>
      <c r="X651" s="392"/>
    </row>
    <row r="652" spans="1:24">
      <c r="A652" s="361"/>
      <c r="B652" s="361"/>
      <c r="C652" s="362"/>
      <c r="D652" s="361"/>
      <c r="E652" s="361"/>
      <c r="F652" s="383"/>
      <c r="G652" s="384"/>
      <c r="H652" s="238"/>
      <c r="I652" s="238"/>
      <c r="J652" s="385"/>
      <c r="K652" s="238"/>
      <c r="L652" s="238"/>
      <c r="M652" s="238"/>
      <c r="N652" s="386"/>
      <c r="O652" s="387"/>
      <c r="P652" s="385"/>
      <c r="Q652" s="386"/>
      <c r="R652" s="384"/>
      <c r="S652" s="266"/>
      <c r="T652" s="266"/>
      <c r="U652" s="266"/>
      <c r="V652" s="267"/>
      <c r="W652" s="391"/>
      <c r="X652" s="392"/>
    </row>
    <row r="653" spans="1:24">
      <c r="A653" s="361"/>
      <c r="B653" s="361"/>
      <c r="C653" s="362"/>
      <c r="D653" s="361"/>
      <c r="E653" s="361"/>
      <c r="F653" s="383"/>
      <c r="G653" s="384"/>
      <c r="H653" s="238"/>
      <c r="I653" s="238"/>
      <c r="J653" s="385"/>
      <c r="K653" s="238"/>
      <c r="L653" s="238"/>
      <c r="M653" s="238"/>
      <c r="N653" s="386"/>
      <c r="O653" s="387"/>
      <c r="P653" s="385"/>
      <c r="Q653" s="386"/>
      <c r="R653" s="384"/>
      <c r="S653" s="266"/>
      <c r="T653" s="266"/>
      <c r="U653" s="266"/>
      <c r="V653" s="267"/>
      <c r="W653" s="391"/>
      <c r="X653" s="392"/>
    </row>
    <row r="654" spans="1:24">
      <c r="A654" s="361"/>
      <c r="B654" s="361"/>
      <c r="C654" s="362"/>
      <c r="D654" s="361"/>
      <c r="E654" s="361"/>
      <c r="F654" s="383"/>
      <c r="G654" s="384"/>
      <c r="H654" s="238"/>
      <c r="I654" s="238"/>
      <c r="J654" s="385"/>
      <c r="K654" s="238"/>
      <c r="L654" s="238"/>
      <c r="M654" s="238"/>
      <c r="N654" s="386"/>
      <c r="O654" s="387"/>
      <c r="P654" s="385"/>
      <c r="Q654" s="386"/>
      <c r="R654" s="384"/>
      <c r="S654" s="266"/>
      <c r="T654" s="266"/>
      <c r="U654" s="266"/>
      <c r="V654" s="267"/>
      <c r="W654" s="391"/>
      <c r="X654" s="392"/>
    </row>
    <row r="655" spans="1:24">
      <c r="A655" s="361"/>
      <c r="B655" s="361"/>
      <c r="C655" s="362"/>
      <c r="D655" s="361"/>
      <c r="E655" s="361"/>
      <c r="F655" s="383"/>
      <c r="G655" s="384"/>
      <c r="H655" s="238"/>
      <c r="I655" s="238"/>
      <c r="J655" s="385"/>
      <c r="K655" s="238"/>
      <c r="L655" s="238"/>
      <c r="M655" s="238"/>
      <c r="N655" s="386"/>
      <c r="O655" s="387"/>
      <c r="P655" s="385"/>
      <c r="Q655" s="386"/>
      <c r="R655" s="384"/>
      <c r="S655" s="266"/>
      <c r="T655" s="266"/>
      <c r="U655" s="266"/>
      <c r="V655" s="267"/>
      <c r="W655" s="391"/>
      <c r="X655" s="392"/>
    </row>
    <row r="656" spans="1:24">
      <c r="A656" s="361"/>
      <c r="B656" s="361"/>
      <c r="C656" s="362"/>
      <c r="D656" s="361"/>
      <c r="E656" s="361"/>
      <c r="F656" s="383"/>
      <c r="G656" s="384"/>
      <c r="H656" s="238"/>
      <c r="I656" s="238"/>
      <c r="J656" s="385"/>
      <c r="K656" s="238"/>
      <c r="L656" s="238"/>
      <c r="M656" s="238"/>
      <c r="N656" s="386"/>
      <c r="O656" s="387"/>
      <c r="P656" s="385"/>
      <c r="Q656" s="386"/>
      <c r="R656" s="384"/>
      <c r="S656" s="266"/>
      <c r="T656" s="266"/>
      <c r="U656" s="266"/>
      <c r="V656" s="267"/>
      <c r="W656" s="391"/>
      <c r="X656" s="392"/>
    </row>
    <row r="657" spans="1:24">
      <c r="A657" s="361"/>
      <c r="B657" s="361"/>
      <c r="C657" s="362"/>
      <c r="D657" s="361"/>
      <c r="E657" s="361"/>
      <c r="F657" s="383"/>
      <c r="G657" s="384"/>
      <c r="H657" s="238"/>
      <c r="I657" s="238"/>
      <c r="J657" s="385"/>
      <c r="K657" s="238"/>
      <c r="L657" s="238"/>
      <c r="M657" s="238"/>
      <c r="N657" s="386"/>
      <c r="O657" s="387"/>
      <c r="P657" s="385"/>
      <c r="Q657" s="386"/>
      <c r="R657" s="384"/>
      <c r="S657" s="266"/>
      <c r="T657" s="266"/>
      <c r="U657" s="266"/>
      <c r="V657" s="267"/>
      <c r="W657" s="391"/>
      <c r="X657" s="392"/>
    </row>
    <row r="658" spans="1:24">
      <c r="A658" s="361"/>
      <c r="B658" s="361"/>
      <c r="C658" s="362"/>
      <c r="D658" s="361"/>
      <c r="E658" s="361"/>
      <c r="F658" s="383"/>
      <c r="G658" s="384"/>
      <c r="H658" s="238"/>
      <c r="I658" s="238"/>
      <c r="J658" s="385"/>
      <c r="K658" s="238"/>
      <c r="L658" s="238"/>
      <c r="M658" s="238"/>
      <c r="N658" s="386"/>
      <c r="O658" s="387"/>
      <c r="P658" s="385"/>
      <c r="Q658" s="386"/>
      <c r="R658" s="384"/>
      <c r="S658" s="266"/>
      <c r="T658" s="266"/>
      <c r="U658" s="266"/>
      <c r="V658" s="267"/>
      <c r="W658" s="391"/>
      <c r="X658" s="392"/>
    </row>
    <row r="659" spans="1:24">
      <c r="A659" s="361"/>
      <c r="B659" s="361"/>
      <c r="C659" s="362"/>
      <c r="D659" s="361"/>
      <c r="E659" s="361"/>
      <c r="F659" s="383"/>
      <c r="G659" s="384"/>
      <c r="H659" s="238"/>
      <c r="I659" s="238"/>
      <c r="J659" s="385"/>
      <c r="K659" s="238"/>
      <c r="L659" s="238"/>
      <c r="M659" s="238"/>
      <c r="N659" s="386"/>
      <c r="O659" s="387"/>
      <c r="P659" s="385"/>
      <c r="Q659" s="386"/>
      <c r="R659" s="384"/>
      <c r="S659" s="266"/>
      <c r="T659" s="266"/>
      <c r="U659" s="266"/>
      <c r="V659" s="267"/>
      <c r="W659" s="391"/>
      <c r="X659" s="392"/>
    </row>
    <row r="660" spans="1:24">
      <c r="A660" s="361"/>
      <c r="B660" s="361"/>
      <c r="C660" s="362"/>
      <c r="D660" s="361"/>
      <c r="E660" s="361"/>
      <c r="F660" s="383"/>
      <c r="G660" s="384"/>
      <c r="H660" s="238"/>
      <c r="I660" s="238"/>
      <c r="J660" s="385"/>
      <c r="K660" s="238"/>
      <c r="L660" s="238"/>
      <c r="M660" s="238"/>
      <c r="N660" s="386"/>
      <c r="O660" s="387"/>
      <c r="P660" s="385"/>
      <c r="Q660" s="386"/>
      <c r="R660" s="384"/>
      <c r="S660" s="266"/>
      <c r="T660" s="266"/>
      <c r="U660" s="266"/>
      <c r="V660" s="267"/>
      <c r="W660" s="391"/>
      <c r="X660" s="392"/>
    </row>
    <row r="661" spans="1:24">
      <c r="A661" s="361"/>
      <c r="B661" s="361"/>
      <c r="C661" s="362"/>
      <c r="D661" s="361"/>
      <c r="E661" s="361"/>
      <c r="F661" s="383"/>
      <c r="G661" s="384"/>
      <c r="H661" s="238"/>
      <c r="I661" s="238"/>
      <c r="J661" s="385"/>
      <c r="K661" s="238"/>
      <c r="L661" s="238"/>
      <c r="M661" s="238"/>
      <c r="N661" s="386"/>
      <c r="O661" s="387"/>
      <c r="P661" s="385"/>
      <c r="Q661" s="386"/>
      <c r="R661" s="384"/>
      <c r="S661" s="266"/>
      <c r="T661" s="266"/>
      <c r="U661" s="266"/>
      <c r="V661" s="267"/>
      <c r="W661" s="391"/>
      <c r="X661" s="392"/>
    </row>
    <row r="662" spans="1:24">
      <c r="A662" s="361"/>
      <c r="B662" s="361"/>
      <c r="C662" s="362"/>
      <c r="D662" s="361"/>
      <c r="E662" s="361"/>
      <c r="F662" s="383"/>
      <c r="G662" s="384"/>
      <c r="H662" s="238"/>
      <c r="I662" s="238"/>
      <c r="J662" s="385"/>
      <c r="K662" s="238"/>
      <c r="L662" s="238"/>
      <c r="M662" s="238"/>
      <c r="N662" s="386"/>
      <c r="O662" s="387"/>
      <c r="P662" s="385"/>
      <c r="Q662" s="386"/>
      <c r="R662" s="384"/>
      <c r="S662" s="266"/>
      <c r="T662" s="266"/>
      <c r="U662" s="266"/>
      <c r="V662" s="267"/>
      <c r="W662" s="391"/>
      <c r="X662" s="392"/>
    </row>
    <row r="663" spans="1:24">
      <c r="A663" s="361"/>
      <c r="B663" s="361"/>
      <c r="C663" s="362"/>
      <c r="D663" s="361"/>
      <c r="E663" s="361"/>
      <c r="F663" s="383"/>
      <c r="G663" s="384"/>
      <c r="H663" s="238"/>
      <c r="I663" s="238"/>
      <c r="J663" s="385"/>
      <c r="K663" s="238"/>
      <c r="L663" s="238"/>
      <c r="M663" s="238"/>
      <c r="N663" s="386"/>
      <c r="O663" s="387"/>
      <c r="P663" s="385"/>
      <c r="Q663" s="386"/>
      <c r="R663" s="384"/>
      <c r="S663" s="266"/>
      <c r="T663" s="266"/>
      <c r="U663" s="266"/>
      <c r="V663" s="267"/>
      <c r="W663" s="391"/>
      <c r="X663" s="392"/>
    </row>
    <row r="664" spans="1:24">
      <c r="A664" s="361"/>
      <c r="B664" s="361"/>
      <c r="C664" s="362"/>
      <c r="D664" s="361"/>
      <c r="E664" s="361"/>
      <c r="F664" s="383"/>
      <c r="G664" s="384"/>
      <c r="H664" s="238"/>
      <c r="I664" s="238"/>
      <c r="J664" s="385"/>
      <c r="K664" s="238"/>
      <c r="L664" s="238"/>
      <c r="M664" s="238"/>
      <c r="N664" s="386"/>
      <c r="O664" s="387"/>
      <c r="P664" s="385"/>
      <c r="Q664" s="386"/>
      <c r="R664" s="384"/>
      <c r="S664" s="266"/>
      <c r="T664" s="266"/>
      <c r="U664" s="266"/>
      <c r="V664" s="267"/>
      <c r="W664" s="391"/>
      <c r="X664" s="392"/>
    </row>
    <row r="665" spans="1:24">
      <c r="A665" s="361"/>
      <c r="B665" s="361"/>
      <c r="C665" s="362"/>
      <c r="D665" s="361"/>
      <c r="E665" s="361"/>
      <c r="F665" s="383"/>
      <c r="G665" s="384"/>
      <c r="H665" s="238"/>
      <c r="I665" s="238"/>
      <c r="J665" s="385"/>
      <c r="K665" s="238"/>
      <c r="L665" s="238"/>
      <c r="M665" s="238"/>
      <c r="N665" s="386"/>
      <c r="O665" s="387"/>
      <c r="P665" s="385"/>
      <c r="Q665" s="386"/>
      <c r="R665" s="384"/>
      <c r="S665" s="266"/>
      <c r="T665" s="266"/>
      <c r="U665" s="266"/>
      <c r="V665" s="267"/>
      <c r="W665" s="391"/>
      <c r="X665" s="392"/>
    </row>
    <row r="666" spans="1:24">
      <c r="A666" s="361"/>
      <c r="B666" s="361"/>
      <c r="C666" s="362"/>
      <c r="D666" s="361"/>
      <c r="E666" s="361"/>
      <c r="F666" s="383"/>
      <c r="G666" s="384"/>
      <c r="H666" s="238"/>
      <c r="I666" s="238"/>
      <c r="J666" s="385"/>
      <c r="K666" s="238"/>
      <c r="L666" s="238"/>
      <c r="M666" s="238"/>
      <c r="N666" s="386"/>
      <c r="O666" s="387"/>
      <c r="P666" s="385"/>
      <c r="Q666" s="386"/>
      <c r="R666" s="384"/>
      <c r="S666" s="266"/>
      <c r="T666" s="266"/>
      <c r="U666" s="266"/>
      <c r="V666" s="267"/>
      <c r="W666" s="391"/>
      <c r="X666" s="392"/>
    </row>
    <row r="667" spans="1:24">
      <c r="A667" s="361"/>
      <c r="B667" s="361"/>
      <c r="C667" s="362"/>
      <c r="D667" s="361"/>
      <c r="E667" s="361"/>
      <c r="F667" s="383"/>
      <c r="G667" s="384"/>
      <c r="H667" s="238"/>
      <c r="I667" s="238"/>
      <c r="J667" s="385"/>
      <c r="K667" s="238"/>
      <c r="L667" s="238"/>
      <c r="M667" s="238"/>
      <c r="N667" s="386"/>
      <c r="O667" s="387"/>
      <c r="P667" s="385"/>
      <c r="Q667" s="386"/>
      <c r="R667" s="384"/>
      <c r="S667" s="266"/>
      <c r="T667" s="266"/>
      <c r="U667" s="266"/>
      <c r="V667" s="267"/>
      <c r="W667" s="391"/>
      <c r="X667" s="392"/>
    </row>
    <row r="668" spans="1:24">
      <c r="A668" s="361"/>
      <c r="B668" s="361"/>
      <c r="C668" s="362"/>
      <c r="D668" s="361"/>
      <c r="E668" s="361"/>
      <c r="F668" s="383"/>
      <c r="G668" s="384"/>
      <c r="H668" s="238"/>
      <c r="I668" s="238"/>
      <c r="J668" s="385"/>
      <c r="K668" s="238"/>
      <c r="L668" s="238"/>
      <c r="M668" s="238"/>
      <c r="N668" s="386"/>
      <c r="O668" s="387"/>
      <c r="P668" s="385"/>
      <c r="Q668" s="386"/>
      <c r="R668" s="384"/>
      <c r="S668" s="266"/>
      <c r="T668" s="266"/>
      <c r="U668" s="266"/>
      <c r="V668" s="267"/>
      <c r="W668" s="391"/>
      <c r="X668" s="392"/>
    </row>
    <row r="669" spans="1:24">
      <c r="A669" s="361"/>
      <c r="B669" s="361"/>
      <c r="C669" s="362"/>
      <c r="D669" s="361"/>
      <c r="E669" s="361"/>
      <c r="F669" s="383"/>
      <c r="G669" s="384"/>
      <c r="H669" s="238"/>
      <c r="I669" s="238"/>
      <c r="J669" s="385"/>
      <c r="K669" s="238"/>
      <c r="L669" s="238"/>
      <c r="M669" s="238"/>
      <c r="N669" s="386"/>
      <c r="O669" s="387"/>
      <c r="P669" s="385"/>
      <c r="Q669" s="386"/>
      <c r="R669" s="384"/>
      <c r="S669" s="266"/>
      <c r="T669" s="266"/>
      <c r="U669" s="266"/>
      <c r="V669" s="267"/>
      <c r="W669" s="391"/>
      <c r="X669" s="392"/>
    </row>
    <row r="670" spans="1:24">
      <c r="A670" s="361"/>
      <c r="B670" s="361"/>
      <c r="C670" s="362"/>
      <c r="D670" s="361"/>
      <c r="E670" s="361"/>
      <c r="F670" s="383"/>
      <c r="G670" s="384"/>
      <c r="H670" s="238"/>
      <c r="I670" s="238"/>
      <c r="J670" s="385"/>
      <c r="K670" s="238"/>
      <c r="L670" s="238"/>
      <c r="M670" s="238"/>
      <c r="N670" s="386"/>
      <c r="O670" s="387"/>
      <c r="P670" s="385"/>
      <c r="Q670" s="386"/>
      <c r="R670" s="384"/>
      <c r="S670" s="266"/>
      <c r="T670" s="266"/>
      <c r="U670" s="266"/>
      <c r="V670" s="267"/>
      <c r="W670" s="391"/>
      <c r="X670" s="392"/>
    </row>
    <row r="671" spans="1:24">
      <c r="A671" s="361"/>
      <c r="B671" s="361"/>
      <c r="C671" s="362"/>
      <c r="D671" s="361"/>
      <c r="E671" s="361"/>
      <c r="F671" s="383"/>
      <c r="G671" s="384"/>
      <c r="H671" s="238"/>
      <c r="I671" s="238"/>
      <c r="J671" s="385"/>
      <c r="K671" s="238"/>
      <c r="L671" s="238"/>
      <c r="M671" s="238"/>
      <c r="N671" s="386"/>
      <c r="O671" s="387"/>
      <c r="P671" s="385"/>
      <c r="Q671" s="386"/>
      <c r="R671" s="384"/>
      <c r="S671" s="266"/>
      <c r="T671" s="266"/>
      <c r="U671" s="266"/>
      <c r="V671" s="267"/>
      <c r="W671" s="391"/>
      <c r="X671" s="392"/>
    </row>
    <row r="672" spans="1:24">
      <c r="A672" s="361"/>
      <c r="B672" s="361"/>
      <c r="C672" s="362"/>
      <c r="D672" s="361"/>
      <c r="E672" s="361"/>
      <c r="F672" s="383"/>
      <c r="G672" s="384"/>
      <c r="H672" s="238"/>
      <c r="I672" s="238"/>
      <c r="J672" s="385"/>
      <c r="K672" s="238"/>
      <c r="L672" s="238"/>
      <c r="M672" s="238"/>
      <c r="N672" s="386"/>
      <c r="O672" s="387"/>
      <c r="P672" s="385"/>
      <c r="Q672" s="386"/>
      <c r="R672" s="384"/>
      <c r="S672" s="266"/>
      <c r="T672" s="266"/>
      <c r="U672" s="266"/>
      <c r="V672" s="267"/>
      <c r="W672" s="391"/>
      <c r="X672" s="392"/>
    </row>
    <row r="673" spans="1:24">
      <c r="A673" s="361"/>
      <c r="B673" s="361"/>
      <c r="C673" s="362"/>
      <c r="D673" s="361"/>
      <c r="E673" s="361"/>
      <c r="F673" s="383"/>
      <c r="G673" s="384"/>
      <c r="H673" s="238"/>
      <c r="I673" s="238"/>
      <c r="J673" s="385"/>
      <c r="K673" s="238"/>
      <c r="L673" s="238"/>
      <c r="M673" s="238"/>
      <c r="N673" s="386"/>
      <c r="O673" s="387"/>
      <c r="P673" s="385"/>
      <c r="Q673" s="386"/>
      <c r="R673" s="384"/>
      <c r="S673" s="266"/>
      <c r="T673" s="266"/>
      <c r="U673" s="266"/>
      <c r="V673" s="267"/>
      <c r="W673" s="391"/>
      <c r="X673" s="392"/>
    </row>
    <row r="674" spans="1:24">
      <c r="A674" s="361"/>
      <c r="B674" s="361"/>
      <c r="C674" s="362"/>
      <c r="D674" s="361"/>
      <c r="E674" s="361"/>
      <c r="F674" s="383"/>
      <c r="G674" s="384"/>
      <c r="H674" s="238"/>
      <c r="I674" s="238"/>
      <c r="J674" s="385"/>
      <c r="K674" s="238"/>
      <c r="L674" s="238"/>
      <c r="M674" s="238"/>
      <c r="N674" s="386"/>
      <c r="O674" s="387"/>
      <c r="P674" s="385"/>
      <c r="Q674" s="386"/>
      <c r="R674" s="384"/>
      <c r="S674" s="266"/>
      <c r="T674" s="266"/>
      <c r="U674" s="266"/>
      <c r="V674" s="267"/>
      <c r="W674" s="391"/>
      <c r="X674" s="392"/>
    </row>
    <row r="675" spans="1:24">
      <c r="A675" s="361"/>
      <c r="B675" s="361"/>
      <c r="C675" s="362"/>
      <c r="D675" s="361"/>
      <c r="E675" s="361"/>
      <c r="F675" s="383"/>
      <c r="G675" s="384"/>
      <c r="H675" s="238"/>
      <c r="I675" s="238"/>
      <c r="J675" s="385"/>
      <c r="K675" s="238"/>
      <c r="L675" s="238"/>
      <c r="M675" s="238"/>
      <c r="N675" s="386"/>
      <c r="O675" s="387"/>
      <c r="P675" s="385"/>
      <c r="Q675" s="386"/>
      <c r="R675" s="384"/>
      <c r="S675" s="266"/>
      <c r="T675" s="266"/>
      <c r="U675" s="266"/>
      <c r="V675" s="267"/>
      <c r="W675" s="391"/>
      <c r="X675" s="392"/>
    </row>
    <row r="676" spans="1:24">
      <c r="A676" s="361"/>
      <c r="B676" s="361"/>
      <c r="C676" s="362"/>
      <c r="D676" s="361"/>
      <c r="E676" s="361"/>
      <c r="F676" s="383"/>
      <c r="G676" s="384"/>
      <c r="H676" s="238"/>
      <c r="I676" s="238"/>
      <c r="J676" s="385"/>
      <c r="K676" s="238"/>
      <c r="L676" s="238"/>
      <c r="M676" s="238"/>
      <c r="N676" s="386"/>
      <c r="O676" s="387"/>
      <c r="P676" s="385"/>
      <c r="Q676" s="386"/>
      <c r="R676" s="384"/>
      <c r="S676" s="266"/>
      <c r="T676" s="266"/>
      <c r="U676" s="266"/>
      <c r="V676" s="267"/>
      <c r="W676" s="391"/>
      <c r="X676" s="392"/>
    </row>
    <row r="677" spans="1:24">
      <c r="A677" s="361"/>
      <c r="B677" s="361"/>
      <c r="C677" s="362"/>
      <c r="D677" s="361"/>
      <c r="E677" s="361"/>
      <c r="F677" s="383"/>
      <c r="G677" s="384"/>
      <c r="H677" s="238"/>
      <c r="I677" s="238"/>
      <c r="J677" s="385"/>
      <c r="K677" s="238"/>
      <c r="L677" s="238"/>
      <c r="M677" s="238"/>
      <c r="N677" s="386"/>
      <c r="O677" s="387"/>
      <c r="P677" s="385"/>
      <c r="Q677" s="386"/>
      <c r="R677" s="384"/>
      <c r="S677" s="266"/>
      <c r="T677" s="266"/>
      <c r="U677" s="266"/>
      <c r="V677" s="267"/>
      <c r="W677" s="391"/>
      <c r="X677" s="392"/>
    </row>
    <row r="678" spans="1:24">
      <c r="A678" s="361"/>
      <c r="B678" s="361"/>
      <c r="C678" s="362"/>
      <c r="D678" s="361"/>
      <c r="E678" s="361"/>
      <c r="F678" s="383"/>
      <c r="G678" s="384"/>
      <c r="H678" s="238"/>
      <c r="I678" s="238"/>
      <c r="J678" s="385"/>
      <c r="K678" s="238"/>
      <c r="L678" s="238"/>
      <c r="M678" s="238"/>
      <c r="N678" s="386"/>
      <c r="O678" s="387"/>
      <c r="P678" s="385"/>
      <c r="Q678" s="386"/>
      <c r="R678" s="384"/>
      <c r="S678" s="266"/>
      <c r="T678" s="266"/>
      <c r="U678" s="266"/>
      <c r="V678" s="267"/>
      <c r="W678" s="391"/>
      <c r="X678" s="392"/>
    </row>
    <row r="679" spans="1:24">
      <c r="A679" s="361"/>
      <c r="B679" s="361"/>
      <c r="C679" s="362"/>
      <c r="D679" s="361"/>
      <c r="E679" s="361"/>
      <c r="F679" s="383"/>
      <c r="G679" s="384"/>
      <c r="H679" s="238"/>
      <c r="I679" s="238"/>
      <c r="J679" s="385"/>
      <c r="K679" s="238"/>
      <c r="L679" s="238"/>
      <c r="M679" s="238"/>
      <c r="N679" s="386"/>
      <c r="O679" s="387"/>
      <c r="P679" s="385"/>
      <c r="Q679" s="386"/>
      <c r="R679" s="384"/>
      <c r="S679" s="266"/>
      <c r="T679" s="266"/>
      <c r="U679" s="266"/>
      <c r="V679" s="267"/>
      <c r="W679" s="391"/>
      <c r="X679" s="392"/>
    </row>
    <row r="680" spans="1:24">
      <c r="A680" s="361"/>
      <c r="B680" s="361"/>
      <c r="C680" s="362"/>
      <c r="D680" s="361"/>
      <c r="E680" s="361"/>
      <c r="F680" s="383"/>
      <c r="G680" s="384"/>
      <c r="H680" s="238"/>
      <c r="I680" s="238"/>
      <c r="J680" s="385"/>
      <c r="K680" s="238"/>
      <c r="L680" s="238"/>
      <c r="M680" s="238"/>
      <c r="N680" s="386"/>
      <c r="O680" s="387"/>
      <c r="P680" s="385"/>
      <c r="Q680" s="386"/>
      <c r="R680" s="384"/>
      <c r="S680" s="266"/>
      <c r="T680" s="266"/>
      <c r="U680" s="266"/>
      <c r="V680" s="267"/>
      <c r="W680" s="391"/>
      <c r="X680" s="392"/>
    </row>
    <row r="681" spans="1:24">
      <c r="A681" s="361"/>
      <c r="B681" s="361"/>
      <c r="C681" s="362"/>
      <c r="D681" s="361"/>
      <c r="E681" s="361"/>
      <c r="F681" s="383"/>
      <c r="G681" s="384"/>
      <c r="H681" s="238"/>
      <c r="I681" s="238"/>
      <c r="J681" s="385"/>
      <c r="K681" s="238"/>
      <c r="L681" s="238"/>
      <c r="M681" s="238"/>
      <c r="N681" s="386"/>
      <c r="O681" s="387"/>
      <c r="P681" s="385"/>
      <c r="Q681" s="386"/>
      <c r="R681" s="384"/>
      <c r="S681" s="266"/>
      <c r="T681" s="266"/>
      <c r="U681" s="266"/>
      <c r="V681" s="267"/>
      <c r="W681" s="391"/>
      <c r="X681" s="392"/>
    </row>
    <row r="682" spans="1:24">
      <c r="A682" s="361"/>
      <c r="B682" s="361"/>
      <c r="C682" s="362"/>
      <c r="D682" s="361"/>
      <c r="E682" s="361"/>
      <c r="F682" s="383"/>
      <c r="G682" s="384"/>
      <c r="H682" s="238"/>
      <c r="I682" s="238"/>
      <c r="J682" s="385"/>
      <c r="K682" s="238"/>
      <c r="L682" s="238"/>
      <c r="M682" s="238"/>
      <c r="N682" s="386"/>
      <c r="O682" s="387"/>
      <c r="P682" s="385"/>
      <c r="Q682" s="386"/>
      <c r="R682" s="384"/>
      <c r="S682" s="266"/>
      <c r="T682" s="266"/>
      <c r="U682" s="266"/>
      <c r="V682" s="267"/>
      <c r="W682" s="391"/>
      <c r="X682" s="392"/>
    </row>
    <row r="683" spans="1:24">
      <c r="A683" s="361"/>
      <c r="B683" s="361"/>
      <c r="C683" s="362"/>
      <c r="D683" s="361"/>
      <c r="E683" s="361"/>
      <c r="F683" s="383"/>
      <c r="G683" s="384"/>
      <c r="H683" s="238"/>
      <c r="I683" s="238"/>
      <c r="J683" s="385"/>
      <c r="K683" s="238"/>
      <c r="L683" s="238"/>
      <c r="M683" s="238"/>
      <c r="N683" s="386"/>
      <c r="O683" s="387"/>
      <c r="P683" s="385"/>
      <c r="Q683" s="386"/>
      <c r="R683" s="384"/>
      <c r="S683" s="266"/>
      <c r="T683" s="266"/>
      <c r="U683" s="266"/>
      <c r="V683" s="267"/>
      <c r="W683" s="391"/>
      <c r="X683" s="392"/>
    </row>
    <row r="684" spans="1:24">
      <c r="A684" s="361"/>
      <c r="B684" s="361"/>
      <c r="C684" s="362"/>
      <c r="D684" s="361"/>
      <c r="E684" s="361"/>
      <c r="F684" s="383"/>
      <c r="G684" s="384"/>
      <c r="H684" s="238"/>
      <c r="I684" s="238"/>
      <c r="J684" s="385"/>
      <c r="K684" s="238"/>
      <c r="L684" s="238"/>
      <c r="M684" s="238"/>
      <c r="N684" s="386"/>
      <c r="O684" s="387"/>
      <c r="P684" s="385"/>
      <c r="Q684" s="386"/>
      <c r="R684" s="384"/>
      <c r="S684" s="266"/>
      <c r="T684" s="266"/>
      <c r="U684" s="266"/>
      <c r="V684" s="267"/>
      <c r="W684" s="391"/>
      <c r="X684" s="392"/>
    </row>
    <row r="685" spans="1:24">
      <c r="A685" s="361"/>
      <c r="B685" s="361"/>
      <c r="C685" s="362"/>
      <c r="D685" s="361"/>
      <c r="E685" s="361"/>
      <c r="F685" s="383"/>
      <c r="G685" s="384"/>
      <c r="H685" s="238"/>
      <c r="I685" s="238"/>
      <c r="J685" s="385"/>
      <c r="K685" s="238"/>
      <c r="L685" s="238"/>
      <c r="M685" s="238"/>
      <c r="N685" s="386"/>
      <c r="O685" s="387"/>
      <c r="P685" s="385"/>
      <c r="Q685" s="386"/>
      <c r="R685" s="384"/>
      <c r="S685" s="266"/>
      <c r="T685" s="266"/>
      <c r="U685" s="266"/>
      <c r="V685" s="267"/>
      <c r="W685" s="391"/>
      <c r="X685" s="392"/>
    </row>
    <row r="686" spans="1:24">
      <c r="A686" s="361"/>
      <c r="B686" s="361"/>
      <c r="C686" s="362"/>
      <c r="D686" s="361"/>
      <c r="E686" s="361"/>
      <c r="F686" s="383"/>
      <c r="G686" s="384"/>
      <c r="H686" s="238"/>
      <c r="I686" s="238"/>
      <c r="J686" s="385"/>
      <c r="K686" s="238"/>
      <c r="L686" s="238"/>
      <c r="M686" s="238"/>
      <c r="N686" s="386"/>
      <c r="O686" s="387"/>
      <c r="P686" s="385"/>
      <c r="Q686" s="386"/>
      <c r="R686" s="384"/>
      <c r="S686" s="266"/>
      <c r="T686" s="266"/>
      <c r="U686" s="266"/>
      <c r="V686" s="267"/>
      <c r="W686" s="391"/>
      <c r="X686" s="392"/>
    </row>
    <row r="687" spans="1:24">
      <c r="A687" s="361"/>
      <c r="B687" s="361"/>
      <c r="C687" s="362"/>
      <c r="D687" s="361"/>
      <c r="E687" s="361"/>
      <c r="F687" s="383"/>
      <c r="G687" s="384"/>
      <c r="H687" s="238"/>
      <c r="I687" s="238"/>
      <c r="J687" s="385"/>
      <c r="K687" s="238"/>
      <c r="L687" s="238"/>
      <c r="M687" s="238"/>
      <c r="N687" s="386"/>
      <c r="O687" s="387"/>
      <c r="P687" s="385"/>
      <c r="Q687" s="386"/>
      <c r="R687" s="384"/>
      <c r="S687" s="266"/>
      <c r="T687" s="266"/>
      <c r="U687" s="266"/>
      <c r="V687" s="267"/>
      <c r="W687" s="391"/>
      <c r="X687" s="392"/>
    </row>
    <row r="688" spans="1:24">
      <c r="A688" s="361"/>
      <c r="B688" s="361"/>
      <c r="C688" s="362"/>
      <c r="D688" s="361"/>
      <c r="E688" s="361"/>
      <c r="F688" s="383"/>
      <c r="G688" s="384"/>
      <c r="H688" s="238"/>
      <c r="I688" s="238"/>
      <c r="J688" s="385"/>
      <c r="K688" s="238"/>
      <c r="L688" s="238"/>
      <c r="M688" s="238"/>
      <c r="N688" s="386"/>
      <c r="O688" s="387"/>
      <c r="P688" s="385"/>
      <c r="Q688" s="386"/>
      <c r="R688" s="384"/>
      <c r="S688" s="266"/>
      <c r="T688" s="266"/>
      <c r="U688" s="266"/>
      <c r="V688" s="267"/>
      <c r="W688" s="391"/>
      <c r="X688" s="392"/>
    </row>
    <row r="689" spans="1:24">
      <c r="A689" s="361"/>
      <c r="B689" s="361"/>
      <c r="C689" s="362"/>
      <c r="D689" s="361"/>
      <c r="E689" s="361"/>
      <c r="F689" s="383"/>
      <c r="G689" s="384"/>
      <c r="H689" s="238"/>
      <c r="I689" s="238"/>
      <c r="J689" s="385"/>
      <c r="K689" s="238"/>
      <c r="L689" s="238"/>
      <c r="M689" s="238"/>
      <c r="N689" s="386"/>
      <c r="O689" s="387"/>
      <c r="P689" s="385"/>
      <c r="Q689" s="386"/>
      <c r="R689" s="384"/>
      <c r="S689" s="266"/>
      <c r="T689" s="266"/>
      <c r="U689" s="266"/>
      <c r="V689" s="267"/>
      <c r="W689" s="391"/>
      <c r="X689" s="392"/>
    </row>
    <row r="690" spans="1:24">
      <c r="A690" s="361"/>
      <c r="B690" s="361"/>
      <c r="C690" s="362"/>
      <c r="D690" s="361"/>
      <c r="E690" s="361"/>
      <c r="F690" s="383"/>
      <c r="G690" s="384"/>
      <c r="H690" s="238"/>
      <c r="I690" s="238"/>
      <c r="J690" s="385"/>
      <c r="K690" s="238"/>
      <c r="L690" s="238"/>
      <c r="M690" s="238"/>
      <c r="N690" s="386"/>
      <c r="O690" s="387"/>
      <c r="P690" s="385"/>
      <c r="Q690" s="386"/>
      <c r="R690" s="384"/>
      <c r="S690" s="266"/>
      <c r="T690" s="266"/>
      <c r="U690" s="266"/>
      <c r="V690" s="267"/>
      <c r="W690" s="391"/>
      <c r="X690" s="392"/>
    </row>
    <row r="691" spans="1:24">
      <c r="A691" s="361"/>
      <c r="B691" s="361"/>
      <c r="C691" s="362"/>
      <c r="D691" s="361"/>
      <c r="E691" s="361"/>
      <c r="F691" s="383"/>
      <c r="G691" s="384"/>
      <c r="H691" s="238"/>
      <c r="I691" s="238"/>
      <c r="J691" s="385"/>
      <c r="K691" s="238"/>
      <c r="L691" s="238"/>
      <c r="M691" s="238"/>
      <c r="N691" s="386"/>
      <c r="O691" s="387"/>
      <c r="P691" s="385"/>
      <c r="Q691" s="386"/>
      <c r="R691" s="384"/>
      <c r="S691" s="266"/>
      <c r="T691" s="266"/>
      <c r="U691" s="266"/>
      <c r="V691" s="267"/>
      <c r="W691" s="391"/>
      <c r="X691" s="392"/>
    </row>
    <row r="692" spans="1:24">
      <c r="A692" s="361"/>
      <c r="B692" s="361"/>
      <c r="C692" s="362"/>
      <c r="D692" s="361"/>
      <c r="E692" s="361"/>
      <c r="F692" s="383"/>
      <c r="G692" s="384"/>
      <c r="H692" s="238"/>
      <c r="I692" s="238"/>
      <c r="J692" s="385"/>
      <c r="K692" s="238"/>
      <c r="L692" s="238"/>
      <c r="M692" s="238"/>
      <c r="N692" s="386"/>
      <c r="O692" s="387"/>
      <c r="P692" s="385"/>
      <c r="Q692" s="386"/>
      <c r="R692" s="384"/>
      <c r="S692" s="266"/>
      <c r="T692" s="266"/>
      <c r="U692" s="266"/>
      <c r="V692" s="267"/>
      <c r="W692" s="391"/>
      <c r="X692" s="392"/>
    </row>
    <row r="693" spans="1:24">
      <c r="A693" s="361"/>
      <c r="B693" s="361"/>
      <c r="C693" s="362"/>
      <c r="D693" s="361"/>
      <c r="E693" s="361"/>
      <c r="F693" s="383"/>
      <c r="G693" s="384"/>
      <c r="H693" s="238"/>
      <c r="I693" s="238"/>
      <c r="J693" s="385"/>
      <c r="K693" s="238"/>
      <c r="L693" s="238"/>
      <c r="M693" s="238"/>
      <c r="N693" s="386"/>
      <c r="O693" s="387"/>
      <c r="P693" s="385"/>
      <c r="Q693" s="386"/>
      <c r="R693" s="384"/>
      <c r="S693" s="266"/>
      <c r="T693" s="266"/>
      <c r="U693" s="266"/>
      <c r="V693" s="267"/>
      <c r="W693" s="391"/>
      <c r="X693" s="392"/>
    </row>
    <row r="694" spans="1:24">
      <c r="A694" s="361"/>
      <c r="B694" s="361"/>
      <c r="C694" s="362"/>
      <c r="D694" s="361"/>
      <c r="E694" s="361"/>
      <c r="F694" s="383"/>
      <c r="G694" s="384"/>
      <c r="H694" s="238"/>
      <c r="I694" s="238"/>
      <c r="J694" s="385"/>
      <c r="K694" s="238"/>
      <c r="L694" s="238"/>
      <c r="M694" s="238"/>
      <c r="N694" s="386"/>
      <c r="O694" s="387"/>
      <c r="P694" s="385"/>
      <c r="Q694" s="386"/>
      <c r="R694" s="384"/>
      <c r="S694" s="266"/>
      <c r="T694" s="266"/>
      <c r="U694" s="266"/>
      <c r="V694" s="267"/>
      <c r="W694" s="391"/>
      <c r="X694" s="392"/>
    </row>
    <row r="695" spans="1:24">
      <c r="A695" s="361"/>
      <c r="B695" s="361"/>
      <c r="C695" s="362"/>
      <c r="D695" s="361"/>
      <c r="E695" s="361"/>
      <c r="F695" s="383"/>
      <c r="G695" s="384"/>
      <c r="H695" s="238"/>
      <c r="I695" s="238"/>
      <c r="J695" s="385"/>
      <c r="K695" s="238"/>
      <c r="L695" s="238"/>
      <c r="M695" s="238"/>
      <c r="N695" s="386"/>
      <c r="O695" s="387"/>
      <c r="P695" s="385"/>
      <c r="Q695" s="386"/>
      <c r="R695" s="384"/>
      <c r="S695" s="266"/>
      <c r="T695" s="266"/>
      <c r="U695" s="266"/>
      <c r="V695" s="267"/>
      <c r="W695" s="391"/>
      <c r="X695" s="392"/>
    </row>
    <row r="696" spans="1:24">
      <c r="A696" s="361"/>
      <c r="B696" s="361"/>
      <c r="C696" s="362"/>
      <c r="D696" s="361"/>
      <c r="E696" s="361"/>
      <c r="F696" s="383"/>
      <c r="G696" s="384"/>
      <c r="H696" s="238"/>
      <c r="I696" s="238"/>
      <c r="J696" s="385"/>
      <c r="K696" s="238"/>
      <c r="L696" s="238"/>
      <c r="M696" s="238"/>
      <c r="N696" s="386"/>
      <c r="O696" s="387"/>
      <c r="P696" s="385"/>
      <c r="Q696" s="386"/>
      <c r="R696" s="384"/>
      <c r="S696" s="266"/>
      <c r="T696" s="266"/>
      <c r="U696" s="266"/>
      <c r="V696" s="267"/>
      <c r="W696" s="391"/>
      <c r="X696" s="392"/>
    </row>
    <row r="697" spans="1:24">
      <c r="A697" s="361"/>
      <c r="B697" s="361"/>
      <c r="C697" s="362"/>
      <c r="D697" s="361"/>
      <c r="E697" s="361"/>
      <c r="F697" s="383"/>
      <c r="G697" s="384"/>
      <c r="H697" s="238"/>
      <c r="I697" s="238"/>
      <c r="J697" s="385"/>
      <c r="K697" s="238"/>
      <c r="L697" s="238"/>
      <c r="M697" s="238"/>
      <c r="N697" s="386"/>
      <c r="O697" s="387"/>
      <c r="P697" s="385"/>
      <c r="Q697" s="386"/>
      <c r="R697" s="384"/>
      <c r="S697" s="266"/>
      <c r="T697" s="266"/>
      <c r="U697" s="266"/>
      <c r="V697" s="267"/>
      <c r="W697" s="391"/>
      <c r="X697" s="392"/>
    </row>
    <row r="698" spans="1:24">
      <c r="A698" s="361"/>
      <c r="B698" s="361"/>
      <c r="C698" s="362"/>
      <c r="D698" s="361"/>
      <c r="E698" s="361"/>
      <c r="F698" s="383"/>
      <c r="G698" s="384"/>
      <c r="H698" s="238"/>
      <c r="I698" s="238"/>
      <c r="J698" s="385"/>
      <c r="K698" s="238"/>
      <c r="L698" s="238"/>
      <c r="M698" s="238"/>
      <c r="N698" s="386"/>
      <c r="O698" s="387"/>
      <c r="P698" s="385"/>
      <c r="Q698" s="386"/>
      <c r="R698" s="384"/>
      <c r="S698" s="266"/>
      <c r="T698" s="266"/>
      <c r="U698" s="266"/>
      <c r="V698" s="267"/>
      <c r="W698" s="391"/>
      <c r="X698" s="392"/>
    </row>
    <row r="699" spans="1:24">
      <c r="A699" s="361"/>
      <c r="B699" s="361"/>
      <c r="C699" s="362"/>
      <c r="D699" s="361"/>
      <c r="E699" s="361"/>
      <c r="F699" s="383"/>
      <c r="G699" s="384"/>
      <c r="H699" s="238"/>
      <c r="I699" s="238"/>
      <c r="J699" s="385"/>
      <c r="K699" s="238"/>
      <c r="L699" s="238"/>
      <c r="M699" s="238"/>
      <c r="N699" s="386"/>
      <c r="O699" s="387"/>
      <c r="P699" s="385"/>
      <c r="Q699" s="386"/>
      <c r="R699" s="384"/>
      <c r="S699" s="266"/>
      <c r="T699" s="266"/>
      <c r="U699" s="266"/>
      <c r="V699" s="267"/>
      <c r="W699" s="391"/>
      <c r="X699" s="392"/>
    </row>
    <row r="700" spans="1:24">
      <c r="A700" s="361"/>
      <c r="B700" s="361"/>
      <c r="C700" s="362"/>
      <c r="D700" s="361"/>
      <c r="E700" s="361"/>
      <c r="F700" s="383"/>
      <c r="G700" s="384"/>
      <c r="H700" s="238"/>
      <c r="I700" s="238"/>
      <c r="J700" s="385"/>
      <c r="K700" s="238"/>
      <c r="L700" s="238"/>
      <c r="M700" s="238"/>
      <c r="N700" s="386"/>
      <c r="O700" s="387"/>
      <c r="P700" s="385"/>
      <c r="Q700" s="386"/>
      <c r="R700" s="384"/>
      <c r="S700" s="266"/>
      <c r="T700" s="266"/>
      <c r="U700" s="266"/>
      <c r="V700" s="267"/>
      <c r="W700" s="391"/>
      <c r="X700" s="392"/>
    </row>
    <row r="701" spans="1:24">
      <c r="A701" s="361"/>
      <c r="B701" s="361"/>
      <c r="C701" s="362"/>
      <c r="D701" s="361"/>
      <c r="E701" s="361"/>
      <c r="F701" s="383"/>
      <c r="G701" s="384"/>
      <c r="H701" s="238"/>
      <c r="I701" s="238"/>
      <c r="J701" s="385"/>
      <c r="K701" s="238"/>
      <c r="L701" s="238"/>
      <c r="M701" s="238"/>
      <c r="N701" s="386"/>
      <c r="O701" s="387"/>
      <c r="P701" s="385"/>
      <c r="Q701" s="386"/>
      <c r="R701" s="384"/>
      <c r="S701" s="266"/>
      <c r="T701" s="266"/>
      <c r="U701" s="266"/>
      <c r="V701" s="267"/>
      <c r="W701" s="391"/>
      <c r="X701" s="392"/>
    </row>
    <row r="702" spans="1:24">
      <c r="A702" s="361"/>
      <c r="B702" s="361"/>
      <c r="C702" s="362"/>
      <c r="D702" s="361"/>
      <c r="E702" s="361"/>
      <c r="F702" s="383"/>
      <c r="G702" s="384"/>
      <c r="H702" s="238"/>
      <c r="I702" s="238"/>
      <c r="J702" s="385"/>
      <c r="K702" s="238"/>
      <c r="L702" s="238"/>
      <c r="M702" s="238"/>
      <c r="N702" s="386"/>
      <c r="O702" s="387"/>
      <c r="P702" s="385"/>
      <c r="Q702" s="386"/>
      <c r="R702" s="384"/>
      <c r="S702" s="266"/>
      <c r="T702" s="266"/>
      <c r="U702" s="266"/>
      <c r="V702" s="267"/>
      <c r="W702" s="391"/>
      <c r="X702" s="392"/>
    </row>
    <row r="703" spans="1:24">
      <c r="A703" s="361"/>
      <c r="B703" s="361"/>
      <c r="C703" s="362"/>
      <c r="D703" s="361"/>
      <c r="E703" s="361"/>
      <c r="F703" s="383"/>
      <c r="G703" s="384"/>
      <c r="H703" s="238"/>
      <c r="I703" s="238"/>
      <c r="J703" s="385"/>
      <c r="K703" s="238"/>
      <c r="L703" s="238"/>
      <c r="M703" s="238"/>
      <c r="N703" s="386"/>
      <c r="O703" s="387"/>
      <c r="P703" s="385"/>
      <c r="Q703" s="386"/>
      <c r="R703" s="384"/>
      <c r="S703" s="266"/>
      <c r="T703" s="266"/>
      <c r="U703" s="266"/>
      <c r="V703" s="267"/>
      <c r="W703" s="391"/>
      <c r="X703" s="392"/>
    </row>
    <row r="704" spans="1:24">
      <c r="A704" s="361"/>
      <c r="B704" s="361"/>
      <c r="C704" s="362"/>
      <c r="D704" s="361"/>
      <c r="E704" s="361"/>
      <c r="F704" s="383"/>
      <c r="G704" s="384"/>
      <c r="H704" s="238"/>
      <c r="I704" s="238"/>
      <c r="J704" s="385"/>
      <c r="K704" s="238"/>
      <c r="L704" s="238"/>
      <c r="M704" s="238"/>
      <c r="N704" s="386"/>
      <c r="O704" s="387"/>
      <c r="P704" s="385"/>
      <c r="Q704" s="386"/>
      <c r="R704" s="384"/>
      <c r="S704" s="266"/>
      <c r="T704" s="266"/>
      <c r="U704" s="266"/>
      <c r="V704" s="267"/>
      <c r="W704" s="391"/>
      <c r="X704" s="392"/>
    </row>
    <row r="705" spans="1:24">
      <c r="A705" s="361"/>
      <c r="B705" s="361"/>
      <c r="C705" s="362"/>
      <c r="D705" s="361"/>
      <c r="E705" s="361"/>
      <c r="F705" s="383"/>
      <c r="G705" s="384"/>
      <c r="H705" s="238"/>
      <c r="I705" s="238"/>
      <c r="J705" s="385"/>
      <c r="K705" s="238"/>
      <c r="L705" s="238"/>
      <c r="M705" s="238"/>
      <c r="N705" s="386"/>
      <c r="O705" s="387"/>
      <c r="P705" s="385"/>
      <c r="Q705" s="386"/>
      <c r="R705" s="384"/>
      <c r="S705" s="266"/>
      <c r="T705" s="266"/>
      <c r="U705" s="266"/>
      <c r="V705" s="267"/>
      <c r="W705" s="391"/>
      <c r="X705" s="392"/>
    </row>
    <row r="706" spans="1:24">
      <c r="A706" s="361"/>
      <c r="B706" s="361"/>
      <c r="C706" s="362"/>
      <c r="D706" s="361"/>
      <c r="E706" s="361"/>
      <c r="F706" s="383"/>
      <c r="G706" s="384"/>
      <c r="H706" s="238"/>
      <c r="I706" s="238"/>
      <c r="J706" s="385"/>
      <c r="K706" s="238"/>
      <c r="L706" s="238"/>
      <c r="M706" s="238"/>
      <c r="N706" s="386"/>
      <c r="O706" s="387"/>
      <c r="P706" s="385"/>
      <c r="Q706" s="386"/>
      <c r="R706" s="384"/>
      <c r="S706" s="266"/>
      <c r="T706" s="266"/>
      <c r="U706" s="266"/>
      <c r="V706" s="267"/>
      <c r="W706" s="391"/>
      <c r="X706" s="392"/>
    </row>
    <row r="707" spans="1:24">
      <c r="A707" s="361"/>
      <c r="B707" s="361"/>
      <c r="C707" s="362"/>
      <c r="D707" s="361"/>
      <c r="E707" s="361"/>
      <c r="F707" s="383"/>
      <c r="G707" s="384"/>
      <c r="H707" s="238"/>
      <c r="I707" s="238"/>
      <c r="J707" s="385"/>
      <c r="K707" s="238"/>
      <c r="L707" s="238"/>
      <c r="M707" s="238"/>
      <c r="N707" s="386"/>
      <c r="O707" s="387"/>
      <c r="P707" s="385"/>
      <c r="Q707" s="386"/>
      <c r="R707" s="384"/>
      <c r="S707" s="266"/>
      <c r="T707" s="266"/>
      <c r="U707" s="266"/>
      <c r="V707" s="267"/>
      <c r="W707" s="391"/>
      <c r="X707" s="392"/>
    </row>
    <row r="708" spans="1:24">
      <c r="A708" s="361"/>
      <c r="B708" s="361"/>
      <c r="C708" s="362"/>
      <c r="D708" s="361"/>
      <c r="E708" s="361"/>
      <c r="F708" s="383"/>
      <c r="G708" s="384"/>
      <c r="H708" s="238"/>
      <c r="I708" s="238"/>
      <c r="J708" s="385"/>
      <c r="K708" s="238"/>
      <c r="L708" s="238"/>
      <c r="M708" s="238"/>
      <c r="N708" s="386"/>
      <c r="O708" s="387"/>
      <c r="P708" s="385"/>
      <c r="Q708" s="386"/>
      <c r="R708" s="384"/>
      <c r="S708" s="266"/>
      <c r="T708" s="266"/>
      <c r="U708" s="266"/>
      <c r="V708" s="267"/>
      <c r="W708" s="391"/>
      <c r="X708" s="392"/>
    </row>
    <row r="709" spans="1:24">
      <c r="A709" s="361"/>
      <c r="B709" s="361"/>
      <c r="C709" s="362"/>
      <c r="D709" s="361"/>
      <c r="E709" s="361"/>
      <c r="F709" s="383"/>
      <c r="G709" s="384"/>
      <c r="H709" s="238"/>
      <c r="I709" s="238"/>
      <c r="J709" s="385"/>
      <c r="K709" s="238"/>
      <c r="L709" s="238"/>
      <c r="M709" s="238"/>
      <c r="N709" s="386"/>
      <c r="O709" s="387"/>
      <c r="P709" s="385"/>
      <c r="Q709" s="386"/>
      <c r="R709" s="384"/>
      <c r="S709" s="266"/>
      <c r="T709" s="266"/>
      <c r="U709" s="266"/>
      <c r="V709" s="267"/>
      <c r="W709" s="391"/>
      <c r="X709" s="392"/>
    </row>
    <row r="710" spans="1:24">
      <c r="A710" s="361"/>
      <c r="B710" s="361"/>
      <c r="C710" s="362"/>
      <c r="D710" s="361"/>
      <c r="E710" s="361"/>
      <c r="F710" s="383"/>
      <c r="G710" s="384"/>
      <c r="H710" s="238"/>
      <c r="I710" s="238"/>
      <c r="J710" s="385"/>
      <c r="K710" s="238"/>
      <c r="L710" s="238"/>
      <c r="M710" s="238"/>
      <c r="N710" s="386"/>
      <c r="O710" s="387"/>
      <c r="P710" s="385"/>
      <c r="Q710" s="386"/>
      <c r="R710" s="384"/>
      <c r="S710" s="266"/>
      <c r="T710" s="266"/>
      <c r="U710" s="266"/>
      <c r="V710" s="267"/>
      <c r="W710" s="391"/>
      <c r="X710" s="392"/>
    </row>
    <row r="711" spans="1:24">
      <c r="A711" s="361"/>
      <c r="B711" s="361"/>
      <c r="C711" s="362"/>
      <c r="D711" s="361"/>
      <c r="E711" s="361"/>
      <c r="F711" s="383"/>
      <c r="G711" s="384"/>
      <c r="H711" s="238"/>
      <c r="I711" s="238"/>
      <c r="J711" s="385"/>
      <c r="K711" s="238"/>
      <c r="L711" s="238"/>
      <c r="M711" s="238"/>
      <c r="N711" s="386"/>
      <c r="O711" s="387"/>
      <c r="P711" s="385"/>
      <c r="Q711" s="386"/>
      <c r="R711" s="384"/>
      <c r="S711" s="266"/>
      <c r="T711" s="266"/>
      <c r="U711" s="266"/>
      <c r="V711" s="267"/>
      <c r="W711" s="391"/>
      <c r="X711" s="392"/>
    </row>
    <row r="712" spans="1:24">
      <c r="A712" s="361"/>
      <c r="B712" s="361"/>
      <c r="C712" s="362"/>
      <c r="D712" s="361"/>
      <c r="E712" s="361"/>
      <c r="F712" s="383"/>
      <c r="G712" s="384"/>
      <c r="H712" s="238"/>
      <c r="I712" s="238"/>
      <c r="J712" s="385"/>
      <c r="K712" s="238"/>
      <c r="L712" s="238"/>
      <c r="M712" s="238"/>
      <c r="N712" s="386"/>
      <c r="O712" s="387"/>
      <c r="P712" s="385"/>
      <c r="Q712" s="386"/>
      <c r="R712" s="384"/>
      <c r="S712" s="266"/>
      <c r="T712" s="266"/>
      <c r="U712" s="266"/>
      <c r="V712" s="267"/>
      <c r="W712" s="391"/>
      <c r="X712" s="392"/>
    </row>
    <row r="713" spans="1:24">
      <c r="A713" s="361"/>
      <c r="B713" s="361"/>
      <c r="C713" s="362"/>
      <c r="D713" s="361"/>
      <c r="E713" s="361"/>
      <c r="F713" s="383"/>
      <c r="G713" s="384"/>
      <c r="H713" s="238"/>
      <c r="I713" s="238"/>
      <c r="J713" s="385"/>
      <c r="K713" s="238"/>
      <c r="L713" s="238"/>
      <c r="M713" s="238"/>
      <c r="N713" s="386"/>
      <c r="O713" s="387"/>
      <c r="P713" s="385"/>
      <c r="Q713" s="386"/>
      <c r="R713" s="384"/>
      <c r="S713" s="266"/>
      <c r="T713" s="266"/>
      <c r="U713" s="266"/>
      <c r="V713" s="267"/>
      <c r="W713" s="391"/>
      <c r="X713" s="392"/>
    </row>
    <row r="714" spans="1:24">
      <c r="A714" s="361"/>
      <c r="B714" s="361"/>
      <c r="C714" s="362"/>
      <c r="D714" s="361"/>
      <c r="E714" s="361"/>
      <c r="F714" s="383"/>
      <c r="G714" s="384"/>
      <c r="H714" s="238"/>
      <c r="I714" s="238"/>
      <c r="J714" s="385"/>
      <c r="K714" s="238"/>
      <c r="L714" s="238"/>
      <c r="M714" s="238"/>
      <c r="N714" s="386"/>
      <c r="O714" s="387"/>
      <c r="P714" s="385"/>
      <c r="Q714" s="386"/>
      <c r="R714" s="384"/>
      <c r="S714" s="266"/>
      <c r="T714" s="266"/>
      <c r="U714" s="266"/>
      <c r="V714" s="267"/>
      <c r="W714" s="391"/>
      <c r="X714" s="392"/>
    </row>
    <row r="715" spans="1:24">
      <c r="A715" s="361"/>
      <c r="B715" s="361"/>
      <c r="C715" s="362"/>
      <c r="D715" s="361"/>
      <c r="E715" s="361"/>
      <c r="F715" s="383"/>
      <c r="G715" s="384"/>
      <c r="H715" s="238"/>
      <c r="I715" s="238"/>
      <c r="J715" s="385"/>
      <c r="K715" s="238"/>
      <c r="L715" s="238"/>
      <c r="M715" s="238"/>
      <c r="N715" s="386"/>
      <c r="O715" s="387"/>
      <c r="P715" s="385"/>
      <c r="Q715" s="386"/>
      <c r="R715" s="384"/>
      <c r="S715" s="266"/>
      <c r="T715" s="266"/>
      <c r="U715" s="266"/>
      <c r="V715" s="267"/>
      <c r="W715" s="391"/>
      <c r="X715" s="392"/>
    </row>
    <row r="716" spans="1:24">
      <c r="A716" s="361"/>
      <c r="B716" s="361"/>
      <c r="C716" s="362"/>
      <c r="D716" s="361"/>
      <c r="E716" s="361"/>
      <c r="F716" s="383"/>
      <c r="G716" s="384"/>
      <c r="H716" s="238"/>
      <c r="I716" s="238"/>
      <c r="J716" s="385"/>
      <c r="K716" s="238"/>
      <c r="L716" s="238"/>
      <c r="M716" s="238"/>
      <c r="N716" s="386"/>
      <c r="O716" s="387"/>
      <c r="P716" s="385"/>
      <c r="Q716" s="386"/>
      <c r="R716" s="384"/>
      <c r="S716" s="266"/>
      <c r="T716" s="266"/>
      <c r="U716" s="266"/>
      <c r="V716" s="267"/>
      <c r="W716" s="391"/>
      <c r="X716" s="392"/>
    </row>
    <row r="717" spans="1:24">
      <c r="A717" s="361"/>
      <c r="B717" s="361"/>
      <c r="C717" s="362"/>
      <c r="D717" s="361"/>
      <c r="E717" s="361"/>
      <c r="F717" s="383"/>
      <c r="G717" s="384"/>
      <c r="H717" s="238"/>
      <c r="I717" s="238"/>
      <c r="J717" s="385"/>
      <c r="K717" s="238"/>
      <c r="L717" s="238"/>
      <c r="M717" s="238"/>
      <c r="N717" s="386"/>
      <c r="O717" s="387"/>
      <c r="P717" s="385"/>
      <c r="Q717" s="386"/>
      <c r="R717" s="384"/>
      <c r="S717" s="266"/>
      <c r="T717" s="266"/>
      <c r="U717" s="266"/>
      <c r="V717" s="267"/>
      <c r="W717" s="391"/>
      <c r="X717" s="392"/>
    </row>
    <row r="718" spans="1:24">
      <c r="A718" s="361"/>
      <c r="B718" s="361"/>
      <c r="C718" s="362"/>
      <c r="D718" s="361"/>
      <c r="E718" s="361"/>
      <c r="F718" s="383"/>
      <c r="G718" s="384"/>
      <c r="H718" s="238"/>
      <c r="I718" s="238"/>
      <c r="J718" s="385"/>
      <c r="K718" s="238"/>
      <c r="L718" s="238"/>
      <c r="M718" s="238"/>
      <c r="N718" s="386"/>
      <c r="O718" s="387"/>
      <c r="P718" s="385"/>
      <c r="Q718" s="386"/>
      <c r="R718" s="384"/>
      <c r="S718" s="266"/>
      <c r="T718" s="266"/>
      <c r="U718" s="266"/>
      <c r="V718" s="267"/>
      <c r="W718" s="391"/>
      <c r="X718" s="392"/>
    </row>
    <row r="719" spans="1:24">
      <c r="A719" s="361"/>
      <c r="B719" s="361"/>
      <c r="C719" s="362"/>
      <c r="D719" s="361"/>
      <c r="E719" s="361"/>
      <c r="F719" s="383"/>
      <c r="G719" s="384"/>
      <c r="H719" s="238"/>
      <c r="I719" s="238"/>
      <c r="J719" s="385"/>
      <c r="K719" s="238"/>
      <c r="L719" s="238"/>
      <c r="M719" s="238"/>
      <c r="N719" s="386"/>
      <c r="O719" s="387"/>
      <c r="P719" s="385"/>
      <c r="Q719" s="386"/>
      <c r="R719" s="384"/>
      <c r="S719" s="266"/>
      <c r="T719" s="266"/>
      <c r="U719" s="266"/>
      <c r="V719" s="267"/>
      <c r="W719" s="391"/>
      <c r="X719" s="392"/>
    </row>
    <row r="720" spans="1:24">
      <c r="A720" s="361"/>
      <c r="B720" s="361"/>
      <c r="C720" s="362"/>
      <c r="D720" s="361"/>
      <c r="E720" s="361"/>
      <c r="F720" s="383"/>
      <c r="G720" s="384"/>
      <c r="H720" s="238"/>
      <c r="I720" s="238"/>
      <c r="J720" s="385"/>
      <c r="K720" s="238"/>
      <c r="L720" s="238"/>
      <c r="M720" s="238"/>
      <c r="N720" s="386"/>
      <c r="O720" s="387"/>
      <c r="P720" s="385"/>
      <c r="Q720" s="386"/>
      <c r="R720" s="384"/>
      <c r="S720" s="266"/>
      <c r="T720" s="266"/>
      <c r="U720" s="266"/>
      <c r="V720" s="267"/>
      <c r="W720" s="391"/>
      <c r="X720" s="392"/>
    </row>
    <row r="721" spans="1:24">
      <c r="A721" s="361"/>
      <c r="B721" s="361"/>
      <c r="C721" s="362"/>
      <c r="D721" s="361"/>
      <c r="E721" s="361"/>
      <c r="F721" s="383"/>
      <c r="G721" s="384"/>
      <c r="H721" s="238"/>
      <c r="I721" s="238"/>
      <c r="J721" s="385"/>
      <c r="K721" s="238"/>
      <c r="L721" s="238"/>
      <c r="M721" s="238"/>
      <c r="N721" s="386"/>
      <c r="O721" s="387"/>
      <c r="P721" s="385"/>
      <c r="Q721" s="386"/>
      <c r="R721" s="384"/>
      <c r="S721" s="266"/>
      <c r="T721" s="266"/>
      <c r="U721" s="266"/>
      <c r="V721" s="267"/>
      <c r="W721" s="391"/>
      <c r="X721" s="392"/>
    </row>
    <row r="722" spans="1:24">
      <c r="A722" s="361"/>
      <c r="B722" s="361"/>
      <c r="C722" s="362"/>
      <c r="D722" s="361"/>
      <c r="E722" s="361"/>
      <c r="F722" s="383"/>
      <c r="G722" s="384"/>
      <c r="H722" s="238"/>
      <c r="I722" s="238"/>
      <c r="J722" s="385"/>
      <c r="K722" s="238"/>
      <c r="L722" s="238"/>
      <c r="M722" s="238"/>
      <c r="N722" s="386"/>
      <c r="O722" s="387"/>
      <c r="P722" s="385"/>
      <c r="Q722" s="386"/>
      <c r="R722" s="384"/>
      <c r="S722" s="266"/>
      <c r="T722" s="266"/>
      <c r="U722" s="266"/>
      <c r="V722" s="267"/>
      <c r="W722" s="391"/>
      <c r="X722" s="392"/>
    </row>
    <row r="723" spans="1:24">
      <c r="A723" s="361"/>
      <c r="B723" s="361"/>
      <c r="C723" s="362"/>
      <c r="D723" s="361"/>
      <c r="E723" s="361"/>
      <c r="F723" s="383"/>
      <c r="G723" s="384"/>
      <c r="H723" s="238"/>
      <c r="I723" s="238"/>
      <c r="J723" s="385"/>
      <c r="K723" s="238"/>
      <c r="L723" s="238"/>
      <c r="M723" s="238"/>
      <c r="N723" s="386"/>
      <c r="O723" s="387"/>
      <c r="P723" s="385"/>
      <c r="Q723" s="386"/>
      <c r="R723" s="384"/>
      <c r="S723" s="266"/>
      <c r="T723" s="266"/>
      <c r="U723" s="266"/>
      <c r="V723" s="267"/>
      <c r="W723" s="391"/>
      <c r="X723" s="392"/>
    </row>
    <row r="724" spans="1:24">
      <c r="A724" s="361"/>
      <c r="B724" s="361"/>
      <c r="C724" s="362"/>
      <c r="D724" s="361"/>
      <c r="E724" s="361"/>
      <c r="F724" s="383"/>
      <c r="G724" s="384"/>
      <c r="H724" s="238"/>
      <c r="I724" s="238"/>
      <c r="J724" s="385"/>
      <c r="K724" s="238"/>
      <c r="L724" s="238"/>
      <c r="M724" s="238"/>
      <c r="N724" s="386"/>
      <c r="O724" s="387"/>
      <c r="P724" s="385"/>
      <c r="Q724" s="386"/>
      <c r="R724" s="384"/>
      <c r="S724" s="266"/>
      <c r="T724" s="266"/>
      <c r="U724" s="266"/>
      <c r="V724" s="267"/>
      <c r="W724" s="391"/>
      <c r="X724" s="392"/>
    </row>
    <row r="725" spans="1:24">
      <c r="A725" s="361"/>
      <c r="B725" s="361"/>
      <c r="C725" s="362"/>
      <c r="D725" s="361"/>
      <c r="E725" s="361"/>
      <c r="F725" s="383"/>
      <c r="G725" s="384"/>
      <c r="H725" s="238"/>
      <c r="I725" s="238"/>
      <c r="J725" s="385"/>
      <c r="K725" s="238"/>
      <c r="L725" s="238"/>
      <c r="M725" s="238"/>
      <c r="N725" s="386"/>
      <c r="O725" s="387"/>
      <c r="P725" s="385"/>
      <c r="Q725" s="386"/>
      <c r="R725" s="384"/>
      <c r="S725" s="266"/>
      <c r="T725" s="266"/>
      <c r="U725" s="266"/>
      <c r="V725" s="267"/>
      <c r="W725" s="391"/>
      <c r="X725" s="392"/>
    </row>
    <row r="726" spans="1:24">
      <c r="A726" s="361"/>
      <c r="B726" s="361"/>
      <c r="C726" s="362"/>
      <c r="D726" s="361"/>
      <c r="E726" s="361"/>
      <c r="F726" s="383"/>
      <c r="G726" s="384"/>
      <c r="H726" s="238"/>
      <c r="I726" s="238"/>
      <c r="J726" s="385"/>
      <c r="K726" s="238"/>
      <c r="L726" s="238"/>
      <c r="M726" s="238"/>
      <c r="N726" s="386"/>
      <c r="O726" s="387"/>
      <c r="P726" s="385"/>
      <c r="Q726" s="386"/>
      <c r="R726" s="384"/>
      <c r="S726" s="266"/>
      <c r="T726" s="266"/>
      <c r="U726" s="266"/>
      <c r="V726" s="267"/>
      <c r="W726" s="391"/>
      <c r="X726" s="392"/>
    </row>
    <row r="727" spans="1:24">
      <c r="A727" s="361"/>
      <c r="B727" s="361"/>
      <c r="C727" s="362"/>
      <c r="D727" s="361"/>
      <c r="E727" s="361"/>
      <c r="F727" s="383"/>
      <c r="G727" s="384"/>
      <c r="H727" s="238"/>
      <c r="I727" s="238"/>
      <c r="J727" s="385"/>
      <c r="K727" s="238"/>
      <c r="L727" s="238"/>
      <c r="M727" s="238"/>
      <c r="N727" s="386"/>
      <c r="O727" s="387"/>
      <c r="P727" s="385"/>
      <c r="Q727" s="386"/>
      <c r="R727" s="384"/>
      <c r="S727" s="266"/>
      <c r="T727" s="266"/>
      <c r="U727" s="266"/>
      <c r="V727" s="267"/>
      <c r="W727" s="391"/>
      <c r="X727" s="392"/>
    </row>
    <row r="728" spans="1:24">
      <c r="A728" s="361"/>
      <c r="B728" s="361"/>
      <c r="C728" s="362"/>
      <c r="D728" s="361"/>
      <c r="E728" s="361"/>
      <c r="F728" s="383"/>
      <c r="G728" s="384"/>
      <c r="H728" s="238"/>
      <c r="I728" s="238"/>
      <c r="J728" s="385"/>
      <c r="K728" s="238"/>
      <c r="L728" s="238"/>
      <c r="M728" s="238"/>
      <c r="N728" s="386"/>
      <c r="O728" s="387"/>
      <c r="P728" s="385"/>
      <c r="Q728" s="386"/>
      <c r="R728" s="384"/>
      <c r="S728" s="266"/>
      <c r="T728" s="266"/>
      <c r="U728" s="266"/>
      <c r="V728" s="267"/>
      <c r="W728" s="391"/>
      <c r="X728" s="392"/>
    </row>
    <row r="729" spans="1:24">
      <c r="A729" s="361"/>
      <c r="B729" s="361"/>
      <c r="C729" s="362"/>
      <c r="D729" s="361"/>
      <c r="E729" s="361"/>
      <c r="F729" s="383"/>
      <c r="G729" s="384"/>
      <c r="H729" s="238"/>
      <c r="I729" s="238"/>
      <c r="J729" s="385"/>
      <c r="K729" s="238"/>
      <c r="L729" s="238"/>
      <c r="M729" s="238"/>
      <c r="N729" s="386"/>
      <c r="O729" s="387"/>
      <c r="P729" s="385"/>
      <c r="Q729" s="386"/>
      <c r="R729" s="384"/>
      <c r="S729" s="266"/>
      <c r="T729" s="266"/>
      <c r="U729" s="266"/>
      <c r="V729" s="267"/>
      <c r="W729" s="391"/>
      <c r="X729" s="392"/>
    </row>
    <row r="730" spans="1:24">
      <c r="A730" s="361"/>
      <c r="B730" s="361"/>
      <c r="C730" s="362"/>
      <c r="D730" s="361"/>
      <c r="E730" s="361"/>
      <c r="F730" s="383"/>
      <c r="G730" s="384"/>
      <c r="H730" s="238"/>
      <c r="I730" s="238"/>
      <c r="J730" s="385"/>
      <c r="K730" s="238"/>
      <c r="L730" s="238"/>
      <c r="M730" s="238"/>
      <c r="N730" s="386"/>
      <c r="O730" s="387"/>
      <c r="P730" s="385"/>
      <c r="Q730" s="386"/>
      <c r="R730" s="384"/>
      <c r="S730" s="266"/>
      <c r="T730" s="266"/>
      <c r="U730" s="266"/>
      <c r="V730" s="267"/>
      <c r="W730" s="391"/>
      <c r="X730" s="392"/>
    </row>
    <row r="731" spans="1:24">
      <c r="A731" s="361"/>
      <c r="B731" s="361"/>
      <c r="C731" s="362"/>
      <c r="D731" s="361"/>
      <c r="E731" s="361"/>
      <c r="F731" s="383"/>
      <c r="G731" s="384"/>
      <c r="H731" s="238"/>
      <c r="I731" s="238"/>
      <c r="J731" s="385"/>
      <c r="K731" s="238"/>
      <c r="L731" s="238"/>
      <c r="M731" s="238"/>
      <c r="N731" s="386"/>
      <c r="O731" s="387"/>
      <c r="P731" s="385"/>
      <c r="Q731" s="386"/>
      <c r="R731" s="384"/>
      <c r="S731" s="266"/>
      <c r="T731" s="266"/>
      <c r="U731" s="266"/>
      <c r="V731" s="267"/>
      <c r="W731" s="391"/>
      <c r="X731" s="392"/>
    </row>
    <row r="732" spans="1:24">
      <c r="A732" s="361"/>
      <c r="B732" s="361"/>
      <c r="C732" s="362"/>
      <c r="D732" s="361"/>
      <c r="E732" s="361"/>
      <c r="F732" s="383"/>
      <c r="G732" s="384"/>
      <c r="H732" s="238"/>
      <c r="I732" s="238"/>
      <c r="J732" s="385"/>
      <c r="K732" s="238"/>
      <c r="L732" s="238"/>
      <c r="M732" s="238"/>
      <c r="N732" s="386"/>
      <c r="O732" s="387"/>
      <c r="P732" s="385"/>
      <c r="Q732" s="386"/>
      <c r="R732" s="384"/>
      <c r="S732" s="266"/>
      <c r="T732" s="266"/>
      <c r="U732" s="266"/>
      <c r="V732" s="267"/>
      <c r="W732" s="391"/>
      <c r="X732" s="392"/>
    </row>
    <row r="733" spans="1:24">
      <c r="A733" s="361"/>
      <c r="B733" s="361"/>
      <c r="C733" s="362"/>
      <c r="D733" s="361"/>
      <c r="E733" s="361"/>
      <c r="F733" s="383"/>
      <c r="G733" s="384"/>
      <c r="H733" s="238"/>
      <c r="I733" s="238"/>
      <c r="J733" s="385"/>
      <c r="K733" s="238"/>
      <c r="L733" s="238"/>
      <c r="M733" s="238"/>
      <c r="N733" s="386"/>
      <c r="O733" s="387"/>
      <c r="P733" s="385"/>
      <c r="Q733" s="386"/>
      <c r="R733" s="384"/>
      <c r="S733" s="266"/>
      <c r="T733" s="266"/>
      <c r="U733" s="266"/>
      <c r="V733" s="267"/>
      <c r="W733" s="391"/>
      <c r="X733" s="392"/>
    </row>
    <row r="734" spans="1:24">
      <c r="A734" s="361"/>
      <c r="B734" s="361"/>
      <c r="C734" s="362"/>
      <c r="D734" s="361"/>
      <c r="E734" s="361"/>
      <c r="F734" s="383"/>
      <c r="G734" s="384"/>
      <c r="H734" s="238"/>
      <c r="I734" s="238"/>
      <c r="J734" s="385"/>
      <c r="K734" s="238"/>
      <c r="L734" s="238"/>
      <c r="M734" s="238"/>
      <c r="N734" s="386"/>
      <c r="O734" s="387"/>
      <c r="P734" s="385"/>
      <c r="Q734" s="386"/>
      <c r="R734" s="384"/>
      <c r="S734" s="266"/>
      <c r="T734" s="266"/>
      <c r="U734" s="266"/>
      <c r="V734" s="267"/>
      <c r="W734" s="391"/>
      <c r="X734" s="392"/>
    </row>
    <row r="735" spans="1:24">
      <c r="A735" s="361"/>
      <c r="B735" s="361"/>
      <c r="C735" s="362"/>
      <c r="D735" s="361"/>
      <c r="E735" s="361"/>
      <c r="F735" s="383"/>
      <c r="G735" s="384"/>
      <c r="H735" s="238"/>
      <c r="I735" s="238"/>
      <c r="J735" s="385"/>
      <c r="K735" s="238"/>
      <c r="L735" s="238"/>
      <c r="M735" s="238"/>
      <c r="N735" s="386"/>
      <c r="O735" s="387"/>
      <c r="P735" s="385"/>
      <c r="Q735" s="386"/>
      <c r="R735" s="384"/>
      <c r="S735" s="266"/>
      <c r="T735" s="266"/>
      <c r="U735" s="266"/>
      <c r="V735" s="267"/>
      <c r="W735" s="391"/>
      <c r="X735" s="392"/>
    </row>
    <row r="736" spans="1:24">
      <c r="A736" s="361"/>
      <c r="B736" s="361"/>
      <c r="C736" s="362"/>
      <c r="D736" s="361"/>
      <c r="E736" s="361"/>
      <c r="F736" s="383"/>
      <c r="G736" s="384"/>
      <c r="H736" s="238"/>
      <c r="I736" s="238"/>
      <c r="J736" s="385"/>
      <c r="K736" s="238"/>
      <c r="L736" s="238"/>
      <c r="M736" s="238"/>
      <c r="N736" s="386"/>
      <c r="O736" s="387"/>
      <c r="P736" s="385"/>
      <c r="Q736" s="386"/>
      <c r="R736" s="384"/>
      <c r="S736" s="266"/>
      <c r="T736" s="266"/>
      <c r="U736" s="266"/>
      <c r="V736" s="267"/>
      <c r="W736" s="391"/>
      <c r="X736" s="392"/>
    </row>
    <row r="737" spans="1:24">
      <c r="A737" s="361"/>
      <c r="B737" s="361"/>
      <c r="C737" s="362"/>
      <c r="D737" s="361"/>
      <c r="E737" s="361"/>
      <c r="F737" s="383"/>
      <c r="G737" s="384"/>
      <c r="H737" s="238"/>
      <c r="I737" s="238"/>
      <c r="J737" s="385"/>
      <c r="K737" s="238"/>
      <c r="L737" s="238"/>
      <c r="M737" s="238"/>
      <c r="N737" s="386"/>
      <c r="O737" s="387"/>
      <c r="P737" s="385"/>
      <c r="Q737" s="386"/>
      <c r="R737" s="384"/>
      <c r="S737" s="266"/>
      <c r="T737" s="266"/>
      <c r="U737" s="266"/>
      <c r="V737" s="267"/>
      <c r="W737" s="391"/>
      <c r="X737" s="392"/>
    </row>
    <row r="738" spans="1:24">
      <c r="A738" s="361"/>
      <c r="B738" s="361"/>
      <c r="C738" s="362"/>
      <c r="D738" s="361"/>
      <c r="E738" s="361"/>
      <c r="F738" s="383"/>
      <c r="G738" s="384"/>
      <c r="H738" s="238"/>
      <c r="I738" s="238"/>
      <c r="J738" s="385"/>
      <c r="K738" s="238"/>
      <c r="L738" s="238"/>
      <c r="M738" s="238"/>
      <c r="N738" s="386"/>
      <c r="O738" s="387"/>
      <c r="P738" s="385"/>
      <c r="Q738" s="386"/>
      <c r="R738" s="384"/>
      <c r="S738" s="266"/>
      <c r="T738" s="266"/>
      <c r="U738" s="266"/>
      <c r="V738" s="267"/>
      <c r="W738" s="391"/>
      <c r="X738" s="392"/>
    </row>
    <row r="739" spans="1:24">
      <c r="A739" s="361"/>
      <c r="B739" s="361"/>
      <c r="C739" s="362"/>
      <c r="D739" s="361"/>
      <c r="E739" s="361"/>
      <c r="F739" s="383"/>
      <c r="G739" s="384"/>
      <c r="H739" s="238"/>
      <c r="I739" s="238"/>
      <c r="J739" s="385"/>
      <c r="K739" s="238"/>
      <c r="L739" s="238"/>
      <c r="M739" s="238"/>
      <c r="N739" s="386"/>
      <c r="O739" s="387"/>
      <c r="P739" s="385"/>
      <c r="Q739" s="386"/>
      <c r="R739" s="384"/>
      <c r="S739" s="266"/>
      <c r="T739" s="266"/>
      <c r="U739" s="266"/>
      <c r="V739" s="267"/>
      <c r="W739" s="391"/>
      <c r="X739" s="392"/>
    </row>
    <row r="740" spans="1:24">
      <c r="A740" s="361"/>
      <c r="B740" s="361"/>
      <c r="C740" s="362"/>
      <c r="D740" s="361"/>
      <c r="E740" s="361"/>
      <c r="F740" s="383"/>
      <c r="G740" s="384"/>
      <c r="H740" s="238"/>
      <c r="I740" s="238"/>
      <c r="J740" s="385"/>
      <c r="K740" s="238"/>
      <c r="L740" s="238"/>
      <c r="M740" s="238"/>
      <c r="N740" s="386"/>
      <c r="O740" s="387"/>
      <c r="P740" s="385"/>
      <c r="Q740" s="386"/>
      <c r="R740" s="384"/>
      <c r="S740" s="266"/>
      <c r="T740" s="266"/>
      <c r="U740" s="266"/>
      <c r="V740" s="267"/>
      <c r="W740" s="391"/>
      <c r="X740" s="392"/>
    </row>
    <row r="741" spans="1:24">
      <c r="A741" s="361"/>
      <c r="B741" s="361"/>
      <c r="C741" s="362"/>
      <c r="D741" s="361"/>
      <c r="E741" s="361"/>
      <c r="F741" s="383"/>
      <c r="G741" s="384"/>
      <c r="H741" s="238"/>
      <c r="I741" s="238"/>
      <c r="J741" s="385"/>
      <c r="K741" s="238"/>
      <c r="L741" s="238"/>
      <c r="M741" s="238"/>
      <c r="N741" s="386"/>
      <c r="O741" s="387"/>
      <c r="P741" s="385"/>
      <c r="Q741" s="386"/>
      <c r="R741" s="384"/>
      <c r="S741" s="266"/>
      <c r="T741" s="266"/>
      <c r="U741" s="266"/>
      <c r="V741" s="267"/>
      <c r="W741" s="391"/>
      <c r="X741" s="392"/>
    </row>
    <row r="742" spans="1:24">
      <c r="A742" s="361"/>
      <c r="B742" s="361"/>
      <c r="C742" s="362"/>
      <c r="D742" s="361"/>
      <c r="E742" s="361"/>
      <c r="F742" s="383"/>
      <c r="G742" s="384"/>
      <c r="H742" s="238"/>
      <c r="I742" s="238"/>
      <c r="J742" s="385"/>
      <c r="K742" s="238"/>
      <c r="L742" s="238"/>
      <c r="M742" s="238"/>
      <c r="N742" s="386"/>
      <c r="O742" s="387"/>
      <c r="P742" s="385"/>
      <c r="Q742" s="386"/>
      <c r="R742" s="384"/>
      <c r="S742" s="266"/>
      <c r="T742" s="266"/>
      <c r="U742" s="266"/>
      <c r="V742" s="267"/>
      <c r="W742" s="391"/>
      <c r="X742" s="392"/>
    </row>
    <row r="743" spans="1:24">
      <c r="A743" s="361"/>
      <c r="B743" s="361"/>
      <c r="C743" s="362"/>
      <c r="D743" s="361"/>
      <c r="E743" s="361"/>
      <c r="F743" s="383"/>
      <c r="G743" s="384"/>
      <c r="H743" s="238"/>
      <c r="I743" s="238"/>
      <c r="J743" s="385"/>
      <c r="K743" s="238"/>
      <c r="L743" s="238"/>
      <c r="M743" s="238"/>
      <c r="N743" s="386"/>
      <c r="O743" s="387"/>
      <c r="P743" s="385"/>
      <c r="Q743" s="386"/>
      <c r="R743" s="384"/>
      <c r="S743" s="266"/>
      <c r="T743" s="266"/>
      <c r="U743" s="266"/>
      <c r="V743" s="267"/>
      <c r="W743" s="391"/>
      <c r="X743" s="392"/>
    </row>
    <row r="744" spans="1:24">
      <c r="A744" s="361"/>
      <c r="B744" s="361"/>
      <c r="C744" s="362"/>
      <c r="D744" s="361"/>
      <c r="E744" s="361"/>
      <c r="F744" s="383"/>
      <c r="G744" s="384"/>
      <c r="H744" s="238"/>
      <c r="I744" s="238"/>
      <c r="J744" s="385"/>
      <c r="K744" s="238"/>
      <c r="L744" s="238"/>
      <c r="M744" s="238"/>
      <c r="N744" s="386"/>
      <c r="O744" s="387"/>
      <c r="P744" s="385"/>
      <c r="Q744" s="386"/>
      <c r="R744" s="384"/>
      <c r="S744" s="266"/>
      <c r="T744" s="266"/>
      <c r="U744" s="266"/>
      <c r="V744" s="267"/>
      <c r="W744" s="391"/>
      <c r="X744" s="392"/>
    </row>
    <row r="745" spans="1:24">
      <c r="A745" s="361"/>
      <c r="B745" s="361"/>
      <c r="C745" s="362"/>
      <c r="D745" s="361"/>
      <c r="E745" s="361"/>
      <c r="F745" s="383"/>
      <c r="G745" s="384"/>
      <c r="H745" s="238"/>
      <c r="I745" s="238"/>
      <c r="J745" s="385"/>
      <c r="K745" s="238"/>
      <c r="L745" s="238"/>
      <c r="M745" s="238"/>
      <c r="N745" s="386"/>
      <c r="O745" s="387"/>
      <c r="P745" s="385"/>
      <c r="Q745" s="386"/>
      <c r="R745" s="384"/>
      <c r="S745" s="266"/>
      <c r="T745" s="266"/>
      <c r="U745" s="266"/>
      <c r="V745" s="267"/>
      <c r="W745" s="391"/>
      <c r="X745" s="392"/>
    </row>
    <row r="746" spans="1:24">
      <c r="A746" s="361"/>
      <c r="B746" s="361"/>
      <c r="C746" s="362"/>
      <c r="D746" s="361"/>
      <c r="E746" s="361"/>
      <c r="F746" s="383"/>
      <c r="G746" s="384"/>
      <c r="H746" s="238"/>
      <c r="I746" s="238"/>
      <c r="J746" s="385"/>
      <c r="K746" s="238"/>
      <c r="L746" s="238"/>
      <c r="M746" s="238"/>
      <c r="N746" s="386"/>
      <c r="O746" s="387"/>
      <c r="P746" s="385"/>
      <c r="Q746" s="386"/>
      <c r="R746" s="384"/>
      <c r="S746" s="266"/>
      <c r="T746" s="266"/>
      <c r="U746" s="266"/>
      <c r="V746" s="267"/>
      <c r="W746" s="391"/>
      <c r="X746" s="392"/>
    </row>
    <row r="747" spans="1:24">
      <c r="A747" s="361"/>
      <c r="B747" s="361"/>
      <c r="C747" s="362"/>
      <c r="D747" s="361"/>
      <c r="E747" s="361"/>
      <c r="F747" s="383"/>
      <c r="G747" s="384"/>
      <c r="H747" s="238"/>
      <c r="I747" s="238"/>
      <c r="J747" s="385"/>
      <c r="K747" s="238"/>
      <c r="L747" s="238"/>
      <c r="M747" s="238"/>
      <c r="N747" s="386"/>
      <c r="O747" s="387"/>
      <c r="P747" s="385"/>
      <c r="Q747" s="386"/>
      <c r="R747" s="384"/>
      <c r="S747" s="266"/>
      <c r="T747" s="266"/>
      <c r="U747" s="266"/>
      <c r="V747" s="267"/>
      <c r="W747" s="391"/>
      <c r="X747" s="392"/>
    </row>
    <row r="748" spans="1:24">
      <c r="A748" s="361"/>
      <c r="B748" s="361"/>
      <c r="C748" s="362"/>
      <c r="D748" s="361"/>
      <c r="E748" s="361"/>
      <c r="F748" s="383"/>
      <c r="G748" s="384"/>
      <c r="H748" s="238"/>
      <c r="I748" s="238"/>
      <c r="J748" s="385"/>
      <c r="K748" s="238"/>
      <c r="L748" s="238"/>
      <c r="M748" s="238"/>
      <c r="N748" s="386"/>
      <c r="O748" s="387"/>
      <c r="P748" s="385"/>
      <c r="Q748" s="386"/>
      <c r="R748" s="384"/>
      <c r="S748" s="266"/>
      <c r="T748" s="266"/>
      <c r="U748" s="266"/>
      <c r="V748" s="267"/>
      <c r="W748" s="391"/>
      <c r="X748" s="392"/>
    </row>
    <row r="749" spans="1:24">
      <c r="A749" s="361"/>
      <c r="B749" s="361"/>
      <c r="C749" s="362"/>
      <c r="D749" s="361"/>
      <c r="E749" s="361"/>
      <c r="F749" s="383"/>
      <c r="G749" s="384"/>
      <c r="H749" s="238"/>
      <c r="I749" s="238"/>
      <c r="J749" s="385"/>
      <c r="K749" s="238"/>
      <c r="L749" s="238"/>
      <c r="M749" s="238"/>
      <c r="N749" s="386"/>
      <c r="O749" s="387"/>
      <c r="P749" s="385"/>
      <c r="Q749" s="386"/>
      <c r="R749" s="384"/>
      <c r="S749" s="266"/>
      <c r="T749" s="266"/>
      <c r="U749" s="266"/>
      <c r="V749" s="267"/>
      <c r="W749" s="391"/>
      <c r="X749" s="392"/>
    </row>
    <row r="750" spans="1:24">
      <c r="A750" s="361"/>
      <c r="B750" s="361"/>
      <c r="C750" s="362"/>
      <c r="D750" s="361"/>
      <c r="E750" s="361"/>
      <c r="F750" s="383"/>
      <c r="G750" s="384"/>
      <c r="H750" s="238"/>
      <c r="I750" s="238"/>
      <c r="J750" s="385"/>
      <c r="K750" s="238"/>
      <c r="L750" s="238"/>
      <c r="M750" s="238"/>
      <c r="N750" s="386"/>
      <c r="O750" s="387"/>
      <c r="P750" s="385"/>
      <c r="Q750" s="386"/>
      <c r="R750" s="384"/>
      <c r="S750" s="266"/>
      <c r="T750" s="266"/>
      <c r="U750" s="266"/>
      <c r="V750" s="267"/>
      <c r="W750" s="391"/>
      <c r="X750" s="392"/>
    </row>
    <row r="751" spans="1:24">
      <c r="A751" s="361"/>
      <c r="B751" s="361"/>
      <c r="C751" s="362"/>
      <c r="D751" s="361"/>
      <c r="E751" s="361"/>
      <c r="F751" s="383"/>
      <c r="G751" s="384"/>
      <c r="H751" s="238"/>
      <c r="I751" s="238"/>
      <c r="J751" s="385"/>
      <c r="K751" s="238"/>
      <c r="L751" s="238"/>
      <c r="M751" s="238"/>
      <c r="N751" s="386"/>
      <c r="O751" s="387"/>
      <c r="P751" s="385"/>
      <c r="Q751" s="386"/>
      <c r="R751" s="384"/>
      <c r="S751" s="266"/>
      <c r="T751" s="266"/>
      <c r="U751" s="266"/>
      <c r="V751" s="267"/>
      <c r="W751" s="391"/>
      <c r="X751" s="392"/>
    </row>
    <row r="752" spans="1:24">
      <c r="A752" s="361"/>
      <c r="B752" s="361"/>
      <c r="C752" s="362"/>
      <c r="D752" s="361"/>
      <c r="E752" s="361"/>
      <c r="F752" s="383"/>
      <c r="G752" s="384"/>
      <c r="H752" s="238"/>
      <c r="I752" s="238"/>
      <c r="J752" s="385"/>
      <c r="K752" s="238"/>
      <c r="L752" s="238"/>
      <c r="M752" s="238"/>
      <c r="N752" s="386"/>
      <c r="O752" s="387"/>
      <c r="P752" s="385"/>
      <c r="Q752" s="386"/>
      <c r="R752" s="384"/>
      <c r="S752" s="266"/>
      <c r="T752" s="266"/>
      <c r="U752" s="266"/>
      <c r="V752" s="267"/>
      <c r="W752" s="391"/>
      <c r="X752" s="392"/>
    </row>
    <row r="753" spans="1:24">
      <c r="A753" s="361"/>
      <c r="B753" s="361"/>
      <c r="C753" s="362"/>
      <c r="D753" s="361"/>
      <c r="E753" s="361"/>
      <c r="F753" s="383"/>
      <c r="G753" s="384"/>
      <c r="H753" s="238"/>
      <c r="I753" s="238"/>
      <c r="J753" s="385"/>
      <c r="K753" s="238"/>
      <c r="L753" s="238"/>
      <c r="M753" s="238"/>
      <c r="N753" s="386"/>
      <c r="O753" s="387"/>
      <c r="P753" s="385"/>
      <c r="Q753" s="386"/>
      <c r="R753" s="384"/>
      <c r="S753" s="266"/>
      <c r="T753" s="266"/>
      <c r="U753" s="266"/>
      <c r="V753" s="267"/>
      <c r="W753" s="391"/>
      <c r="X753" s="392"/>
    </row>
    <row r="754" spans="1:24">
      <c r="A754" s="361"/>
      <c r="B754" s="361"/>
      <c r="C754" s="362"/>
      <c r="D754" s="361"/>
      <c r="E754" s="361"/>
      <c r="F754" s="383"/>
      <c r="G754" s="384"/>
      <c r="H754" s="238"/>
      <c r="I754" s="238"/>
      <c r="J754" s="385"/>
      <c r="K754" s="238"/>
      <c r="L754" s="238"/>
      <c r="M754" s="238"/>
      <c r="N754" s="386"/>
      <c r="O754" s="387"/>
      <c r="P754" s="385"/>
      <c r="Q754" s="386"/>
      <c r="R754" s="384"/>
      <c r="S754" s="266"/>
      <c r="T754" s="266"/>
      <c r="U754" s="266"/>
      <c r="V754" s="267"/>
      <c r="W754" s="391"/>
      <c r="X754" s="392"/>
    </row>
    <row r="755" spans="1:24">
      <c r="A755" s="361"/>
      <c r="B755" s="361"/>
      <c r="C755" s="362"/>
      <c r="D755" s="361"/>
      <c r="E755" s="361"/>
      <c r="F755" s="383"/>
      <c r="G755" s="384"/>
      <c r="H755" s="238"/>
      <c r="I755" s="238"/>
      <c r="J755" s="385"/>
      <c r="K755" s="238"/>
      <c r="L755" s="238"/>
      <c r="M755" s="238"/>
      <c r="N755" s="386"/>
      <c r="O755" s="387"/>
      <c r="P755" s="385"/>
      <c r="Q755" s="386"/>
      <c r="R755" s="384"/>
      <c r="S755" s="266"/>
      <c r="T755" s="266"/>
      <c r="U755" s="266"/>
      <c r="V755" s="267"/>
      <c r="W755" s="391"/>
      <c r="X755" s="392"/>
    </row>
    <row r="756" spans="1:24">
      <c r="A756" s="361"/>
      <c r="B756" s="361"/>
      <c r="C756" s="362"/>
      <c r="D756" s="361"/>
      <c r="E756" s="361"/>
      <c r="F756" s="383"/>
      <c r="G756" s="384"/>
      <c r="H756" s="238"/>
      <c r="I756" s="238"/>
      <c r="J756" s="385"/>
      <c r="K756" s="238"/>
      <c r="L756" s="238"/>
      <c r="M756" s="238"/>
      <c r="N756" s="386"/>
      <c r="O756" s="387"/>
      <c r="P756" s="385"/>
      <c r="Q756" s="386"/>
      <c r="R756" s="384"/>
      <c r="S756" s="266"/>
      <c r="T756" s="266"/>
      <c r="U756" s="266"/>
      <c r="V756" s="267"/>
      <c r="W756" s="391"/>
      <c r="X756" s="392"/>
    </row>
    <row r="757" spans="1:24">
      <c r="A757" s="361"/>
      <c r="B757" s="361"/>
      <c r="C757" s="362"/>
      <c r="D757" s="361"/>
      <c r="E757" s="361"/>
      <c r="F757" s="383"/>
      <c r="G757" s="384"/>
      <c r="H757" s="238"/>
      <c r="I757" s="238"/>
      <c r="J757" s="385"/>
      <c r="K757" s="238"/>
      <c r="L757" s="238"/>
      <c r="M757" s="238"/>
      <c r="N757" s="386"/>
      <c r="O757" s="387"/>
      <c r="P757" s="385"/>
      <c r="Q757" s="386"/>
      <c r="R757" s="384"/>
      <c r="S757" s="266"/>
      <c r="T757" s="266"/>
      <c r="U757" s="266"/>
      <c r="V757" s="267"/>
      <c r="W757" s="391"/>
      <c r="X757" s="392"/>
    </row>
    <row r="758" spans="1:24">
      <c r="A758" s="361"/>
      <c r="B758" s="361"/>
      <c r="C758" s="362"/>
      <c r="D758" s="361"/>
      <c r="E758" s="361"/>
      <c r="F758" s="383"/>
      <c r="G758" s="384"/>
      <c r="H758" s="238"/>
      <c r="I758" s="238"/>
      <c r="J758" s="385"/>
      <c r="K758" s="238"/>
      <c r="L758" s="238"/>
      <c r="M758" s="238"/>
      <c r="N758" s="386"/>
      <c r="O758" s="387"/>
      <c r="P758" s="385"/>
      <c r="Q758" s="386"/>
      <c r="R758" s="384"/>
      <c r="S758" s="266"/>
      <c r="T758" s="266"/>
      <c r="U758" s="266"/>
      <c r="V758" s="267"/>
      <c r="W758" s="391"/>
      <c r="X758" s="392"/>
    </row>
    <row r="759" spans="1:24">
      <c r="A759" s="361"/>
      <c r="B759" s="361"/>
      <c r="C759" s="362"/>
      <c r="D759" s="361"/>
      <c r="E759" s="361"/>
      <c r="F759" s="383"/>
      <c r="G759" s="384"/>
      <c r="H759" s="238"/>
      <c r="I759" s="238"/>
      <c r="J759" s="385"/>
      <c r="K759" s="238"/>
      <c r="L759" s="238"/>
      <c r="M759" s="238"/>
      <c r="N759" s="386"/>
      <c r="O759" s="387"/>
      <c r="P759" s="385"/>
      <c r="Q759" s="386"/>
      <c r="R759" s="384"/>
      <c r="S759" s="266"/>
      <c r="T759" s="266"/>
      <c r="U759" s="266"/>
      <c r="V759" s="267"/>
      <c r="W759" s="391"/>
      <c r="X759" s="392"/>
    </row>
    <row r="760" spans="1:24">
      <c r="A760" s="361"/>
      <c r="B760" s="361"/>
      <c r="C760" s="362"/>
      <c r="D760" s="361"/>
      <c r="E760" s="361"/>
      <c r="F760" s="383"/>
      <c r="G760" s="384"/>
      <c r="H760" s="238"/>
      <c r="I760" s="238"/>
      <c r="J760" s="385"/>
      <c r="K760" s="238"/>
      <c r="L760" s="238"/>
      <c r="M760" s="238"/>
      <c r="N760" s="386"/>
      <c r="O760" s="387"/>
      <c r="P760" s="385"/>
      <c r="Q760" s="386"/>
      <c r="R760" s="384"/>
      <c r="S760" s="266"/>
      <c r="T760" s="266"/>
      <c r="U760" s="266"/>
      <c r="V760" s="267"/>
      <c r="W760" s="391"/>
      <c r="X760" s="392"/>
    </row>
    <row r="761" spans="1:24">
      <c r="A761" s="361"/>
      <c r="B761" s="361"/>
      <c r="C761" s="362"/>
      <c r="D761" s="361"/>
      <c r="E761" s="361"/>
      <c r="F761" s="383"/>
      <c r="G761" s="384"/>
      <c r="H761" s="238"/>
      <c r="I761" s="238"/>
      <c r="J761" s="385"/>
      <c r="K761" s="238"/>
      <c r="L761" s="238"/>
      <c r="M761" s="238"/>
      <c r="N761" s="386"/>
      <c r="O761" s="387"/>
      <c r="P761" s="385"/>
      <c r="Q761" s="386"/>
      <c r="R761" s="384"/>
      <c r="S761" s="266"/>
      <c r="T761" s="266"/>
      <c r="U761" s="266"/>
      <c r="V761" s="267"/>
      <c r="W761" s="391"/>
      <c r="X761" s="392"/>
    </row>
    <row r="762" spans="1:24">
      <c r="A762" s="361"/>
      <c r="B762" s="361"/>
      <c r="C762" s="362"/>
      <c r="D762" s="361"/>
      <c r="E762" s="361"/>
      <c r="F762" s="383"/>
      <c r="G762" s="384"/>
      <c r="H762" s="238"/>
      <c r="I762" s="238"/>
      <c r="J762" s="385"/>
      <c r="K762" s="238"/>
      <c r="L762" s="238"/>
      <c r="M762" s="238"/>
      <c r="N762" s="386"/>
      <c r="O762" s="387"/>
      <c r="P762" s="385"/>
      <c r="Q762" s="386"/>
      <c r="R762" s="384"/>
      <c r="S762" s="266"/>
      <c r="T762" s="266"/>
      <c r="U762" s="266"/>
      <c r="V762" s="267"/>
      <c r="W762" s="391"/>
      <c r="X762" s="392"/>
    </row>
    <row r="763" spans="1:24">
      <c r="A763" s="361"/>
      <c r="B763" s="361"/>
      <c r="C763" s="362"/>
      <c r="D763" s="361"/>
      <c r="E763" s="361"/>
      <c r="F763" s="383"/>
      <c r="G763" s="384"/>
      <c r="H763" s="238"/>
      <c r="I763" s="238"/>
      <c r="J763" s="385"/>
      <c r="K763" s="238"/>
      <c r="L763" s="238"/>
      <c r="M763" s="238"/>
      <c r="N763" s="386"/>
      <c r="O763" s="387"/>
      <c r="P763" s="385"/>
      <c r="Q763" s="386"/>
      <c r="R763" s="384"/>
      <c r="S763" s="266"/>
      <c r="T763" s="266"/>
      <c r="U763" s="266"/>
      <c r="V763" s="267"/>
      <c r="W763" s="391"/>
      <c r="X763" s="392"/>
    </row>
    <row r="764" spans="1:24">
      <c r="A764" s="361"/>
      <c r="B764" s="361"/>
      <c r="C764" s="362"/>
      <c r="D764" s="361"/>
      <c r="E764" s="361"/>
      <c r="F764" s="383"/>
      <c r="G764" s="384"/>
      <c r="H764" s="238"/>
      <c r="I764" s="238"/>
      <c r="J764" s="385"/>
      <c r="K764" s="238"/>
      <c r="L764" s="238"/>
      <c r="M764" s="238"/>
      <c r="N764" s="386"/>
      <c r="O764" s="387"/>
      <c r="P764" s="385"/>
      <c r="Q764" s="386"/>
      <c r="R764" s="384"/>
      <c r="S764" s="266"/>
      <c r="T764" s="266"/>
      <c r="U764" s="266"/>
      <c r="V764" s="267"/>
      <c r="W764" s="391"/>
      <c r="X764" s="392"/>
    </row>
    <row r="765" spans="1:24">
      <c r="A765" s="361"/>
      <c r="B765" s="361"/>
      <c r="C765" s="362"/>
      <c r="D765" s="361"/>
      <c r="E765" s="361"/>
      <c r="F765" s="383"/>
      <c r="G765" s="384"/>
      <c r="H765" s="238"/>
      <c r="I765" s="238"/>
      <c r="J765" s="385"/>
      <c r="K765" s="238"/>
      <c r="L765" s="238"/>
      <c r="M765" s="238"/>
      <c r="N765" s="386"/>
      <c r="O765" s="387"/>
      <c r="P765" s="385"/>
      <c r="Q765" s="386"/>
      <c r="R765" s="384"/>
      <c r="S765" s="266"/>
      <c r="T765" s="266"/>
      <c r="U765" s="266"/>
      <c r="V765" s="267"/>
      <c r="W765" s="391"/>
      <c r="X765" s="392"/>
    </row>
    <row r="766" spans="1:24">
      <c r="A766" s="361"/>
      <c r="B766" s="361"/>
      <c r="C766" s="362"/>
      <c r="D766" s="361"/>
      <c r="E766" s="361"/>
      <c r="F766" s="383"/>
      <c r="G766" s="384"/>
      <c r="H766" s="238"/>
      <c r="I766" s="238"/>
      <c r="J766" s="385"/>
      <c r="K766" s="238"/>
      <c r="L766" s="238"/>
      <c r="M766" s="238"/>
      <c r="N766" s="386"/>
      <c r="O766" s="387"/>
      <c r="P766" s="385"/>
      <c r="Q766" s="386"/>
      <c r="R766" s="384"/>
      <c r="S766" s="266"/>
      <c r="T766" s="266"/>
      <c r="U766" s="266"/>
      <c r="V766" s="267"/>
      <c r="W766" s="391"/>
      <c r="X766" s="392"/>
    </row>
    <row r="767" spans="1:24">
      <c r="A767" s="361"/>
      <c r="B767" s="361"/>
      <c r="C767" s="362"/>
      <c r="D767" s="361"/>
      <c r="E767" s="361"/>
      <c r="F767" s="383"/>
      <c r="G767" s="384"/>
      <c r="H767" s="238"/>
      <c r="I767" s="238"/>
      <c r="J767" s="385"/>
      <c r="K767" s="238"/>
      <c r="L767" s="238"/>
      <c r="M767" s="238"/>
      <c r="N767" s="386"/>
      <c r="O767" s="387"/>
      <c r="P767" s="385"/>
      <c r="Q767" s="386"/>
      <c r="R767" s="384"/>
      <c r="S767" s="266"/>
      <c r="T767" s="266"/>
      <c r="U767" s="266"/>
      <c r="V767" s="267"/>
      <c r="W767" s="391"/>
      <c r="X767" s="392"/>
    </row>
    <row r="768" spans="1:24">
      <c r="A768" s="361"/>
      <c r="B768" s="361"/>
      <c r="C768" s="362"/>
      <c r="D768" s="361"/>
      <c r="E768" s="361"/>
      <c r="F768" s="383"/>
      <c r="G768" s="384"/>
      <c r="H768" s="238"/>
      <c r="I768" s="238"/>
      <c r="J768" s="385"/>
      <c r="K768" s="238"/>
      <c r="L768" s="238"/>
      <c r="M768" s="238"/>
      <c r="N768" s="386"/>
      <c r="O768" s="387"/>
      <c r="P768" s="385"/>
      <c r="Q768" s="386"/>
      <c r="R768" s="384"/>
      <c r="S768" s="266"/>
      <c r="T768" s="266"/>
      <c r="U768" s="266"/>
      <c r="V768" s="267"/>
      <c r="W768" s="391"/>
      <c r="X768" s="392"/>
    </row>
    <row r="769" spans="1:24">
      <c r="A769" s="361"/>
      <c r="B769" s="361"/>
      <c r="C769" s="362"/>
      <c r="D769" s="361"/>
      <c r="E769" s="361"/>
      <c r="F769" s="383"/>
      <c r="G769" s="384"/>
      <c r="H769" s="238"/>
      <c r="I769" s="238"/>
      <c r="J769" s="385"/>
      <c r="K769" s="238"/>
      <c r="L769" s="238"/>
      <c r="M769" s="238"/>
      <c r="N769" s="386"/>
      <c r="O769" s="387"/>
      <c r="P769" s="385"/>
      <c r="Q769" s="386"/>
      <c r="R769" s="384"/>
      <c r="S769" s="266"/>
      <c r="T769" s="266"/>
      <c r="U769" s="266"/>
      <c r="V769" s="267"/>
      <c r="W769" s="391"/>
      <c r="X769" s="392"/>
    </row>
    <row r="770" spans="1:24">
      <c r="A770" s="361"/>
      <c r="B770" s="361"/>
      <c r="C770" s="362"/>
      <c r="D770" s="361"/>
      <c r="E770" s="361"/>
      <c r="F770" s="383"/>
      <c r="G770" s="384"/>
      <c r="H770" s="238"/>
      <c r="I770" s="238"/>
      <c r="J770" s="385"/>
      <c r="K770" s="238"/>
      <c r="L770" s="238"/>
      <c r="M770" s="238"/>
      <c r="N770" s="386"/>
      <c r="O770" s="387"/>
      <c r="P770" s="385"/>
      <c r="Q770" s="386"/>
      <c r="R770" s="384"/>
      <c r="S770" s="266"/>
      <c r="T770" s="266"/>
      <c r="U770" s="266"/>
      <c r="V770" s="267"/>
      <c r="W770" s="391"/>
      <c r="X770" s="392"/>
    </row>
    <row r="771" spans="1:24">
      <c r="A771" s="361"/>
      <c r="B771" s="361"/>
      <c r="C771" s="362"/>
      <c r="D771" s="361"/>
      <c r="E771" s="361"/>
      <c r="F771" s="383"/>
      <c r="G771" s="384"/>
      <c r="H771" s="238"/>
      <c r="I771" s="238"/>
      <c r="J771" s="385"/>
      <c r="K771" s="238"/>
      <c r="L771" s="238"/>
      <c r="M771" s="238"/>
      <c r="N771" s="386"/>
      <c r="O771" s="387"/>
      <c r="P771" s="385"/>
      <c r="Q771" s="386"/>
      <c r="R771" s="384"/>
      <c r="S771" s="266"/>
      <c r="T771" s="266"/>
      <c r="U771" s="266"/>
      <c r="V771" s="267"/>
      <c r="W771" s="391"/>
      <c r="X771" s="392"/>
    </row>
    <row r="772" spans="1:24">
      <c r="A772" s="361"/>
      <c r="B772" s="361"/>
      <c r="C772" s="362"/>
      <c r="D772" s="361"/>
      <c r="E772" s="361"/>
      <c r="F772" s="383"/>
      <c r="G772" s="384"/>
      <c r="H772" s="238"/>
      <c r="I772" s="238"/>
      <c r="J772" s="385"/>
      <c r="K772" s="238"/>
      <c r="L772" s="238"/>
      <c r="M772" s="238"/>
      <c r="N772" s="386"/>
      <c r="O772" s="387"/>
      <c r="P772" s="385"/>
      <c r="Q772" s="386"/>
      <c r="R772" s="384"/>
      <c r="S772" s="266"/>
      <c r="T772" s="266"/>
      <c r="U772" s="266"/>
      <c r="V772" s="267"/>
      <c r="W772" s="391"/>
      <c r="X772" s="392"/>
    </row>
    <row r="773" spans="1:24">
      <c r="A773" s="361"/>
      <c r="B773" s="361"/>
      <c r="C773" s="362"/>
      <c r="D773" s="361"/>
      <c r="E773" s="361"/>
      <c r="F773" s="383"/>
      <c r="G773" s="384"/>
      <c r="H773" s="238"/>
      <c r="I773" s="238"/>
      <c r="J773" s="385"/>
      <c r="K773" s="238"/>
      <c r="L773" s="238"/>
      <c r="M773" s="238"/>
      <c r="N773" s="386"/>
      <c r="O773" s="387"/>
      <c r="P773" s="385"/>
      <c r="Q773" s="386"/>
      <c r="R773" s="384"/>
      <c r="S773" s="266"/>
      <c r="T773" s="266"/>
      <c r="U773" s="266"/>
      <c r="V773" s="267"/>
      <c r="W773" s="391"/>
      <c r="X773" s="392"/>
    </row>
    <row r="774" spans="1:24">
      <c r="A774" s="361"/>
      <c r="B774" s="361"/>
      <c r="C774" s="362"/>
      <c r="D774" s="361"/>
      <c r="E774" s="361"/>
      <c r="F774" s="383"/>
      <c r="G774" s="384"/>
      <c r="H774" s="238"/>
      <c r="I774" s="238"/>
      <c r="J774" s="385"/>
      <c r="K774" s="238"/>
      <c r="L774" s="238"/>
      <c r="M774" s="238"/>
      <c r="N774" s="386"/>
      <c r="O774" s="387"/>
      <c r="P774" s="385"/>
      <c r="Q774" s="386"/>
      <c r="R774" s="384"/>
      <c r="S774" s="266"/>
      <c r="T774" s="266"/>
      <c r="U774" s="266"/>
      <c r="V774" s="267"/>
      <c r="W774" s="391"/>
      <c r="X774" s="392"/>
    </row>
    <row r="775" spans="1:24">
      <c r="A775" s="361"/>
      <c r="B775" s="361"/>
      <c r="C775" s="362"/>
      <c r="D775" s="361"/>
      <c r="E775" s="361"/>
      <c r="F775" s="383"/>
      <c r="G775" s="384"/>
      <c r="H775" s="238"/>
      <c r="I775" s="238"/>
      <c r="J775" s="385"/>
      <c r="K775" s="238"/>
      <c r="L775" s="238"/>
      <c r="M775" s="238"/>
      <c r="N775" s="386"/>
      <c r="O775" s="387"/>
      <c r="P775" s="385"/>
      <c r="Q775" s="386"/>
      <c r="R775" s="384"/>
      <c r="S775" s="266"/>
      <c r="T775" s="266"/>
      <c r="U775" s="266"/>
      <c r="V775" s="267"/>
      <c r="W775" s="391"/>
      <c r="X775" s="392"/>
    </row>
    <row r="776" spans="1:24">
      <c r="A776" s="361"/>
      <c r="B776" s="361"/>
      <c r="C776" s="362"/>
      <c r="D776" s="361"/>
      <c r="E776" s="361"/>
      <c r="F776" s="383"/>
      <c r="G776" s="384"/>
      <c r="H776" s="238"/>
      <c r="I776" s="238"/>
      <c r="J776" s="385"/>
      <c r="K776" s="238"/>
      <c r="L776" s="238"/>
      <c r="M776" s="238"/>
      <c r="N776" s="386"/>
      <c r="O776" s="387"/>
      <c r="P776" s="385"/>
      <c r="Q776" s="386"/>
      <c r="R776" s="384"/>
      <c r="S776" s="266"/>
      <c r="T776" s="266"/>
      <c r="U776" s="266"/>
      <c r="V776" s="267"/>
      <c r="W776" s="391"/>
      <c r="X776" s="392"/>
    </row>
    <row r="777" spans="1:24">
      <c r="A777" s="361"/>
      <c r="B777" s="361"/>
      <c r="C777" s="362"/>
      <c r="D777" s="361"/>
      <c r="E777" s="361"/>
      <c r="F777" s="383"/>
      <c r="G777" s="384"/>
      <c r="H777" s="238"/>
      <c r="I777" s="238"/>
      <c r="J777" s="385"/>
      <c r="K777" s="238"/>
      <c r="L777" s="238"/>
      <c r="M777" s="238"/>
      <c r="N777" s="386"/>
      <c r="O777" s="387"/>
      <c r="P777" s="385"/>
      <c r="Q777" s="386"/>
      <c r="R777" s="384"/>
      <c r="S777" s="266"/>
      <c r="T777" s="266"/>
      <c r="U777" s="266"/>
      <c r="V777" s="267"/>
      <c r="W777" s="391"/>
      <c r="X777" s="392"/>
    </row>
    <row r="778" spans="1:24">
      <c r="A778" s="361"/>
      <c r="B778" s="361"/>
      <c r="C778" s="362"/>
      <c r="D778" s="361"/>
      <c r="E778" s="361"/>
      <c r="F778" s="383"/>
      <c r="G778" s="384"/>
      <c r="H778" s="238"/>
      <c r="I778" s="238"/>
      <c r="J778" s="385"/>
      <c r="K778" s="238"/>
      <c r="L778" s="238"/>
      <c r="M778" s="238"/>
      <c r="N778" s="386"/>
      <c r="O778" s="387"/>
      <c r="P778" s="385"/>
      <c r="Q778" s="386"/>
      <c r="R778" s="384"/>
      <c r="S778" s="266"/>
      <c r="T778" s="266"/>
      <c r="U778" s="266"/>
      <c r="V778" s="267"/>
      <c r="W778" s="391"/>
      <c r="X778" s="392"/>
    </row>
    <row r="779" spans="1:24">
      <c r="A779" s="361"/>
      <c r="B779" s="361"/>
      <c r="C779" s="362"/>
      <c r="D779" s="361"/>
      <c r="E779" s="361"/>
      <c r="F779" s="383"/>
      <c r="G779" s="384"/>
      <c r="H779" s="238"/>
      <c r="I779" s="238"/>
      <c r="J779" s="385"/>
      <c r="K779" s="238"/>
      <c r="L779" s="238"/>
      <c r="M779" s="238"/>
      <c r="N779" s="386"/>
      <c r="O779" s="387"/>
      <c r="P779" s="385"/>
      <c r="Q779" s="386"/>
      <c r="R779" s="384"/>
      <c r="S779" s="266"/>
      <c r="T779" s="266"/>
      <c r="U779" s="266"/>
      <c r="V779" s="267"/>
      <c r="W779" s="391"/>
      <c r="X779" s="392"/>
    </row>
    <row r="780" spans="1:24">
      <c r="A780" s="361"/>
      <c r="B780" s="361"/>
      <c r="C780" s="362"/>
      <c r="D780" s="361"/>
      <c r="E780" s="361"/>
      <c r="F780" s="383"/>
      <c r="G780" s="384"/>
      <c r="H780" s="238"/>
      <c r="I780" s="238"/>
      <c r="J780" s="385"/>
      <c r="K780" s="238"/>
      <c r="L780" s="238"/>
      <c r="M780" s="238"/>
      <c r="N780" s="386"/>
      <c r="O780" s="387"/>
      <c r="P780" s="385"/>
      <c r="Q780" s="386"/>
      <c r="R780" s="384"/>
      <c r="S780" s="266"/>
      <c r="T780" s="266"/>
      <c r="U780" s="266"/>
      <c r="V780" s="267"/>
      <c r="W780" s="391"/>
      <c r="X780" s="392"/>
    </row>
    <row r="781" spans="1:24">
      <c r="A781" s="361"/>
      <c r="B781" s="361"/>
      <c r="C781" s="362"/>
      <c r="D781" s="361"/>
      <c r="E781" s="361"/>
      <c r="F781" s="383"/>
      <c r="G781" s="384"/>
      <c r="H781" s="238"/>
      <c r="I781" s="238"/>
      <c r="J781" s="385"/>
      <c r="K781" s="238"/>
      <c r="L781" s="238"/>
      <c r="M781" s="238"/>
      <c r="N781" s="386"/>
      <c r="O781" s="387"/>
      <c r="P781" s="385"/>
      <c r="Q781" s="386"/>
      <c r="R781" s="384"/>
      <c r="S781" s="266"/>
      <c r="T781" s="266"/>
      <c r="U781" s="266"/>
      <c r="V781" s="267"/>
      <c r="W781" s="391"/>
      <c r="X781" s="392"/>
    </row>
    <row r="782" spans="1:24">
      <c r="A782" s="361"/>
      <c r="B782" s="361"/>
      <c r="C782" s="362"/>
      <c r="D782" s="361"/>
      <c r="E782" s="361"/>
      <c r="F782" s="383"/>
      <c r="G782" s="384"/>
      <c r="H782" s="238"/>
      <c r="I782" s="238"/>
      <c r="J782" s="385"/>
      <c r="K782" s="238"/>
      <c r="L782" s="238"/>
      <c r="M782" s="238"/>
      <c r="N782" s="386"/>
      <c r="O782" s="387"/>
      <c r="P782" s="385"/>
      <c r="Q782" s="386"/>
      <c r="R782" s="384"/>
      <c r="S782" s="266"/>
      <c r="T782" s="266"/>
      <c r="U782" s="266"/>
      <c r="V782" s="267"/>
      <c r="W782" s="391"/>
      <c r="X782" s="392"/>
    </row>
    <row r="783" spans="1:24">
      <c r="A783" s="361"/>
      <c r="B783" s="361"/>
      <c r="C783" s="362"/>
      <c r="D783" s="361"/>
      <c r="E783" s="361"/>
      <c r="F783" s="383"/>
      <c r="G783" s="384"/>
      <c r="H783" s="238"/>
      <c r="I783" s="238"/>
      <c r="J783" s="385"/>
      <c r="K783" s="238"/>
      <c r="L783" s="238"/>
      <c r="M783" s="238"/>
      <c r="N783" s="386"/>
      <c r="O783" s="387"/>
      <c r="P783" s="385"/>
      <c r="Q783" s="386"/>
      <c r="R783" s="384"/>
      <c r="S783" s="266"/>
      <c r="T783" s="266"/>
      <c r="U783" s="266"/>
      <c r="V783" s="267"/>
      <c r="W783" s="391"/>
      <c r="X783" s="392"/>
    </row>
    <row r="784" spans="1:24">
      <c r="A784" s="361"/>
      <c r="B784" s="361"/>
      <c r="C784" s="362"/>
      <c r="D784" s="361"/>
      <c r="E784" s="361"/>
      <c r="F784" s="383"/>
      <c r="G784" s="384"/>
      <c r="H784" s="238"/>
      <c r="I784" s="238"/>
      <c r="J784" s="385"/>
      <c r="K784" s="238"/>
      <c r="L784" s="238"/>
      <c r="M784" s="238"/>
      <c r="N784" s="386"/>
      <c r="O784" s="387"/>
      <c r="P784" s="385"/>
      <c r="Q784" s="386"/>
      <c r="R784" s="384"/>
      <c r="S784" s="266"/>
      <c r="T784" s="266"/>
      <c r="U784" s="266"/>
      <c r="V784" s="267"/>
      <c r="W784" s="391"/>
      <c r="X784" s="392"/>
    </row>
    <row r="785" spans="1:24">
      <c r="A785" s="361"/>
      <c r="B785" s="361"/>
      <c r="C785" s="362"/>
      <c r="D785" s="361"/>
      <c r="E785" s="361"/>
      <c r="F785" s="383"/>
      <c r="G785" s="384"/>
      <c r="H785" s="238"/>
      <c r="I785" s="238"/>
      <c r="J785" s="385"/>
      <c r="K785" s="238"/>
      <c r="L785" s="238"/>
      <c r="M785" s="238"/>
      <c r="N785" s="386"/>
      <c r="O785" s="387"/>
      <c r="P785" s="385"/>
      <c r="Q785" s="386"/>
      <c r="R785" s="384"/>
      <c r="S785" s="266"/>
      <c r="T785" s="266"/>
      <c r="U785" s="266"/>
      <c r="V785" s="267"/>
      <c r="W785" s="391"/>
      <c r="X785" s="392"/>
    </row>
    <row r="786" spans="1:24">
      <c r="A786" s="361"/>
      <c r="B786" s="361"/>
      <c r="C786" s="362"/>
      <c r="D786" s="361"/>
      <c r="E786" s="361"/>
      <c r="F786" s="383"/>
      <c r="G786" s="384"/>
      <c r="H786" s="238"/>
      <c r="I786" s="238"/>
      <c r="J786" s="385"/>
      <c r="K786" s="238"/>
      <c r="L786" s="238"/>
      <c r="M786" s="238"/>
      <c r="N786" s="386"/>
      <c r="O786" s="387"/>
      <c r="P786" s="385"/>
      <c r="Q786" s="386"/>
      <c r="R786" s="384"/>
      <c r="S786" s="266"/>
      <c r="T786" s="266"/>
      <c r="U786" s="266"/>
      <c r="V786" s="267"/>
      <c r="W786" s="391"/>
      <c r="X786" s="392"/>
    </row>
    <row r="787" spans="1:24">
      <c r="A787" s="361"/>
      <c r="B787" s="361"/>
      <c r="C787" s="362"/>
      <c r="D787" s="361"/>
      <c r="E787" s="361"/>
      <c r="F787" s="383"/>
      <c r="G787" s="384"/>
      <c r="H787" s="238"/>
      <c r="I787" s="238"/>
      <c r="J787" s="385"/>
      <c r="K787" s="238"/>
      <c r="L787" s="238"/>
      <c r="M787" s="238"/>
      <c r="N787" s="386"/>
      <c r="O787" s="387"/>
      <c r="P787" s="385"/>
      <c r="Q787" s="386"/>
      <c r="R787" s="384"/>
      <c r="S787" s="266"/>
      <c r="T787" s="266"/>
      <c r="U787" s="266"/>
      <c r="V787" s="267"/>
      <c r="W787" s="391"/>
      <c r="X787" s="392"/>
    </row>
    <row r="788" spans="1:24">
      <c r="A788" s="361"/>
      <c r="B788" s="361"/>
      <c r="C788" s="362"/>
      <c r="D788" s="361"/>
      <c r="E788" s="361"/>
      <c r="F788" s="383"/>
      <c r="G788" s="384"/>
      <c r="H788" s="238"/>
      <c r="I788" s="238"/>
      <c r="J788" s="385"/>
      <c r="K788" s="238"/>
      <c r="L788" s="238"/>
      <c r="M788" s="238"/>
      <c r="N788" s="386"/>
      <c r="O788" s="387"/>
      <c r="P788" s="385"/>
      <c r="Q788" s="386"/>
      <c r="R788" s="384"/>
      <c r="S788" s="266"/>
      <c r="T788" s="266"/>
      <c r="U788" s="266"/>
      <c r="V788" s="267"/>
      <c r="W788" s="391"/>
      <c r="X788" s="392"/>
    </row>
    <row r="789" spans="1:24">
      <c r="A789" s="361"/>
      <c r="B789" s="361"/>
      <c r="C789" s="362"/>
      <c r="D789" s="361"/>
      <c r="E789" s="361"/>
      <c r="F789" s="383"/>
      <c r="G789" s="384"/>
      <c r="H789" s="238"/>
      <c r="I789" s="238"/>
      <c r="J789" s="385"/>
      <c r="K789" s="238"/>
      <c r="L789" s="238"/>
      <c r="M789" s="238"/>
      <c r="N789" s="386"/>
      <c r="O789" s="387"/>
      <c r="P789" s="385"/>
      <c r="Q789" s="386"/>
      <c r="R789" s="384"/>
      <c r="S789" s="266"/>
      <c r="T789" s="266"/>
      <c r="U789" s="266"/>
      <c r="V789" s="267"/>
      <c r="W789" s="391"/>
      <c r="X789" s="392"/>
    </row>
    <row r="790" spans="1:24">
      <c r="A790" s="361"/>
      <c r="B790" s="361"/>
      <c r="C790" s="362"/>
      <c r="D790" s="361"/>
      <c r="E790" s="361"/>
      <c r="F790" s="383"/>
      <c r="G790" s="384"/>
      <c r="H790" s="238"/>
      <c r="I790" s="238"/>
      <c r="J790" s="385"/>
      <c r="K790" s="238"/>
      <c r="L790" s="238"/>
      <c r="M790" s="238"/>
      <c r="N790" s="386"/>
      <c r="O790" s="387"/>
      <c r="P790" s="385"/>
      <c r="Q790" s="386"/>
      <c r="R790" s="384"/>
      <c r="S790" s="266"/>
      <c r="T790" s="266"/>
      <c r="U790" s="266"/>
      <c r="V790" s="267"/>
      <c r="W790" s="391"/>
      <c r="X790" s="392"/>
    </row>
    <row r="791" spans="1:24">
      <c r="A791" s="361"/>
      <c r="B791" s="361"/>
      <c r="C791" s="362"/>
      <c r="D791" s="361"/>
      <c r="E791" s="361"/>
      <c r="F791" s="383"/>
      <c r="G791" s="384"/>
      <c r="H791" s="238"/>
      <c r="I791" s="238"/>
      <c r="J791" s="385"/>
      <c r="K791" s="238"/>
      <c r="L791" s="238"/>
      <c r="M791" s="238"/>
      <c r="N791" s="386"/>
      <c r="O791" s="387"/>
      <c r="P791" s="385"/>
      <c r="Q791" s="386"/>
      <c r="R791" s="384"/>
      <c r="S791" s="266"/>
      <c r="T791" s="266"/>
      <c r="U791" s="266"/>
      <c r="V791" s="267"/>
      <c r="W791" s="391"/>
      <c r="X791" s="392"/>
    </row>
    <row r="792" spans="1:24">
      <c r="A792" s="361"/>
      <c r="B792" s="361"/>
      <c r="C792" s="362"/>
      <c r="D792" s="361"/>
      <c r="E792" s="361"/>
      <c r="F792" s="383"/>
      <c r="G792" s="384"/>
      <c r="H792" s="238"/>
      <c r="I792" s="238"/>
      <c r="J792" s="385"/>
      <c r="K792" s="238"/>
      <c r="L792" s="238"/>
      <c r="M792" s="238"/>
      <c r="N792" s="386"/>
      <c r="O792" s="387"/>
      <c r="P792" s="385"/>
      <c r="Q792" s="386"/>
      <c r="R792" s="384"/>
      <c r="S792" s="266"/>
      <c r="T792" s="266"/>
      <c r="U792" s="266"/>
      <c r="V792" s="267"/>
      <c r="W792" s="391"/>
      <c r="X792" s="392"/>
    </row>
    <row r="793" spans="1:24">
      <c r="A793" s="361"/>
      <c r="B793" s="361"/>
      <c r="C793" s="362"/>
      <c r="D793" s="361"/>
      <c r="E793" s="361"/>
      <c r="F793" s="383"/>
      <c r="G793" s="384"/>
      <c r="H793" s="238"/>
      <c r="I793" s="238"/>
      <c r="J793" s="385"/>
      <c r="K793" s="238"/>
      <c r="L793" s="238"/>
      <c r="M793" s="238"/>
      <c r="N793" s="386"/>
      <c r="O793" s="387"/>
      <c r="P793" s="385"/>
      <c r="Q793" s="386"/>
      <c r="R793" s="384"/>
      <c r="S793" s="266"/>
      <c r="T793" s="266"/>
      <c r="U793" s="266"/>
      <c r="V793" s="267"/>
      <c r="W793" s="391"/>
      <c r="X793" s="392"/>
    </row>
    <row r="794" spans="1:24">
      <c r="A794" s="361"/>
      <c r="B794" s="361"/>
      <c r="C794" s="362"/>
      <c r="D794" s="361"/>
      <c r="E794" s="361"/>
      <c r="F794" s="383"/>
      <c r="G794" s="384"/>
      <c r="H794" s="238"/>
      <c r="I794" s="238"/>
      <c r="J794" s="385"/>
      <c r="K794" s="238"/>
      <c r="L794" s="238"/>
      <c r="M794" s="238"/>
      <c r="N794" s="386"/>
      <c r="O794" s="387"/>
      <c r="P794" s="385"/>
      <c r="Q794" s="386"/>
      <c r="R794" s="384"/>
      <c r="S794" s="266"/>
      <c r="T794" s="266"/>
      <c r="U794" s="266"/>
      <c r="V794" s="267"/>
      <c r="W794" s="391"/>
      <c r="X794" s="392"/>
    </row>
    <row r="795" spans="1:24">
      <c r="A795" s="361"/>
      <c r="B795" s="361"/>
      <c r="C795" s="362"/>
      <c r="D795" s="361"/>
      <c r="E795" s="361"/>
      <c r="F795" s="383"/>
      <c r="G795" s="384"/>
      <c r="H795" s="238"/>
      <c r="I795" s="238"/>
      <c r="J795" s="385"/>
      <c r="K795" s="238"/>
      <c r="L795" s="238"/>
      <c r="M795" s="238"/>
      <c r="N795" s="386"/>
      <c r="O795" s="387"/>
      <c r="P795" s="385"/>
      <c r="Q795" s="386"/>
      <c r="R795" s="384"/>
      <c r="S795" s="266"/>
      <c r="T795" s="266"/>
      <c r="U795" s="266"/>
      <c r="V795" s="267"/>
      <c r="W795" s="391"/>
      <c r="X795" s="392"/>
    </row>
    <row r="796" spans="1:24">
      <c r="A796" s="361"/>
      <c r="B796" s="361"/>
      <c r="C796" s="362"/>
      <c r="D796" s="361"/>
      <c r="E796" s="361"/>
      <c r="F796" s="383"/>
      <c r="G796" s="384"/>
      <c r="H796" s="238"/>
      <c r="I796" s="238"/>
      <c r="J796" s="385"/>
      <c r="K796" s="238"/>
      <c r="L796" s="238"/>
      <c r="M796" s="238"/>
      <c r="N796" s="386"/>
      <c r="O796" s="387"/>
      <c r="P796" s="385"/>
      <c r="Q796" s="386"/>
      <c r="R796" s="384"/>
      <c r="S796" s="266"/>
      <c r="T796" s="266"/>
      <c r="U796" s="266"/>
      <c r="V796" s="267"/>
      <c r="W796" s="391"/>
      <c r="X796" s="392"/>
    </row>
    <row r="797" spans="1:24">
      <c r="A797" s="361"/>
      <c r="B797" s="361"/>
      <c r="C797" s="362"/>
      <c r="D797" s="361"/>
      <c r="E797" s="361"/>
      <c r="F797" s="383"/>
      <c r="G797" s="384"/>
      <c r="H797" s="238"/>
      <c r="I797" s="238"/>
      <c r="J797" s="385"/>
      <c r="K797" s="238"/>
      <c r="L797" s="238"/>
      <c r="M797" s="238"/>
      <c r="N797" s="386"/>
      <c r="O797" s="387"/>
      <c r="P797" s="385"/>
      <c r="Q797" s="386"/>
      <c r="R797" s="384"/>
      <c r="S797" s="266"/>
      <c r="T797" s="266"/>
      <c r="U797" s="266"/>
      <c r="V797" s="267"/>
      <c r="W797" s="391"/>
      <c r="X797" s="392"/>
    </row>
    <row r="798" spans="1:24">
      <c r="A798" s="361"/>
      <c r="B798" s="361"/>
      <c r="C798" s="362"/>
      <c r="D798" s="361"/>
      <c r="E798" s="361"/>
      <c r="F798" s="383"/>
      <c r="G798" s="384"/>
      <c r="H798" s="238"/>
      <c r="I798" s="238"/>
      <c r="J798" s="385"/>
      <c r="K798" s="238"/>
      <c r="L798" s="238"/>
      <c r="M798" s="238"/>
      <c r="N798" s="386"/>
      <c r="O798" s="387"/>
      <c r="P798" s="385"/>
      <c r="Q798" s="386"/>
      <c r="R798" s="384"/>
      <c r="S798" s="266"/>
      <c r="T798" s="266"/>
      <c r="U798" s="266"/>
      <c r="V798" s="267"/>
      <c r="W798" s="391"/>
      <c r="X798" s="392"/>
    </row>
    <row r="799" spans="1:24">
      <c r="A799" s="361"/>
      <c r="B799" s="361"/>
      <c r="C799" s="362"/>
      <c r="D799" s="361"/>
      <c r="E799" s="361"/>
      <c r="F799" s="383"/>
      <c r="G799" s="384"/>
      <c r="H799" s="238"/>
      <c r="I799" s="238"/>
      <c r="J799" s="385"/>
      <c r="K799" s="238"/>
      <c r="L799" s="238"/>
      <c r="M799" s="238"/>
      <c r="N799" s="386"/>
      <c r="O799" s="387"/>
      <c r="P799" s="385"/>
      <c r="Q799" s="386"/>
      <c r="R799" s="384"/>
      <c r="S799" s="266"/>
      <c r="T799" s="266"/>
      <c r="U799" s="266"/>
      <c r="V799" s="267"/>
      <c r="W799" s="391"/>
      <c r="X799" s="392"/>
    </row>
    <row r="800" spans="1:24">
      <c r="A800" s="361"/>
      <c r="B800" s="361"/>
      <c r="C800" s="362"/>
      <c r="D800" s="361"/>
      <c r="E800" s="361"/>
      <c r="F800" s="383"/>
      <c r="G800" s="384"/>
      <c r="H800" s="238"/>
      <c r="I800" s="238"/>
      <c r="J800" s="385"/>
      <c r="K800" s="238"/>
      <c r="L800" s="238"/>
      <c r="M800" s="238"/>
      <c r="N800" s="386"/>
      <c r="O800" s="387"/>
      <c r="P800" s="385"/>
      <c r="Q800" s="386"/>
      <c r="R800" s="384"/>
      <c r="S800" s="266"/>
      <c r="T800" s="266"/>
      <c r="U800" s="266"/>
      <c r="V800" s="267"/>
      <c r="W800" s="391"/>
      <c r="X800" s="392"/>
    </row>
    <row r="801" spans="1:24">
      <c r="A801" s="361"/>
      <c r="B801" s="361"/>
      <c r="C801" s="362"/>
      <c r="D801" s="361"/>
      <c r="E801" s="361"/>
      <c r="F801" s="383"/>
      <c r="G801" s="384"/>
      <c r="H801" s="238"/>
      <c r="I801" s="238"/>
      <c r="J801" s="385"/>
      <c r="K801" s="238"/>
      <c r="L801" s="238"/>
      <c r="M801" s="238"/>
      <c r="N801" s="386"/>
      <c r="O801" s="387"/>
      <c r="P801" s="385"/>
      <c r="Q801" s="386"/>
      <c r="R801" s="384"/>
      <c r="S801" s="266"/>
      <c r="T801" s="266"/>
      <c r="U801" s="266"/>
      <c r="V801" s="267"/>
      <c r="W801" s="391"/>
      <c r="X801" s="392"/>
    </row>
    <row r="802" spans="1:24">
      <c r="A802" s="361"/>
      <c r="B802" s="361"/>
      <c r="C802" s="362"/>
      <c r="D802" s="361"/>
      <c r="E802" s="361"/>
      <c r="F802" s="383"/>
      <c r="G802" s="384"/>
      <c r="H802" s="238"/>
      <c r="I802" s="238"/>
      <c r="J802" s="385"/>
      <c r="K802" s="238"/>
      <c r="L802" s="238"/>
      <c r="M802" s="238"/>
      <c r="N802" s="386"/>
      <c r="O802" s="387"/>
      <c r="P802" s="385"/>
      <c r="Q802" s="386"/>
      <c r="R802" s="384"/>
      <c r="S802" s="266"/>
      <c r="T802" s="266"/>
      <c r="U802" s="266"/>
      <c r="V802" s="267"/>
      <c r="W802" s="391"/>
      <c r="X802" s="392"/>
    </row>
    <row r="803" spans="1:24">
      <c r="A803" s="361"/>
      <c r="B803" s="361"/>
      <c r="C803" s="362"/>
      <c r="D803" s="361"/>
      <c r="E803" s="361"/>
      <c r="F803" s="383"/>
      <c r="G803" s="384"/>
      <c r="H803" s="238"/>
      <c r="I803" s="238"/>
      <c r="J803" s="385"/>
      <c r="K803" s="238"/>
      <c r="L803" s="238"/>
      <c r="M803" s="238"/>
      <c r="N803" s="386"/>
      <c r="O803" s="387"/>
      <c r="P803" s="385"/>
      <c r="Q803" s="386"/>
      <c r="R803" s="384"/>
      <c r="S803" s="266"/>
      <c r="T803" s="266"/>
      <c r="U803" s="266"/>
      <c r="V803" s="267"/>
      <c r="W803" s="391"/>
      <c r="X803" s="392"/>
    </row>
    <row r="804" spans="1:24">
      <c r="A804" s="361"/>
      <c r="B804" s="361"/>
      <c r="C804" s="362"/>
      <c r="D804" s="361"/>
      <c r="E804" s="361"/>
      <c r="F804" s="383"/>
      <c r="G804" s="384"/>
      <c r="H804" s="238"/>
      <c r="I804" s="238"/>
      <c r="J804" s="385"/>
      <c r="K804" s="238"/>
      <c r="L804" s="238"/>
      <c r="M804" s="238"/>
      <c r="N804" s="386"/>
      <c r="O804" s="387"/>
      <c r="P804" s="385"/>
      <c r="Q804" s="386"/>
      <c r="R804" s="384"/>
      <c r="S804" s="266"/>
      <c r="T804" s="266"/>
      <c r="U804" s="266"/>
      <c r="V804" s="267"/>
      <c r="W804" s="391"/>
      <c r="X804" s="392"/>
    </row>
    <row r="805" spans="1:24">
      <c r="A805" s="361"/>
      <c r="B805" s="361"/>
      <c r="C805" s="362"/>
      <c r="D805" s="361"/>
      <c r="E805" s="361"/>
      <c r="F805" s="383"/>
      <c r="G805" s="384"/>
      <c r="H805" s="238"/>
      <c r="I805" s="238"/>
      <c r="J805" s="385"/>
      <c r="K805" s="238"/>
      <c r="L805" s="238"/>
      <c r="M805" s="238"/>
      <c r="N805" s="386"/>
      <c r="O805" s="387"/>
      <c r="P805" s="385"/>
      <c r="Q805" s="386"/>
      <c r="R805" s="384"/>
      <c r="S805" s="266"/>
      <c r="T805" s="266"/>
      <c r="U805" s="266"/>
      <c r="V805" s="267"/>
      <c r="W805" s="391"/>
      <c r="X805" s="392"/>
    </row>
    <row r="806" spans="1:24">
      <c r="A806" s="361"/>
      <c r="B806" s="361"/>
      <c r="C806" s="362"/>
      <c r="D806" s="361"/>
      <c r="E806" s="361"/>
      <c r="F806" s="383"/>
      <c r="G806" s="384"/>
      <c r="H806" s="238"/>
      <c r="I806" s="238"/>
      <c r="J806" s="385"/>
      <c r="K806" s="238"/>
      <c r="L806" s="238"/>
      <c r="M806" s="238"/>
      <c r="N806" s="386"/>
      <c r="O806" s="387"/>
      <c r="P806" s="385"/>
      <c r="Q806" s="386"/>
      <c r="R806" s="384"/>
      <c r="S806" s="266"/>
      <c r="T806" s="266"/>
      <c r="U806" s="266"/>
      <c r="V806" s="267"/>
      <c r="W806" s="391"/>
      <c r="X806" s="392"/>
    </row>
    <row r="807" spans="1:24">
      <c r="A807" s="361"/>
      <c r="B807" s="361"/>
      <c r="C807" s="362"/>
      <c r="D807" s="361"/>
      <c r="E807" s="361"/>
      <c r="F807" s="383"/>
      <c r="G807" s="384"/>
      <c r="H807" s="238"/>
      <c r="I807" s="238"/>
      <c r="J807" s="385"/>
      <c r="K807" s="238"/>
      <c r="L807" s="238"/>
      <c r="M807" s="238"/>
      <c r="N807" s="386"/>
      <c r="O807" s="387"/>
      <c r="P807" s="385"/>
      <c r="Q807" s="386"/>
      <c r="R807" s="384"/>
      <c r="S807" s="266"/>
      <c r="T807" s="266"/>
      <c r="U807" s="266"/>
      <c r="V807" s="267"/>
      <c r="W807" s="391"/>
      <c r="X807" s="392"/>
    </row>
    <row r="808" spans="1:24">
      <c r="A808" s="361"/>
      <c r="B808" s="361"/>
      <c r="C808" s="362"/>
      <c r="D808" s="361"/>
      <c r="E808" s="361"/>
      <c r="F808" s="383"/>
      <c r="G808" s="384"/>
      <c r="H808" s="238"/>
      <c r="I808" s="238"/>
      <c r="J808" s="385"/>
      <c r="K808" s="238"/>
      <c r="L808" s="238"/>
      <c r="M808" s="238"/>
      <c r="N808" s="386"/>
      <c r="O808" s="387"/>
      <c r="P808" s="385"/>
      <c r="Q808" s="386"/>
      <c r="R808" s="384"/>
      <c r="S808" s="266"/>
      <c r="T808" s="266"/>
      <c r="U808" s="266"/>
      <c r="V808" s="267"/>
      <c r="W808" s="391"/>
      <c r="X808" s="392"/>
    </row>
    <row r="809" spans="1:24">
      <c r="A809" s="361"/>
      <c r="B809" s="361"/>
      <c r="C809" s="362"/>
      <c r="D809" s="361"/>
      <c r="E809" s="361"/>
      <c r="F809" s="383"/>
      <c r="G809" s="384"/>
      <c r="H809" s="238"/>
      <c r="I809" s="238"/>
      <c r="J809" s="385"/>
      <c r="K809" s="238"/>
      <c r="L809" s="238"/>
      <c r="M809" s="238"/>
      <c r="N809" s="386"/>
      <c r="O809" s="387"/>
      <c r="P809" s="385"/>
      <c r="Q809" s="386"/>
      <c r="R809" s="384"/>
      <c r="S809" s="266"/>
      <c r="T809" s="266"/>
      <c r="U809" s="266"/>
      <c r="V809" s="267"/>
      <c r="W809" s="391"/>
      <c r="X809" s="392"/>
    </row>
    <row r="810" spans="1:24">
      <c r="A810" s="361"/>
      <c r="B810" s="361"/>
      <c r="C810" s="362"/>
      <c r="D810" s="361"/>
      <c r="E810" s="361"/>
      <c r="F810" s="383"/>
      <c r="G810" s="384"/>
      <c r="H810" s="238"/>
      <c r="I810" s="238"/>
      <c r="J810" s="385"/>
      <c r="K810" s="238"/>
      <c r="L810" s="238"/>
      <c r="M810" s="238"/>
      <c r="N810" s="386"/>
      <c r="O810" s="387"/>
      <c r="P810" s="385"/>
      <c r="Q810" s="386"/>
      <c r="R810" s="384"/>
      <c r="S810" s="266"/>
      <c r="T810" s="266"/>
      <c r="U810" s="266"/>
      <c r="V810" s="267"/>
      <c r="W810" s="391"/>
      <c r="X810" s="392"/>
    </row>
    <row r="811" spans="1:24">
      <c r="A811" s="361"/>
      <c r="B811" s="361"/>
      <c r="C811" s="362"/>
      <c r="D811" s="361"/>
      <c r="E811" s="361"/>
      <c r="F811" s="383"/>
      <c r="G811" s="384"/>
      <c r="H811" s="238"/>
      <c r="I811" s="238"/>
      <c r="J811" s="385"/>
      <c r="K811" s="238"/>
      <c r="L811" s="238"/>
      <c r="M811" s="238"/>
      <c r="N811" s="386"/>
      <c r="O811" s="387"/>
      <c r="P811" s="385"/>
      <c r="Q811" s="386"/>
      <c r="R811" s="384"/>
      <c r="S811" s="266"/>
      <c r="T811" s="266"/>
      <c r="U811" s="266"/>
      <c r="V811" s="267"/>
      <c r="W811" s="391"/>
      <c r="X811" s="392"/>
    </row>
    <row r="812" spans="1:24">
      <c r="A812" s="361"/>
      <c r="B812" s="361"/>
      <c r="C812" s="362"/>
      <c r="D812" s="361"/>
      <c r="E812" s="361"/>
      <c r="F812" s="383"/>
      <c r="G812" s="384"/>
      <c r="H812" s="238"/>
      <c r="I812" s="238"/>
      <c r="J812" s="385"/>
      <c r="K812" s="238"/>
      <c r="L812" s="238"/>
      <c r="M812" s="238"/>
      <c r="N812" s="386"/>
      <c r="O812" s="387"/>
      <c r="P812" s="385"/>
      <c r="Q812" s="386"/>
      <c r="R812" s="384"/>
      <c r="S812" s="266"/>
      <c r="T812" s="266"/>
      <c r="U812" s="266"/>
      <c r="V812" s="267"/>
      <c r="W812" s="391"/>
      <c r="X812" s="392"/>
    </row>
    <row r="813" spans="1:24">
      <c r="A813" s="361"/>
      <c r="B813" s="361"/>
      <c r="C813" s="362"/>
      <c r="D813" s="361"/>
      <c r="E813" s="361"/>
      <c r="F813" s="383"/>
      <c r="G813" s="384"/>
      <c r="H813" s="238"/>
      <c r="I813" s="238"/>
      <c r="J813" s="385"/>
      <c r="K813" s="238"/>
      <c r="L813" s="238"/>
      <c r="M813" s="238"/>
      <c r="N813" s="386"/>
      <c r="O813" s="387"/>
      <c r="P813" s="385"/>
      <c r="Q813" s="386"/>
      <c r="R813" s="384"/>
      <c r="S813" s="266"/>
      <c r="T813" s="266"/>
      <c r="U813" s="266"/>
      <c r="V813" s="267"/>
      <c r="W813" s="391"/>
      <c r="X813" s="392"/>
    </row>
    <row r="814" spans="1:24">
      <c r="A814" s="361"/>
      <c r="B814" s="361"/>
      <c r="C814" s="362"/>
      <c r="D814" s="361"/>
      <c r="E814" s="361"/>
      <c r="F814" s="383"/>
      <c r="G814" s="384"/>
      <c r="H814" s="238"/>
      <c r="I814" s="238"/>
      <c r="J814" s="385"/>
      <c r="K814" s="238"/>
      <c r="L814" s="238"/>
      <c r="M814" s="238"/>
      <c r="N814" s="386"/>
      <c r="O814" s="387"/>
      <c r="P814" s="385"/>
      <c r="Q814" s="386"/>
      <c r="R814" s="384"/>
      <c r="S814" s="266"/>
      <c r="T814" s="266"/>
      <c r="U814" s="266"/>
      <c r="V814" s="267"/>
      <c r="W814" s="391"/>
      <c r="X814" s="392"/>
    </row>
    <row r="815" spans="1:24">
      <c r="A815" s="361"/>
      <c r="B815" s="361"/>
      <c r="C815" s="362"/>
      <c r="D815" s="361"/>
      <c r="E815" s="361"/>
      <c r="F815" s="383"/>
      <c r="G815" s="384"/>
      <c r="H815" s="238"/>
      <c r="I815" s="238"/>
      <c r="J815" s="385"/>
      <c r="K815" s="238"/>
      <c r="L815" s="238"/>
      <c r="M815" s="238"/>
      <c r="N815" s="386"/>
      <c r="O815" s="387"/>
      <c r="P815" s="385"/>
      <c r="Q815" s="386"/>
      <c r="R815" s="384"/>
      <c r="S815" s="266"/>
      <c r="T815" s="266"/>
      <c r="U815" s="266"/>
      <c r="V815" s="267"/>
      <c r="W815" s="391"/>
      <c r="X815" s="392"/>
    </row>
    <row r="816" spans="1:24">
      <c r="A816" s="361"/>
      <c r="B816" s="361"/>
      <c r="C816" s="362"/>
      <c r="D816" s="361"/>
      <c r="E816" s="361"/>
      <c r="F816" s="383"/>
      <c r="G816" s="384"/>
      <c r="H816" s="238"/>
      <c r="I816" s="238"/>
      <c r="J816" s="385"/>
      <c r="K816" s="238"/>
      <c r="L816" s="238"/>
      <c r="M816" s="238"/>
      <c r="N816" s="386"/>
      <c r="O816" s="387"/>
      <c r="P816" s="385"/>
      <c r="Q816" s="386"/>
      <c r="R816" s="384"/>
      <c r="S816" s="266"/>
      <c r="T816" s="266"/>
      <c r="U816" s="266"/>
      <c r="V816" s="267"/>
      <c r="W816" s="391"/>
      <c r="X816" s="392"/>
    </row>
    <row r="817" spans="1:24">
      <c r="A817" s="361"/>
      <c r="B817" s="361"/>
      <c r="C817" s="362"/>
      <c r="D817" s="361"/>
      <c r="E817" s="361"/>
      <c r="F817" s="383"/>
      <c r="G817" s="384"/>
      <c r="H817" s="238"/>
      <c r="I817" s="238"/>
      <c r="J817" s="385"/>
      <c r="K817" s="238"/>
      <c r="L817" s="238"/>
      <c r="M817" s="238"/>
      <c r="N817" s="386"/>
      <c r="O817" s="387"/>
      <c r="P817" s="385"/>
      <c r="Q817" s="386"/>
      <c r="R817" s="384"/>
      <c r="S817" s="266"/>
      <c r="T817" s="266"/>
      <c r="U817" s="266"/>
      <c r="V817" s="267"/>
      <c r="W817" s="391"/>
      <c r="X817" s="392"/>
    </row>
    <row r="818" spans="1:24">
      <c r="A818" s="361"/>
      <c r="B818" s="361"/>
      <c r="C818" s="362"/>
      <c r="D818" s="361"/>
      <c r="E818" s="361"/>
      <c r="F818" s="383"/>
      <c r="G818" s="384"/>
      <c r="H818" s="238"/>
      <c r="I818" s="238"/>
      <c r="J818" s="385"/>
      <c r="K818" s="238"/>
      <c r="L818" s="238"/>
      <c r="M818" s="238"/>
      <c r="N818" s="386"/>
      <c r="O818" s="387"/>
      <c r="P818" s="385"/>
      <c r="Q818" s="386"/>
      <c r="R818" s="384"/>
      <c r="S818" s="266"/>
      <c r="T818" s="266"/>
      <c r="U818" s="266"/>
      <c r="V818" s="267"/>
      <c r="W818" s="391"/>
      <c r="X818" s="392"/>
    </row>
    <row r="819" spans="1:24">
      <c r="A819" s="361"/>
      <c r="B819" s="361"/>
      <c r="C819" s="362"/>
      <c r="D819" s="361"/>
      <c r="E819" s="361"/>
      <c r="F819" s="383"/>
      <c r="G819" s="384"/>
      <c r="H819" s="238"/>
      <c r="I819" s="238"/>
      <c r="J819" s="385"/>
      <c r="K819" s="238"/>
      <c r="L819" s="238"/>
      <c r="M819" s="238"/>
      <c r="N819" s="386"/>
      <c r="O819" s="387"/>
      <c r="P819" s="385"/>
      <c r="Q819" s="386"/>
      <c r="R819" s="384"/>
      <c r="S819" s="266"/>
      <c r="T819" s="266"/>
      <c r="U819" s="266"/>
      <c r="V819" s="267"/>
      <c r="W819" s="391"/>
      <c r="X819" s="392"/>
    </row>
    <row r="820" spans="1:24">
      <c r="A820" s="361"/>
      <c r="B820" s="361"/>
      <c r="C820" s="362"/>
      <c r="D820" s="361"/>
      <c r="E820" s="361"/>
      <c r="F820" s="383"/>
      <c r="G820" s="384"/>
      <c r="H820" s="238"/>
      <c r="I820" s="238"/>
      <c r="J820" s="385"/>
      <c r="K820" s="238"/>
      <c r="L820" s="238"/>
      <c r="M820" s="238"/>
      <c r="N820" s="386"/>
      <c r="O820" s="387"/>
      <c r="P820" s="385"/>
      <c r="Q820" s="386"/>
      <c r="R820" s="384"/>
      <c r="S820" s="266"/>
      <c r="T820" s="266"/>
      <c r="U820" s="266"/>
      <c r="V820" s="267"/>
      <c r="W820" s="391"/>
      <c r="X820" s="392"/>
    </row>
    <row r="821" spans="1:24">
      <c r="A821" s="361"/>
      <c r="B821" s="361"/>
      <c r="C821" s="362"/>
      <c r="D821" s="361"/>
      <c r="E821" s="361"/>
      <c r="F821" s="383"/>
      <c r="G821" s="384"/>
      <c r="H821" s="238"/>
      <c r="I821" s="238"/>
      <c r="J821" s="385"/>
      <c r="K821" s="238"/>
      <c r="L821" s="238"/>
      <c r="M821" s="238"/>
      <c r="N821" s="386"/>
      <c r="O821" s="387"/>
      <c r="P821" s="385"/>
      <c r="Q821" s="386"/>
      <c r="R821" s="384"/>
      <c r="S821" s="266"/>
      <c r="T821" s="266"/>
      <c r="U821" s="266"/>
      <c r="V821" s="267"/>
      <c r="W821" s="391"/>
      <c r="X821" s="392"/>
    </row>
    <row r="822" spans="1:24">
      <c r="A822" s="361"/>
      <c r="B822" s="361"/>
      <c r="C822" s="362"/>
      <c r="D822" s="361"/>
      <c r="E822" s="361"/>
      <c r="F822" s="383"/>
      <c r="G822" s="384"/>
      <c r="H822" s="238"/>
      <c r="I822" s="238"/>
      <c r="J822" s="385"/>
      <c r="K822" s="238"/>
      <c r="L822" s="238"/>
      <c r="M822" s="238"/>
      <c r="N822" s="386"/>
      <c r="O822" s="387"/>
      <c r="P822" s="385"/>
      <c r="Q822" s="386"/>
      <c r="R822" s="384"/>
      <c r="S822" s="266"/>
      <c r="T822" s="266"/>
      <c r="U822" s="266"/>
      <c r="V822" s="267"/>
      <c r="W822" s="391"/>
      <c r="X822" s="392"/>
    </row>
    <row r="823" spans="1:24">
      <c r="A823" s="361"/>
      <c r="B823" s="361"/>
      <c r="C823" s="362"/>
      <c r="D823" s="361"/>
      <c r="E823" s="361"/>
      <c r="F823" s="383"/>
      <c r="G823" s="384"/>
      <c r="H823" s="238"/>
      <c r="I823" s="238"/>
      <c r="J823" s="385"/>
      <c r="K823" s="238"/>
      <c r="L823" s="238"/>
      <c r="M823" s="238"/>
      <c r="N823" s="386"/>
      <c r="O823" s="387"/>
      <c r="P823" s="385"/>
      <c r="Q823" s="386"/>
      <c r="R823" s="384"/>
      <c r="S823" s="266"/>
      <c r="T823" s="266"/>
      <c r="U823" s="266"/>
      <c r="V823" s="267"/>
      <c r="W823" s="391"/>
      <c r="X823" s="392"/>
    </row>
    <row r="824" spans="1:24">
      <c r="A824" s="361"/>
      <c r="B824" s="361"/>
      <c r="C824" s="362"/>
      <c r="D824" s="361"/>
      <c r="E824" s="361"/>
      <c r="F824" s="383"/>
      <c r="G824" s="384"/>
      <c r="H824" s="238"/>
      <c r="I824" s="238"/>
      <c r="J824" s="385"/>
      <c r="K824" s="238"/>
      <c r="L824" s="238"/>
      <c r="M824" s="238"/>
      <c r="N824" s="386"/>
      <c r="O824" s="387"/>
      <c r="P824" s="385"/>
      <c r="Q824" s="386"/>
      <c r="R824" s="384"/>
      <c r="S824" s="266"/>
      <c r="T824" s="266"/>
      <c r="U824" s="266"/>
      <c r="V824" s="267"/>
      <c r="W824" s="391"/>
      <c r="X824" s="392"/>
    </row>
    <row r="825" spans="1:24">
      <c r="A825" s="361"/>
      <c r="B825" s="361"/>
      <c r="C825" s="362"/>
      <c r="D825" s="361"/>
      <c r="E825" s="361"/>
      <c r="F825" s="383"/>
      <c r="G825" s="384"/>
      <c r="H825" s="238"/>
      <c r="I825" s="238"/>
      <c r="J825" s="385"/>
      <c r="K825" s="238"/>
      <c r="L825" s="238"/>
      <c r="M825" s="238"/>
      <c r="N825" s="386"/>
      <c r="O825" s="387"/>
      <c r="P825" s="385"/>
      <c r="Q825" s="386"/>
      <c r="R825" s="384"/>
      <c r="S825" s="266"/>
      <c r="T825" s="266"/>
      <c r="U825" s="266"/>
      <c r="V825" s="267"/>
      <c r="W825" s="391"/>
      <c r="X825" s="392"/>
    </row>
    <row r="826" spans="1:24">
      <c r="A826" s="361"/>
      <c r="B826" s="361"/>
      <c r="C826" s="362"/>
      <c r="D826" s="361"/>
      <c r="E826" s="361"/>
      <c r="F826" s="383"/>
      <c r="G826" s="384"/>
      <c r="H826" s="238"/>
      <c r="I826" s="238"/>
      <c r="J826" s="385"/>
      <c r="K826" s="238"/>
      <c r="L826" s="238"/>
      <c r="M826" s="238"/>
      <c r="N826" s="386"/>
      <c r="O826" s="387"/>
      <c r="P826" s="385"/>
      <c r="Q826" s="386"/>
      <c r="R826" s="384"/>
      <c r="S826" s="266"/>
      <c r="T826" s="266"/>
      <c r="U826" s="266"/>
      <c r="V826" s="267"/>
      <c r="W826" s="391"/>
      <c r="X826" s="392"/>
    </row>
    <row r="827" spans="1:24">
      <c r="A827" s="361"/>
      <c r="B827" s="361"/>
      <c r="C827" s="362"/>
      <c r="D827" s="361"/>
      <c r="E827" s="361"/>
      <c r="F827" s="383"/>
      <c r="G827" s="384"/>
      <c r="H827" s="238"/>
      <c r="I827" s="238"/>
      <c r="J827" s="385"/>
      <c r="K827" s="238"/>
      <c r="L827" s="238"/>
      <c r="M827" s="238"/>
      <c r="N827" s="386"/>
      <c r="O827" s="387"/>
      <c r="P827" s="385"/>
      <c r="Q827" s="386"/>
      <c r="R827" s="384"/>
      <c r="S827" s="266"/>
      <c r="T827" s="266"/>
      <c r="U827" s="266"/>
      <c r="V827" s="267"/>
      <c r="W827" s="391"/>
      <c r="X827" s="392"/>
    </row>
    <row r="828" spans="1:24">
      <c r="A828" s="361"/>
      <c r="B828" s="361"/>
      <c r="C828" s="362"/>
      <c r="D828" s="361"/>
      <c r="E828" s="361"/>
      <c r="F828" s="383"/>
      <c r="G828" s="384"/>
      <c r="H828" s="238"/>
      <c r="I828" s="238"/>
      <c r="J828" s="385"/>
      <c r="K828" s="238"/>
      <c r="L828" s="238"/>
      <c r="M828" s="238"/>
      <c r="N828" s="386"/>
      <c r="O828" s="387"/>
      <c r="P828" s="385"/>
      <c r="Q828" s="386"/>
      <c r="R828" s="384"/>
      <c r="S828" s="266"/>
      <c r="T828" s="266"/>
      <c r="U828" s="266"/>
      <c r="V828" s="267"/>
      <c r="W828" s="391"/>
      <c r="X828" s="392"/>
    </row>
    <row r="829" spans="1:24">
      <c r="A829" s="361"/>
      <c r="B829" s="361"/>
      <c r="C829" s="362"/>
      <c r="D829" s="361"/>
      <c r="E829" s="361"/>
      <c r="F829" s="383"/>
      <c r="G829" s="384"/>
      <c r="H829" s="238"/>
      <c r="I829" s="238"/>
      <c r="J829" s="385"/>
      <c r="K829" s="238"/>
      <c r="L829" s="238"/>
      <c r="M829" s="238"/>
      <c r="N829" s="386"/>
      <c r="O829" s="387"/>
      <c r="P829" s="385"/>
      <c r="Q829" s="386"/>
      <c r="R829" s="384"/>
      <c r="S829" s="266"/>
      <c r="T829" s="266"/>
      <c r="U829" s="266"/>
      <c r="V829" s="267"/>
      <c r="W829" s="391"/>
      <c r="X829" s="392"/>
    </row>
    <row r="830" spans="1:24">
      <c r="A830" s="361"/>
      <c r="B830" s="361"/>
      <c r="C830" s="362"/>
      <c r="D830" s="361"/>
      <c r="E830" s="361"/>
      <c r="F830" s="383"/>
      <c r="G830" s="384"/>
      <c r="H830" s="238"/>
      <c r="I830" s="238"/>
      <c r="J830" s="385"/>
      <c r="K830" s="238"/>
      <c r="L830" s="238"/>
      <c r="M830" s="238"/>
      <c r="N830" s="386"/>
      <c r="O830" s="387"/>
      <c r="P830" s="385"/>
      <c r="Q830" s="386"/>
      <c r="R830" s="384"/>
      <c r="S830" s="266"/>
      <c r="T830" s="266"/>
      <c r="U830" s="266"/>
      <c r="V830" s="267"/>
      <c r="W830" s="391"/>
      <c r="X830" s="392"/>
    </row>
    <row r="831" spans="1:24">
      <c r="A831" s="361"/>
      <c r="B831" s="361"/>
      <c r="C831" s="362"/>
      <c r="D831" s="361"/>
      <c r="E831" s="361"/>
      <c r="F831" s="383"/>
      <c r="G831" s="384"/>
      <c r="H831" s="238"/>
      <c r="I831" s="238"/>
      <c r="J831" s="385"/>
      <c r="K831" s="238"/>
      <c r="L831" s="238"/>
      <c r="M831" s="238"/>
      <c r="N831" s="386"/>
      <c r="O831" s="387"/>
      <c r="P831" s="385"/>
      <c r="Q831" s="386"/>
      <c r="R831" s="384"/>
      <c r="S831" s="266"/>
      <c r="T831" s="266"/>
      <c r="U831" s="266"/>
      <c r="V831" s="267"/>
      <c r="W831" s="391"/>
      <c r="X831" s="392"/>
    </row>
    <row r="832" spans="1:24">
      <c r="A832" s="361"/>
      <c r="B832" s="361"/>
      <c r="C832" s="362"/>
      <c r="D832" s="361"/>
      <c r="E832" s="361"/>
      <c r="F832" s="383"/>
      <c r="G832" s="384"/>
      <c r="H832" s="238"/>
      <c r="I832" s="238"/>
      <c r="J832" s="385"/>
      <c r="K832" s="238"/>
      <c r="L832" s="238"/>
      <c r="M832" s="238"/>
      <c r="N832" s="386"/>
      <c r="O832" s="387"/>
      <c r="P832" s="385"/>
      <c r="Q832" s="386"/>
      <c r="R832" s="384"/>
      <c r="S832" s="266"/>
      <c r="T832" s="266"/>
      <c r="U832" s="266"/>
      <c r="V832" s="267"/>
      <c r="W832" s="391"/>
      <c r="X832" s="392"/>
    </row>
    <row r="833" spans="1:24">
      <c r="A833" s="361"/>
      <c r="B833" s="361"/>
      <c r="C833" s="362"/>
      <c r="D833" s="361"/>
      <c r="E833" s="361"/>
      <c r="F833" s="383"/>
      <c r="G833" s="384"/>
      <c r="H833" s="238"/>
      <c r="I833" s="238"/>
      <c r="J833" s="385"/>
      <c r="K833" s="238"/>
      <c r="L833" s="238"/>
      <c r="M833" s="238"/>
      <c r="N833" s="386"/>
      <c r="O833" s="387"/>
      <c r="P833" s="385"/>
      <c r="Q833" s="386"/>
      <c r="R833" s="384"/>
      <c r="S833" s="266"/>
      <c r="T833" s="266"/>
      <c r="U833" s="266"/>
      <c r="V833" s="267"/>
      <c r="W833" s="391"/>
      <c r="X833" s="392"/>
    </row>
    <row r="834" spans="1:24">
      <c r="A834" s="361"/>
      <c r="B834" s="361"/>
      <c r="C834" s="362"/>
      <c r="D834" s="361"/>
      <c r="E834" s="361"/>
      <c r="F834" s="383"/>
      <c r="G834" s="384"/>
      <c r="H834" s="238"/>
      <c r="I834" s="238"/>
      <c r="J834" s="385"/>
      <c r="K834" s="238"/>
      <c r="L834" s="238"/>
      <c r="M834" s="238"/>
      <c r="N834" s="386"/>
      <c r="O834" s="387"/>
      <c r="P834" s="385"/>
      <c r="Q834" s="386"/>
      <c r="R834" s="384"/>
      <c r="S834" s="266"/>
      <c r="T834" s="266"/>
      <c r="U834" s="266"/>
      <c r="V834" s="267"/>
      <c r="W834" s="391"/>
      <c r="X834" s="392"/>
    </row>
    <row r="835" spans="1:24">
      <c r="A835" s="361"/>
      <c r="B835" s="361"/>
      <c r="C835" s="362"/>
      <c r="D835" s="361"/>
      <c r="E835" s="361"/>
      <c r="F835" s="383"/>
      <c r="G835" s="384"/>
      <c r="H835" s="238"/>
      <c r="I835" s="238"/>
      <c r="J835" s="385"/>
      <c r="K835" s="238"/>
      <c r="L835" s="238"/>
      <c r="M835" s="238"/>
      <c r="N835" s="386"/>
      <c r="O835" s="387"/>
      <c r="P835" s="385"/>
      <c r="Q835" s="386"/>
      <c r="R835" s="384"/>
      <c r="S835" s="266"/>
      <c r="T835" s="266"/>
      <c r="U835" s="266"/>
      <c r="V835" s="267"/>
      <c r="W835" s="391"/>
      <c r="X835" s="392"/>
    </row>
    <row r="836" spans="1:24">
      <c r="A836" s="361"/>
      <c r="B836" s="361"/>
      <c r="C836" s="362"/>
      <c r="D836" s="361"/>
      <c r="E836" s="361"/>
      <c r="F836" s="383"/>
      <c r="G836" s="384"/>
      <c r="H836" s="238"/>
      <c r="I836" s="238"/>
      <c r="J836" s="385"/>
      <c r="K836" s="238"/>
      <c r="L836" s="238"/>
      <c r="M836" s="238"/>
      <c r="N836" s="386"/>
      <c r="O836" s="387"/>
      <c r="P836" s="385"/>
      <c r="Q836" s="386"/>
      <c r="R836" s="384"/>
      <c r="S836" s="266"/>
      <c r="T836" s="266"/>
      <c r="U836" s="266"/>
      <c r="V836" s="267"/>
      <c r="W836" s="391"/>
      <c r="X836" s="392"/>
    </row>
    <row r="837" spans="1:24">
      <c r="A837" s="361"/>
      <c r="B837" s="361"/>
      <c r="C837" s="362"/>
      <c r="D837" s="361"/>
      <c r="E837" s="361"/>
      <c r="F837" s="383"/>
      <c r="G837" s="384"/>
      <c r="H837" s="238"/>
      <c r="I837" s="238"/>
      <c r="J837" s="385"/>
      <c r="K837" s="238"/>
      <c r="L837" s="238"/>
      <c r="M837" s="238"/>
      <c r="N837" s="386"/>
      <c r="O837" s="387"/>
      <c r="P837" s="385"/>
      <c r="Q837" s="386"/>
      <c r="R837" s="384"/>
      <c r="S837" s="266"/>
      <c r="T837" s="266"/>
      <c r="U837" s="266"/>
      <c r="V837" s="267"/>
      <c r="W837" s="391"/>
      <c r="X837" s="392"/>
    </row>
    <row r="838" spans="1:24">
      <c r="A838" s="361"/>
      <c r="B838" s="361"/>
      <c r="C838" s="362"/>
      <c r="D838" s="361"/>
      <c r="E838" s="361"/>
      <c r="F838" s="383"/>
      <c r="G838" s="384"/>
      <c r="H838" s="238"/>
      <c r="I838" s="238"/>
      <c r="J838" s="385"/>
      <c r="K838" s="238"/>
      <c r="L838" s="238"/>
      <c r="M838" s="238"/>
      <c r="N838" s="386"/>
      <c r="O838" s="387"/>
      <c r="P838" s="385"/>
      <c r="Q838" s="386"/>
      <c r="R838" s="384"/>
      <c r="S838" s="266"/>
      <c r="T838" s="266"/>
      <c r="U838" s="266"/>
      <c r="V838" s="267"/>
      <c r="W838" s="391"/>
      <c r="X838" s="392"/>
    </row>
    <row r="839" spans="1:24">
      <c r="A839" s="361"/>
      <c r="B839" s="361"/>
      <c r="C839" s="362"/>
      <c r="D839" s="361"/>
      <c r="E839" s="361"/>
      <c r="F839" s="383"/>
      <c r="G839" s="384"/>
      <c r="H839" s="238"/>
      <c r="I839" s="238"/>
      <c r="J839" s="385"/>
      <c r="K839" s="238"/>
      <c r="L839" s="238"/>
      <c r="M839" s="238"/>
      <c r="N839" s="386"/>
      <c r="O839" s="387"/>
      <c r="P839" s="385"/>
      <c r="Q839" s="386"/>
      <c r="R839" s="384"/>
      <c r="S839" s="266"/>
      <c r="T839" s="266"/>
      <c r="U839" s="266"/>
      <c r="V839" s="267"/>
      <c r="W839" s="391"/>
      <c r="X839" s="392"/>
    </row>
    <row r="840" spans="1:24">
      <c r="A840" s="361"/>
      <c r="B840" s="361"/>
      <c r="C840" s="362"/>
      <c r="D840" s="361"/>
      <c r="E840" s="361"/>
      <c r="F840" s="383"/>
      <c r="G840" s="384"/>
      <c r="H840" s="238"/>
      <c r="I840" s="238"/>
      <c r="J840" s="385"/>
      <c r="K840" s="238"/>
      <c r="L840" s="238"/>
      <c r="M840" s="238"/>
      <c r="N840" s="386"/>
      <c r="O840" s="387"/>
      <c r="P840" s="385"/>
      <c r="Q840" s="386"/>
      <c r="R840" s="384"/>
      <c r="S840" s="266"/>
      <c r="T840" s="266"/>
      <c r="U840" s="266"/>
      <c r="V840" s="267"/>
      <c r="W840" s="391"/>
      <c r="X840" s="392"/>
    </row>
    <row r="841" spans="1:24">
      <c r="A841" s="361"/>
      <c r="B841" s="361"/>
      <c r="C841" s="362"/>
      <c r="D841" s="361"/>
      <c r="E841" s="361"/>
      <c r="F841" s="383"/>
      <c r="G841" s="384"/>
      <c r="H841" s="238"/>
      <c r="I841" s="238"/>
      <c r="J841" s="385"/>
      <c r="K841" s="238"/>
      <c r="L841" s="238"/>
      <c r="M841" s="238"/>
      <c r="N841" s="386"/>
      <c r="O841" s="387"/>
      <c r="P841" s="385"/>
      <c r="Q841" s="386"/>
      <c r="R841" s="384"/>
      <c r="S841" s="266"/>
      <c r="T841" s="266"/>
      <c r="U841" s="266"/>
      <c r="V841" s="267"/>
      <c r="W841" s="391"/>
      <c r="X841" s="392"/>
    </row>
    <row r="842" spans="1:24">
      <c r="A842" s="361"/>
      <c r="B842" s="361"/>
      <c r="C842" s="362"/>
      <c r="D842" s="361"/>
      <c r="E842" s="361"/>
      <c r="F842" s="383"/>
      <c r="G842" s="384"/>
      <c r="H842" s="238"/>
      <c r="I842" s="238"/>
      <c r="J842" s="385"/>
      <c r="K842" s="238"/>
      <c r="L842" s="238"/>
      <c r="M842" s="238"/>
      <c r="N842" s="386"/>
      <c r="O842" s="387"/>
      <c r="P842" s="385"/>
      <c r="Q842" s="386"/>
      <c r="R842" s="384"/>
      <c r="S842" s="266"/>
      <c r="T842" s="266"/>
      <c r="U842" s="266"/>
      <c r="V842" s="267"/>
      <c r="W842" s="391"/>
      <c r="X842" s="392"/>
    </row>
    <row r="843" spans="1:24">
      <c r="A843" s="361"/>
      <c r="B843" s="361"/>
      <c r="C843" s="362"/>
      <c r="D843" s="361"/>
      <c r="E843" s="361"/>
      <c r="F843" s="383"/>
      <c r="G843" s="384"/>
      <c r="H843" s="238"/>
      <c r="I843" s="238"/>
      <c r="J843" s="385"/>
      <c r="K843" s="238"/>
      <c r="L843" s="238"/>
      <c r="M843" s="238"/>
      <c r="N843" s="386"/>
      <c r="O843" s="387"/>
      <c r="P843" s="385"/>
      <c r="Q843" s="386"/>
      <c r="R843" s="384"/>
      <c r="S843" s="266"/>
      <c r="T843" s="266"/>
      <c r="U843" s="266"/>
      <c r="V843" s="267"/>
      <c r="W843" s="391"/>
      <c r="X843" s="392"/>
    </row>
    <row r="844" spans="1:24">
      <c r="A844" s="361"/>
      <c r="B844" s="361"/>
      <c r="C844" s="362"/>
      <c r="D844" s="361"/>
      <c r="E844" s="361"/>
      <c r="F844" s="383"/>
      <c r="G844" s="384"/>
      <c r="H844" s="238"/>
      <c r="I844" s="238"/>
      <c r="J844" s="385"/>
      <c r="K844" s="238"/>
      <c r="L844" s="238"/>
      <c r="M844" s="238"/>
      <c r="N844" s="386"/>
      <c r="O844" s="387"/>
      <c r="P844" s="385"/>
      <c r="Q844" s="386"/>
      <c r="R844" s="384"/>
      <c r="S844" s="266"/>
      <c r="T844" s="266"/>
      <c r="U844" s="266"/>
      <c r="V844" s="267"/>
      <c r="W844" s="391"/>
      <c r="X844" s="392"/>
    </row>
    <row r="845" spans="1:24">
      <c r="A845" s="361"/>
      <c r="B845" s="361"/>
      <c r="C845" s="362"/>
      <c r="D845" s="361"/>
      <c r="E845" s="361"/>
      <c r="F845" s="383"/>
      <c r="G845" s="384"/>
      <c r="H845" s="238"/>
      <c r="I845" s="238"/>
      <c r="J845" s="385"/>
      <c r="K845" s="238"/>
      <c r="L845" s="238"/>
      <c r="M845" s="238"/>
      <c r="N845" s="386"/>
      <c r="O845" s="387"/>
      <c r="P845" s="385"/>
      <c r="Q845" s="386"/>
      <c r="R845" s="384"/>
      <c r="S845" s="266"/>
      <c r="T845" s="266"/>
      <c r="U845" s="266"/>
      <c r="V845" s="267"/>
      <c r="W845" s="391"/>
      <c r="X845" s="392"/>
    </row>
    <row r="846" spans="1:24">
      <c r="A846" s="361"/>
      <c r="B846" s="361"/>
      <c r="C846" s="362"/>
      <c r="D846" s="361"/>
      <c r="E846" s="361"/>
      <c r="F846" s="383"/>
      <c r="G846" s="384"/>
      <c r="H846" s="238"/>
      <c r="I846" s="238"/>
      <c r="J846" s="385"/>
      <c r="K846" s="238"/>
      <c r="L846" s="238"/>
      <c r="M846" s="238"/>
      <c r="N846" s="386"/>
      <c r="O846" s="387"/>
      <c r="P846" s="385"/>
      <c r="Q846" s="386"/>
      <c r="R846" s="384"/>
      <c r="S846" s="266"/>
      <c r="T846" s="266"/>
      <c r="U846" s="266"/>
      <c r="V846" s="267"/>
      <c r="W846" s="391"/>
      <c r="X846" s="392"/>
    </row>
    <row r="847" spans="1:24">
      <c r="A847" s="361"/>
      <c r="B847" s="361"/>
      <c r="C847" s="362"/>
      <c r="D847" s="361"/>
      <c r="E847" s="361"/>
      <c r="F847" s="383"/>
      <c r="G847" s="384"/>
      <c r="H847" s="238"/>
      <c r="I847" s="238"/>
      <c r="J847" s="385"/>
      <c r="K847" s="238"/>
      <c r="L847" s="238"/>
      <c r="M847" s="238"/>
      <c r="N847" s="386"/>
      <c r="O847" s="387"/>
      <c r="P847" s="385"/>
      <c r="Q847" s="386"/>
      <c r="R847" s="384"/>
      <c r="S847" s="266"/>
      <c r="T847" s="266"/>
      <c r="U847" s="266"/>
      <c r="V847" s="267"/>
      <c r="W847" s="391"/>
      <c r="X847" s="392"/>
    </row>
    <row r="848" spans="1:24">
      <c r="A848" s="361"/>
      <c r="B848" s="361"/>
      <c r="C848" s="362"/>
      <c r="D848" s="361"/>
      <c r="E848" s="361"/>
      <c r="F848" s="383"/>
      <c r="G848" s="384"/>
      <c r="H848" s="238"/>
      <c r="I848" s="238"/>
      <c r="J848" s="385"/>
      <c r="K848" s="238"/>
      <c r="L848" s="238"/>
      <c r="M848" s="238"/>
      <c r="N848" s="386"/>
      <c r="O848" s="387"/>
      <c r="P848" s="385"/>
      <c r="Q848" s="386"/>
      <c r="R848" s="384"/>
      <c r="S848" s="266"/>
      <c r="T848" s="266"/>
      <c r="U848" s="266"/>
      <c r="V848" s="267"/>
      <c r="W848" s="391"/>
      <c r="X848" s="392"/>
    </row>
    <row r="849" spans="1:24">
      <c r="A849" s="361"/>
      <c r="B849" s="361"/>
      <c r="C849" s="362"/>
      <c r="D849" s="361"/>
      <c r="E849" s="361"/>
      <c r="F849" s="383"/>
      <c r="G849" s="384"/>
      <c r="H849" s="238"/>
      <c r="I849" s="238"/>
      <c r="J849" s="385"/>
      <c r="K849" s="238"/>
      <c r="L849" s="238"/>
      <c r="M849" s="238"/>
      <c r="N849" s="386"/>
      <c r="O849" s="387"/>
      <c r="P849" s="385"/>
      <c r="Q849" s="386"/>
      <c r="R849" s="384"/>
      <c r="S849" s="266"/>
      <c r="T849" s="266"/>
      <c r="U849" s="266"/>
      <c r="V849" s="267"/>
      <c r="W849" s="391"/>
      <c r="X849" s="392"/>
    </row>
    <row r="850" spans="1:24">
      <c r="A850" s="361"/>
      <c r="B850" s="361"/>
      <c r="C850" s="362"/>
      <c r="D850" s="361"/>
      <c r="E850" s="361"/>
      <c r="F850" s="383"/>
      <c r="G850" s="384"/>
      <c r="H850" s="238"/>
      <c r="I850" s="238"/>
      <c r="J850" s="385"/>
      <c r="K850" s="238"/>
      <c r="L850" s="238"/>
      <c r="M850" s="238"/>
      <c r="N850" s="386"/>
      <c r="O850" s="387"/>
      <c r="P850" s="385"/>
      <c r="Q850" s="386"/>
      <c r="R850" s="384"/>
      <c r="S850" s="266"/>
      <c r="T850" s="266"/>
      <c r="U850" s="266"/>
      <c r="V850" s="267"/>
      <c r="W850" s="391"/>
      <c r="X850" s="392"/>
    </row>
    <row r="851" spans="1:24">
      <c r="A851" s="361"/>
      <c r="B851" s="361"/>
      <c r="C851" s="362"/>
      <c r="D851" s="361"/>
      <c r="E851" s="361"/>
      <c r="F851" s="383"/>
      <c r="G851" s="384"/>
      <c r="H851" s="238"/>
      <c r="I851" s="238"/>
      <c r="J851" s="385"/>
      <c r="K851" s="238"/>
      <c r="L851" s="238"/>
      <c r="M851" s="238"/>
      <c r="N851" s="386"/>
      <c r="O851" s="387"/>
      <c r="P851" s="385"/>
      <c r="Q851" s="386"/>
      <c r="R851" s="384"/>
      <c r="S851" s="266"/>
      <c r="T851" s="266"/>
      <c r="U851" s="266"/>
      <c r="V851" s="267"/>
      <c r="W851" s="391"/>
      <c r="X851" s="392"/>
    </row>
    <row r="852" spans="1:24">
      <c r="A852" s="361"/>
      <c r="B852" s="361"/>
      <c r="C852" s="362"/>
      <c r="D852" s="361"/>
      <c r="E852" s="361"/>
      <c r="F852" s="383"/>
      <c r="G852" s="384"/>
      <c r="H852" s="238"/>
      <c r="I852" s="238"/>
      <c r="J852" s="385"/>
      <c r="K852" s="238"/>
      <c r="L852" s="238"/>
      <c r="M852" s="238"/>
      <c r="N852" s="386"/>
      <c r="O852" s="387"/>
      <c r="P852" s="385"/>
      <c r="Q852" s="386"/>
      <c r="R852" s="384"/>
      <c r="S852" s="266"/>
      <c r="T852" s="266"/>
      <c r="U852" s="266"/>
      <c r="V852" s="267"/>
      <c r="W852" s="391"/>
      <c r="X852" s="392"/>
    </row>
    <row r="853" spans="1:24">
      <c r="A853" s="361"/>
      <c r="B853" s="361"/>
      <c r="C853" s="362"/>
      <c r="D853" s="361"/>
      <c r="E853" s="361"/>
      <c r="F853" s="383"/>
      <c r="G853" s="384"/>
      <c r="H853" s="238"/>
      <c r="I853" s="238"/>
      <c r="J853" s="385"/>
      <c r="K853" s="238"/>
      <c r="L853" s="238"/>
      <c r="M853" s="238"/>
      <c r="N853" s="386"/>
      <c r="O853" s="387"/>
      <c r="P853" s="385"/>
      <c r="Q853" s="386"/>
      <c r="R853" s="384"/>
      <c r="S853" s="266"/>
      <c r="T853" s="266"/>
      <c r="U853" s="266"/>
      <c r="V853" s="267"/>
      <c r="W853" s="391"/>
      <c r="X853" s="392"/>
    </row>
    <row r="854" spans="1:24">
      <c r="A854" s="361"/>
      <c r="B854" s="361"/>
      <c r="C854" s="362"/>
      <c r="D854" s="361"/>
      <c r="E854" s="361"/>
      <c r="F854" s="383"/>
      <c r="G854" s="384"/>
      <c r="H854" s="238"/>
      <c r="I854" s="238"/>
      <c r="J854" s="385"/>
      <c r="K854" s="238"/>
      <c r="L854" s="238"/>
      <c r="M854" s="238"/>
      <c r="N854" s="386"/>
      <c r="O854" s="387"/>
      <c r="P854" s="385"/>
      <c r="Q854" s="386"/>
      <c r="R854" s="384"/>
      <c r="S854" s="266"/>
      <c r="T854" s="266"/>
      <c r="U854" s="266"/>
      <c r="V854" s="267"/>
      <c r="W854" s="391"/>
      <c r="X854" s="392"/>
    </row>
    <row r="855" spans="1:24">
      <c r="A855" s="361"/>
      <c r="B855" s="361"/>
      <c r="C855" s="362"/>
      <c r="D855" s="361"/>
      <c r="E855" s="361"/>
      <c r="F855" s="383"/>
      <c r="G855" s="384"/>
      <c r="H855" s="238"/>
      <c r="I855" s="238"/>
      <c r="J855" s="385"/>
      <c r="K855" s="238"/>
      <c r="L855" s="238"/>
      <c r="M855" s="238"/>
      <c r="N855" s="386"/>
      <c r="O855" s="387"/>
      <c r="P855" s="385"/>
      <c r="Q855" s="386"/>
      <c r="R855" s="384"/>
      <c r="S855" s="266"/>
      <c r="T855" s="266"/>
      <c r="U855" s="266"/>
      <c r="V855" s="267"/>
      <c r="W855" s="391"/>
      <c r="X855" s="392"/>
    </row>
    <row r="856" spans="1:24">
      <c r="A856" s="361"/>
      <c r="B856" s="361"/>
      <c r="C856" s="362"/>
      <c r="D856" s="361"/>
      <c r="E856" s="361"/>
      <c r="F856" s="383"/>
      <c r="G856" s="384"/>
      <c r="H856" s="238"/>
      <c r="I856" s="238"/>
      <c r="J856" s="385"/>
      <c r="K856" s="238"/>
      <c r="L856" s="238"/>
      <c r="M856" s="238"/>
      <c r="N856" s="386"/>
      <c r="O856" s="387"/>
      <c r="P856" s="385"/>
      <c r="Q856" s="386"/>
      <c r="R856" s="384"/>
      <c r="S856" s="266"/>
      <c r="T856" s="266"/>
      <c r="U856" s="266"/>
      <c r="V856" s="267"/>
      <c r="W856" s="391"/>
      <c r="X856" s="392"/>
    </row>
    <row r="857" spans="1:24">
      <c r="A857" s="361"/>
      <c r="B857" s="361"/>
      <c r="C857" s="362"/>
      <c r="D857" s="361"/>
      <c r="E857" s="361"/>
      <c r="F857" s="383"/>
      <c r="G857" s="384"/>
      <c r="H857" s="238"/>
      <c r="I857" s="238"/>
      <c r="J857" s="385"/>
      <c r="K857" s="238"/>
      <c r="L857" s="238"/>
      <c r="M857" s="238"/>
      <c r="N857" s="386"/>
      <c r="O857" s="387"/>
      <c r="P857" s="385"/>
      <c r="Q857" s="386"/>
      <c r="R857" s="384"/>
      <c r="S857" s="266"/>
      <c r="T857" s="266"/>
      <c r="U857" s="266"/>
      <c r="V857" s="267"/>
      <c r="W857" s="391"/>
      <c r="X857" s="392"/>
    </row>
    <row r="858" spans="1:24">
      <c r="A858" s="361"/>
      <c r="B858" s="361"/>
      <c r="C858" s="362"/>
      <c r="D858" s="361"/>
      <c r="E858" s="361"/>
      <c r="F858" s="383"/>
      <c r="G858" s="384"/>
      <c r="H858" s="238"/>
      <c r="I858" s="238"/>
      <c r="J858" s="385"/>
      <c r="K858" s="238"/>
      <c r="L858" s="238"/>
      <c r="M858" s="238"/>
      <c r="N858" s="386"/>
      <c r="O858" s="387"/>
      <c r="P858" s="385"/>
      <c r="Q858" s="386"/>
      <c r="R858" s="384"/>
      <c r="S858" s="266"/>
      <c r="T858" s="266"/>
      <c r="U858" s="266"/>
      <c r="V858" s="267"/>
      <c r="W858" s="391"/>
      <c r="X858" s="392"/>
    </row>
    <row r="859" spans="1:24">
      <c r="A859" s="361"/>
      <c r="B859" s="361"/>
      <c r="C859" s="362"/>
      <c r="D859" s="361"/>
      <c r="E859" s="361"/>
      <c r="F859" s="383"/>
      <c r="G859" s="384"/>
      <c r="H859" s="238"/>
      <c r="I859" s="238"/>
      <c r="J859" s="385"/>
      <c r="K859" s="238"/>
      <c r="L859" s="238"/>
      <c r="M859" s="238"/>
      <c r="N859" s="386"/>
      <c r="O859" s="387"/>
      <c r="P859" s="385"/>
      <c r="Q859" s="386"/>
      <c r="R859" s="384"/>
      <c r="S859" s="266"/>
      <c r="T859" s="266"/>
      <c r="U859" s="266"/>
      <c r="V859" s="267"/>
      <c r="W859" s="391"/>
      <c r="X859" s="392"/>
    </row>
    <row r="860" spans="1:24">
      <c r="A860" s="361"/>
      <c r="B860" s="361"/>
      <c r="C860" s="362"/>
      <c r="D860" s="361"/>
      <c r="E860" s="361"/>
      <c r="F860" s="383"/>
      <c r="G860" s="384"/>
      <c r="H860" s="238"/>
      <c r="I860" s="238"/>
      <c r="J860" s="385"/>
      <c r="K860" s="238"/>
      <c r="L860" s="238"/>
      <c r="M860" s="238"/>
      <c r="N860" s="386"/>
      <c r="O860" s="387"/>
      <c r="P860" s="385"/>
      <c r="Q860" s="386"/>
      <c r="R860" s="384"/>
      <c r="S860" s="266"/>
      <c r="T860" s="266"/>
      <c r="U860" s="266"/>
      <c r="V860" s="267"/>
      <c r="W860" s="391"/>
      <c r="X860" s="392"/>
    </row>
    <row r="861" spans="1:24">
      <c r="A861" s="361"/>
      <c r="B861" s="361"/>
      <c r="C861" s="362"/>
      <c r="D861" s="361"/>
      <c r="E861" s="361"/>
      <c r="F861" s="383"/>
      <c r="G861" s="384"/>
      <c r="H861" s="238"/>
      <c r="I861" s="238"/>
      <c r="J861" s="385"/>
      <c r="K861" s="238"/>
      <c r="L861" s="238"/>
      <c r="M861" s="238"/>
      <c r="N861" s="386"/>
      <c r="O861" s="387"/>
      <c r="P861" s="385"/>
      <c r="Q861" s="386"/>
      <c r="R861" s="384"/>
      <c r="S861" s="266"/>
      <c r="T861" s="266"/>
      <c r="U861" s="266"/>
      <c r="V861" s="267"/>
      <c r="W861" s="391"/>
      <c r="X861" s="392"/>
    </row>
    <row r="862" spans="1:24">
      <c r="A862" s="361"/>
      <c r="B862" s="361"/>
      <c r="C862" s="362"/>
      <c r="D862" s="361"/>
      <c r="E862" s="361"/>
      <c r="F862" s="383"/>
      <c r="G862" s="384"/>
      <c r="H862" s="238"/>
      <c r="I862" s="238"/>
      <c r="J862" s="385"/>
      <c r="K862" s="238"/>
      <c r="L862" s="238"/>
      <c r="M862" s="238"/>
      <c r="N862" s="386"/>
      <c r="O862" s="387"/>
      <c r="P862" s="385"/>
      <c r="Q862" s="386"/>
      <c r="R862" s="384"/>
      <c r="S862" s="266"/>
      <c r="T862" s="266"/>
      <c r="U862" s="266"/>
      <c r="V862" s="267"/>
      <c r="W862" s="391"/>
      <c r="X862" s="392"/>
    </row>
    <row r="863" spans="1:24">
      <c r="A863" s="361"/>
      <c r="B863" s="361"/>
      <c r="C863" s="362"/>
      <c r="D863" s="361"/>
      <c r="E863" s="361"/>
      <c r="F863" s="383"/>
      <c r="G863" s="384"/>
      <c r="H863" s="238"/>
      <c r="I863" s="238"/>
      <c r="J863" s="385"/>
      <c r="K863" s="238"/>
      <c r="L863" s="238"/>
      <c r="M863" s="238"/>
      <c r="N863" s="386"/>
      <c r="O863" s="387"/>
      <c r="P863" s="385"/>
      <c r="Q863" s="386"/>
      <c r="R863" s="384"/>
      <c r="S863" s="266"/>
      <c r="T863" s="266"/>
      <c r="U863" s="266"/>
      <c r="V863" s="267"/>
      <c r="W863" s="391"/>
      <c r="X863" s="392"/>
    </row>
    <row r="864" spans="1:24">
      <c r="A864" s="361"/>
      <c r="B864" s="361"/>
      <c r="C864" s="362"/>
      <c r="D864" s="361"/>
      <c r="E864" s="361"/>
      <c r="F864" s="383"/>
      <c r="G864" s="384"/>
      <c r="H864" s="238"/>
      <c r="I864" s="238"/>
      <c r="J864" s="385"/>
      <c r="K864" s="238"/>
      <c r="L864" s="238"/>
      <c r="M864" s="238"/>
      <c r="N864" s="386"/>
      <c r="O864" s="387"/>
      <c r="P864" s="385"/>
      <c r="Q864" s="386"/>
      <c r="R864" s="384"/>
      <c r="S864" s="266"/>
      <c r="T864" s="266"/>
      <c r="U864" s="266"/>
      <c r="V864" s="267"/>
      <c r="W864" s="391"/>
      <c r="X864" s="392"/>
    </row>
    <row r="865" spans="1:24">
      <c r="A865" s="361"/>
      <c r="B865" s="361"/>
      <c r="C865" s="362"/>
      <c r="D865" s="361"/>
      <c r="E865" s="361"/>
      <c r="F865" s="383"/>
      <c r="G865" s="384"/>
      <c r="H865" s="238"/>
      <c r="I865" s="238"/>
      <c r="J865" s="385"/>
      <c r="K865" s="238"/>
      <c r="L865" s="238"/>
      <c r="M865" s="238"/>
      <c r="N865" s="386"/>
      <c r="O865" s="387"/>
      <c r="P865" s="385"/>
      <c r="Q865" s="386"/>
      <c r="R865" s="384"/>
      <c r="S865" s="266"/>
      <c r="T865" s="266"/>
      <c r="U865" s="266"/>
      <c r="V865" s="267"/>
      <c r="W865" s="391"/>
      <c r="X865" s="392"/>
    </row>
    <row r="866" spans="1:24">
      <c r="A866" s="361"/>
      <c r="B866" s="361"/>
      <c r="C866" s="362"/>
      <c r="D866" s="361"/>
      <c r="E866" s="361"/>
      <c r="F866" s="383"/>
      <c r="G866" s="384"/>
      <c r="H866" s="238"/>
      <c r="I866" s="238"/>
      <c r="J866" s="385"/>
      <c r="K866" s="238"/>
      <c r="L866" s="238"/>
      <c r="M866" s="238"/>
      <c r="N866" s="386"/>
      <c r="O866" s="387"/>
      <c r="P866" s="385"/>
      <c r="Q866" s="386"/>
      <c r="R866" s="384"/>
      <c r="S866" s="266"/>
      <c r="T866" s="266"/>
      <c r="U866" s="266"/>
      <c r="V866" s="267"/>
      <c r="W866" s="391"/>
      <c r="X866" s="392"/>
    </row>
    <row r="867" spans="1:24">
      <c r="A867" s="361"/>
      <c r="B867" s="361"/>
      <c r="C867" s="362"/>
      <c r="D867" s="361"/>
      <c r="E867" s="361"/>
      <c r="F867" s="383"/>
      <c r="G867" s="384"/>
      <c r="H867" s="238"/>
      <c r="I867" s="238"/>
      <c r="J867" s="385"/>
      <c r="K867" s="238"/>
      <c r="L867" s="238"/>
      <c r="M867" s="238"/>
      <c r="N867" s="386"/>
      <c r="O867" s="387"/>
      <c r="P867" s="385"/>
      <c r="Q867" s="386"/>
      <c r="R867" s="384"/>
      <c r="S867" s="266"/>
      <c r="T867" s="266"/>
      <c r="U867" s="266"/>
      <c r="V867" s="267"/>
      <c r="W867" s="391"/>
      <c r="X867" s="392"/>
    </row>
    <row r="868" spans="1:24">
      <c r="A868" s="361"/>
      <c r="B868" s="361"/>
      <c r="C868" s="362"/>
      <c r="D868" s="361"/>
      <c r="E868" s="361"/>
      <c r="F868" s="383"/>
      <c r="G868" s="384"/>
      <c r="H868" s="238"/>
      <c r="I868" s="238"/>
      <c r="J868" s="385"/>
      <c r="K868" s="238"/>
      <c r="L868" s="238"/>
      <c r="M868" s="238"/>
      <c r="N868" s="386"/>
      <c r="O868" s="387"/>
      <c r="P868" s="385"/>
      <c r="Q868" s="386"/>
      <c r="R868" s="384"/>
      <c r="S868" s="266"/>
      <c r="T868" s="266"/>
      <c r="U868" s="266"/>
      <c r="V868" s="267"/>
      <c r="W868" s="391"/>
      <c r="X868" s="392"/>
    </row>
    <row r="869" spans="1:24">
      <c r="A869" s="361"/>
      <c r="B869" s="361"/>
      <c r="C869" s="362"/>
      <c r="D869" s="361"/>
      <c r="E869" s="361"/>
      <c r="F869" s="383"/>
      <c r="G869" s="384"/>
      <c r="H869" s="238"/>
      <c r="I869" s="238"/>
      <c r="J869" s="385"/>
      <c r="K869" s="238"/>
      <c r="L869" s="238"/>
      <c r="M869" s="238"/>
      <c r="N869" s="386"/>
      <c r="O869" s="387"/>
      <c r="P869" s="385"/>
      <c r="Q869" s="386"/>
      <c r="R869" s="384"/>
      <c r="S869" s="266"/>
      <c r="T869" s="266"/>
      <c r="U869" s="266"/>
      <c r="V869" s="267"/>
      <c r="W869" s="391"/>
      <c r="X869" s="392"/>
    </row>
    <row r="870" spans="1:24">
      <c r="A870" s="361"/>
      <c r="B870" s="361"/>
      <c r="C870" s="362"/>
      <c r="D870" s="361"/>
      <c r="E870" s="361"/>
      <c r="F870" s="383"/>
      <c r="G870" s="384"/>
      <c r="H870" s="238"/>
      <c r="I870" s="238"/>
      <c r="J870" s="385"/>
      <c r="K870" s="238"/>
      <c r="L870" s="238"/>
      <c r="M870" s="238"/>
      <c r="N870" s="386"/>
      <c r="O870" s="387"/>
      <c r="P870" s="385"/>
      <c r="Q870" s="386"/>
      <c r="R870" s="384"/>
      <c r="S870" s="266"/>
      <c r="T870" s="266"/>
      <c r="U870" s="266"/>
      <c r="V870" s="267"/>
      <c r="W870" s="391"/>
      <c r="X870" s="392"/>
    </row>
    <row r="871" spans="1:24">
      <c r="F871" s="383"/>
      <c r="G871" s="263"/>
      <c r="H871" s="264"/>
      <c r="I871" s="264"/>
      <c r="J871" s="264"/>
      <c r="K871" s="264"/>
      <c r="L871" s="264"/>
      <c r="M871" s="264"/>
      <c r="N871" s="263"/>
      <c r="O871" s="265"/>
      <c r="P871" s="264"/>
      <c r="Q871" s="263"/>
      <c r="R871" s="263"/>
      <c r="S871" s="266"/>
      <c r="T871" s="266"/>
      <c r="U871" s="266"/>
      <c r="V871" s="267"/>
    </row>
    <row r="872" spans="1:24">
      <c r="F872" s="262"/>
      <c r="G872" s="263"/>
      <c r="H872" s="264"/>
      <c r="I872" s="264"/>
      <c r="J872" s="264"/>
      <c r="K872" s="264"/>
      <c r="L872" s="264"/>
      <c r="M872" s="264"/>
      <c r="N872" s="263"/>
      <c r="O872" s="265"/>
      <c r="P872" s="264"/>
      <c r="Q872" s="263"/>
      <c r="R872" s="263"/>
      <c r="S872" s="266"/>
      <c r="T872" s="266"/>
      <c r="U872" s="266"/>
      <c r="V872" s="267"/>
    </row>
    <row r="873" spans="1:24">
      <c r="F873" s="262"/>
      <c r="G873" s="263"/>
      <c r="H873" s="264"/>
      <c r="I873" s="264"/>
      <c r="J873" s="264"/>
      <c r="K873" s="264"/>
      <c r="L873" s="264"/>
      <c r="M873" s="264"/>
      <c r="N873" s="263"/>
      <c r="O873" s="265"/>
      <c r="P873" s="264"/>
      <c r="Q873" s="263"/>
      <c r="R873" s="263"/>
      <c r="S873" s="266"/>
      <c r="T873" s="266"/>
      <c r="U873" s="266"/>
      <c r="V873" s="267"/>
    </row>
    <row r="874" spans="1:24">
      <c r="F874" s="262"/>
      <c r="G874" s="263"/>
      <c r="H874" s="264"/>
      <c r="I874" s="264"/>
      <c r="J874" s="264"/>
      <c r="K874" s="264"/>
      <c r="L874" s="264"/>
      <c r="M874" s="264"/>
      <c r="N874" s="263"/>
      <c r="O874" s="265"/>
      <c r="P874" s="264"/>
      <c r="Q874" s="263"/>
      <c r="R874" s="263"/>
      <c r="S874" s="266"/>
      <c r="T874" s="266"/>
      <c r="U874" s="266"/>
      <c r="V874" s="267"/>
    </row>
    <row r="875" spans="1:24">
      <c r="F875" s="262"/>
      <c r="G875" s="263"/>
      <c r="H875" s="264"/>
      <c r="I875" s="264"/>
      <c r="J875" s="264"/>
      <c r="K875" s="264"/>
      <c r="L875" s="264"/>
      <c r="M875" s="264"/>
      <c r="N875" s="263"/>
      <c r="O875" s="265"/>
      <c r="P875" s="264"/>
      <c r="Q875" s="263"/>
      <c r="R875" s="263"/>
      <c r="S875" s="266"/>
      <c r="T875" s="266"/>
      <c r="U875" s="266"/>
      <c r="V875" s="267"/>
    </row>
    <row r="876" spans="1:24">
      <c r="F876" s="262"/>
      <c r="G876" s="263"/>
      <c r="H876" s="264"/>
      <c r="I876" s="264"/>
      <c r="J876" s="264"/>
      <c r="K876" s="264"/>
      <c r="L876" s="264"/>
      <c r="M876" s="264"/>
      <c r="N876" s="263"/>
      <c r="O876" s="265"/>
      <c r="P876" s="264"/>
      <c r="Q876" s="263"/>
      <c r="R876" s="263"/>
      <c r="S876" s="266"/>
      <c r="T876" s="266"/>
      <c r="U876" s="266"/>
      <c r="V876" s="267"/>
    </row>
    <row r="877" spans="1:24">
      <c r="F877" s="262"/>
      <c r="G877" s="263"/>
      <c r="H877" s="264"/>
      <c r="I877" s="264"/>
      <c r="J877" s="264"/>
      <c r="K877" s="264"/>
      <c r="L877" s="264"/>
      <c r="M877" s="264"/>
      <c r="N877" s="263"/>
      <c r="O877" s="265"/>
      <c r="P877" s="264"/>
      <c r="Q877" s="263"/>
      <c r="R877" s="263"/>
      <c r="S877" s="266"/>
      <c r="T877" s="266"/>
      <c r="U877" s="266"/>
      <c r="V877" s="267"/>
    </row>
    <row r="878" spans="1:24">
      <c r="F878" s="262"/>
      <c r="G878" s="263"/>
      <c r="H878" s="264"/>
      <c r="I878" s="264"/>
      <c r="J878" s="264"/>
      <c r="K878" s="264"/>
      <c r="L878" s="264"/>
      <c r="M878" s="264"/>
      <c r="N878" s="263"/>
      <c r="O878" s="265"/>
      <c r="P878" s="264"/>
      <c r="Q878" s="263"/>
      <c r="R878" s="263"/>
      <c r="S878" s="266"/>
      <c r="T878" s="266"/>
      <c r="U878" s="266"/>
      <c r="V878" s="267"/>
    </row>
    <row r="879" spans="1:24">
      <c r="F879" s="262"/>
      <c r="G879" s="263"/>
      <c r="H879" s="264"/>
      <c r="I879" s="264"/>
      <c r="J879" s="264"/>
      <c r="K879" s="264"/>
      <c r="L879" s="264"/>
      <c r="M879" s="264"/>
      <c r="N879" s="263"/>
      <c r="O879" s="265"/>
      <c r="P879" s="264"/>
      <c r="Q879" s="263"/>
      <c r="R879" s="263"/>
      <c r="S879" s="266"/>
      <c r="T879" s="266"/>
      <c r="U879" s="266"/>
      <c r="V879" s="267"/>
    </row>
    <row r="880" spans="1:24">
      <c r="F880" s="262"/>
      <c r="G880" s="263"/>
      <c r="H880" s="264"/>
      <c r="I880" s="264"/>
      <c r="J880" s="264"/>
      <c r="K880" s="264"/>
      <c r="L880" s="264"/>
      <c r="M880" s="264"/>
      <c r="N880" s="263"/>
      <c r="O880" s="265"/>
      <c r="P880" s="264"/>
      <c r="Q880" s="263"/>
      <c r="R880" s="263"/>
      <c r="S880" s="266"/>
      <c r="T880" s="266"/>
      <c r="U880" s="266"/>
      <c r="V880" s="267"/>
    </row>
    <row r="881" spans="6:22">
      <c r="F881" s="262"/>
      <c r="G881" s="263"/>
      <c r="H881" s="264"/>
      <c r="I881" s="264"/>
      <c r="J881" s="264"/>
      <c r="K881" s="264"/>
      <c r="L881" s="264"/>
      <c r="M881" s="264"/>
      <c r="N881" s="263"/>
      <c r="O881" s="265"/>
      <c r="P881" s="264"/>
      <c r="Q881" s="263"/>
      <c r="R881" s="263"/>
      <c r="S881" s="266"/>
      <c r="T881" s="266"/>
      <c r="U881" s="266"/>
      <c r="V881" s="267"/>
    </row>
    <row r="882" spans="6:22">
      <c r="F882" s="262"/>
      <c r="G882" s="263"/>
      <c r="H882" s="264"/>
      <c r="I882" s="264"/>
      <c r="J882" s="264"/>
      <c r="K882" s="264"/>
      <c r="L882" s="264"/>
      <c r="M882" s="264"/>
      <c r="N882" s="263"/>
      <c r="O882" s="265"/>
      <c r="P882" s="264"/>
      <c r="Q882" s="263"/>
      <c r="R882" s="263"/>
      <c r="S882" s="266"/>
      <c r="T882" s="266"/>
      <c r="U882" s="266"/>
      <c r="V882" s="267"/>
    </row>
    <row r="883" spans="6:22">
      <c r="F883" s="262"/>
      <c r="G883" s="263"/>
      <c r="H883" s="264"/>
      <c r="I883" s="264"/>
      <c r="J883" s="264"/>
      <c r="K883" s="264"/>
      <c r="L883" s="264"/>
      <c r="M883" s="264"/>
      <c r="N883" s="263"/>
      <c r="O883" s="265"/>
      <c r="P883" s="264"/>
      <c r="Q883" s="263"/>
      <c r="R883" s="263"/>
      <c r="S883" s="266"/>
      <c r="T883" s="266"/>
      <c r="U883" s="266"/>
      <c r="V883" s="267"/>
    </row>
    <row r="884" spans="6:22">
      <c r="F884" s="262"/>
      <c r="G884" s="263"/>
      <c r="H884" s="264"/>
      <c r="I884" s="264"/>
      <c r="J884" s="264"/>
      <c r="K884" s="264"/>
      <c r="L884" s="264"/>
      <c r="M884" s="264"/>
      <c r="N884" s="263"/>
      <c r="O884" s="265"/>
      <c r="P884" s="264"/>
      <c r="Q884" s="263"/>
      <c r="R884" s="263"/>
      <c r="S884" s="266"/>
      <c r="T884" s="266"/>
      <c r="U884" s="266"/>
      <c r="V884" s="267"/>
    </row>
    <row r="885" spans="6:22">
      <c r="F885" s="262"/>
      <c r="G885" s="263"/>
      <c r="H885" s="264"/>
      <c r="I885" s="264"/>
      <c r="J885" s="264"/>
      <c r="K885" s="264"/>
      <c r="L885" s="264"/>
      <c r="M885" s="264"/>
      <c r="N885" s="263"/>
      <c r="O885" s="265"/>
      <c r="P885" s="264"/>
      <c r="Q885" s="263"/>
      <c r="R885" s="263"/>
      <c r="S885" s="266"/>
      <c r="T885" s="266"/>
      <c r="U885" s="266"/>
      <c r="V885" s="267"/>
    </row>
    <row r="886" spans="6:22">
      <c r="F886" s="262"/>
      <c r="G886" s="263"/>
      <c r="H886" s="264"/>
      <c r="I886" s="264"/>
      <c r="J886" s="264"/>
      <c r="K886" s="264"/>
      <c r="L886" s="264"/>
      <c r="M886" s="264"/>
      <c r="N886" s="263"/>
      <c r="O886" s="265"/>
      <c r="P886" s="264"/>
      <c r="Q886" s="263"/>
      <c r="R886" s="263"/>
      <c r="S886" s="266"/>
      <c r="T886" s="266"/>
      <c r="U886" s="266"/>
      <c r="V886" s="267"/>
    </row>
    <row r="887" spans="6:22">
      <c r="F887" s="262"/>
      <c r="G887" s="263"/>
      <c r="H887" s="264"/>
      <c r="I887" s="264"/>
      <c r="J887" s="264"/>
      <c r="K887" s="264"/>
      <c r="L887" s="264"/>
      <c r="M887" s="264"/>
      <c r="N887" s="263"/>
      <c r="O887" s="265"/>
      <c r="P887" s="264"/>
      <c r="Q887" s="263"/>
      <c r="R887" s="263"/>
      <c r="S887" s="266"/>
      <c r="T887" s="266"/>
      <c r="U887" s="266"/>
      <c r="V887" s="267"/>
    </row>
    <row r="888" spans="6:22">
      <c r="F888" s="262"/>
      <c r="G888" s="263"/>
      <c r="H888" s="264"/>
      <c r="I888" s="264"/>
      <c r="J888" s="264"/>
      <c r="K888" s="264"/>
      <c r="L888" s="264"/>
      <c r="M888" s="264"/>
      <c r="N888" s="263"/>
      <c r="O888" s="265"/>
      <c r="P888" s="264"/>
      <c r="Q888" s="263"/>
      <c r="R888" s="263"/>
      <c r="S888" s="266"/>
      <c r="T888" s="266"/>
      <c r="U888" s="266"/>
      <c r="V888" s="267"/>
    </row>
    <row r="889" spans="6:22">
      <c r="F889" s="262"/>
      <c r="G889" s="263"/>
      <c r="H889" s="264"/>
      <c r="I889" s="264"/>
      <c r="J889" s="264"/>
      <c r="K889" s="264"/>
      <c r="L889" s="264"/>
      <c r="M889" s="264"/>
      <c r="N889" s="263"/>
      <c r="O889" s="265"/>
      <c r="P889" s="264"/>
      <c r="Q889" s="263"/>
      <c r="R889" s="263"/>
      <c r="S889" s="266"/>
      <c r="T889" s="266"/>
      <c r="U889" s="266"/>
      <c r="V889" s="267"/>
    </row>
    <row r="890" spans="6:22">
      <c r="F890" s="262"/>
      <c r="G890" s="263"/>
      <c r="H890" s="264"/>
      <c r="I890" s="264"/>
      <c r="J890" s="264"/>
      <c r="K890" s="264"/>
      <c r="L890" s="264"/>
      <c r="M890" s="264"/>
      <c r="N890" s="263"/>
      <c r="O890" s="265"/>
      <c r="P890" s="264"/>
      <c r="Q890" s="263"/>
      <c r="R890" s="263"/>
      <c r="S890" s="266"/>
      <c r="T890" s="266"/>
      <c r="U890" s="266"/>
      <c r="V890" s="267"/>
    </row>
    <row r="891" spans="6:22">
      <c r="F891" s="262"/>
      <c r="G891" s="263"/>
      <c r="H891" s="264"/>
      <c r="I891" s="264"/>
      <c r="J891" s="264"/>
      <c r="K891" s="264"/>
      <c r="L891" s="264"/>
      <c r="M891" s="264"/>
      <c r="N891" s="263"/>
      <c r="O891" s="265"/>
      <c r="P891" s="264"/>
      <c r="Q891" s="263"/>
      <c r="R891" s="263"/>
      <c r="S891" s="266"/>
      <c r="T891" s="266"/>
      <c r="U891" s="266"/>
      <c r="V891" s="267"/>
    </row>
    <row r="892" spans="6:22">
      <c r="F892" s="262"/>
      <c r="G892" s="263"/>
      <c r="H892" s="264"/>
      <c r="I892" s="264"/>
      <c r="J892" s="264"/>
      <c r="K892" s="264"/>
      <c r="L892" s="264"/>
      <c r="M892" s="264"/>
      <c r="N892" s="263"/>
      <c r="O892" s="265"/>
      <c r="P892" s="264"/>
      <c r="Q892" s="263"/>
      <c r="R892" s="263"/>
      <c r="S892" s="266"/>
      <c r="T892" s="266"/>
      <c r="U892" s="266"/>
      <c r="V892" s="267"/>
    </row>
    <row r="893" spans="6:22">
      <c r="F893" s="262"/>
      <c r="G893" s="263"/>
      <c r="H893" s="264"/>
      <c r="I893" s="264"/>
      <c r="J893" s="264"/>
      <c r="K893" s="264"/>
      <c r="L893" s="264"/>
      <c r="M893" s="264"/>
      <c r="N893" s="263"/>
      <c r="O893" s="265"/>
      <c r="P893" s="264"/>
      <c r="Q893" s="263"/>
      <c r="R893" s="263"/>
      <c r="S893" s="266"/>
      <c r="T893" s="266"/>
      <c r="U893" s="266"/>
      <c r="V893" s="267"/>
    </row>
    <row r="894" spans="6:22">
      <c r="F894" s="262"/>
      <c r="G894" s="263"/>
      <c r="H894" s="264"/>
      <c r="I894" s="264"/>
      <c r="J894" s="264"/>
      <c r="K894" s="264"/>
      <c r="L894" s="264"/>
      <c r="M894" s="264"/>
      <c r="N894" s="263"/>
      <c r="O894" s="265"/>
      <c r="P894" s="264"/>
      <c r="Q894" s="263"/>
      <c r="R894" s="263"/>
      <c r="S894" s="266"/>
      <c r="T894" s="266"/>
      <c r="U894" s="266"/>
      <c r="V894" s="267"/>
    </row>
    <row r="895" spans="6:22">
      <c r="F895" s="262"/>
      <c r="G895" s="263"/>
      <c r="H895" s="264"/>
      <c r="I895" s="264"/>
      <c r="J895" s="264"/>
      <c r="K895" s="264"/>
      <c r="L895" s="264"/>
      <c r="M895" s="264"/>
      <c r="N895" s="263"/>
      <c r="O895" s="265"/>
      <c r="P895" s="264"/>
      <c r="Q895" s="263"/>
      <c r="R895" s="263"/>
      <c r="S895" s="266"/>
      <c r="T895" s="266"/>
      <c r="U895" s="266"/>
      <c r="V895" s="267"/>
    </row>
    <row r="896" spans="6:22">
      <c r="F896" s="262"/>
      <c r="G896" s="263"/>
      <c r="H896" s="264"/>
      <c r="I896" s="264"/>
      <c r="J896" s="264"/>
      <c r="K896" s="264"/>
      <c r="L896" s="264"/>
      <c r="M896" s="264"/>
      <c r="N896" s="263"/>
      <c r="O896" s="265"/>
      <c r="P896" s="264"/>
      <c r="Q896" s="263"/>
      <c r="R896" s="263"/>
      <c r="S896" s="266"/>
      <c r="T896" s="266"/>
      <c r="U896" s="266"/>
      <c r="V896" s="267"/>
    </row>
    <row r="897" spans="6:22">
      <c r="F897" s="262"/>
      <c r="G897" s="263"/>
      <c r="H897" s="264"/>
      <c r="I897" s="264"/>
      <c r="J897" s="264"/>
      <c r="K897" s="264"/>
      <c r="L897" s="264"/>
      <c r="M897" s="264"/>
      <c r="N897" s="263"/>
      <c r="O897" s="265"/>
      <c r="P897" s="264"/>
      <c r="Q897" s="263"/>
      <c r="R897" s="263"/>
      <c r="S897" s="266"/>
      <c r="T897" s="266"/>
      <c r="U897" s="266"/>
      <c r="V897" s="267"/>
    </row>
    <row r="898" spans="6:22">
      <c r="F898" s="262"/>
      <c r="G898" s="263"/>
      <c r="H898" s="264"/>
      <c r="I898" s="264"/>
      <c r="J898" s="264"/>
      <c r="K898" s="264"/>
      <c r="L898" s="264"/>
      <c r="M898" s="264"/>
      <c r="N898" s="263"/>
      <c r="O898" s="265"/>
      <c r="P898" s="264"/>
      <c r="Q898" s="263"/>
      <c r="R898" s="263"/>
      <c r="S898" s="266"/>
      <c r="T898" s="266"/>
      <c r="U898" s="266"/>
      <c r="V898" s="267"/>
    </row>
    <row r="899" spans="6:22">
      <c r="F899" s="262"/>
      <c r="G899" s="263"/>
      <c r="H899" s="264"/>
      <c r="I899" s="264"/>
      <c r="J899" s="264"/>
      <c r="K899" s="264"/>
      <c r="L899" s="264"/>
      <c r="M899" s="264"/>
      <c r="N899" s="263"/>
      <c r="O899" s="265"/>
      <c r="P899" s="264"/>
      <c r="Q899" s="263"/>
      <c r="R899" s="263"/>
      <c r="S899" s="266"/>
      <c r="T899" s="266"/>
      <c r="U899" s="266"/>
      <c r="V899" s="267"/>
    </row>
    <row r="900" spans="6:22">
      <c r="F900" s="262"/>
      <c r="G900" s="263"/>
      <c r="H900" s="264"/>
      <c r="I900" s="264"/>
      <c r="J900" s="264"/>
      <c r="K900" s="264"/>
      <c r="L900" s="264"/>
      <c r="M900" s="264"/>
      <c r="N900" s="263"/>
      <c r="O900" s="265"/>
      <c r="P900" s="264"/>
      <c r="Q900" s="263"/>
      <c r="R900" s="263"/>
      <c r="S900" s="266"/>
      <c r="T900" s="266"/>
      <c r="U900" s="266"/>
      <c r="V900" s="267"/>
    </row>
    <row r="901" spans="6:22">
      <c r="F901" s="262"/>
      <c r="G901" s="263"/>
      <c r="H901" s="264"/>
      <c r="I901" s="264"/>
      <c r="J901" s="264"/>
      <c r="K901" s="264"/>
      <c r="L901" s="264"/>
      <c r="M901" s="264"/>
      <c r="N901" s="263"/>
      <c r="O901" s="265"/>
      <c r="P901" s="264"/>
      <c r="Q901" s="263"/>
      <c r="R901" s="263"/>
      <c r="S901" s="266"/>
      <c r="T901" s="266"/>
      <c r="U901" s="266"/>
      <c r="V901" s="267"/>
    </row>
    <row r="902" spans="6:22">
      <c r="F902" s="262"/>
      <c r="G902" s="263"/>
      <c r="H902" s="264"/>
      <c r="I902" s="264"/>
      <c r="J902" s="264"/>
      <c r="K902" s="264"/>
      <c r="L902" s="264"/>
      <c r="M902" s="264"/>
      <c r="N902" s="263"/>
      <c r="O902" s="265"/>
      <c r="P902" s="264"/>
      <c r="Q902" s="263"/>
      <c r="R902" s="263"/>
      <c r="S902" s="266"/>
      <c r="T902" s="266"/>
      <c r="U902" s="266"/>
      <c r="V902" s="267"/>
    </row>
    <row r="903" spans="6:22">
      <c r="F903" s="262"/>
      <c r="G903" s="263"/>
      <c r="H903" s="264"/>
      <c r="I903" s="264"/>
      <c r="J903" s="264"/>
      <c r="K903" s="264"/>
      <c r="L903" s="264"/>
      <c r="M903" s="264"/>
      <c r="N903" s="263"/>
      <c r="O903" s="265"/>
      <c r="P903" s="264"/>
      <c r="Q903" s="263"/>
      <c r="R903" s="263"/>
      <c r="S903" s="266"/>
      <c r="T903" s="266"/>
      <c r="U903" s="266"/>
      <c r="V903" s="267"/>
    </row>
    <row r="904" spans="6:22">
      <c r="F904" s="262"/>
      <c r="G904" s="263"/>
      <c r="H904" s="264"/>
      <c r="I904" s="264"/>
      <c r="J904" s="264"/>
      <c r="K904" s="264"/>
      <c r="L904" s="264"/>
      <c r="M904" s="264"/>
      <c r="N904" s="263"/>
      <c r="O904" s="265"/>
      <c r="P904" s="264"/>
      <c r="Q904" s="263"/>
      <c r="R904" s="263"/>
      <c r="S904" s="266"/>
      <c r="T904" s="266"/>
      <c r="U904" s="266"/>
      <c r="V904" s="267"/>
    </row>
    <row r="905" spans="6:22">
      <c r="F905" s="262"/>
      <c r="G905" s="263"/>
      <c r="H905" s="264"/>
      <c r="I905" s="264"/>
      <c r="J905" s="264"/>
      <c r="K905" s="264"/>
      <c r="L905" s="264"/>
      <c r="M905" s="264"/>
      <c r="N905" s="263"/>
      <c r="O905" s="265"/>
      <c r="P905" s="264"/>
      <c r="Q905" s="263"/>
      <c r="R905" s="263"/>
      <c r="S905" s="266"/>
      <c r="T905" s="266"/>
      <c r="U905" s="266"/>
      <c r="V905" s="267"/>
    </row>
    <row r="906" spans="6:22">
      <c r="F906" s="262"/>
      <c r="G906" s="263"/>
      <c r="H906" s="264"/>
      <c r="I906" s="264"/>
      <c r="J906" s="264"/>
      <c r="K906" s="264"/>
      <c r="L906" s="264"/>
      <c r="M906" s="264"/>
      <c r="N906" s="263"/>
      <c r="O906" s="265"/>
      <c r="P906" s="264"/>
      <c r="Q906" s="263"/>
      <c r="R906" s="263"/>
      <c r="S906" s="266"/>
      <c r="T906" s="266"/>
      <c r="U906" s="266"/>
      <c r="V906" s="267"/>
    </row>
    <row r="907" spans="6:22">
      <c r="F907" s="262"/>
      <c r="G907" s="263"/>
      <c r="H907" s="264"/>
      <c r="I907" s="264"/>
      <c r="J907" s="264"/>
      <c r="K907" s="264"/>
      <c r="L907" s="264"/>
      <c r="M907" s="264"/>
      <c r="N907" s="263"/>
      <c r="O907" s="265"/>
      <c r="P907" s="264"/>
      <c r="Q907" s="263"/>
      <c r="R907" s="263"/>
      <c r="S907" s="266"/>
      <c r="T907" s="266"/>
      <c r="U907" s="266"/>
      <c r="V907" s="267"/>
    </row>
    <row r="908" spans="6:22">
      <c r="F908" s="262"/>
      <c r="G908" s="263"/>
      <c r="H908" s="264"/>
      <c r="I908" s="264"/>
      <c r="J908" s="264"/>
      <c r="K908" s="264"/>
      <c r="L908" s="264"/>
      <c r="M908" s="264"/>
      <c r="N908" s="263"/>
      <c r="O908" s="265"/>
      <c r="P908" s="264"/>
      <c r="Q908" s="263"/>
      <c r="R908" s="263"/>
      <c r="S908" s="266"/>
      <c r="T908" s="266"/>
      <c r="U908" s="266"/>
      <c r="V908" s="267"/>
    </row>
    <row r="909" spans="6:22">
      <c r="F909" s="262"/>
      <c r="G909" s="263"/>
      <c r="H909" s="264"/>
      <c r="I909" s="264"/>
      <c r="J909" s="264"/>
      <c r="K909" s="264"/>
      <c r="L909" s="264"/>
      <c r="M909" s="264"/>
      <c r="N909" s="263"/>
      <c r="O909" s="265"/>
      <c r="P909" s="264"/>
      <c r="Q909" s="263"/>
      <c r="R909" s="263"/>
      <c r="S909" s="266"/>
      <c r="T909" s="266"/>
      <c r="U909" s="266"/>
      <c r="V909" s="267"/>
    </row>
    <row r="910" spans="6:22">
      <c r="F910" s="262"/>
      <c r="G910" s="263"/>
      <c r="H910" s="264"/>
      <c r="I910" s="264"/>
      <c r="J910" s="264"/>
      <c r="K910" s="264"/>
      <c r="L910" s="264"/>
      <c r="M910" s="264"/>
      <c r="N910" s="263"/>
      <c r="O910" s="265"/>
      <c r="P910" s="264"/>
      <c r="Q910" s="263"/>
      <c r="R910" s="263"/>
      <c r="S910" s="266"/>
      <c r="T910" s="266"/>
      <c r="U910" s="266"/>
      <c r="V910" s="267"/>
    </row>
    <row r="911" spans="6:22">
      <c r="F911" s="262"/>
      <c r="G911" s="263"/>
      <c r="H911" s="264"/>
      <c r="I911" s="264"/>
      <c r="J911" s="264"/>
      <c r="K911" s="264"/>
      <c r="L911" s="264"/>
      <c r="M911" s="264"/>
      <c r="N911" s="263"/>
      <c r="O911" s="265"/>
      <c r="P911" s="264"/>
      <c r="Q911" s="263"/>
      <c r="R911" s="263"/>
      <c r="S911" s="266"/>
      <c r="T911" s="266"/>
      <c r="U911" s="266"/>
      <c r="V911" s="267"/>
    </row>
    <row r="912" spans="6:22">
      <c r="F912" s="262"/>
      <c r="G912" s="263"/>
      <c r="H912" s="264"/>
      <c r="I912" s="264"/>
      <c r="J912" s="264"/>
      <c r="K912" s="264"/>
      <c r="L912" s="264"/>
      <c r="M912" s="264"/>
      <c r="N912" s="263"/>
      <c r="O912" s="265"/>
      <c r="P912" s="264"/>
      <c r="Q912" s="263"/>
      <c r="R912" s="263"/>
      <c r="S912" s="266"/>
      <c r="T912" s="266"/>
      <c r="U912" s="266"/>
      <c r="V912" s="267"/>
    </row>
    <row r="913" spans="6:22">
      <c r="F913" s="262"/>
      <c r="G913" s="263"/>
      <c r="H913" s="264"/>
      <c r="I913" s="264"/>
      <c r="J913" s="264"/>
      <c r="K913" s="264"/>
      <c r="L913" s="264"/>
      <c r="M913" s="264"/>
      <c r="N913" s="263"/>
      <c r="O913" s="265"/>
      <c r="P913" s="264"/>
      <c r="Q913" s="263"/>
      <c r="R913" s="263"/>
      <c r="S913" s="266"/>
      <c r="T913" s="266"/>
      <c r="U913" s="266"/>
      <c r="V913" s="267"/>
    </row>
    <row r="914" spans="6:22">
      <c r="F914" s="262"/>
      <c r="G914" s="263"/>
      <c r="H914" s="264"/>
      <c r="I914" s="264"/>
      <c r="J914" s="264"/>
      <c r="K914" s="264"/>
      <c r="L914" s="264"/>
      <c r="M914" s="264"/>
      <c r="N914" s="263"/>
      <c r="O914" s="265"/>
      <c r="P914" s="264"/>
      <c r="Q914" s="263"/>
      <c r="R914" s="263"/>
      <c r="S914" s="266"/>
      <c r="T914" s="266"/>
      <c r="U914" s="266"/>
      <c r="V914" s="267"/>
    </row>
    <row r="915" spans="6:22">
      <c r="F915" s="262"/>
      <c r="G915" s="263"/>
      <c r="H915" s="264"/>
      <c r="I915" s="264"/>
      <c r="J915" s="264"/>
      <c r="K915" s="264"/>
      <c r="L915" s="264"/>
      <c r="M915" s="264"/>
      <c r="N915" s="263"/>
      <c r="O915" s="265"/>
      <c r="P915" s="264"/>
      <c r="Q915" s="263"/>
      <c r="R915" s="263"/>
      <c r="S915" s="266"/>
      <c r="T915" s="266"/>
      <c r="U915" s="266"/>
      <c r="V915" s="267"/>
    </row>
    <row r="916" spans="6:22">
      <c r="F916" s="262"/>
      <c r="G916" s="263"/>
      <c r="H916" s="264"/>
      <c r="I916" s="264"/>
      <c r="J916" s="264"/>
      <c r="K916" s="264"/>
      <c r="L916" s="264"/>
      <c r="M916" s="264"/>
      <c r="N916" s="263"/>
      <c r="O916" s="265"/>
      <c r="P916" s="264"/>
      <c r="Q916" s="263"/>
      <c r="R916" s="263"/>
      <c r="S916" s="266"/>
      <c r="T916" s="266"/>
      <c r="U916" s="266"/>
      <c r="V916" s="267"/>
    </row>
    <row r="917" spans="6:22">
      <c r="F917" s="262"/>
      <c r="G917" s="263"/>
      <c r="H917" s="264"/>
      <c r="I917" s="264"/>
      <c r="J917" s="264"/>
      <c r="K917" s="264"/>
      <c r="L917" s="264"/>
      <c r="M917" s="264"/>
      <c r="N917" s="263"/>
      <c r="O917" s="265"/>
      <c r="P917" s="264"/>
      <c r="Q917" s="263"/>
      <c r="R917" s="263"/>
      <c r="S917" s="266"/>
      <c r="T917" s="266"/>
      <c r="U917" s="266"/>
      <c r="V917" s="267"/>
    </row>
    <row r="918" spans="6:22">
      <c r="F918" s="262"/>
      <c r="G918" s="263"/>
      <c r="H918" s="264"/>
      <c r="I918" s="264"/>
      <c r="J918" s="264"/>
      <c r="K918" s="264"/>
      <c r="L918" s="264"/>
      <c r="M918" s="264"/>
      <c r="N918" s="263"/>
      <c r="O918" s="265"/>
      <c r="P918" s="264"/>
      <c r="Q918" s="263"/>
      <c r="R918" s="263"/>
      <c r="S918" s="266"/>
      <c r="T918" s="266"/>
      <c r="U918" s="266"/>
      <c r="V918" s="267"/>
    </row>
    <row r="919" spans="6:22">
      <c r="F919" s="262"/>
      <c r="G919" s="263"/>
      <c r="H919" s="264"/>
      <c r="I919" s="264"/>
      <c r="J919" s="264"/>
      <c r="K919" s="264"/>
      <c r="L919" s="264"/>
      <c r="M919" s="264"/>
      <c r="N919" s="263"/>
      <c r="O919" s="265"/>
      <c r="P919" s="264"/>
      <c r="Q919" s="263"/>
      <c r="R919" s="263"/>
      <c r="S919" s="266"/>
      <c r="T919" s="266"/>
      <c r="U919" s="266"/>
      <c r="V919" s="267"/>
    </row>
    <row r="920" spans="6:22">
      <c r="F920" s="262"/>
      <c r="G920" s="263"/>
      <c r="H920" s="264"/>
      <c r="I920" s="264"/>
      <c r="J920" s="264"/>
      <c r="K920" s="264"/>
      <c r="L920" s="264"/>
      <c r="M920" s="264"/>
      <c r="N920" s="263"/>
      <c r="O920" s="265"/>
      <c r="P920" s="264"/>
      <c r="Q920" s="263"/>
      <c r="R920" s="263"/>
      <c r="S920" s="266"/>
      <c r="T920" s="266"/>
      <c r="U920" s="266"/>
      <c r="V920" s="267"/>
    </row>
    <row r="921" spans="6:22">
      <c r="F921" s="262"/>
      <c r="G921" s="263"/>
      <c r="H921" s="264"/>
      <c r="I921" s="264"/>
      <c r="J921" s="264"/>
      <c r="K921" s="264"/>
      <c r="L921" s="264"/>
      <c r="M921" s="264"/>
      <c r="N921" s="263"/>
      <c r="O921" s="265"/>
      <c r="P921" s="264"/>
      <c r="Q921" s="263"/>
      <c r="R921" s="263"/>
      <c r="S921" s="266"/>
      <c r="T921" s="266"/>
      <c r="U921" s="266"/>
      <c r="V921" s="267"/>
    </row>
    <row r="922" spans="6:22">
      <c r="F922" s="262"/>
      <c r="G922" s="263"/>
      <c r="H922" s="264"/>
      <c r="I922" s="264"/>
      <c r="J922" s="264"/>
      <c r="K922" s="264"/>
      <c r="L922" s="264"/>
      <c r="M922" s="264"/>
      <c r="N922" s="263"/>
      <c r="O922" s="265"/>
      <c r="P922" s="264"/>
      <c r="Q922" s="263"/>
      <c r="R922" s="263"/>
      <c r="S922" s="266"/>
      <c r="T922" s="266"/>
      <c r="U922" s="266"/>
      <c r="V922" s="267"/>
    </row>
    <row r="923" spans="6:22">
      <c r="F923" s="262"/>
      <c r="G923" s="263"/>
      <c r="H923" s="264"/>
      <c r="I923" s="264"/>
      <c r="J923" s="264"/>
      <c r="K923" s="264"/>
      <c r="L923" s="264"/>
      <c r="M923" s="264"/>
      <c r="N923" s="263"/>
      <c r="O923" s="265"/>
      <c r="P923" s="264"/>
      <c r="Q923" s="263"/>
      <c r="R923" s="263"/>
      <c r="S923" s="266"/>
      <c r="T923" s="266"/>
      <c r="U923" s="266"/>
      <c r="V923" s="267"/>
    </row>
    <row r="924" spans="6:22">
      <c r="F924" s="262"/>
      <c r="G924" s="263"/>
      <c r="H924" s="264"/>
      <c r="I924" s="264"/>
      <c r="J924" s="264"/>
      <c r="K924" s="264"/>
      <c r="L924" s="264"/>
      <c r="M924" s="264"/>
      <c r="N924" s="263"/>
      <c r="O924" s="265"/>
      <c r="P924" s="264"/>
      <c r="Q924" s="263"/>
      <c r="R924" s="263"/>
      <c r="S924" s="266"/>
      <c r="T924" s="266"/>
      <c r="U924" s="266"/>
      <c r="V924" s="267"/>
    </row>
    <row r="925" spans="6:22">
      <c r="F925" s="262"/>
      <c r="G925" s="263"/>
      <c r="H925" s="264"/>
      <c r="I925" s="264"/>
      <c r="J925" s="264"/>
      <c r="K925" s="264"/>
      <c r="L925" s="264"/>
      <c r="M925" s="264"/>
      <c r="N925" s="263"/>
      <c r="O925" s="265"/>
      <c r="P925" s="264"/>
      <c r="Q925" s="263"/>
      <c r="R925" s="263"/>
      <c r="S925" s="266"/>
      <c r="T925" s="266"/>
      <c r="U925" s="266"/>
      <c r="V925" s="267"/>
    </row>
    <row r="926" spans="6:22">
      <c r="F926" s="262"/>
      <c r="G926" s="263"/>
      <c r="H926" s="264"/>
      <c r="I926" s="264"/>
      <c r="J926" s="264"/>
      <c r="K926" s="264"/>
      <c r="L926" s="264"/>
      <c r="M926" s="264"/>
      <c r="N926" s="263"/>
      <c r="O926" s="265"/>
      <c r="P926" s="264"/>
      <c r="Q926" s="263"/>
      <c r="R926" s="263"/>
      <c r="S926" s="266"/>
      <c r="T926" s="266"/>
      <c r="U926" s="266"/>
      <c r="V926" s="267"/>
    </row>
    <row r="927" spans="6:22">
      <c r="F927" s="262"/>
      <c r="G927" s="263"/>
      <c r="H927" s="264"/>
      <c r="I927" s="264"/>
      <c r="J927" s="264"/>
      <c r="K927" s="264"/>
      <c r="L927" s="264"/>
      <c r="M927" s="264"/>
      <c r="N927" s="263"/>
      <c r="O927" s="265"/>
      <c r="P927" s="264"/>
      <c r="Q927" s="263"/>
      <c r="R927" s="263"/>
      <c r="S927" s="266"/>
      <c r="T927" s="266"/>
      <c r="U927" s="266"/>
      <c r="V927" s="267"/>
    </row>
    <row r="928" spans="6:22">
      <c r="F928" s="262"/>
      <c r="G928" s="263"/>
      <c r="H928" s="264"/>
      <c r="I928" s="264"/>
      <c r="J928" s="264"/>
      <c r="K928" s="264"/>
      <c r="L928" s="264"/>
      <c r="M928" s="264"/>
      <c r="N928" s="263"/>
      <c r="O928" s="265"/>
      <c r="P928" s="264"/>
      <c r="Q928" s="263"/>
      <c r="R928" s="263"/>
      <c r="S928" s="266"/>
      <c r="T928" s="266"/>
      <c r="U928" s="266"/>
      <c r="V928" s="267"/>
    </row>
    <row r="929" spans="6:22">
      <c r="F929" s="262"/>
      <c r="G929" s="263"/>
      <c r="H929" s="264"/>
      <c r="I929" s="264"/>
      <c r="J929" s="264"/>
      <c r="K929" s="264"/>
      <c r="L929" s="264"/>
      <c r="M929" s="264"/>
      <c r="N929" s="263"/>
      <c r="O929" s="265"/>
      <c r="P929" s="264"/>
      <c r="Q929" s="263"/>
      <c r="R929" s="263"/>
      <c r="S929" s="266"/>
      <c r="T929" s="266"/>
      <c r="U929" s="266"/>
      <c r="V929" s="267"/>
    </row>
    <row r="930" spans="6:22">
      <c r="F930" s="262"/>
      <c r="G930" s="263"/>
      <c r="H930" s="264"/>
      <c r="I930" s="264"/>
      <c r="J930" s="264"/>
      <c r="K930" s="264"/>
      <c r="L930" s="264"/>
      <c r="M930" s="264"/>
      <c r="N930" s="263"/>
      <c r="O930" s="265"/>
      <c r="P930" s="264"/>
      <c r="Q930" s="263"/>
      <c r="R930" s="263"/>
      <c r="S930" s="266"/>
      <c r="T930" s="266"/>
      <c r="U930" s="266"/>
      <c r="V930" s="267"/>
    </row>
    <row r="931" spans="6:22">
      <c r="F931" s="262"/>
      <c r="G931" s="263"/>
      <c r="H931" s="264"/>
      <c r="I931" s="264"/>
      <c r="J931" s="264"/>
      <c r="K931" s="264"/>
      <c r="L931" s="264"/>
      <c r="M931" s="264"/>
      <c r="N931" s="263"/>
      <c r="O931" s="265"/>
      <c r="P931" s="264"/>
      <c r="Q931" s="263"/>
      <c r="R931" s="263"/>
      <c r="S931" s="266"/>
      <c r="T931" s="266"/>
      <c r="U931" s="266"/>
      <c r="V931" s="267"/>
    </row>
    <row r="932" spans="6:22">
      <c r="F932" s="262"/>
      <c r="G932" s="263"/>
      <c r="H932" s="264"/>
      <c r="I932" s="264"/>
      <c r="J932" s="264"/>
      <c r="K932" s="264"/>
      <c r="L932" s="264"/>
      <c r="M932" s="264"/>
      <c r="N932" s="263"/>
      <c r="O932" s="265"/>
      <c r="P932" s="264"/>
      <c r="Q932" s="263"/>
      <c r="R932" s="263"/>
      <c r="S932" s="266"/>
      <c r="T932" s="266"/>
      <c r="U932" s="266"/>
      <c r="V932" s="267"/>
    </row>
    <row r="933" spans="6:22">
      <c r="F933" s="262"/>
      <c r="G933" s="263"/>
      <c r="H933" s="264"/>
      <c r="I933" s="264"/>
      <c r="J933" s="264"/>
      <c r="K933" s="264"/>
      <c r="L933" s="264"/>
      <c r="M933" s="264"/>
      <c r="N933" s="263"/>
      <c r="O933" s="265"/>
      <c r="P933" s="264"/>
      <c r="Q933" s="263"/>
      <c r="R933" s="263"/>
      <c r="S933" s="266"/>
      <c r="T933" s="266"/>
      <c r="U933" s="266"/>
      <c r="V933" s="267"/>
    </row>
    <row r="934" spans="6:22">
      <c r="F934" s="262"/>
      <c r="G934" s="263"/>
      <c r="H934" s="264"/>
      <c r="I934" s="264"/>
      <c r="J934" s="264"/>
      <c r="K934" s="264"/>
      <c r="L934" s="264"/>
      <c r="M934" s="264"/>
      <c r="N934" s="263"/>
      <c r="O934" s="265"/>
      <c r="P934" s="264"/>
      <c r="Q934" s="263"/>
      <c r="R934" s="263"/>
      <c r="S934" s="266"/>
      <c r="T934" s="266"/>
      <c r="U934" s="266"/>
      <c r="V934" s="267"/>
    </row>
    <row r="935" spans="6:22">
      <c r="F935" s="262"/>
      <c r="G935" s="263"/>
      <c r="H935" s="264"/>
      <c r="I935" s="264"/>
      <c r="J935" s="264"/>
      <c r="K935" s="264"/>
      <c r="L935" s="264"/>
      <c r="M935" s="264"/>
      <c r="N935" s="263"/>
      <c r="O935" s="265"/>
      <c r="P935" s="264"/>
      <c r="Q935" s="263"/>
      <c r="R935" s="263"/>
      <c r="S935" s="266"/>
      <c r="T935" s="266"/>
      <c r="U935" s="266"/>
      <c r="V935" s="267"/>
    </row>
    <row r="936" spans="6:22">
      <c r="F936" s="262"/>
      <c r="G936" s="263"/>
      <c r="H936" s="264"/>
      <c r="I936" s="264"/>
      <c r="J936" s="264"/>
      <c r="K936" s="264"/>
      <c r="L936" s="264"/>
      <c r="M936" s="264"/>
      <c r="N936" s="263"/>
      <c r="O936" s="265"/>
      <c r="P936" s="264"/>
      <c r="Q936" s="263"/>
      <c r="R936" s="263"/>
      <c r="S936" s="266"/>
      <c r="T936" s="266"/>
      <c r="U936" s="266"/>
      <c r="V936" s="267"/>
    </row>
    <row r="937" spans="6:22">
      <c r="F937" s="262"/>
      <c r="G937" s="263"/>
      <c r="H937" s="264"/>
      <c r="I937" s="264"/>
      <c r="J937" s="264"/>
      <c r="K937" s="264"/>
      <c r="L937" s="264"/>
      <c r="M937" s="264"/>
      <c r="N937" s="263"/>
      <c r="O937" s="265"/>
      <c r="P937" s="264"/>
      <c r="Q937" s="263"/>
      <c r="R937" s="263"/>
      <c r="S937" s="266"/>
      <c r="T937" s="266"/>
      <c r="U937" s="266"/>
      <c r="V937" s="267"/>
    </row>
    <row r="938" spans="6:22">
      <c r="F938" s="262"/>
      <c r="G938" s="263"/>
      <c r="H938" s="264"/>
      <c r="I938" s="264"/>
      <c r="J938" s="264"/>
      <c r="K938" s="264"/>
      <c r="L938" s="264"/>
      <c r="M938" s="264"/>
      <c r="N938" s="263"/>
      <c r="O938" s="265"/>
      <c r="P938" s="264"/>
      <c r="Q938" s="263"/>
      <c r="R938" s="263"/>
      <c r="S938" s="266"/>
      <c r="T938" s="266"/>
      <c r="U938" s="266"/>
      <c r="V938" s="267"/>
    </row>
    <row r="939" spans="6:22">
      <c r="F939" s="262"/>
      <c r="G939" s="263"/>
      <c r="H939" s="264"/>
      <c r="I939" s="264"/>
      <c r="J939" s="264"/>
      <c r="K939" s="264"/>
      <c r="L939" s="264"/>
      <c r="M939" s="264"/>
      <c r="N939" s="263"/>
      <c r="O939" s="265"/>
      <c r="P939" s="264"/>
      <c r="Q939" s="263"/>
      <c r="R939" s="263"/>
      <c r="S939" s="266"/>
      <c r="T939" s="266"/>
      <c r="U939" s="266"/>
      <c r="V939" s="267"/>
    </row>
    <row r="940" spans="6:22">
      <c r="F940" s="262"/>
      <c r="G940" s="263"/>
      <c r="H940" s="264"/>
      <c r="I940" s="264"/>
      <c r="J940" s="264"/>
      <c r="K940" s="264"/>
      <c r="L940" s="264"/>
      <c r="M940" s="264"/>
      <c r="N940" s="263"/>
      <c r="O940" s="265"/>
      <c r="P940" s="264"/>
      <c r="Q940" s="263"/>
      <c r="R940" s="263"/>
      <c r="S940" s="266"/>
      <c r="T940" s="266"/>
      <c r="U940" s="266"/>
      <c r="V940" s="267"/>
    </row>
    <row r="941" spans="6:22">
      <c r="F941" s="262"/>
      <c r="G941" s="263"/>
      <c r="H941" s="264"/>
      <c r="I941" s="264"/>
      <c r="J941" s="264"/>
      <c r="K941" s="264"/>
      <c r="L941" s="264"/>
      <c r="M941" s="264"/>
      <c r="N941" s="263"/>
      <c r="O941" s="265"/>
      <c r="P941" s="264"/>
      <c r="Q941" s="263"/>
      <c r="R941" s="263"/>
      <c r="S941" s="266"/>
      <c r="T941" s="266"/>
      <c r="U941" s="266"/>
      <c r="V941" s="267"/>
    </row>
    <row r="942" spans="6:22">
      <c r="F942" s="262"/>
      <c r="G942" s="263"/>
      <c r="H942" s="264"/>
      <c r="I942" s="264"/>
      <c r="J942" s="264"/>
      <c r="K942" s="264"/>
      <c r="L942" s="264"/>
      <c r="M942" s="264"/>
      <c r="N942" s="263"/>
      <c r="O942" s="265"/>
      <c r="P942" s="264"/>
      <c r="Q942" s="263"/>
      <c r="R942" s="263"/>
      <c r="S942" s="266"/>
      <c r="T942" s="266"/>
      <c r="U942" s="266"/>
      <c r="V942" s="267"/>
    </row>
    <row r="943" spans="6:22">
      <c r="F943" s="262"/>
      <c r="G943" s="263"/>
      <c r="H943" s="264"/>
      <c r="I943" s="264"/>
      <c r="J943" s="264"/>
      <c r="K943" s="264"/>
      <c r="L943" s="264"/>
      <c r="M943" s="264"/>
      <c r="N943" s="263"/>
      <c r="O943" s="265"/>
      <c r="P943" s="264"/>
      <c r="Q943" s="263"/>
      <c r="R943" s="263"/>
      <c r="S943" s="266"/>
      <c r="T943" s="266"/>
      <c r="U943" s="266"/>
      <c r="V943" s="267"/>
    </row>
    <row r="944" spans="6:22">
      <c r="F944" s="262"/>
      <c r="G944" s="263"/>
      <c r="H944" s="264"/>
      <c r="I944" s="264"/>
      <c r="J944" s="264"/>
      <c r="K944" s="264"/>
      <c r="L944" s="264"/>
      <c r="M944" s="264"/>
      <c r="N944" s="263"/>
      <c r="O944" s="265"/>
      <c r="P944" s="264"/>
      <c r="Q944" s="263"/>
      <c r="R944" s="263"/>
      <c r="S944" s="266"/>
      <c r="T944" s="266"/>
      <c r="U944" s="266"/>
      <c r="V944" s="267"/>
    </row>
    <row r="945" spans="6:22">
      <c r="F945" s="262"/>
      <c r="G945" s="263"/>
      <c r="H945" s="264"/>
      <c r="I945" s="264"/>
      <c r="J945" s="264"/>
      <c r="K945" s="264"/>
      <c r="L945" s="264"/>
      <c r="M945" s="264"/>
      <c r="N945" s="263"/>
      <c r="O945" s="265"/>
      <c r="P945" s="264"/>
      <c r="Q945" s="263"/>
      <c r="R945" s="263"/>
      <c r="S945" s="266"/>
      <c r="T945" s="266"/>
      <c r="U945" s="266"/>
      <c r="V945" s="267"/>
    </row>
    <row r="946" spans="6:22">
      <c r="F946" s="262"/>
      <c r="G946" s="263"/>
      <c r="H946" s="264"/>
      <c r="I946" s="264"/>
      <c r="J946" s="264"/>
      <c r="K946" s="264"/>
      <c r="L946" s="264"/>
      <c r="M946" s="264"/>
      <c r="N946" s="263"/>
      <c r="O946" s="265"/>
      <c r="P946" s="264"/>
      <c r="Q946" s="263"/>
      <c r="R946" s="263"/>
      <c r="S946" s="266"/>
      <c r="T946" s="266"/>
      <c r="U946" s="266"/>
      <c r="V946" s="267"/>
    </row>
    <row r="947" spans="6:22">
      <c r="F947" s="262"/>
      <c r="G947" s="263"/>
      <c r="H947" s="264"/>
      <c r="I947" s="264"/>
      <c r="J947" s="264"/>
      <c r="K947" s="264"/>
      <c r="L947" s="264"/>
      <c r="M947" s="264"/>
      <c r="N947" s="263"/>
      <c r="O947" s="265"/>
      <c r="P947" s="264"/>
      <c r="Q947" s="263"/>
      <c r="R947" s="263"/>
      <c r="S947" s="266"/>
      <c r="T947" s="266"/>
      <c r="U947" s="266"/>
      <c r="V947" s="267"/>
    </row>
    <row r="948" spans="6:22">
      <c r="F948" s="262"/>
      <c r="G948" s="263"/>
      <c r="H948" s="264"/>
      <c r="I948" s="264"/>
      <c r="J948" s="264"/>
      <c r="K948" s="264"/>
      <c r="L948" s="264"/>
      <c r="M948" s="264"/>
      <c r="N948" s="263"/>
      <c r="O948" s="265"/>
      <c r="P948" s="264"/>
      <c r="Q948" s="263"/>
      <c r="R948" s="263"/>
      <c r="S948" s="266"/>
      <c r="T948" s="266"/>
      <c r="U948" s="266"/>
      <c r="V948" s="267"/>
    </row>
    <row r="949" spans="6:22">
      <c r="F949" s="262"/>
      <c r="G949" s="263"/>
      <c r="H949" s="264"/>
      <c r="I949" s="264"/>
      <c r="J949" s="264"/>
      <c r="K949" s="264"/>
      <c r="L949" s="264"/>
      <c r="M949" s="264"/>
      <c r="N949" s="263"/>
      <c r="O949" s="265"/>
      <c r="P949" s="264"/>
      <c r="Q949" s="263"/>
      <c r="R949" s="263"/>
      <c r="S949" s="266"/>
      <c r="T949" s="266"/>
      <c r="U949" s="266"/>
      <c r="V949" s="267"/>
    </row>
    <row r="950" spans="6:22">
      <c r="F950" s="262"/>
      <c r="G950" s="263"/>
      <c r="H950" s="264"/>
      <c r="I950" s="264"/>
      <c r="J950" s="264"/>
      <c r="K950" s="264"/>
      <c r="L950" s="264"/>
      <c r="M950" s="264"/>
      <c r="N950" s="263"/>
      <c r="O950" s="265"/>
      <c r="P950" s="264"/>
      <c r="Q950" s="263"/>
      <c r="R950" s="263"/>
      <c r="S950" s="266"/>
      <c r="T950" s="266"/>
      <c r="U950" s="266"/>
      <c r="V950" s="267"/>
    </row>
    <row r="951" spans="6:22">
      <c r="F951" s="262"/>
      <c r="G951" s="263"/>
      <c r="H951" s="264"/>
      <c r="I951" s="264"/>
      <c r="J951" s="264"/>
      <c r="K951" s="264"/>
      <c r="L951" s="264"/>
      <c r="M951" s="264"/>
      <c r="N951" s="263"/>
      <c r="O951" s="265"/>
      <c r="P951" s="264"/>
      <c r="Q951" s="263"/>
      <c r="R951" s="263"/>
      <c r="S951" s="266"/>
      <c r="T951" s="266"/>
      <c r="U951" s="266"/>
      <c r="V951" s="267"/>
    </row>
    <row r="952" spans="6:22">
      <c r="F952" s="262"/>
      <c r="G952" s="263"/>
      <c r="H952" s="264"/>
      <c r="I952" s="264"/>
      <c r="J952" s="264"/>
      <c r="K952" s="264"/>
      <c r="L952" s="264"/>
      <c r="M952" s="264"/>
      <c r="N952" s="263"/>
      <c r="O952" s="265"/>
      <c r="P952" s="264"/>
      <c r="Q952" s="263"/>
      <c r="R952" s="263"/>
      <c r="S952" s="266"/>
      <c r="T952" s="266"/>
      <c r="U952" s="266"/>
      <c r="V952" s="267"/>
    </row>
    <row r="953" spans="6:22">
      <c r="F953" s="262"/>
      <c r="G953" s="263"/>
      <c r="H953" s="264"/>
      <c r="I953" s="264"/>
      <c r="J953" s="264"/>
      <c r="K953" s="264"/>
      <c r="L953" s="264"/>
      <c r="M953" s="264"/>
      <c r="N953" s="263"/>
      <c r="O953" s="265"/>
      <c r="P953" s="264"/>
      <c r="Q953" s="263"/>
      <c r="R953" s="263"/>
      <c r="S953" s="266"/>
      <c r="T953" s="266"/>
      <c r="U953" s="266"/>
      <c r="V953" s="267"/>
    </row>
    <row r="954" spans="6:22">
      <c r="F954" s="262"/>
      <c r="G954" s="263"/>
      <c r="H954" s="264"/>
      <c r="I954" s="264"/>
      <c r="J954" s="264"/>
      <c r="K954" s="264"/>
      <c r="L954" s="264"/>
      <c r="M954" s="264"/>
      <c r="N954" s="263"/>
      <c r="O954" s="265"/>
      <c r="P954" s="264"/>
      <c r="Q954" s="263"/>
      <c r="R954" s="263"/>
      <c r="S954" s="266"/>
      <c r="T954" s="266"/>
      <c r="U954" s="266"/>
      <c r="V954" s="267"/>
    </row>
    <row r="955" spans="6:22">
      <c r="F955" s="262"/>
      <c r="G955" s="263"/>
      <c r="H955" s="264"/>
      <c r="I955" s="264"/>
      <c r="J955" s="264"/>
      <c r="K955" s="264"/>
      <c r="L955" s="264"/>
      <c r="M955" s="264"/>
      <c r="N955" s="263"/>
      <c r="O955" s="265"/>
      <c r="P955" s="264"/>
      <c r="Q955" s="263"/>
      <c r="R955" s="263"/>
      <c r="S955" s="266"/>
      <c r="T955" s="266"/>
      <c r="U955" s="266"/>
      <c r="V955" s="267"/>
    </row>
    <row r="956" spans="6:22">
      <c r="F956" s="262"/>
      <c r="G956" s="263"/>
      <c r="H956" s="264"/>
      <c r="I956" s="264"/>
      <c r="J956" s="264"/>
      <c r="K956" s="264"/>
      <c r="L956" s="264"/>
      <c r="M956" s="264"/>
      <c r="N956" s="263"/>
      <c r="O956" s="265"/>
      <c r="P956" s="264"/>
      <c r="Q956" s="263"/>
      <c r="R956" s="263"/>
      <c r="S956" s="266"/>
      <c r="T956" s="266"/>
      <c r="U956" s="266"/>
      <c r="V956" s="267"/>
    </row>
    <row r="957" spans="6:22">
      <c r="F957" s="262"/>
      <c r="G957" s="263"/>
      <c r="H957" s="264"/>
      <c r="I957" s="264"/>
      <c r="J957" s="264"/>
      <c r="K957" s="264"/>
      <c r="L957" s="264"/>
      <c r="M957" s="264"/>
      <c r="N957" s="263"/>
      <c r="O957" s="265"/>
      <c r="P957" s="264"/>
      <c r="Q957" s="263"/>
      <c r="R957" s="263"/>
      <c r="S957" s="266"/>
      <c r="T957" s="266"/>
      <c r="U957" s="266"/>
      <c r="V957" s="267"/>
    </row>
    <row r="958" spans="6:22">
      <c r="F958" s="262"/>
      <c r="G958" s="263"/>
      <c r="H958" s="264"/>
      <c r="I958" s="264"/>
      <c r="J958" s="264"/>
      <c r="K958" s="264"/>
      <c r="L958" s="264"/>
      <c r="M958" s="264"/>
      <c r="N958" s="263"/>
      <c r="O958" s="265"/>
      <c r="P958" s="264"/>
      <c r="Q958" s="263"/>
      <c r="R958" s="263"/>
      <c r="S958" s="266"/>
      <c r="T958" s="266"/>
      <c r="U958" s="266"/>
      <c r="V958" s="267"/>
    </row>
    <row r="959" spans="6:22">
      <c r="F959" s="262"/>
      <c r="G959" s="263"/>
      <c r="H959" s="264"/>
      <c r="I959" s="264"/>
      <c r="J959" s="264"/>
      <c r="K959" s="264"/>
      <c r="L959" s="264"/>
      <c r="M959" s="264"/>
      <c r="N959" s="263"/>
      <c r="O959" s="265"/>
      <c r="P959" s="264"/>
      <c r="Q959" s="263"/>
      <c r="R959" s="263"/>
      <c r="S959" s="266"/>
      <c r="T959" s="266"/>
      <c r="U959" s="266"/>
      <c r="V959" s="267"/>
    </row>
    <row r="960" spans="6:22">
      <c r="F960" s="262"/>
      <c r="G960" s="263"/>
      <c r="H960" s="264"/>
      <c r="I960" s="264"/>
      <c r="J960" s="264"/>
      <c r="K960" s="264"/>
      <c r="L960" s="264"/>
      <c r="M960" s="264"/>
      <c r="N960" s="263"/>
      <c r="O960" s="265"/>
      <c r="P960" s="264"/>
      <c r="Q960" s="263"/>
      <c r="R960" s="263"/>
      <c r="S960" s="266"/>
      <c r="T960" s="266"/>
      <c r="U960" s="266"/>
      <c r="V960" s="267"/>
    </row>
    <row r="961" spans="6:22">
      <c r="F961" s="262"/>
      <c r="G961" s="263"/>
      <c r="H961" s="264"/>
      <c r="I961" s="264"/>
      <c r="J961" s="264"/>
      <c r="K961" s="264"/>
      <c r="L961" s="264"/>
      <c r="M961" s="264"/>
      <c r="N961" s="263"/>
      <c r="O961" s="265"/>
      <c r="P961" s="264"/>
      <c r="Q961" s="263"/>
      <c r="R961" s="263"/>
      <c r="S961" s="266"/>
      <c r="T961" s="266"/>
      <c r="U961" s="266"/>
      <c r="V961" s="267"/>
    </row>
    <row r="962" spans="6:22">
      <c r="F962" s="262"/>
      <c r="G962" s="263"/>
      <c r="H962" s="264"/>
      <c r="I962" s="264"/>
      <c r="J962" s="264"/>
      <c r="K962" s="264"/>
      <c r="L962" s="264"/>
      <c r="M962" s="264"/>
      <c r="N962" s="263"/>
      <c r="O962" s="265"/>
      <c r="P962" s="264"/>
      <c r="Q962" s="263"/>
      <c r="R962" s="263"/>
      <c r="S962" s="266"/>
      <c r="T962" s="266"/>
      <c r="U962" s="266"/>
      <c r="V962" s="267"/>
    </row>
    <row r="963" spans="6:22">
      <c r="F963" s="262"/>
      <c r="G963" s="263"/>
      <c r="H963" s="264"/>
      <c r="I963" s="264"/>
      <c r="J963" s="264"/>
      <c r="K963" s="264"/>
      <c r="L963" s="264"/>
      <c r="M963" s="264"/>
      <c r="N963" s="263"/>
      <c r="O963" s="265"/>
      <c r="P963" s="264"/>
      <c r="Q963" s="263"/>
      <c r="R963" s="263"/>
      <c r="S963" s="266"/>
      <c r="T963" s="266"/>
      <c r="U963" s="266"/>
      <c r="V963" s="267"/>
    </row>
    <row r="964" spans="6:22">
      <c r="F964" s="262"/>
      <c r="G964" s="263"/>
      <c r="H964" s="264"/>
      <c r="I964" s="264"/>
      <c r="J964" s="264"/>
      <c r="K964" s="264"/>
      <c r="L964" s="264"/>
      <c r="M964" s="264"/>
      <c r="N964" s="263"/>
      <c r="O964" s="265"/>
      <c r="P964" s="264"/>
      <c r="Q964" s="263"/>
      <c r="R964" s="263"/>
      <c r="S964" s="266"/>
      <c r="T964" s="266"/>
      <c r="U964" s="266"/>
      <c r="V964" s="267"/>
    </row>
    <row r="965" spans="6:22">
      <c r="F965" s="262"/>
      <c r="G965" s="263"/>
      <c r="H965" s="264"/>
      <c r="I965" s="264"/>
      <c r="J965" s="264"/>
      <c r="K965" s="264"/>
      <c r="L965" s="264"/>
      <c r="M965" s="264"/>
      <c r="N965" s="263"/>
      <c r="O965" s="265"/>
      <c r="P965" s="264"/>
      <c r="Q965" s="263"/>
      <c r="R965" s="263"/>
      <c r="S965" s="266"/>
      <c r="T965" s="266"/>
      <c r="U965" s="266"/>
      <c r="V965" s="267"/>
    </row>
    <row r="966" spans="6:22">
      <c r="F966" s="262"/>
      <c r="G966" s="263"/>
      <c r="H966" s="264"/>
      <c r="I966" s="264"/>
      <c r="J966" s="264"/>
      <c r="K966" s="264"/>
      <c r="L966" s="264"/>
      <c r="M966" s="264"/>
      <c r="N966" s="263"/>
      <c r="O966" s="265"/>
      <c r="P966" s="264"/>
      <c r="Q966" s="263"/>
      <c r="R966" s="263"/>
      <c r="S966" s="266"/>
      <c r="T966" s="266"/>
      <c r="U966" s="266"/>
      <c r="V966" s="267"/>
    </row>
    <row r="967" spans="6:22">
      <c r="F967" s="262"/>
      <c r="G967" s="263"/>
      <c r="H967" s="264"/>
      <c r="I967" s="264"/>
      <c r="J967" s="264"/>
      <c r="K967" s="264"/>
      <c r="L967" s="264"/>
      <c r="M967" s="264"/>
      <c r="N967" s="263"/>
      <c r="O967" s="265"/>
      <c r="P967" s="264"/>
      <c r="Q967" s="263"/>
      <c r="R967" s="263"/>
      <c r="S967" s="266"/>
      <c r="T967" s="266"/>
      <c r="U967" s="266"/>
      <c r="V967" s="267"/>
    </row>
    <row r="968" spans="6:22">
      <c r="F968" s="262"/>
      <c r="G968" s="263"/>
      <c r="H968" s="264"/>
      <c r="I968" s="264"/>
      <c r="J968" s="264"/>
      <c r="K968" s="264"/>
      <c r="L968" s="264"/>
      <c r="M968" s="264"/>
      <c r="N968" s="263"/>
      <c r="O968" s="265"/>
      <c r="P968" s="264"/>
      <c r="Q968" s="263"/>
      <c r="R968" s="263"/>
      <c r="S968" s="266"/>
      <c r="T968" s="266"/>
      <c r="U968" s="266"/>
      <c r="V968" s="267"/>
    </row>
    <row r="969" spans="6:22">
      <c r="F969" s="262"/>
      <c r="G969" s="263"/>
      <c r="H969" s="264"/>
      <c r="I969" s="264"/>
      <c r="J969" s="264"/>
      <c r="K969" s="264"/>
      <c r="L969" s="264"/>
      <c r="M969" s="264"/>
      <c r="N969" s="263"/>
      <c r="O969" s="265"/>
      <c r="P969" s="264"/>
      <c r="Q969" s="263"/>
      <c r="R969" s="263"/>
      <c r="S969" s="266"/>
      <c r="T969" s="266"/>
      <c r="U969" s="266"/>
      <c r="V969" s="267"/>
    </row>
    <row r="970" spans="6:22">
      <c r="F970" s="262"/>
      <c r="G970" s="263"/>
      <c r="H970" s="264"/>
      <c r="I970" s="264"/>
      <c r="J970" s="264"/>
      <c r="K970" s="264"/>
      <c r="L970" s="264"/>
      <c r="M970" s="264"/>
      <c r="N970" s="263"/>
      <c r="O970" s="265"/>
      <c r="P970" s="264"/>
      <c r="Q970" s="263"/>
      <c r="R970" s="263"/>
      <c r="S970" s="266"/>
      <c r="T970" s="266"/>
      <c r="U970" s="266"/>
      <c r="V970" s="267"/>
    </row>
    <row r="971" spans="6:22">
      <c r="F971" s="262"/>
      <c r="G971" s="263"/>
      <c r="H971" s="264"/>
      <c r="I971" s="264"/>
      <c r="J971" s="264"/>
      <c r="K971" s="264"/>
      <c r="L971" s="264"/>
      <c r="M971" s="264"/>
      <c r="N971" s="263"/>
      <c r="O971" s="265"/>
      <c r="P971" s="264"/>
      <c r="Q971" s="263"/>
      <c r="R971" s="263"/>
      <c r="S971" s="266"/>
      <c r="T971" s="266"/>
      <c r="U971" s="266"/>
      <c r="V971" s="267"/>
    </row>
    <row r="972" spans="6:22">
      <c r="F972" s="262"/>
      <c r="G972" s="263"/>
      <c r="H972" s="264"/>
      <c r="I972" s="264"/>
      <c r="J972" s="264"/>
      <c r="K972" s="264"/>
      <c r="L972" s="264"/>
      <c r="M972" s="264"/>
      <c r="N972" s="263"/>
      <c r="O972" s="265"/>
      <c r="P972" s="264"/>
      <c r="Q972" s="263"/>
      <c r="R972" s="263"/>
      <c r="S972" s="266"/>
      <c r="T972" s="266"/>
      <c r="U972" s="266"/>
      <c r="V972" s="267"/>
    </row>
    <row r="973" spans="6:22">
      <c r="F973" s="262"/>
      <c r="G973" s="263"/>
      <c r="H973" s="264"/>
      <c r="I973" s="264"/>
      <c r="J973" s="264"/>
      <c r="K973" s="264"/>
      <c r="L973" s="264"/>
      <c r="M973" s="264"/>
      <c r="N973" s="263"/>
      <c r="O973" s="265"/>
      <c r="P973" s="264"/>
      <c r="Q973" s="263"/>
      <c r="R973" s="263"/>
      <c r="S973" s="266"/>
      <c r="T973" s="266"/>
      <c r="U973" s="266"/>
      <c r="V973" s="267"/>
    </row>
    <row r="974" spans="6:22">
      <c r="F974" s="262"/>
      <c r="G974" s="263"/>
      <c r="H974" s="264"/>
      <c r="I974" s="264"/>
      <c r="J974" s="264"/>
      <c r="K974" s="264"/>
      <c r="L974" s="264"/>
      <c r="M974" s="264"/>
      <c r="N974" s="263"/>
      <c r="O974" s="265"/>
      <c r="P974" s="264"/>
      <c r="Q974" s="263"/>
      <c r="R974" s="263"/>
      <c r="S974" s="266"/>
      <c r="T974" s="266"/>
      <c r="U974" s="266"/>
      <c r="V974" s="267"/>
    </row>
    <row r="975" spans="6:22">
      <c r="F975" s="262"/>
      <c r="G975" s="263"/>
      <c r="H975" s="264"/>
      <c r="I975" s="264"/>
      <c r="J975" s="264"/>
      <c r="K975" s="264"/>
      <c r="L975" s="264"/>
      <c r="M975" s="264"/>
      <c r="N975" s="263"/>
      <c r="O975" s="265"/>
      <c r="P975" s="264"/>
      <c r="Q975" s="263"/>
      <c r="R975" s="263"/>
      <c r="S975" s="266"/>
      <c r="T975" s="266"/>
      <c r="U975" s="266"/>
      <c r="V975" s="267"/>
    </row>
    <row r="976" spans="6:22">
      <c r="F976" s="262"/>
      <c r="G976" s="263"/>
      <c r="H976" s="264"/>
      <c r="I976" s="264"/>
      <c r="J976" s="264"/>
      <c r="K976" s="264"/>
      <c r="L976" s="264"/>
      <c r="M976" s="264"/>
      <c r="N976" s="263"/>
      <c r="O976" s="265"/>
      <c r="P976" s="264"/>
      <c r="Q976" s="263"/>
      <c r="R976" s="263"/>
      <c r="S976" s="266"/>
      <c r="T976" s="266"/>
      <c r="U976" s="266"/>
      <c r="V976" s="267"/>
    </row>
    <row r="977" spans="6:22">
      <c r="F977" s="262"/>
      <c r="G977" s="263"/>
      <c r="H977" s="264"/>
      <c r="I977" s="264"/>
      <c r="J977" s="264"/>
      <c r="K977" s="264"/>
      <c r="L977" s="264"/>
      <c r="M977" s="264"/>
      <c r="N977" s="263"/>
      <c r="O977" s="265"/>
      <c r="P977" s="264"/>
      <c r="Q977" s="263"/>
      <c r="R977" s="263"/>
      <c r="S977" s="266"/>
      <c r="T977" s="266"/>
      <c r="U977" s="266"/>
      <c r="V977" s="267"/>
    </row>
    <row r="978" spans="6:22">
      <c r="F978" s="262"/>
      <c r="G978" s="263"/>
      <c r="H978" s="264"/>
      <c r="I978" s="264"/>
      <c r="J978" s="264"/>
      <c r="K978" s="264"/>
      <c r="L978" s="264"/>
      <c r="M978" s="264"/>
      <c r="N978" s="263"/>
      <c r="O978" s="265"/>
      <c r="P978" s="264"/>
      <c r="Q978" s="263"/>
      <c r="R978" s="263"/>
      <c r="S978" s="266"/>
      <c r="T978" s="266"/>
      <c r="U978" s="266"/>
      <c r="V978" s="267"/>
    </row>
    <row r="979" spans="6:22">
      <c r="F979" s="262"/>
      <c r="G979" s="263"/>
      <c r="H979" s="264"/>
      <c r="I979" s="264"/>
      <c r="J979" s="264"/>
      <c r="K979" s="264"/>
      <c r="L979" s="264"/>
      <c r="M979" s="264"/>
      <c r="N979" s="263"/>
      <c r="O979" s="265"/>
      <c r="P979" s="264"/>
      <c r="Q979" s="263"/>
      <c r="R979" s="263"/>
      <c r="S979" s="266"/>
      <c r="T979" s="266"/>
      <c r="U979" s="266"/>
      <c r="V979" s="267"/>
    </row>
    <row r="980" spans="6:22">
      <c r="F980" s="262"/>
      <c r="G980" s="263"/>
      <c r="H980" s="264"/>
      <c r="I980" s="264"/>
      <c r="J980" s="264"/>
      <c r="K980" s="264"/>
      <c r="L980" s="264"/>
      <c r="M980" s="264"/>
      <c r="N980" s="263"/>
      <c r="O980" s="265"/>
      <c r="P980" s="264"/>
      <c r="Q980" s="263"/>
      <c r="R980" s="263"/>
      <c r="S980" s="266"/>
      <c r="T980" s="266"/>
      <c r="U980" s="266"/>
      <c r="V980" s="267"/>
    </row>
    <row r="981" spans="6:22">
      <c r="F981" s="262"/>
      <c r="G981" s="263"/>
      <c r="H981" s="264"/>
      <c r="I981" s="264"/>
      <c r="J981" s="264"/>
      <c r="K981" s="264"/>
      <c r="L981" s="264"/>
      <c r="M981" s="264"/>
      <c r="N981" s="263"/>
      <c r="O981" s="265"/>
      <c r="P981" s="264"/>
      <c r="Q981" s="263"/>
      <c r="R981" s="263"/>
      <c r="S981" s="266"/>
      <c r="T981" s="266"/>
      <c r="U981" s="266"/>
      <c r="V981" s="267"/>
    </row>
    <row r="982" spans="6:22">
      <c r="F982" s="262"/>
      <c r="G982" s="263"/>
      <c r="H982" s="264"/>
      <c r="I982" s="264"/>
      <c r="J982" s="264"/>
      <c r="K982" s="264"/>
      <c r="L982" s="264"/>
      <c r="M982" s="264"/>
      <c r="N982" s="263"/>
      <c r="O982" s="265"/>
      <c r="P982" s="264"/>
      <c r="Q982" s="263"/>
      <c r="R982" s="263"/>
      <c r="S982" s="266"/>
      <c r="T982" s="266"/>
      <c r="U982" s="266"/>
      <c r="V982" s="267"/>
    </row>
    <row r="983" spans="6:22">
      <c r="F983" s="262"/>
      <c r="G983" s="263"/>
      <c r="H983" s="264"/>
      <c r="I983" s="264"/>
      <c r="J983" s="264"/>
      <c r="K983" s="264"/>
      <c r="L983" s="264"/>
      <c r="M983" s="264"/>
      <c r="N983" s="263"/>
      <c r="O983" s="265"/>
      <c r="P983" s="264"/>
      <c r="Q983" s="263"/>
      <c r="R983" s="263"/>
      <c r="S983" s="266"/>
      <c r="T983" s="266"/>
      <c r="U983" s="266"/>
      <c r="V983" s="267"/>
    </row>
    <row r="984" spans="6:22">
      <c r="F984" s="262"/>
      <c r="G984" s="263"/>
      <c r="H984" s="264"/>
      <c r="I984" s="264"/>
      <c r="J984" s="264"/>
      <c r="K984" s="264"/>
      <c r="L984" s="264"/>
      <c r="M984" s="264"/>
      <c r="N984" s="263"/>
      <c r="O984" s="265"/>
      <c r="P984" s="264"/>
      <c r="Q984" s="263"/>
      <c r="R984" s="263"/>
      <c r="S984" s="266"/>
      <c r="T984" s="266"/>
      <c r="U984" s="266"/>
      <c r="V984" s="267"/>
    </row>
    <row r="985" spans="6:22">
      <c r="F985" s="262"/>
      <c r="G985" s="263"/>
      <c r="H985" s="264"/>
      <c r="I985" s="264"/>
      <c r="J985" s="264"/>
      <c r="K985" s="264"/>
      <c r="L985" s="264"/>
      <c r="M985" s="264"/>
      <c r="N985" s="263"/>
      <c r="O985" s="265"/>
      <c r="P985" s="264"/>
      <c r="Q985" s="263"/>
      <c r="R985" s="263"/>
      <c r="S985" s="266"/>
      <c r="T985" s="266"/>
      <c r="U985" s="266"/>
      <c r="V985" s="267"/>
    </row>
    <row r="986" spans="6:22">
      <c r="F986" s="262"/>
      <c r="G986" s="263"/>
      <c r="H986" s="264"/>
      <c r="I986" s="264"/>
      <c r="J986" s="264"/>
      <c r="K986" s="264"/>
      <c r="L986" s="264"/>
      <c r="M986" s="264"/>
      <c r="N986" s="263"/>
      <c r="O986" s="265"/>
      <c r="P986" s="264"/>
      <c r="Q986" s="263"/>
      <c r="R986" s="263"/>
      <c r="S986" s="266"/>
      <c r="T986" s="266"/>
      <c r="U986" s="266"/>
      <c r="V986" s="267"/>
    </row>
    <row r="987" spans="6:22">
      <c r="F987" s="262"/>
      <c r="G987" s="263"/>
      <c r="H987" s="264"/>
      <c r="I987" s="264"/>
      <c r="J987" s="264"/>
      <c r="K987" s="264"/>
      <c r="L987" s="264"/>
      <c r="M987" s="264"/>
      <c r="N987" s="263"/>
      <c r="O987" s="265"/>
      <c r="P987" s="264"/>
      <c r="Q987" s="263"/>
      <c r="R987" s="263"/>
      <c r="S987" s="266"/>
      <c r="T987" s="266"/>
      <c r="U987" s="266"/>
      <c r="V987" s="267"/>
    </row>
    <row r="988" spans="6:22">
      <c r="F988" s="262"/>
      <c r="G988" s="263"/>
      <c r="H988" s="264"/>
      <c r="I988" s="264"/>
      <c r="J988" s="264"/>
      <c r="K988" s="264"/>
      <c r="L988" s="264"/>
      <c r="M988" s="264"/>
      <c r="N988" s="263"/>
      <c r="O988" s="265"/>
      <c r="P988" s="264"/>
      <c r="Q988" s="263"/>
      <c r="R988" s="263"/>
      <c r="S988" s="266"/>
      <c r="T988" s="266"/>
      <c r="U988" s="266"/>
      <c r="V988" s="267"/>
    </row>
    <row r="989" spans="6:22">
      <c r="F989" s="262"/>
      <c r="G989" s="263"/>
      <c r="H989" s="264"/>
      <c r="I989" s="264"/>
      <c r="J989" s="264"/>
      <c r="K989" s="264"/>
      <c r="L989" s="264"/>
      <c r="M989" s="264"/>
      <c r="N989" s="263"/>
      <c r="O989" s="265"/>
      <c r="P989" s="264"/>
      <c r="Q989" s="263"/>
      <c r="R989" s="263"/>
      <c r="S989" s="266"/>
      <c r="T989" s="266"/>
      <c r="U989" s="266"/>
      <c r="V989" s="267"/>
    </row>
    <row r="990" spans="6:22">
      <c r="F990" s="262"/>
      <c r="G990" s="263"/>
      <c r="H990" s="264"/>
      <c r="I990" s="264"/>
      <c r="J990" s="264"/>
      <c r="K990" s="264"/>
      <c r="L990" s="264"/>
      <c r="M990" s="264"/>
      <c r="N990" s="263"/>
      <c r="O990" s="265"/>
      <c r="P990" s="264"/>
      <c r="Q990" s="263"/>
      <c r="R990" s="263"/>
      <c r="S990" s="266"/>
      <c r="T990" s="266"/>
      <c r="U990" s="266"/>
      <c r="V990" s="267"/>
    </row>
    <row r="991" spans="6:22">
      <c r="F991" s="262"/>
      <c r="G991" s="263"/>
      <c r="H991" s="264"/>
      <c r="I991" s="264"/>
      <c r="J991" s="264"/>
      <c r="K991" s="264"/>
      <c r="L991" s="264"/>
      <c r="M991" s="264"/>
      <c r="N991" s="263"/>
      <c r="O991" s="265"/>
      <c r="P991" s="264"/>
      <c r="Q991" s="263"/>
      <c r="R991" s="263"/>
      <c r="S991" s="266"/>
      <c r="T991" s="266"/>
      <c r="U991" s="266"/>
      <c r="V991" s="267"/>
    </row>
    <row r="992" spans="6:22">
      <c r="F992" s="262"/>
      <c r="G992" s="263"/>
      <c r="H992" s="264"/>
      <c r="I992" s="264"/>
      <c r="J992" s="264"/>
      <c r="K992" s="264"/>
      <c r="L992" s="264"/>
      <c r="M992" s="264"/>
      <c r="N992" s="263"/>
      <c r="O992" s="265"/>
      <c r="P992" s="264"/>
      <c r="Q992" s="263"/>
      <c r="R992" s="263"/>
      <c r="S992" s="266"/>
      <c r="T992" s="266"/>
      <c r="U992" s="266"/>
      <c r="V992" s="267"/>
    </row>
    <row r="993" spans="6:22">
      <c r="F993" s="262"/>
      <c r="G993" s="263"/>
      <c r="H993" s="264"/>
      <c r="I993" s="264"/>
      <c r="J993" s="264"/>
      <c r="K993" s="264"/>
      <c r="L993" s="264"/>
      <c r="M993" s="264"/>
      <c r="N993" s="263"/>
      <c r="O993" s="265"/>
      <c r="P993" s="264"/>
      <c r="Q993" s="263"/>
      <c r="R993" s="263"/>
      <c r="S993" s="266"/>
      <c r="T993" s="266"/>
      <c r="U993" s="266"/>
      <c r="V993" s="267"/>
    </row>
    <row r="994" spans="6:22">
      <c r="F994" s="262"/>
      <c r="G994" s="263"/>
      <c r="H994" s="264"/>
      <c r="I994" s="264"/>
      <c r="J994" s="264"/>
      <c r="K994" s="264"/>
      <c r="L994" s="264"/>
      <c r="M994" s="264"/>
      <c r="N994" s="263"/>
      <c r="O994" s="265"/>
      <c r="P994" s="264"/>
      <c r="Q994" s="263"/>
      <c r="R994" s="263"/>
      <c r="S994" s="266"/>
      <c r="T994" s="266"/>
      <c r="U994" s="266"/>
      <c r="V994" s="267"/>
    </row>
    <row r="995" spans="6:22">
      <c r="F995" s="262"/>
      <c r="G995" s="263"/>
      <c r="H995" s="264"/>
      <c r="I995" s="264"/>
      <c r="J995" s="264"/>
      <c r="K995" s="264"/>
      <c r="L995" s="264"/>
      <c r="M995" s="264"/>
      <c r="N995" s="263"/>
      <c r="O995" s="265"/>
      <c r="P995" s="264"/>
      <c r="Q995" s="263"/>
      <c r="R995" s="263"/>
      <c r="S995" s="266"/>
      <c r="T995" s="266"/>
      <c r="U995" s="266"/>
      <c r="V995" s="267"/>
    </row>
    <row r="996" spans="6:22">
      <c r="F996" s="262"/>
      <c r="G996" s="263"/>
      <c r="H996" s="264"/>
      <c r="I996" s="264"/>
      <c r="J996" s="264"/>
      <c r="K996" s="264"/>
      <c r="L996" s="264"/>
      <c r="M996" s="264"/>
      <c r="N996" s="263"/>
      <c r="O996" s="265"/>
      <c r="P996" s="264"/>
      <c r="Q996" s="263"/>
      <c r="R996" s="263"/>
      <c r="S996" s="266"/>
      <c r="T996" s="266"/>
      <c r="U996" s="266"/>
      <c r="V996" s="267"/>
    </row>
    <row r="997" spans="6:22">
      <c r="F997" s="262"/>
      <c r="G997" s="263"/>
      <c r="H997" s="264"/>
      <c r="I997" s="264"/>
      <c r="J997" s="264"/>
      <c r="K997" s="264"/>
      <c r="L997" s="264"/>
      <c r="M997" s="264"/>
      <c r="N997" s="263"/>
      <c r="O997" s="265"/>
      <c r="P997" s="264"/>
      <c r="Q997" s="263"/>
      <c r="R997" s="263"/>
      <c r="S997" s="266"/>
      <c r="T997" s="266"/>
      <c r="U997" s="266"/>
      <c r="V997" s="267"/>
    </row>
    <row r="998" spans="6:22">
      <c r="F998" s="262"/>
      <c r="G998" s="263"/>
      <c r="H998" s="264"/>
      <c r="I998" s="264"/>
      <c r="J998" s="264"/>
      <c r="K998" s="264"/>
      <c r="L998" s="264"/>
      <c r="M998" s="264"/>
      <c r="N998" s="263"/>
      <c r="O998" s="265"/>
      <c r="P998" s="264"/>
      <c r="Q998" s="263"/>
      <c r="R998" s="263"/>
      <c r="S998" s="266"/>
      <c r="T998" s="266"/>
      <c r="U998" s="266"/>
      <c r="V998" s="267"/>
    </row>
    <row r="999" spans="6:22">
      <c r="F999" s="262"/>
      <c r="G999" s="263"/>
      <c r="H999" s="264"/>
      <c r="I999" s="264"/>
      <c r="J999" s="264"/>
      <c r="K999" s="264"/>
      <c r="L999" s="264"/>
      <c r="M999" s="264"/>
      <c r="N999" s="263"/>
      <c r="O999" s="265"/>
      <c r="P999" s="264"/>
      <c r="Q999" s="263"/>
      <c r="R999" s="263"/>
      <c r="S999" s="266"/>
      <c r="T999" s="266"/>
      <c r="U999" s="266"/>
      <c r="V999" s="267"/>
    </row>
    <row r="1000" spans="6:22">
      <c r="F1000" s="262"/>
      <c r="G1000" s="263"/>
      <c r="H1000" s="264"/>
      <c r="I1000" s="264"/>
      <c r="J1000" s="264"/>
      <c r="K1000" s="264"/>
      <c r="L1000" s="264"/>
      <c r="M1000" s="264"/>
      <c r="N1000" s="263"/>
      <c r="O1000" s="265"/>
      <c r="P1000" s="264"/>
      <c r="Q1000" s="263"/>
      <c r="R1000" s="263"/>
      <c r="S1000" s="266"/>
      <c r="T1000" s="266"/>
      <c r="U1000" s="266"/>
      <c r="V1000" s="267"/>
    </row>
    <row r="1001" spans="6:22">
      <c r="F1001" s="262"/>
      <c r="G1001" s="263"/>
      <c r="H1001" s="264"/>
      <c r="I1001" s="264"/>
      <c r="J1001" s="264"/>
      <c r="K1001" s="264"/>
      <c r="L1001" s="264"/>
      <c r="M1001" s="264"/>
      <c r="N1001" s="263"/>
      <c r="O1001" s="265"/>
      <c r="P1001" s="264"/>
      <c r="Q1001" s="263"/>
      <c r="R1001" s="263"/>
      <c r="S1001" s="266"/>
      <c r="T1001" s="266"/>
      <c r="U1001" s="266"/>
      <c r="V1001" s="267"/>
    </row>
    <row r="1002" spans="6:22">
      <c r="F1002" s="262"/>
      <c r="G1002" s="263"/>
      <c r="H1002" s="264"/>
      <c r="I1002" s="264"/>
      <c r="J1002" s="264"/>
      <c r="K1002" s="264"/>
      <c r="L1002" s="264"/>
      <c r="M1002" s="264"/>
      <c r="N1002" s="263"/>
      <c r="O1002" s="265"/>
      <c r="P1002" s="264"/>
      <c r="Q1002" s="263"/>
      <c r="R1002" s="263"/>
      <c r="S1002" s="266"/>
      <c r="T1002" s="266"/>
      <c r="U1002" s="266"/>
      <c r="V1002" s="267"/>
    </row>
    <row r="1003" spans="6:22">
      <c r="F1003" s="262"/>
      <c r="G1003" s="263"/>
      <c r="H1003" s="264"/>
      <c r="I1003" s="264"/>
      <c r="J1003" s="264"/>
      <c r="K1003" s="264"/>
      <c r="L1003" s="264"/>
      <c r="M1003" s="264"/>
      <c r="N1003" s="263"/>
      <c r="O1003" s="265"/>
      <c r="P1003" s="264"/>
      <c r="Q1003" s="263"/>
      <c r="R1003" s="263"/>
      <c r="S1003" s="266"/>
      <c r="T1003" s="266"/>
      <c r="U1003" s="266"/>
      <c r="V1003" s="267"/>
    </row>
    <row r="1004" spans="6:22">
      <c r="F1004" s="262"/>
      <c r="G1004" s="263"/>
      <c r="H1004" s="264"/>
      <c r="I1004" s="264"/>
      <c r="J1004" s="264"/>
      <c r="K1004" s="264"/>
      <c r="L1004" s="264"/>
      <c r="M1004" s="264"/>
      <c r="N1004" s="263"/>
      <c r="O1004" s="265"/>
      <c r="P1004" s="264"/>
      <c r="Q1004" s="263"/>
      <c r="R1004" s="263"/>
      <c r="S1004" s="266"/>
      <c r="T1004" s="266"/>
      <c r="U1004" s="266"/>
      <c r="V1004" s="267"/>
    </row>
    <row r="1005" spans="6:22">
      <c r="F1005" s="262"/>
      <c r="G1005" s="263"/>
      <c r="H1005" s="264"/>
      <c r="I1005" s="264"/>
      <c r="J1005" s="264"/>
      <c r="K1005" s="264"/>
      <c r="L1005" s="264"/>
      <c r="M1005" s="264"/>
      <c r="N1005" s="263"/>
      <c r="O1005" s="265"/>
      <c r="P1005" s="264"/>
      <c r="Q1005" s="263"/>
      <c r="R1005" s="263"/>
      <c r="S1005" s="266"/>
      <c r="T1005" s="266"/>
      <c r="U1005" s="266"/>
      <c r="V1005" s="267"/>
    </row>
    <row r="1006" spans="6:22">
      <c r="F1006" s="262"/>
      <c r="G1006" s="263"/>
      <c r="H1006" s="264"/>
      <c r="I1006" s="264"/>
      <c r="J1006" s="264"/>
      <c r="K1006" s="264"/>
      <c r="L1006" s="264"/>
      <c r="M1006" s="264"/>
      <c r="N1006" s="263"/>
      <c r="O1006" s="265"/>
      <c r="P1006" s="264"/>
      <c r="Q1006" s="263"/>
      <c r="R1006" s="263"/>
      <c r="S1006" s="266"/>
      <c r="T1006" s="266"/>
      <c r="U1006" s="266"/>
      <c r="V1006" s="267"/>
    </row>
    <row r="1007" spans="6:22">
      <c r="F1007" s="262"/>
      <c r="G1007" s="263"/>
      <c r="H1007" s="264"/>
      <c r="I1007" s="264"/>
      <c r="J1007" s="264"/>
      <c r="K1007" s="264"/>
      <c r="L1007" s="264"/>
      <c r="M1007" s="264"/>
      <c r="N1007" s="263"/>
      <c r="O1007" s="265"/>
      <c r="P1007" s="264"/>
      <c r="Q1007" s="263"/>
      <c r="R1007" s="263"/>
      <c r="S1007" s="266"/>
      <c r="T1007" s="266"/>
      <c r="U1007" s="266"/>
      <c r="V1007" s="267"/>
    </row>
    <row r="1008" spans="6:22">
      <c r="F1008" s="262"/>
      <c r="G1008" s="263"/>
      <c r="H1008" s="264"/>
      <c r="I1008" s="264"/>
      <c r="J1008" s="264"/>
      <c r="K1008" s="264"/>
      <c r="L1008" s="264"/>
      <c r="M1008" s="264"/>
      <c r="N1008" s="263"/>
      <c r="O1008" s="265"/>
      <c r="P1008" s="264"/>
      <c r="Q1008" s="263"/>
      <c r="R1008" s="263"/>
      <c r="S1008" s="266"/>
      <c r="T1008" s="266"/>
      <c r="U1008" s="266"/>
      <c r="V1008" s="267"/>
    </row>
    <row r="1009" spans="6:22">
      <c r="F1009" s="262"/>
      <c r="G1009" s="263"/>
      <c r="H1009" s="264"/>
      <c r="I1009" s="264"/>
      <c r="J1009" s="264"/>
      <c r="K1009" s="264"/>
      <c r="L1009" s="264"/>
      <c r="M1009" s="264"/>
      <c r="N1009" s="263"/>
      <c r="O1009" s="265"/>
      <c r="P1009" s="264"/>
      <c r="Q1009" s="263"/>
      <c r="R1009" s="263"/>
      <c r="S1009" s="266"/>
      <c r="T1009" s="266"/>
      <c r="U1009" s="266"/>
      <c r="V1009" s="267"/>
    </row>
    <row r="1010" spans="6:22">
      <c r="F1010" s="262"/>
      <c r="G1010" s="263"/>
      <c r="H1010" s="264"/>
      <c r="I1010" s="264"/>
      <c r="J1010" s="264"/>
      <c r="K1010" s="264"/>
      <c r="L1010" s="264"/>
      <c r="M1010" s="264"/>
      <c r="N1010" s="263"/>
      <c r="O1010" s="265"/>
      <c r="P1010" s="264"/>
      <c r="Q1010" s="263"/>
      <c r="R1010" s="263"/>
      <c r="S1010" s="266"/>
      <c r="T1010" s="266"/>
      <c r="U1010" s="266"/>
      <c r="V1010" s="267"/>
    </row>
    <row r="1011" spans="6:22">
      <c r="F1011" s="262"/>
      <c r="G1011" s="263"/>
      <c r="H1011" s="264"/>
      <c r="I1011" s="264"/>
      <c r="J1011" s="264"/>
      <c r="K1011" s="264"/>
      <c r="L1011" s="264"/>
      <c r="M1011" s="264"/>
      <c r="N1011" s="263"/>
      <c r="O1011" s="265"/>
      <c r="P1011" s="264"/>
      <c r="Q1011" s="263"/>
      <c r="R1011" s="263"/>
      <c r="S1011" s="266"/>
      <c r="T1011" s="266"/>
      <c r="U1011" s="266"/>
      <c r="V1011" s="267"/>
    </row>
    <row r="1012" spans="6:22">
      <c r="F1012" s="262"/>
      <c r="G1012" s="263"/>
      <c r="H1012" s="264"/>
      <c r="I1012" s="264"/>
      <c r="J1012" s="264"/>
      <c r="K1012" s="264"/>
      <c r="L1012" s="264"/>
      <c r="M1012" s="264"/>
      <c r="N1012" s="263"/>
      <c r="O1012" s="265"/>
      <c r="P1012" s="264"/>
      <c r="Q1012" s="263"/>
      <c r="R1012" s="263"/>
      <c r="S1012" s="266"/>
      <c r="T1012" s="266"/>
      <c r="U1012" s="266"/>
      <c r="V1012" s="267"/>
    </row>
    <row r="1013" spans="6:22">
      <c r="F1013" s="262"/>
      <c r="G1013" s="263"/>
      <c r="H1013" s="264"/>
      <c r="I1013" s="264"/>
      <c r="J1013" s="264"/>
      <c r="K1013" s="264"/>
      <c r="L1013" s="264"/>
      <c r="M1013" s="264"/>
      <c r="N1013" s="263"/>
      <c r="O1013" s="265"/>
      <c r="P1013" s="264"/>
      <c r="Q1013" s="263"/>
      <c r="R1013" s="263"/>
      <c r="S1013" s="266"/>
      <c r="T1013" s="266"/>
      <c r="U1013" s="266"/>
      <c r="V1013" s="267"/>
    </row>
    <row r="1014" spans="6:22">
      <c r="F1014" s="262"/>
      <c r="G1014" s="263"/>
      <c r="H1014" s="264"/>
      <c r="I1014" s="264"/>
      <c r="J1014" s="264"/>
      <c r="K1014" s="264"/>
      <c r="L1014" s="264"/>
      <c r="M1014" s="264"/>
      <c r="N1014" s="263"/>
      <c r="O1014" s="265"/>
      <c r="P1014" s="264"/>
      <c r="Q1014" s="263"/>
      <c r="R1014" s="263"/>
      <c r="S1014" s="266"/>
      <c r="T1014" s="266"/>
      <c r="U1014" s="266"/>
      <c r="V1014" s="267"/>
    </row>
    <row r="1015" spans="6:22">
      <c r="F1015" s="262"/>
      <c r="G1015" s="263"/>
      <c r="H1015" s="264"/>
      <c r="I1015" s="264"/>
      <c r="J1015" s="264"/>
      <c r="K1015" s="264"/>
      <c r="L1015" s="264"/>
      <c r="M1015" s="264"/>
      <c r="N1015" s="263"/>
      <c r="O1015" s="265"/>
      <c r="P1015" s="264"/>
      <c r="Q1015" s="263"/>
      <c r="R1015" s="263"/>
      <c r="S1015" s="266"/>
      <c r="T1015" s="266"/>
      <c r="U1015" s="266"/>
      <c r="V1015" s="267"/>
    </row>
    <row r="1016" spans="6:22">
      <c r="F1016" s="262"/>
      <c r="G1016" s="263"/>
      <c r="H1016" s="264"/>
      <c r="I1016" s="264"/>
      <c r="J1016" s="264"/>
      <c r="K1016" s="264"/>
      <c r="L1016" s="264"/>
      <c r="M1016" s="264"/>
      <c r="N1016" s="263"/>
      <c r="O1016" s="265"/>
      <c r="P1016" s="264"/>
      <c r="Q1016" s="263"/>
      <c r="R1016" s="263"/>
      <c r="S1016" s="266"/>
      <c r="T1016" s="266"/>
      <c r="U1016" s="266"/>
      <c r="V1016" s="267"/>
    </row>
    <row r="1017" spans="6:22">
      <c r="F1017" s="262"/>
      <c r="G1017" s="263"/>
      <c r="H1017" s="264"/>
      <c r="I1017" s="264"/>
      <c r="J1017" s="264"/>
      <c r="K1017" s="264"/>
      <c r="L1017" s="264"/>
      <c r="M1017" s="264"/>
      <c r="N1017" s="263"/>
      <c r="O1017" s="265"/>
      <c r="P1017" s="264"/>
      <c r="Q1017" s="263"/>
      <c r="R1017" s="263"/>
      <c r="S1017" s="266"/>
      <c r="T1017" s="266"/>
      <c r="U1017" s="266"/>
      <c r="V1017" s="267"/>
    </row>
    <row r="1018" spans="6:22">
      <c r="F1018" s="262"/>
      <c r="G1018" s="263"/>
      <c r="H1018" s="264"/>
      <c r="I1018" s="264"/>
      <c r="J1018" s="264"/>
      <c r="K1018" s="264"/>
      <c r="L1018" s="264"/>
      <c r="M1018" s="264"/>
      <c r="N1018" s="263"/>
      <c r="O1018" s="265"/>
      <c r="P1018" s="264"/>
      <c r="Q1018" s="263"/>
      <c r="R1018" s="263"/>
      <c r="S1018" s="266"/>
      <c r="T1018" s="266"/>
      <c r="U1018" s="266"/>
      <c r="V1018" s="267"/>
    </row>
    <row r="1019" spans="6:22">
      <c r="F1019" s="262"/>
      <c r="G1019" s="263"/>
      <c r="H1019" s="264"/>
      <c r="I1019" s="264"/>
      <c r="J1019" s="264"/>
      <c r="K1019" s="264"/>
      <c r="L1019" s="264"/>
      <c r="M1019" s="264"/>
      <c r="N1019" s="263"/>
      <c r="O1019" s="265"/>
      <c r="P1019" s="264"/>
      <c r="Q1019" s="263"/>
      <c r="R1019" s="263"/>
      <c r="S1019" s="266"/>
      <c r="T1019" s="266"/>
      <c r="U1019" s="266"/>
      <c r="V1019" s="267"/>
    </row>
    <row r="1020" spans="6:22">
      <c r="F1020" s="262"/>
      <c r="G1020" s="263"/>
      <c r="H1020" s="264"/>
      <c r="I1020" s="264"/>
      <c r="J1020" s="264"/>
      <c r="K1020" s="264"/>
      <c r="L1020" s="264"/>
      <c r="M1020" s="264"/>
      <c r="N1020" s="263"/>
      <c r="O1020" s="265"/>
      <c r="P1020" s="264"/>
      <c r="Q1020" s="263"/>
      <c r="R1020" s="263"/>
      <c r="S1020" s="266"/>
      <c r="T1020" s="266"/>
      <c r="U1020" s="266"/>
      <c r="V1020" s="267"/>
    </row>
    <row r="1021" spans="6:22">
      <c r="F1021" s="262"/>
      <c r="G1021" s="263"/>
      <c r="H1021" s="264"/>
      <c r="I1021" s="264"/>
      <c r="J1021" s="264"/>
      <c r="K1021" s="264"/>
      <c r="L1021" s="264"/>
      <c r="M1021" s="264"/>
      <c r="N1021" s="263"/>
      <c r="O1021" s="265"/>
      <c r="P1021" s="264"/>
      <c r="Q1021" s="263"/>
      <c r="R1021" s="263"/>
      <c r="S1021" s="266"/>
      <c r="T1021" s="266"/>
      <c r="U1021" s="266"/>
      <c r="V1021" s="267"/>
    </row>
    <row r="1022" spans="6:22">
      <c r="F1022" s="262"/>
      <c r="G1022" s="263"/>
      <c r="H1022" s="264"/>
      <c r="I1022" s="264"/>
      <c r="J1022" s="264"/>
      <c r="K1022" s="264"/>
      <c r="L1022" s="264"/>
      <c r="M1022" s="264"/>
      <c r="N1022" s="263"/>
      <c r="O1022" s="265"/>
      <c r="P1022" s="264"/>
      <c r="Q1022" s="263"/>
      <c r="R1022" s="263"/>
      <c r="S1022" s="266"/>
      <c r="T1022" s="266"/>
      <c r="U1022" s="266"/>
      <c r="V1022" s="267"/>
    </row>
    <row r="1023" spans="6:22">
      <c r="F1023" s="262"/>
      <c r="G1023" s="263"/>
      <c r="H1023" s="264"/>
      <c r="I1023" s="264"/>
      <c r="J1023" s="264"/>
      <c r="K1023" s="264"/>
      <c r="L1023" s="264"/>
      <c r="M1023" s="264"/>
      <c r="N1023" s="263"/>
      <c r="O1023" s="265"/>
      <c r="P1023" s="264"/>
      <c r="Q1023" s="263"/>
      <c r="R1023" s="263"/>
      <c r="S1023" s="266"/>
      <c r="T1023" s="266"/>
      <c r="U1023" s="266"/>
      <c r="V1023" s="267"/>
    </row>
    <row r="1024" spans="6:22">
      <c r="F1024" s="262"/>
      <c r="G1024" s="263"/>
      <c r="H1024" s="264"/>
      <c r="I1024" s="264"/>
      <c r="J1024" s="264"/>
      <c r="K1024" s="264"/>
      <c r="L1024" s="264"/>
      <c r="M1024" s="264"/>
      <c r="N1024" s="263"/>
      <c r="O1024" s="265"/>
      <c r="P1024" s="264"/>
      <c r="Q1024" s="263"/>
      <c r="R1024" s="263"/>
      <c r="S1024" s="266"/>
      <c r="T1024" s="266"/>
      <c r="U1024" s="266"/>
      <c r="V1024" s="267"/>
    </row>
    <row r="1025" spans="6:22">
      <c r="F1025" s="262"/>
      <c r="G1025" s="263"/>
      <c r="H1025" s="264"/>
      <c r="I1025" s="264"/>
      <c r="J1025" s="264"/>
      <c r="K1025" s="264"/>
      <c r="L1025" s="264"/>
      <c r="M1025" s="264"/>
      <c r="N1025" s="263"/>
      <c r="O1025" s="265"/>
      <c r="P1025" s="264"/>
      <c r="Q1025" s="263"/>
      <c r="R1025" s="263"/>
      <c r="S1025" s="266"/>
      <c r="T1025" s="266"/>
      <c r="U1025" s="266"/>
      <c r="V1025" s="267"/>
    </row>
    <row r="1026" spans="6:22">
      <c r="F1026" s="262"/>
      <c r="G1026" s="263"/>
      <c r="H1026" s="264"/>
      <c r="I1026" s="264"/>
      <c r="J1026" s="264"/>
      <c r="K1026" s="264"/>
      <c r="L1026" s="264"/>
      <c r="M1026" s="264"/>
      <c r="N1026" s="263"/>
      <c r="O1026" s="265"/>
      <c r="P1026" s="264"/>
      <c r="Q1026" s="263"/>
      <c r="R1026" s="263"/>
      <c r="S1026" s="266"/>
      <c r="T1026" s="266"/>
      <c r="U1026" s="266"/>
      <c r="V1026" s="267"/>
    </row>
    <row r="1027" spans="6:22">
      <c r="F1027" s="262"/>
      <c r="G1027" s="263"/>
      <c r="H1027" s="264"/>
      <c r="I1027" s="264"/>
      <c r="J1027" s="264"/>
      <c r="K1027" s="264"/>
      <c r="L1027" s="264"/>
      <c r="M1027" s="264"/>
      <c r="N1027" s="263"/>
      <c r="O1027" s="265"/>
      <c r="P1027" s="264"/>
      <c r="Q1027" s="263"/>
      <c r="R1027" s="263"/>
      <c r="S1027" s="266"/>
      <c r="T1027" s="266"/>
      <c r="U1027" s="266"/>
      <c r="V1027" s="267"/>
    </row>
    <row r="1028" spans="6:22">
      <c r="F1028" s="262"/>
      <c r="G1028" s="263"/>
      <c r="H1028" s="264"/>
      <c r="I1028" s="264"/>
      <c r="J1028" s="264"/>
      <c r="K1028" s="264"/>
      <c r="L1028" s="264"/>
      <c r="M1028" s="264"/>
      <c r="N1028" s="263"/>
      <c r="O1028" s="265"/>
      <c r="P1028" s="264"/>
      <c r="Q1028" s="263"/>
      <c r="R1028" s="263"/>
      <c r="S1028" s="266"/>
      <c r="T1028" s="266"/>
      <c r="U1028" s="266"/>
      <c r="V1028" s="267"/>
    </row>
    <row r="1029" spans="6:22">
      <c r="F1029" s="262"/>
      <c r="G1029" s="263"/>
      <c r="H1029" s="264"/>
      <c r="I1029" s="264"/>
      <c r="J1029" s="264"/>
      <c r="K1029" s="264"/>
      <c r="L1029" s="264"/>
      <c r="M1029" s="264"/>
      <c r="N1029" s="263"/>
      <c r="O1029" s="265"/>
      <c r="P1029" s="264"/>
      <c r="Q1029" s="263"/>
      <c r="R1029" s="263"/>
      <c r="S1029" s="266"/>
      <c r="T1029" s="266"/>
      <c r="U1029" s="266"/>
      <c r="V1029" s="267"/>
    </row>
    <row r="1030" spans="6:22">
      <c r="F1030" s="262"/>
      <c r="G1030" s="263"/>
      <c r="H1030" s="264"/>
      <c r="I1030" s="264"/>
      <c r="J1030" s="264"/>
      <c r="K1030" s="264"/>
      <c r="L1030" s="264"/>
      <c r="M1030" s="264"/>
      <c r="N1030" s="263"/>
      <c r="O1030" s="265"/>
      <c r="P1030" s="264"/>
      <c r="Q1030" s="263"/>
      <c r="R1030" s="263"/>
      <c r="S1030" s="266"/>
      <c r="T1030" s="266"/>
      <c r="U1030" s="266"/>
      <c r="V1030" s="267"/>
    </row>
    <row r="1031" spans="6:22">
      <c r="F1031" s="262"/>
      <c r="G1031" s="263"/>
      <c r="H1031" s="264"/>
      <c r="I1031" s="264"/>
      <c r="J1031" s="264"/>
      <c r="K1031" s="264"/>
      <c r="L1031" s="264"/>
      <c r="M1031" s="264"/>
      <c r="N1031" s="263"/>
      <c r="O1031" s="265"/>
      <c r="P1031" s="264"/>
      <c r="Q1031" s="263"/>
      <c r="R1031" s="263"/>
      <c r="S1031" s="266"/>
      <c r="T1031" s="266"/>
      <c r="U1031" s="266"/>
      <c r="V1031" s="267"/>
    </row>
    <row r="1032" spans="6:22">
      <c r="F1032" s="262"/>
      <c r="G1032" s="263"/>
      <c r="H1032" s="264"/>
      <c r="I1032" s="264"/>
      <c r="J1032" s="264"/>
      <c r="K1032" s="264"/>
      <c r="L1032" s="264"/>
      <c r="M1032" s="264"/>
      <c r="N1032" s="263"/>
      <c r="O1032" s="265"/>
      <c r="P1032" s="264"/>
      <c r="Q1032" s="263"/>
      <c r="R1032" s="263"/>
      <c r="S1032" s="266"/>
      <c r="T1032" s="266"/>
      <c r="U1032" s="266"/>
      <c r="V1032" s="267"/>
    </row>
    <row r="1033" spans="6:22">
      <c r="F1033" s="262"/>
      <c r="G1033" s="263"/>
      <c r="H1033" s="264"/>
      <c r="I1033" s="264"/>
      <c r="J1033" s="264"/>
      <c r="K1033" s="264"/>
      <c r="L1033" s="264"/>
      <c r="M1033" s="264"/>
      <c r="N1033" s="263"/>
      <c r="O1033" s="265"/>
      <c r="P1033" s="264"/>
      <c r="Q1033" s="263"/>
      <c r="R1033" s="263"/>
      <c r="S1033" s="266"/>
      <c r="T1033" s="266"/>
      <c r="U1033" s="266"/>
      <c r="V1033" s="267"/>
    </row>
    <row r="1034" spans="6:22">
      <c r="F1034" s="262"/>
      <c r="G1034" s="263"/>
      <c r="H1034" s="264"/>
      <c r="I1034" s="264"/>
      <c r="J1034" s="264"/>
      <c r="K1034" s="264"/>
      <c r="L1034" s="264"/>
      <c r="M1034" s="264"/>
      <c r="N1034" s="263"/>
      <c r="O1034" s="265"/>
      <c r="P1034" s="264"/>
      <c r="Q1034" s="263"/>
      <c r="R1034" s="263"/>
      <c r="S1034" s="266"/>
      <c r="T1034" s="266"/>
      <c r="U1034" s="266"/>
      <c r="V1034" s="267"/>
    </row>
    <row r="1035" spans="6:22">
      <c r="F1035" s="262"/>
      <c r="G1035" s="263"/>
      <c r="H1035" s="264"/>
      <c r="I1035" s="264"/>
      <c r="J1035" s="264"/>
      <c r="K1035" s="264"/>
      <c r="L1035" s="264"/>
      <c r="M1035" s="264"/>
      <c r="N1035" s="263"/>
      <c r="O1035" s="265"/>
      <c r="P1035" s="264"/>
      <c r="Q1035" s="263"/>
      <c r="R1035" s="263"/>
      <c r="S1035" s="266"/>
      <c r="T1035" s="266"/>
      <c r="U1035" s="266"/>
      <c r="V1035" s="267"/>
    </row>
    <row r="1036" spans="6:22">
      <c r="F1036" s="262"/>
      <c r="G1036" s="263"/>
      <c r="H1036" s="264"/>
      <c r="I1036" s="264"/>
      <c r="J1036" s="264"/>
      <c r="K1036" s="264"/>
      <c r="L1036" s="264"/>
      <c r="M1036" s="264"/>
      <c r="N1036" s="263"/>
      <c r="O1036" s="265"/>
      <c r="P1036" s="264"/>
      <c r="Q1036" s="263"/>
      <c r="R1036" s="263"/>
      <c r="S1036" s="266"/>
      <c r="T1036" s="266"/>
      <c r="U1036" s="266"/>
      <c r="V1036" s="267"/>
    </row>
    <row r="1037" spans="6:22">
      <c r="F1037" s="262"/>
      <c r="G1037" s="263"/>
      <c r="H1037" s="264"/>
      <c r="I1037" s="264"/>
      <c r="J1037" s="264"/>
      <c r="K1037" s="264"/>
      <c r="L1037" s="264"/>
      <c r="M1037" s="264"/>
      <c r="N1037" s="263"/>
      <c r="O1037" s="265"/>
      <c r="P1037" s="264"/>
      <c r="Q1037" s="263"/>
      <c r="R1037" s="263"/>
      <c r="S1037" s="266"/>
      <c r="T1037" s="266"/>
      <c r="U1037" s="266"/>
      <c r="V1037" s="267"/>
    </row>
    <row r="1038" spans="6:22">
      <c r="F1038" s="262"/>
      <c r="G1038" s="263"/>
      <c r="H1038" s="264"/>
      <c r="I1038" s="264"/>
      <c r="J1038" s="264"/>
      <c r="K1038" s="264"/>
      <c r="L1038" s="264"/>
      <c r="M1038" s="264"/>
      <c r="N1038" s="263"/>
      <c r="O1038" s="265"/>
      <c r="P1038" s="264"/>
      <c r="Q1038" s="263"/>
      <c r="R1038" s="263"/>
      <c r="S1038" s="266"/>
      <c r="T1038" s="266"/>
      <c r="U1038" s="266"/>
      <c r="V1038" s="267"/>
    </row>
    <row r="1039" spans="6:22">
      <c r="F1039" s="262"/>
      <c r="G1039" s="263"/>
      <c r="H1039" s="264"/>
      <c r="I1039" s="264"/>
      <c r="J1039" s="264"/>
      <c r="K1039" s="264"/>
      <c r="L1039" s="264"/>
      <c r="M1039" s="264"/>
      <c r="N1039" s="263"/>
      <c r="O1039" s="265"/>
      <c r="P1039" s="264"/>
      <c r="Q1039" s="263"/>
      <c r="R1039" s="263"/>
      <c r="S1039" s="266"/>
      <c r="T1039" s="266"/>
      <c r="U1039" s="266"/>
      <c r="V1039" s="267"/>
    </row>
    <row r="1040" spans="6:22">
      <c r="F1040" s="262"/>
      <c r="G1040" s="263"/>
      <c r="H1040" s="264"/>
      <c r="I1040" s="264"/>
      <c r="J1040" s="264"/>
      <c r="K1040" s="264"/>
      <c r="L1040" s="264"/>
      <c r="M1040" s="264"/>
      <c r="N1040" s="263"/>
      <c r="O1040" s="265"/>
      <c r="P1040" s="264"/>
      <c r="Q1040" s="263"/>
      <c r="R1040" s="263"/>
      <c r="S1040" s="266"/>
      <c r="T1040" s="266"/>
      <c r="U1040" s="266"/>
      <c r="V1040" s="267"/>
    </row>
    <row r="1041" spans="6:22">
      <c r="F1041" s="262"/>
      <c r="G1041" s="263"/>
      <c r="H1041" s="264"/>
      <c r="I1041" s="264"/>
      <c r="J1041" s="264"/>
      <c r="K1041" s="264"/>
      <c r="L1041" s="264"/>
      <c r="M1041" s="264"/>
      <c r="N1041" s="263"/>
      <c r="O1041" s="265"/>
      <c r="P1041" s="264"/>
      <c r="Q1041" s="263"/>
      <c r="R1041" s="263"/>
      <c r="S1041" s="266"/>
      <c r="T1041" s="266"/>
      <c r="U1041" s="266"/>
      <c r="V1041" s="267"/>
    </row>
    <row r="1042" spans="6:22">
      <c r="F1042" s="262"/>
      <c r="G1042" s="263"/>
      <c r="H1042" s="264"/>
      <c r="I1042" s="264"/>
      <c r="J1042" s="264"/>
      <c r="K1042" s="264"/>
      <c r="L1042" s="264"/>
      <c r="M1042" s="264"/>
      <c r="N1042" s="263"/>
      <c r="O1042" s="265"/>
      <c r="P1042" s="264"/>
      <c r="Q1042" s="263"/>
      <c r="R1042" s="263"/>
      <c r="S1042" s="266"/>
      <c r="T1042" s="266"/>
      <c r="U1042" s="266"/>
      <c r="V1042" s="267"/>
    </row>
    <row r="1043" spans="6:22">
      <c r="F1043" s="262"/>
      <c r="G1043" s="263"/>
      <c r="H1043" s="264"/>
      <c r="I1043" s="264"/>
      <c r="J1043" s="264"/>
      <c r="K1043" s="264"/>
      <c r="L1043" s="264"/>
      <c r="M1043" s="264"/>
      <c r="N1043" s="263"/>
      <c r="O1043" s="265"/>
      <c r="P1043" s="264"/>
      <c r="Q1043" s="263"/>
      <c r="R1043" s="263"/>
      <c r="S1043" s="266"/>
      <c r="T1043" s="266"/>
      <c r="U1043" s="266"/>
      <c r="V1043" s="267"/>
    </row>
    <row r="1044" spans="6:22">
      <c r="F1044" s="262"/>
      <c r="G1044" s="263"/>
      <c r="H1044" s="264"/>
      <c r="I1044" s="264"/>
      <c r="J1044" s="264"/>
      <c r="K1044" s="264"/>
      <c r="L1044" s="264"/>
      <c r="M1044" s="264"/>
      <c r="N1044" s="263"/>
      <c r="O1044" s="265"/>
      <c r="P1044" s="264"/>
      <c r="Q1044" s="263"/>
      <c r="R1044" s="263"/>
      <c r="S1044" s="266"/>
      <c r="T1044" s="266"/>
      <c r="U1044" s="266"/>
      <c r="V1044" s="267"/>
    </row>
    <row r="1045" spans="6:22">
      <c r="F1045" s="262"/>
      <c r="G1045" s="263"/>
      <c r="H1045" s="264"/>
      <c r="I1045" s="264"/>
      <c r="J1045" s="264"/>
      <c r="K1045" s="264"/>
      <c r="L1045" s="264"/>
      <c r="M1045" s="264"/>
      <c r="N1045" s="263"/>
      <c r="O1045" s="265"/>
      <c r="P1045" s="264"/>
      <c r="Q1045" s="263"/>
      <c r="R1045" s="263"/>
      <c r="S1045" s="266"/>
      <c r="T1045" s="266"/>
      <c r="U1045" s="266"/>
      <c r="V1045" s="267"/>
    </row>
    <row r="1046" spans="6:22">
      <c r="F1046" s="262"/>
      <c r="G1046" s="263"/>
      <c r="H1046" s="264"/>
      <c r="I1046" s="264"/>
      <c r="J1046" s="264"/>
      <c r="K1046" s="264"/>
      <c r="L1046" s="264"/>
      <c r="M1046" s="264"/>
      <c r="N1046" s="263"/>
      <c r="O1046" s="265"/>
      <c r="P1046" s="264"/>
      <c r="Q1046" s="263"/>
      <c r="R1046" s="263"/>
      <c r="S1046" s="266"/>
      <c r="T1046" s="266"/>
      <c r="U1046" s="266"/>
      <c r="V1046" s="267"/>
    </row>
    <row r="1047" spans="6:22">
      <c r="F1047" s="262"/>
      <c r="G1047" s="263"/>
      <c r="H1047" s="264"/>
      <c r="I1047" s="264"/>
      <c r="J1047" s="264"/>
      <c r="K1047" s="264"/>
      <c r="L1047" s="264"/>
      <c r="M1047" s="264"/>
      <c r="N1047" s="263"/>
      <c r="O1047" s="265"/>
      <c r="P1047" s="264"/>
      <c r="Q1047" s="263"/>
      <c r="R1047" s="263"/>
      <c r="S1047" s="266"/>
      <c r="T1047" s="266"/>
      <c r="U1047" s="266"/>
      <c r="V1047" s="267"/>
    </row>
    <row r="1048" spans="6:22">
      <c r="F1048" s="262"/>
      <c r="G1048" s="263"/>
      <c r="H1048" s="264"/>
      <c r="I1048" s="264"/>
      <c r="J1048" s="264"/>
      <c r="K1048" s="264"/>
      <c r="L1048" s="264"/>
      <c r="M1048" s="264"/>
      <c r="N1048" s="263"/>
      <c r="O1048" s="265"/>
      <c r="P1048" s="264"/>
      <c r="Q1048" s="263"/>
      <c r="R1048" s="263"/>
      <c r="S1048" s="266"/>
      <c r="T1048" s="266"/>
      <c r="U1048" s="266"/>
      <c r="V1048" s="267"/>
    </row>
    <row r="1049" spans="6:22">
      <c r="F1049" s="262"/>
      <c r="G1049" s="263"/>
      <c r="H1049" s="264"/>
      <c r="I1049" s="264"/>
      <c r="J1049" s="264"/>
      <c r="K1049" s="264"/>
      <c r="L1049" s="264"/>
      <c r="M1049" s="264"/>
      <c r="N1049" s="263"/>
      <c r="O1049" s="265"/>
      <c r="P1049" s="264"/>
      <c r="Q1049" s="263"/>
      <c r="R1049" s="263"/>
      <c r="S1049" s="266"/>
      <c r="T1049" s="266"/>
      <c r="U1049" s="266"/>
      <c r="V1049" s="267"/>
    </row>
    <row r="1050" spans="6:22">
      <c r="F1050" s="262"/>
      <c r="G1050" s="263"/>
      <c r="H1050" s="264"/>
      <c r="I1050" s="264"/>
      <c r="J1050" s="264"/>
      <c r="K1050" s="264"/>
      <c r="L1050" s="264"/>
      <c r="M1050" s="264"/>
      <c r="N1050" s="263"/>
      <c r="O1050" s="265"/>
      <c r="P1050" s="264"/>
      <c r="Q1050" s="263"/>
      <c r="R1050" s="263"/>
      <c r="S1050" s="266"/>
      <c r="T1050" s="266"/>
      <c r="U1050" s="266"/>
      <c r="V1050" s="267"/>
    </row>
    <row r="1051" spans="6:22">
      <c r="F1051" s="262"/>
      <c r="G1051" s="263"/>
      <c r="H1051" s="264"/>
      <c r="I1051" s="264"/>
      <c r="J1051" s="264"/>
      <c r="K1051" s="264"/>
      <c r="L1051" s="264"/>
      <c r="M1051" s="264"/>
      <c r="N1051" s="263"/>
      <c r="O1051" s="265"/>
      <c r="P1051" s="264"/>
      <c r="Q1051" s="263"/>
      <c r="R1051" s="263"/>
      <c r="S1051" s="266"/>
      <c r="T1051" s="266"/>
      <c r="U1051" s="266"/>
      <c r="V1051" s="267"/>
    </row>
    <row r="1052" spans="6:22">
      <c r="F1052" s="262"/>
      <c r="G1052" s="263"/>
      <c r="H1052" s="264"/>
      <c r="I1052" s="264"/>
      <c r="J1052" s="264"/>
      <c r="K1052" s="264"/>
      <c r="L1052" s="264"/>
      <c r="M1052" s="264"/>
      <c r="N1052" s="263"/>
      <c r="O1052" s="265"/>
      <c r="P1052" s="264"/>
      <c r="Q1052" s="263"/>
      <c r="R1052" s="263"/>
      <c r="S1052" s="266"/>
      <c r="T1052" s="266"/>
      <c r="U1052" s="266"/>
      <c r="V1052" s="267"/>
    </row>
    <row r="1053" spans="6:22">
      <c r="F1053" s="262"/>
      <c r="G1053" s="263"/>
      <c r="H1053" s="264"/>
      <c r="I1053" s="264"/>
      <c r="J1053" s="264"/>
      <c r="K1053" s="264"/>
      <c r="L1053" s="264"/>
      <c r="M1053" s="264"/>
      <c r="N1053" s="263"/>
      <c r="O1053" s="265"/>
      <c r="P1053" s="264"/>
      <c r="Q1053" s="263"/>
      <c r="R1053" s="263"/>
      <c r="S1053" s="266"/>
      <c r="T1053" s="266"/>
      <c r="U1053" s="266"/>
      <c r="V1053" s="267"/>
    </row>
    <row r="1054" spans="6:22">
      <c r="F1054" s="262"/>
      <c r="G1054" s="263"/>
      <c r="H1054" s="264"/>
      <c r="I1054" s="264"/>
      <c r="J1054" s="264"/>
      <c r="K1054" s="264"/>
      <c r="L1054" s="264"/>
      <c r="M1054" s="264"/>
      <c r="N1054" s="263"/>
      <c r="O1054" s="265"/>
      <c r="P1054" s="264"/>
      <c r="Q1054" s="263"/>
      <c r="R1054" s="263"/>
      <c r="S1054" s="266"/>
      <c r="T1054" s="266"/>
      <c r="U1054" s="266"/>
      <c r="V1054" s="267"/>
    </row>
    <row r="1055" spans="6:22">
      <c r="F1055" s="262"/>
      <c r="G1055" s="263"/>
      <c r="H1055" s="264"/>
      <c r="I1055" s="264"/>
      <c r="J1055" s="264"/>
      <c r="K1055" s="264"/>
      <c r="L1055" s="264"/>
      <c r="M1055" s="264"/>
      <c r="N1055" s="263"/>
      <c r="O1055" s="265"/>
      <c r="P1055" s="264"/>
      <c r="Q1055" s="263"/>
      <c r="R1055" s="263"/>
      <c r="S1055" s="266"/>
      <c r="T1055" s="266"/>
      <c r="U1055" s="266"/>
      <c r="V1055" s="267"/>
    </row>
    <row r="1056" spans="6:22">
      <c r="F1056" s="262"/>
      <c r="G1056" s="263"/>
      <c r="H1056" s="264"/>
      <c r="I1056" s="264"/>
      <c r="J1056" s="264"/>
      <c r="K1056" s="264"/>
      <c r="L1056" s="264"/>
      <c r="M1056" s="264"/>
      <c r="N1056" s="263"/>
      <c r="O1056" s="265"/>
      <c r="P1056" s="264"/>
      <c r="Q1056" s="263"/>
      <c r="R1056" s="263"/>
      <c r="S1056" s="266"/>
      <c r="T1056" s="266"/>
      <c r="U1056" s="266"/>
      <c r="V1056" s="267"/>
    </row>
    <row r="1057" spans="6:22">
      <c r="F1057" s="262"/>
      <c r="G1057" s="263"/>
      <c r="H1057" s="264"/>
      <c r="I1057" s="264"/>
      <c r="J1057" s="264"/>
      <c r="K1057" s="264"/>
      <c r="L1057" s="264"/>
      <c r="M1057" s="264"/>
      <c r="N1057" s="263"/>
      <c r="O1057" s="265"/>
      <c r="P1057" s="264"/>
      <c r="Q1057" s="263"/>
      <c r="R1057" s="263"/>
      <c r="S1057" s="266"/>
      <c r="T1057" s="266"/>
      <c r="U1057" s="266"/>
      <c r="V1057" s="267"/>
    </row>
    <row r="1058" spans="6:22">
      <c r="F1058" s="262"/>
      <c r="G1058" s="263"/>
      <c r="H1058" s="264"/>
      <c r="I1058" s="264"/>
      <c r="J1058" s="264"/>
      <c r="K1058" s="264"/>
      <c r="L1058" s="264"/>
      <c r="M1058" s="264"/>
      <c r="N1058" s="263"/>
      <c r="O1058" s="265"/>
      <c r="P1058" s="264"/>
      <c r="Q1058" s="263"/>
      <c r="R1058" s="263"/>
      <c r="S1058" s="266"/>
      <c r="T1058" s="266"/>
      <c r="U1058" s="266"/>
      <c r="V1058" s="267"/>
    </row>
    <row r="1059" spans="6:22">
      <c r="F1059" s="262"/>
      <c r="G1059" s="263"/>
      <c r="H1059" s="264"/>
      <c r="I1059" s="264"/>
      <c r="J1059" s="264"/>
      <c r="K1059" s="264"/>
      <c r="L1059" s="264"/>
      <c r="M1059" s="264"/>
      <c r="N1059" s="263"/>
      <c r="O1059" s="265"/>
      <c r="P1059" s="264"/>
      <c r="Q1059" s="263"/>
      <c r="R1059" s="263"/>
      <c r="S1059" s="266"/>
      <c r="T1059" s="266"/>
      <c r="U1059" s="266"/>
      <c r="V1059" s="267"/>
    </row>
    <row r="1060" spans="6:22">
      <c r="F1060" s="262"/>
      <c r="G1060" s="263"/>
      <c r="H1060" s="264"/>
      <c r="I1060" s="264"/>
      <c r="J1060" s="264"/>
      <c r="K1060" s="264"/>
      <c r="L1060" s="264"/>
      <c r="M1060" s="264"/>
      <c r="N1060" s="263"/>
      <c r="O1060" s="265"/>
      <c r="P1060" s="264"/>
      <c r="Q1060" s="263"/>
      <c r="R1060" s="263"/>
      <c r="S1060" s="266"/>
      <c r="T1060" s="266"/>
      <c r="U1060" s="266"/>
      <c r="V1060" s="267"/>
    </row>
    <row r="1061" spans="6:22">
      <c r="F1061" s="262"/>
      <c r="G1061" s="263"/>
      <c r="H1061" s="264"/>
      <c r="I1061" s="264"/>
      <c r="J1061" s="264"/>
      <c r="K1061" s="264"/>
      <c r="L1061" s="264"/>
      <c r="M1061" s="264"/>
      <c r="N1061" s="263"/>
      <c r="O1061" s="265"/>
      <c r="P1061" s="264"/>
      <c r="Q1061" s="263"/>
      <c r="R1061" s="263"/>
      <c r="S1061" s="266"/>
      <c r="T1061" s="266"/>
      <c r="U1061" s="266"/>
      <c r="V1061" s="267"/>
    </row>
    <row r="1062" spans="6:22">
      <c r="F1062" s="262"/>
      <c r="G1062" s="263"/>
      <c r="H1062" s="264"/>
      <c r="I1062" s="264"/>
      <c r="J1062" s="264"/>
      <c r="K1062" s="264"/>
      <c r="L1062" s="264"/>
      <c r="M1062" s="264"/>
      <c r="N1062" s="263"/>
      <c r="O1062" s="265"/>
      <c r="P1062" s="264"/>
      <c r="Q1062" s="263"/>
      <c r="R1062" s="263"/>
      <c r="S1062" s="266"/>
      <c r="T1062" s="266"/>
      <c r="U1062" s="266"/>
      <c r="V1062" s="267"/>
    </row>
    <row r="1063" spans="6:22">
      <c r="F1063" s="262"/>
      <c r="G1063" s="263"/>
      <c r="H1063" s="264"/>
      <c r="I1063" s="264"/>
      <c r="J1063" s="264"/>
      <c r="K1063" s="264"/>
      <c r="L1063" s="264"/>
      <c r="M1063" s="264"/>
      <c r="N1063" s="263"/>
      <c r="O1063" s="265"/>
      <c r="P1063" s="264"/>
      <c r="Q1063" s="263"/>
      <c r="R1063" s="263"/>
      <c r="S1063" s="266"/>
      <c r="T1063" s="266"/>
      <c r="U1063" s="266"/>
      <c r="V1063" s="267"/>
    </row>
    <row r="1064" spans="6:22">
      <c r="F1064" s="262"/>
      <c r="G1064" s="263"/>
      <c r="H1064" s="264"/>
      <c r="I1064" s="264"/>
      <c r="J1064" s="264"/>
      <c r="K1064" s="264"/>
      <c r="L1064" s="264"/>
      <c r="M1064" s="264"/>
      <c r="N1064" s="263"/>
      <c r="O1064" s="265"/>
      <c r="P1064" s="264"/>
      <c r="Q1064" s="263"/>
      <c r="R1064" s="263"/>
      <c r="S1064" s="266"/>
      <c r="T1064" s="266"/>
      <c r="U1064" s="266"/>
      <c r="V1064" s="267"/>
    </row>
    <row r="1065" spans="6:22">
      <c r="F1065" s="262"/>
      <c r="G1065" s="263"/>
      <c r="H1065" s="264"/>
      <c r="I1065" s="264"/>
      <c r="J1065" s="264"/>
      <c r="K1065" s="264"/>
      <c r="L1065" s="264"/>
      <c r="M1065" s="264"/>
      <c r="N1065" s="263"/>
      <c r="O1065" s="265"/>
      <c r="P1065" s="264"/>
      <c r="Q1065" s="263"/>
      <c r="R1065" s="263"/>
      <c r="S1065" s="266"/>
      <c r="T1065" s="266"/>
      <c r="U1065" s="266"/>
      <c r="V1065" s="267"/>
    </row>
    <row r="1066" spans="6:22">
      <c r="F1066" s="262"/>
      <c r="G1066" s="263"/>
      <c r="H1066" s="264"/>
      <c r="I1066" s="264"/>
      <c r="J1066" s="264"/>
      <c r="K1066" s="264"/>
      <c r="L1066" s="264"/>
      <c r="M1066" s="264"/>
      <c r="N1066" s="263"/>
      <c r="O1066" s="265"/>
      <c r="P1066" s="264"/>
      <c r="Q1066" s="263"/>
      <c r="R1066" s="263"/>
      <c r="S1066" s="266"/>
      <c r="T1066" s="266"/>
      <c r="U1066" s="266"/>
      <c r="V1066" s="267"/>
    </row>
    <row r="1067" spans="6:22">
      <c r="F1067" s="262"/>
      <c r="G1067" s="263"/>
      <c r="H1067" s="264"/>
      <c r="I1067" s="264"/>
      <c r="J1067" s="264"/>
      <c r="K1067" s="264"/>
      <c r="L1067" s="264"/>
      <c r="M1067" s="264"/>
      <c r="N1067" s="263"/>
      <c r="O1067" s="265"/>
      <c r="P1067" s="264"/>
      <c r="Q1067" s="263"/>
      <c r="R1067" s="263"/>
      <c r="S1067" s="266"/>
      <c r="T1067" s="266"/>
      <c r="U1067" s="266"/>
      <c r="V1067" s="267"/>
    </row>
    <row r="1068" spans="6:22">
      <c r="F1068" s="262"/>
      <c r="G1068" s="263"/>
      <c r="H1068" s="264"/>
      <c r="I1068" s="264"/>
      <c r="J1068" s="264"/>
      <c r="K1068" s="264"/>
      <c r="L1068" s="264"/>
      <c r="M1068" s="264"/>
      <c r="N1068" s="263"/>
      <c r="O1068" s="265"/>
      <c r="P1068" s="264"/>
      <c r="Q1068" s="263"/>
      <c r="R1068" s="263"/>
      <c r="S1068" s="266"/>
      <c r="T1068" s="266"/>
      <c r="U1068" s="266"/>
      <c r="V1068" s="267"/>
    </row>
    <row r="1069" spans="6:22">
      <c r="F1069" s="262"/>
      <c r="G1069" s="263"/>
      <c r="H1069" s="264"/>
      <c r="I1069" s="264"/>
      <c r="J1069" s="264"/>
      <c r="K1069" s="264"/>
      <c r="L1069" s="264"/>
      <c r="M1069" s="264"/>
      <c r="N1069" s="263"/>
      <c r="O1069" s="265"/>
      <c r="P1069" s="264"/>
      <c r="Q1069" s="263"/>
      <c r="R1069" s="263"/>
      <c r="S1069" s="266"/>
      <c r="T1069" s="266"/>
      <c r="U1069" s="266"/>
      <c r="V1069" s="267"/>
    </row>
    <row r="1070" spans="6:22">
      <c r="F1070" s="262"/>
      <c r="G1070" s="263"/>
      <c r="H1070" s="264"/>
      <c r="I1070" s="264"/>
      <c r="J1070" s="264"/>
      <c r="K1070" s="264"/>
      <c r="L1070" s="264"/>
      <c r="M1070" s="264"/>
      <c r="N1070" s="263"/>
      <c r="O1070" s="265"/>
      <c r="P1070" s="264"/>
      <c r="Q1070" s="263"/>
      <c r="R1070" s="263"/>
      <c r="S1070" s="266"/>
      <c r="T1070" s="266"/>
      <c r="U1070" s="266"/>
      <c r="V1070" s="267"/>
    </row>
    <row r="1071" spans="6:22">
      <c r="F1071" s="262"/>
      <c r="G1071" s="263"/>
      <c r="H1071" s="264"/>
      <c r="I1071" s="264"/>
      <c r="J1071" s="264"/>
      <c r="K1071" s="264"/>
      <c r="L1071" s="264"/>
      <c r="M1071" s="264"/>
      <c r="N1071" s="263"/>
      <c r="O1071" s="265"/>
      <c r="P1071" s="264"/>
      <c r="Q1071" s="263"/>
      <c r="R1071" s="263"/>
      <c r="S1071" s="266"/>
      <c r="T1071" s="266"/>
      <c r="U1071" s="266"/>
      <c r="V1071" s="267"/>
    </row>
    <row r="1072" spans="6:22">
      <c r="F1072" s="262"/>
      <c r="G1072" s="263"/>
      <c r="H1072" s="264"/>
      <c r="I1072" s="264"/>
      <c r="J1072" s="264"/>
      <c r="K1072" s="264"/>
      <c r="L1072" s="264"/>
      <c r="M1072" s="264"/>
      <c r="N1072" s="263"/>
      <c r="O1072" s="265"/>
      <c r="P1072" s="264"/>
      <c r="Q1072" s="263"/>
      <c r="R1072" s="263"/>
      <c r="S1072" s="266"/>
      <c r="T1072" s="266"/>
      <c r="U1072" s="266"/>
      <c r="V1072" s="267"/>
    </row>
    <row r="1073" spans="6:22">
      <c r="F1073" s="262"/>
      <c r="G1073" s="263"/>
      <c r="H1073" s="264"/>
      <c r="I1073" s="264"/>
      <c r="J1073" s="264"/>
      <c r="K1073" s="264"/>
      <c r="L1073" s="264"/>
      <c r="M1073" s="264"/>
      <c r="N1073" s="263"/>
      <c r="O1073" s="265"/>
      <c r="P1073" s="264"/>
      <c r="Q1073" s="263"/>
      <c r="R1073" s="263"/>
      <c r="S1073" s="266"/>
      <c r="T1073" s="266"/>
      <c r="U1073" s="266"/>
      <c r="V1073" s="267"/>
    </row>
    <row r="1074" spans="6:22">
      <c r="F1074" s="262"/>
      <c r="G1074" s="263"/>
      <c r="H1074" s="264"/>
      <c r="I1074" s="264"/>
      <c r="J1074" s="264"/>
      <c r="K1074" s="264"/>
      <c r="L1074" s="264"/>
      <c r="M1074" s="264"/>
      <c r="N1074" s="263"/>
      <c r="O1074" s="265"/>
      <c r="P1074" s="264"/>
      <c r="Q1074" s="263"/>
      <c r="R1074" s="263"/>
      <c r="S1074" s="266"/>
      <c r="T1074" s="266"/>
      <c r="U1074" s="266"/>
      <c r="V1074" s="267"/>
    </row>
    <row r="1075" spans="6:22">
      <c r="F1075" s="262"/>
      <c r="G1075" s="263"/>
      <c r="H1075" s="264"/>
      <c r="I1075" s="264"/>
      <c r="J1075" s="264"/>
      <c r="K1075" s="264"/>
      <c r="L1075" s="264"/>
      <c r="M1075" s="264"/>
      <c r="N1075" s="263"/>
      <c r="O1075" s="265"/>
      <c r="P1075" s="264"/>
      <c r="Q1075" s="263"/>
      <c r="R1075" s="263"/>
      <c r="S1075" s="266"/>
      <c r="T1075" s="266"/>
      <c r="U1075" s="266"/>
      <c r="V1075" s="267"/>
    </row>
    <row r="1076" spans="6:22">
      <c r="F1076" s="262"/>
      <c r="G1076" s="263"/>
      <c r="H1076" s="264"/>
      <c r="I1076" s="264"/>
      <c r="J1076" s="264"/>
      <c r="K1076" s="264"/>
      <c r="L1076" s="264"/>
      <c r="M1076" s="264"/>
      <c r="N1076" s="263"/>
      <c r="O1076" s="265"/>
      <c r="P1076" s="264"/>
      <c r="Q1076" s="263"/>
      <c r="R1076" s="263"/>
      <c r="S1076" s="266"/>
      <c r="T1076" s="266"/>
      <c r="U1076" s="266"/>
      <c r="V1076" s="267"/>
    </row>
    <row r="1077" spans="6:22">
      <c r="F1077" s="262"/>
      <c r="G1077" s="263"/>
      <c r="H1077" s="264"/>
      <c r="I1077" s="264"/>
      <c r="J1077" s="264"/>
      <c r="K1077" s="264"/>
      <c r="L1077" s="264"/>
      <c r="M1077" s="264"/>
      <c r="N1077" s="263"/>
      <c r="O1077" s="265"/>
      <c r="P1077" s="264"/>
      <c r="Q1077" s="263"/>
      <c r="R1077" s="263"/>
      <c r="S1077" s="266"/>
      <c r="T1077" s="266"/>
      <c r="U1077" s="266"/>
      <c r="V1077" s="267"/>
    </row>
    <row r="1078" spans="6:22">
      <c r="F1078" s="262"/>
      <c r="G1078" s="263"/>
      <c r="H1078" s="264"/>
      <c r="I1078" s="264"/>
      <c r="J1078" s="264"/>
      <c r="K1078" s="264"/>
      <c r="L1078" s="264"/>
      <c r="M1078" s="264"/>
      <c r="N1078" s="263"/>
      <c r="O1078" s="265"/>
      <c r="P1078" s="264"/>
      <c r="Q1078" s="263"/>
      <c r="R1078" s="263"/>
      <c r="S1078" s="266"/>
      <c r="T1078" s="266"/>
      <c r="U1078" s="266"/>
      <c r="V1078" s="267"/>
    </row>
    <row r="1079" spans="6:22">
      <c r="F1079" s="262"/>
      <c r="G1079" s="263"/>
      <c r="H1079" s="264"/>
      <c r="I1079" s="264"/>
      <c r="J1079" s="264"/>
      <c r="K1079" s="264"/>
      <c r="L1079" s="264"/>
      <c r="M1079" s="264"/>
      <c r="N1079" s="263"/>
      <c r="O1079" s="265"/>
      <c r="P1079" s="264"/>
      <c r="Q1079" s="263"/>
      <c r="R1079" s="263"/>
      <c r="S1079" s="266"/>
      <c r="T1079" s="266"/>
      <c r="U1079" s="266"/>
      <c r="V1079" s="267"/>
    </row>
    <row r="1080" spans="6:22">
      <c r="F1080" s="262"/>
      <c r="G1080" s="263"/>
      <c r="H1080" s="264"/>
      <c r="I1080" s="264"/>
      <c r="J1080" s="264"/>
      <c r="K1080" s="264"/>
      <c r="L1080" s="264"/>
      <c r="M1080" s="264"/>
      <c r="N1080" s="263"/>
      <c r="O1080" s="265"/>
      <c r="P1080" s="264"/>
      <c r="Q1080" s="263"/>
      <c r="R1080" s="263"/>
      <c r="S1080" s="266"/>
      <c r="T1080" s="266"/>
      <c r="U1080" s="266"/>
      <c r="V1080" s="267"/>
    </row>
    <row r="1081" spans="6:22">
      <c r="F1081" s="262"/>
      <c r="G1081" s="263"/>
      <c r="H1081" s="264"/>
      <c r="I1081" s="264"/>
      <c r="J1081" s="264"/>
      <c r="K1081" s="264"/>
      <c r="L1081" s="264"/>
      <c r="M1081" s="264"/>
      <c r="N1081" s="263"/>
      <c r="O1081" s="265"/>
      <c r="P1081" s="264"/>
      <c r="Q1081" s="263"/>
      <c r="R1081" s="263"/>
      <c r="S1081" s="266"/>
      <c r="T1081" s="266"/>
      <c r="U1081" s="266"/>
      <c r="V1081" s="267"/>
    </row>
    <row r="1082" spans="6:22">
      <c r="F1082" s="262"/>
      <c r="G1082" s="263"/>
      <c r="H1082" s="264"/>
      <c r="I1082" s="264"/>
      <c r="J1082" s="264"/>
      <c r="K1082" s="264"/>
      <c r="L1082" s="264"/>
      <c r="M1082" s="264"/>
      <c r="N1082" s="263"/>
      <c r="O1082" s="265"/>
      <c r="P1082" s="264"/>
      <c r="Q1082" s="263"/>
      <c r="R1082" s="263"/>
      <c r="S1082" s="266"/>
      <c r="T1082" s="266"/>
      <c r="U1082" s="266"/>
      <c r="V1082" s="267"/>
    </row>
    <row r="1083" spans="6:22">
      <c r="F1083" s="262"/>
      <c r="G1083" s="263"/>
      <c r="H1083" s="264"/>
      <c r="I1083" s="264"/>
      <c r="J1083" s="264"/>
      <c r="K1083" s="264"/>
      <c r="L1083" s="264"/>
      <c r="M1083" s="264"/>
      <c r="N1083" s="263"/>
      <c r="O1083" s="265"/>
      <c r="P1083" s="264"/>
      <c r="Q1083" s="263"/>
      <c r="R1083" s="263"/>
      <c r="S1083" s="266"/>
      <c r="T1083" s="266"/>
      <c r="U1083" s="266"/>
      <c r="V1083" s="267"/>
    </row>
    <row r="1084" spans="6:22">
      <c r="F1084" s="262"/>
      <c r="G1084" s="263"/>
      <c r="H1084" s="264"/>
      <c r="I1084" s="264"/>
      <c r="J1084" s="264"/>
      <c r="K1084" s="264"/>
      <c r="L1084" s="264"/>
      <c r="M1084" s="264"/>
      <c r="N1084" s="263"/>
      <c r="O1084" s="265"/>
      <c r="P1084" s="264"/>
      <c r="Q1084" s="263"/>
      <c r="R1084" s="263"/>
      <c r="S1084" s="266"/>
      <c r="T1084" s="266"/>
      <c r="U1084" s="266"/>
      <c r="V1084" s="267"/>
    </row>
    <row r="1085" spans="6:22">
      <c r="F1085" s="262"/>
      <c r="G1085" s="263"/>
      <c r="H1085" s="264"/>
      <c r="I1085" s="264"/>
      <c r="J1085" s="264"/>
      <c r="K1085" s="264"/>
      <c r="L1085" s="264"/>
      <c r="M1085" s="264"/>
      <c r="N1085" s="263"/>
      <c r="O1085" s="265"/>
      <c r="P1085" s="264"/>
      <c r="Q1085" s="263"/>
      <c r="R1085" s="263"/>
      <c r="S1085" s="266"/>
      <c r="T1085" s="266"/>
      <c r="U1085" s="266"/>
      <c r="V1085" s="267"/>
    </row>
    <row r="1086" spans="6:22">
      <c r="F1086" s="262"/>
      <c r="G1086" s="263"/>
      <c r="H1086" s="264"/>
      <c r="I1086" s="264"/>
      <c r="J1086" s="264"/>
      <c r="K1086" s="264"/>
      <c r="L1086" s="264"/>
      <c r="M1086" s="264"/>
      <c r="N1086" s="263"/>
      <c r="O1086" s="265"/>
      <c r="P1086" s="264"/>
      <c r="Q1086" s="263"/>
      <c r="R1086" s="263"/>
      <c r="S1086" s="266"/>
      <c r="T1086" s="266"/>
      <c r="U1086" s="266"/>
      <c r="V1086" s="267"/>
    </row>
    <row r="1087" spans="6:22">
      <c r="F1087" s="262"/>
      <c r="G1087" s="263"/>
      <c r="H1087" s="264"/>
      <c r="I1087" s="264"/>
      <c r="J1087" s="264"/>
      <c r="K1087" s="264"/>
      <c r="L1087" s="264"/>
      <c r="M1087" s="264"/>
      <c r="N1087" s="263"/>
      <c r="O1087" s="265"/>
      <c r="P1087" s="264"/>
      <c r="Q1087" s="263"/>
      <c r="R1087" s="263"/>
      <c r="S1087" s="266"/>
      <c r="T1087" s="266"/>
      <c r="U1087" s="266"/>
      <c r="V1087" s="267"/>
    </row>
    <row r="1088" spans="6:22">
      <c r="F1088" s="262"/>
      <c r="G1088" s="263"/>
      <c r="H1088" s="264"/>
      <c r="I1088" s="264"/>
      <c r="J1088" s="264"/>
      <c r="K1088" s="264"/>
      <c r="L1088" s="264"/>
      <c r="M1088" s="264"/>
      <c r="N1088" s="263"/>
      <c r="O1088" s="265"/>
      <c r="P1088" s="264"/>
      <c r="Q1088" s="263"/>
      <c r="R1088" s="263"/>
      <c r="S1088" s="266"/>
      <c r="T1088" s="266"/>
      <c r="U1088" s="266"/>
      <c r="V1088" s="267"/>
    </row>
    <row r="1089" spans="6:22">
      <c r="F1089" s="262"/>
      <c r="G1089" s="263"/>
      <c r="H1089" s="264"/>
      <c r="I1089" s="264"/>
      <c r="J1089" s="264"/>
      <c r="K1089" s="264"/>
      <c r="L1089" s="264"/>
      <c r="M1089" s="264"/>
      <c r="N1089" s="263"/>
      <c r="O1089" s="265"/>
      <c r="P1089" s="264"/>
      <c r="Q1089" s="263"/>
      <c r="R1089" s="263"/>
      <c r="S1089" s="266"/>
      <c r="T1089" s="266"/>
      <c r="U1089" s="266"/>
      <c r="V1089" s="267"/>
    </row>
    <row r="1090" spans="6:22">
      <c r="F1090" s="262"/>
      <c r="G1090" s="263"/>
      <c r="H1090" s="264"/>
      <c r="I1090" s="264"/>
      <c r="J1090" s="264"/>
      <c r="K1090" s="264"/>
      <c r="L1090" s="264"/>
      <c r="M1090" s="264"/>
      <c r="N1090" s="263"/>
      <c r="O1090" s="265"/>
      <c r="P1090" s="264"/>
      <c r="Q1090" s="263"/>
      <c r="R1090" s="263"/>
      <c r="S1090" s="266"/>
      <c r="T1090" s="266"/>
      <c r="U1090" s="266"/>
      <c r="V1090" s="267"/>
    </row>
    <row r="1091" spans="6:22">
      <c r="F1091" s="262"/>
      <c r="G1091" s="263"/>
      <c r="H1091" s="264"/>
      <c r="I1091" s="264"/>
      <c r="J1091" s="264"/>
      <c r="K1091" s="264"/>
      <c r="L1091" s="264"/>
      <c r="M1091" s="264"/>
      <c r="N1091" s="263"/>
      <c r="O1091" s="265"/>
      <c r="P1091" s="264"/>
      <c r="Q1091" s="263"/>
      <c r="R1091" s="263"/>
      <c r="S1091" s="266"/>
      <c r="T1091" s="266"/>
      <c r="U1091" s="266"/>
      <c r="V1091" s="267"/>
    </row>
    <row r="1092" spans="6:22">
      <c r="F1092" s="262"/>
      <c r="G1092" s="263"/>
      <c r="H1092" s="264"/>
      <c r="I1092" s="264"/>
      <c r="J1092" s="264"/>
      <c r="K1092" s="264"/>
      <c r="L1092" s="264"/>
      <c r="M1092" s="264"/>
      <c r="N1092" s="263"/>
      <c r="O1092" s="265"/>
      <c r="P1092" s="264"/>
      <c r="Q1092" s="263"/>
      <c r="R1092" s="263"/>
      <c r="S1092" s="266"/>
      <c r="T1092" s="266"/>
      <c r="U1092" s="266"/>
      <c r="V1092" s="267"/>
    </row>
    <row r="1093" spans="6:22">
      <c r="F1093" s="262"/>
      <c r="G1093" s="263"/>
      <c r="H1093" s="264"/>
      <c r="I1093" s="264"/>
      <c r="J1093" s="264"/>
      <c r="K1093" s="264"/>
      <c r="L1093" s="264"/>
      <c r="M1093" s="264"/>
      <c r="N1093" s="263"/>
      <c r="O1093" s="265"/>
      <c r="P1093" s="264"/>
      <c r="Q1093" s="263"/>
      <c r="R1093" s="263"/>
      <c r="S1093" s="266"/>
      <c r="T1093" s="266"/>
      <c r="U1093" s="266"/>
      <c r="V1093" s="267"/>
    </row>
    <row r="1094" spans="6:22">
      <c r="F1094" s="262"/>
      <c r="G1094" s="263"/>
      <c r="H1094" s="264"/>
      <c r="I1094" s="264"/>
      <c r="J1094" s="264"/>
      <c r="K1094" s="264"/>
      <c r="L1094" s="264"/>
      <c r="M1094" s="264"/>
      <c r="N1094" s="263"/>
      <c r="O1094" s="265"/>
      <c r="P1094" s="264"/>
      <c r="Q1094" s="263"/>
      <c r="R1094" s="263"/>
      <c r="S1094" s="266"/>
      <c r="T1094" s="266"/>
      <c r="U1094" s="266"/>
      <c r="V1094" s="267"/>
    </row>
    <row r="1095" spans="6:22">
      <c r="F1095" s="262"/>
      <c r="G1095" s="263"/>
      <c r="H1095" s="264"/>
      <c r="I1095" s="264"/>
      <c r="J1095" s="264"/>
      <c r="K1095" s="264"/>
      <c r="L1095" s="264"/>
      <c r="M1095" s="264"/>
      <c r="N1095" s="263"/>
      <c r="O1095" s="265"/>
      <c r="P1095" s="264"/>
      <c r="Q1095" s="263"/>
      <c r="R1095" s="263"/>
      <c r="S1095" s="266"/>
      <c r="T1095" s="266"/>
      <c r="U1095" s="266"/>
      <c r="V1095" s="267"/>
    </row>
    <row r="1096" spans="6:22">
      <c r="F1096" s="262"/>
      <c r="G1096" s="263"/>
      <c r="H1096" s="264"/>
      <c r="I1096" s="264"/>
      <c r="J1096" s="264"/>
      <c r="K1096" s="264"/>
      <c r="L1096" s="264"/>
      <c r="M1096" s="264"/>
      <c r="N1096" s="263"/>
      <c r="O1096" s="265"/>
      <c r="P1096" s="264"/>
      <c r="Q1096" s="263"/>
      <c r="R1096" s="263"/>
      <c r="S1096" s="266"/>
      <c r="T1096" s="266"/>
      <c r="U1096" s="266"/>
      <c r="V1096" s="267"/>
    </row>
    <row r="1097" spans="6:22">
      <c r="F1097" s="262"/>
      <c r="G1097" s="263"/>
      <c r="H1097" s="264"/>
      <c r="I1097" s="264"/>
      <c r="J1097" s="264"/>
      <c r="K1097" s="264"/>
      <c r="L1097" s="264"/>
      <c r="M1097" s="264"/>
      <c r="N1097" s="263"/>
      <c r="O1097" s="265"/>
      <c r="P1097" s="264"/>
      <c r="Q1097" s="263"/>
      <c r="R1097" s="263"/>
      <c r="S1097" s="266"/>
      <c r="T1097" s="266"/>
      <c r="U1097" s="266"/>
      <c r="V1097" s="267"/>
    </row>
    <row r="1098" spans="6:22">
      <c r="F1098" s="262"/>
      <c r="G1098" s="263"/>
      <c r="H1098" s="264"/>
      <c r="I1098" s="264"/>
      <c r="J1098" s="264"/>
      <c r="K1098" s="264"/>
      <c r="L1098" s="264"/>
      <c r="M1098" s="264"/>
      <c r="N1098" s="263"/>
      <c r="O1098" s="265"/>
      <c r="P1098" s="264"/>
      <c r="Q1098" s="263"/>
      <c r="R1098" s="263"/>
      <c r="S1098" s="266"/>
      <c r="T1098" s="266"/>
      <c r="U1098" s="266"/>
      <c r="V1098" s="267"/>
    </row>
    <row r="1099" spans="6:22">
      <c r="F1099" s="262"/>
      <c r="G1099" s="263"/>
      <c r="H1099" s="264"/>
      <c r="I1099" s="264"/>
      <c r="J1099" s="264"/>
      <c r="K1099" s="264"/>
      <c r="L1099" s="264"/>
      <c r="M1099" s="264"/>
      <c r="N1099" s="263"/>
      <c r="O1099" s="265"/>
      <c r="P1099" s="264"/>
      <c r="Q1099" s="263"/>
      <c r="R1099" s="263"/>
      <c r="S1099" s="266"/>
      <c r="T1099" s="266"/>
      <c r="U1099" s="266"/>
      <c r="V1099" s="267"/>
    </row>
    <row r="1100" spans="6:22">
      <c r="F1100" s="262"/>
      <c r="G1100" s="263"/>
      <c r="H1100" s="264"/>
      <c r="I1100" s="264"/>
      <c r="J1100" s="264"/>
      <c r="K1100" s="264"/>
      <c r="L1100" s="264"/>
      <c r="M1100" s="264"/>
      <c r="N1100" s="263"/>
      <c r="O1100" s="265"/>
      <c r="P1100" s="264"/>
      <c r="Q1100" s="263"/>
      <c r="R1100" s="263"/>
      <c r="S1100" s="266"/>
      <c r="T1100" s="266"/>
      <c r="U1100" s="266"/>
      <c r="V1100" s="267"/>
    </row>
    <row r="1101" spans="6:22">
      <c r="F1101" s="262"/>
      <c r="G1101" s="263"/>
      <c r="H1101" s="264"/>
      <c r="I1101" s="264"/>
      <c r="J1101" s="264"/>
      <c r="K1101" s="264"/>
      <c r="L1101" s="264"/>
      <c r="M1101" s="264"/>
      <c r="N1101" s="263"/>
      <c r="O1101" s="265"/>
      <c r="P1101" s="264"/>
      <c r="Q1101" s="263"/>
      <c r="R1101" s="263"/>
      <c r="S1101" s="266"/>
      <c r="T1101" s="266"/>
      <c r="U1101" s="266"/>
      <c r="V1101" s="267"/>
    </row>
    <row r="1102" spans="6:22">
      <c r="F1102" s="262"/>
      <c r="G1102" s="263"/>
      <c r="H1102" s="264"/>
      <c r="I1102" s="264"/>
      <c r="J1102" s="264"/>
      <c r="K1102" s="264"/>
      <c r="L1102" s="264"/>
      <c r="M1102" s="264"/>
      <c r="N1102" s="263"/>
      <c r="O1102" s="265"/>
      <c r="P1102" s="264"/>
      <c r="Q1102" s="263"/>
      <c r="R1102" s="263"/>
      <c r="S1102" s="266"/>
      <c r="T1102" s="266"/>
      <c r="U1102" s="266"/>
      <c r="V1102" s="267"/>
    </row>
    <row r="1103" spans="6:22">
      <c r="F1103" s="262"/>
      <c r="G1103" s="263"/>
      <c r="H1103" s="264"/>
      <c r="I1103" s="264"/>
      <c r="J1103" s="264"/>
      <c r="K1103" s="264"/>
      <c r="L1103" s="264"/>
      <c r="M1103" s="264"/>
      <c r="N1103" s="263"/>
      <c r="O1103" s="265"/>
      <c r="P1103" s="264"/>
      <c r="Q1103" s="263"/>
      <c r="R1103" s="263"/>
      <c r="S1103" s="266"/>
      <c r="T1103" s="266"/>
      <c r="U1103" s="266"/>
      <c r="V1103" s="267"/>
    </row>
    <row r="1104" spans="6:22">
      <c r="F1104" s="262"/>
      <c r="G1104" s="263"/>
      <c r="H1104" s="264"/>
      <c r="I1104" s="264"/>
      <c r="J1104" s="264"/>
      <c r="K1104" s="264"/>
      <c r="L1104" s="264"/>
      <c r="M1104" s="264"/>
      <c r="N1104" s="263"/>
      <c r="O1104" s="265"/>
      <c r="P1104" s="264"/>
      <c r="Q1104" s="263"/>
      <c r="R1104" s="263"/>
      <c r="S1104" s="266"/>
      <c r="T1104" s="266"/>
      <c r="U1104" s="266"/>
      <c r="V1104" s="267"/>
    </row>
    <row r="1105" spans="6:22">
      <c r="F1105" s="262"/>
      <c r="G1105" s="263"/>
      <c r="H1105" s="264"/>
      <c r="I1105" s="264"/>
      <c r="J1105" s="264"/>
      <c r="K1105" s="264"/>
      <c r="L1105" s="264"/>
      <c r="M1105" s="264"/>
      <c r="N1105" s="263"/>
      <c r="O1105" s="265"/>
      <c r="P1105" s="264"/>
      <c r="Q1105" s="263"/>
      <c r="R1105" s="263"/>
      <c r="S1105" s="266"/>
      <c r="T1105" s="266"/>
      <c r="U1105" s="266"/>
      <c r="V1105" s="267"/>
    </row>
    <row r="1106" spans="6:22">
      <c r="F1106" s="262"/>
      <c r="G1106" s="263"/>
      <c r="H1106" s="264"/>
      <c r="I1106" s="264"/>
      <c r="J1106" s="264"/>
      <c r="K1106" s="264"/>
      <c r="L1106" s="264"/>
      <c r="M1106" s="264"/>
      <c r="N1106" s="263"/>
      <c r="O1106" s="265"/>
      <c r="P1106" s="264"/>
      <c r="Q1106" s="263"/>
      <c r="R1106" s="263"/>
      <c r="S1106" s="266"/>
      <c r="T1106" s="266"/>
      <c r="U1106" s="266"/>
      <c r="V1106" s="267"/>
    </row>
    <row r="1107" spans="6:22">
      <c r="F1107" s="262"/>
      <c r="G1107" s="263"/>
      <c r="H1107" s="264"/>
      <c r="I1107" s="264"/>
      <c r="J1107" s="264"/>
      <c r="K1107" s="264"/>
      <c r="L1107" s="264"/>
      <c r="M1107" s="264"/>
      <c r="N1107" s="263"/>
      <c r="O1107" s="265"/>
      <c r="P1107" s="264"/>
      <c r="Q1107" s="263"/>
      <c r="R1107" s="263"/>
      <c r="S1107" s="266"/>
      <c r="T1107" s="266"/>
      <c r="U1107" s="266"/>
      <c r="V1107" s="267"/>
    </row>
    <row r="1108" spans="6:22">
      <c r="F1108" s="262"/>
      <c r="G1108" s="263"/>
      <c r="H1108" s="264"/>
      <c r="I1108" s="264"/>
      <c r="J1108" s="264"/>
      <c r="K1108" s="264"/>
      <c r="L1108" s="264"/>
      <c r="M1108" s="264"/>
      <c r="N1108" s="263"/>
      <c r="O1108" s="265"/>
      <c r="P1108" s="264"/>
      <c r="Q1108" s="263"/>
      <c r="R1108" s="263"/>
      <c r="S1108" s="266"/>
      <c r="T1108" s="266"/>
      <c r="U1108" s="266"/>
      <c r="V1108" s="267"/>
    </row>
    <row r="1109" spans="6:22">
      <c r="F1109" s="262"/>
      <c r="G1109" s="263"/>
      <c r="H1109" s="264"/>
      <c r="I1109" s="264"/>
      <c r="J1109" s="264"/>
      <c r="K1109" s="264"/>
      <c r="L1109" s="264"/>
      <c r="M1109" s="264"/>
      <c r="N1109" s="263"/>
      <c r="O1109" s="265"/>
      <c r="P1109" s="264"/>
      <c r="Q1109" s="263"/>
      <c r="R1109" s="263"/>
      <c r="S1109" s="266"/>
      <c r="T1109" s="266"/>
      <c r="U1109" s="266"/>
      <c r="V1109" s="267"/>
    </row>
    <row r="1110" spans="6:22">
      <c r="F1110" s="262"/>
      <c r="G1110" s="263"/>
      <c r="H1110" s="264"/>
      <c r="I1110" s="264"/>
      <c r="J1110" s="264"/>
      <c r="K1110" s="264"/>
      <c r="L1110" s="264"/>
      <c r="M1110" s="264"/>
      <c r="N1110" s="263"/>
      <c r="O1110" s="265"/>
      <c r="P1110" s="264"/>
      <c r="Q1110" s="263"/>
      <c r="R1110" s="263"/>
      <c r="S1110" s="266"/>
      <c r="T1110" s="266"/>
      <c r="U1110" s="266"/>
      <c r="V1110" s="267"/>
    </row>
    <row r="1111" spans="6:22">
      <c r="F1111" s="262"/>
      <c r="G1111" s="263"/>
      <c r="H1111" s="264"/>
      <c r="I1111" s="264"/>
      <c r="J1111" s="264"/>
      <c r="K1111" s="264"/>
      <c r="L1111" s="264"/>
      <c r="M1111" s="264"/>
      <c r="N1111" s="263"/>
      <c r="O1111" s="265"/>
      <c r="P1111" s="264"/>
      <c r="Q1111" s="263"/>
      <c r="R1111" s="263"/>
      <c r="S1111" s="266"/>
      <c r="T1111" s="266"/>
      <c r="U1111" s="266"/>
      <c r="V1111" s="267"/>
    </row>
    <row r="1112" spans="6:22">
      <c r="F1112" s="262"/>
      <c r="G1112" s="263"/>
      <c r="H1112" s="264"/>
      <c r="I1112" s="264"/>
      <c r="J1112" s="264"/>
      <c r="K1112" s="264"/>
      <c r="L1112" s="264"/>
      <c r="M1112" s="264"/>
      <c r="N1112" s="263"/>
      <c r="O1112" s="265"/>
      <c r="P1112" s="264"/>
      <c r="Q1112" s="263"/>
      <c r="R1112" s="263"/>
      <c r="S1112" s="266"/>
      <c r="T1112" s="266"/>
      <c r="U1112" s="266"/>
      <c r="V1112" s="267"/>
    </row>
    <row r="1113" spans="6:22">
      <c r="F1113" s="262"/>
      <c r="G1113" s="263"/>
      <c r="H1113" s="264"/>
      <c r="I1113" s="264"/>
      <c r="J1113" s="264"/>
      <c r="K1113" s="264"/>
      <c r="L1113" s="264"/>
      <c r="M1113" s="264"/>
      <c r="N1113" s="263"/>
      <c r="O1113" s="265"/>
      <c r="P1113" s="264"/>
      <c r="Q1113" s="263"/>
      <c r="R1113" s="263"/>
      <c r="S1113" s="266"/>
      <c r="T1113" s="266"/>
      <c r="U1113" s="266"/>
      <c r="V1113" s="267"/>
    </row>
    <row r="1114" spans="6:22">
      <c r="F1114" s="262"/>
      <c r="G1114" s="263"/>
      <c r="H1114" s="264"/>
      <c r="I1114" s="264"/>
      <c r="J1114" s="264"/>
      <c r="K1114" s="264"/>
      <c r="L1114" s="264"/>
      <c r="M1114" s="264"/>
      <c r="N1114" s="263"/>
      <c r="O1114" s="265"/>
      <c r="P1114" s="264"/>
      <c r="Q1114" s="263"/>
      <c r="R1114" s="263"/>
      <c r="S1114" s="266"/>
      <c r="T1114" s="266"/>
      <c r="U1114" s="266"/>
      <c r="V1114" s="267"/>
    </row>
    <row r="1115" spans="6:22">
      <c r="F1115" s="262"/>
      <c r="G1115" s="263"/>
      <c r="H1115" s="264"/>
      <c r="I1115" s="264"/>
      <c r="J1115" s="264"/>
      <c r="K1115" s="264"/>
      <c r="L1115" s="264"/>
      <c r="M1115" s="264"/>
      <c r="N1115" s="263"/>
      <c r="O1115" s="265"/>
      <c r="P1115" s="264"/>
      <c r="Q1115" s="263"/>
      <c r="R1115" s="263"/>
      <c r="S1115" s="266"/>
      <c r="T1115" s="266"/>
      <c r="U1115" s="266"/>
      <c r="V1115" s="267"/>
    </row>
    <row r="1116" spans="6:22">
      <c r="F1116" s="262"/>
      <c r="G1116" s="263"/>
      <c r="H1116" s="264"/>
      <c r="I1116" s="264"/>
      <c r="J1116" s="264"/>
      <c r="K1116" s="264"/>
      <c r="L1116" s="264"/>
      <c r="M1116" s="264"/>
      <c r="N1116" s="263"/>
      <c r="O1116" s="265"/>
      <c r="P1116" s="264"/>
      <c r="Q1116" s="263"/>
      <c r="R1116" s="263"/>
      <c r="S1116" s="266"/>
      <c r="T1116" s="266"/>
      <c r="U1116" s="266"/>
      <c r="V1116" s="267"/>
    </row>
    <row r="1117" spans="6:22">
      <c r="F1117" s="262"/>
      <c r="G1117" s="263"/>
      <c r="H1117" s="264"/>
      <c r="I1117" s="264"/>
      <c r="J1117" s="264"/>
      <c r="K1117" s="264"/>
      <c r="L1117" s="264"/>
      <c r="M1117" s="264"/>
      <c r="N1117" s="263"/>
      <c r="O1117" s="265"/>
      <c r="P1117" s="264"/>
      <c r="Q1117" s="263"/>
      <c r="R1117" s="263"/>
      <c r="S1117" s="266"/>
      <c r="T1117" s="266"/>
      <c r="U1117" s="266"/>
      <c r="V1117" s="267"/>
    </row>
    <row r="1118" spans="6:22">
      <c r="F1118" s="262"/>
      <c r="G1118" s="263"/>
      <c r="H1118" s="264"/>
      <c r="I1118" s="264"/>
      <c r="J1118" s="264"/>
      <c r="K1118" s="264"/>
      <c r="L1118" s="264"/>
      <c r="M1118" s="264"/>
      <c r="N1118" s="263"/>
      <c r="O1118" s="265"/>
      <c r="P1118" s="264"/>
      <c r="Q1118" s="263"/>
      <c r="R1118" s="263"/>
      <c r="S1118" s="266"/>
      <c r="T1118" s="266"/>
      <c r="U1118" s="266"/>
      <c r="V1118" s="267"/>
    </row>
    <row r="1119" spans="6:22">
      <c r="F1119" s="262"/>
      <c r="G1119" s="263"/>
      <c r="H1119" s="264"/>
      <c r="I1119" s="264"/>
      <c r="J1119" s="264"/>
      <c r="K1119" s="264"/>
      <c r="L1119" s="264"/>
      <c r="M1119" s="264"/>
      <c r="N1119" s="263"/>
      <c r="O1119" s="265"/>
      <c r="P1119" s="264"/>
      <c r="Q1119" s="263"/>
      <c r="R1119" s="263"/>
      <c r="S1119" s="266"/>
      <c r="T1119" s="266"/>
      <c r="U1119" s="266"/>
      <c r="V1119" s="267"/>
    </row>
    <row r="1120" spans="6:22">
      <c r="F1120" s="262"/>
      <c r="G1120" s="263"/>
      <c r="H1120" s="264"/>
      <c r="I1120" s="264"/>
      <c r="J1120" s="264"/>
      <c r="K1120" s="264"/>
      <c r="L1120" s="264"/>
      <c r="M1120" s="264"/>
      <c r="N1120" s="263"/>
      <c r="O1120" s="265"/>
      <c r="P1120" s="264"/>
      <c r="Q1120" s="263"/>
      <c r="R1120" s="263"/>
      <c r="S1120" s="266"/>
      <c r="T1120" s="266"/>
      <c r="U1120" s="266"/>
      <c r="V1120" s="267"/>
    </row>
    <row r="1121" spans="6:22">
      <c r="F1121" s="262"/>
      <c r="G1121" s="263"/>
      <c r="H1121" s="264"/>
      <c r="I1121" s="264"/>
      <c r="J1121" s="264"/>
      <c r="K1121" s="264"/>
      <c r="L1121" s="264"/>
      <c r="M1121" s="264"/>
      <c r="N1121" s="263"/>
      <c r="O1121" s="265"/>
      <c r="P1121" s="264"/>
      <c r="Q1121" s="263"/>
      <c r="R1121" s="263"/>
      <c r="S1121" s="266"/>
      <c r="T1121" s="266"/>
      <c r="U1121" s="266"/>
      <c r="V1121" s="267"/>
    </row>
    <row r="1122" spans="6:22">
      <c r="F1122" s="262"/>
      <c r="G1122" s="263"/>
      <c r="H1122" s="264"/>
      <c r="I1122" s="264"/>
      <c r="J1122" s="264"/>
      <c r="K1122" s="264"/>
      <c r="L1122" s="264"/>
      <c r="M1122" s="264"/>
      <c r="N1122" s="263"/>
      <c r="O1122" s="265"/>
      <c r="P1122" s="264"/>
      <c r="Q1122" s="263"/>
      <c r="R1122" s="263"/>
      <c r="S1122" s="266"/>
      <c r="T1122" s="266"/>
      <c r="U1122" s="266"/>
      <c r="V1122" s="267"/>
    </row>
    <row r="1123" spans="6:22">
      <c r="F1123" s="262"/>
      <c r="G1123" s="263"/>
      <c r="H1123" s="264"/>
      <c r="I1123" s="264"/>
      <c r="J1123" s="264"/>
      <c r="K1123" s="264"/>
      <c r="L1123" s="264"/>
      <c r="M1123" s="264"/>
      <c r="N1123" s="263"/>
      <c r="O1123" s="265"/>
      <c r="P1123" s="264"/>
      <c r="Q1123" s="263"/>
      <c r="R1123" s="263"/>
      <c r="S1123" s="266"/>
      <c r="T1123" s="266"/>
      <c r="U1123" s="266"/>
      <c r="V1123" s="267"/>
    </row>
    <row r="1124" spans="6:22">
      <c r="F1124" s="262"/>
      <c r="G1124" s="263"/>
      <c r="H1124" s="264"/>
      <c r="I1124" s="264"/>
      <c r="J1124" s="264"/>
      <c r="K1124" s="264"/>
      <c r="L1124" s="264"/>
      <c r="M1124" s="264"/>
      <c r="N1124" s="263"/>
      <c r="O1124" s="265"/>
      <c r="P1124" s="264"/>
      <c r="Q1124" s="263"/>
      <c r="R1124" s="263"/>
      <c r="S1124" s="266"/>
      <c r="T1124" s="266"/>
      <c r="U1124" s="266"/>
      <c r="V1124" s="267"/>
    </row>
    <row r="1125" spans="6:22">
      <c r="F1125" s="262"/>
      <c r="G1125" s="263"/>
      <c r="H1125" s="264"/>
      <c r="I1125" s="264"/>
      <c r="J1125" s="264"/>
      <c r="K1125" s="264"/>
      <c r="L1125" s="264"/>
      <c r="M1125" s="264"/>
      <c r="N1125" s="263"/>
      <c r="O1125" s="265"/>
      <c r="P1125" s="264"/>
      <c r="Q1125" s="263"/>
      <c r="R1125" s="263"/>
      <c r="S1125" s="266"/>
      <c r="T1125" s="266"/>
      <c r="U1125" s="266"/>
      <c r="V1125" s="267"/>
    </row>
    <row r="1126" spans="6:22">
      <c r="F1126" s="262"/>
      <c r="G1126" s="263"/>
      <c r="H1126" s="264"/>
      <c r="I1126" s="264"/>
      <c r="J1126" s="264"/>
      <c r="K1126" s="264"/>
      <c r="L1126" s="264"/>
      <c r="M1126" s="264"/>
      <c r="N1126" s="263"/>
      <c r="O1126" s="265"/>
      <c r="P1126" s="264"/>
      <c r="Q1126" s="263"/>
      <c r="R1126" s="263"/>
      <c r="S1126" s="266"/>
      <c r="T1126" s="266"/>
      <c r="U1126" s="266"/>
      <c r="V1126" s="267"/>
    </row>
    <row r="1127" spans="6:22">
      <c r="F1127" s="262"/>
      <c r="G1127" s="263"/>
      <c r="H1127" s="264"/>
      <c r="I1127" s="264"/>
      <c r="J1127" s="264"/>
      <c r="K1127" s="264"/>
      <c r="L1127" s="264"/>
      <c r="M1127" s="264"/>
      <c r="N1127" s="263"/>
      <c r="O1127" s="265"/>
      <c r="P1127" s="264"/>
      <c r="Q1127" s="263"/>
      <c r="R1127" s="263"/>
      <c r="S1127" s="266"/>
      <c r="T1127" s="266"/>
      <c r="U1127" s="266"/>
      <c r="V1127" s="267"/>
    </row>
    <row r="1128" spans="6:22">
      <c r="F1128" s="262"/>
      <c r="G1128" s="263"/>
      <c r="H1128" s="264"/>
      <c r="I1128" s="264"/>
      <c r="J1128" s="264"/>
      <c r="K1128" s="264"/>
      <c r="L1128" s="264"/>
      <c r="M1128" s="264"/>
      <c r="N1128" s="263"/>
      <c r="O1128" s="265"/>
      <c r="P1128" s="264"/>
      <c r="Q1128" s="263"/>
      <c r="R1128" s="263"/>
      <c r="S1128" s="266"/>
      <c r="T1128" s="266"/>
      <c r="U1128" s="266"/>
      <c r="V1128" s="267"/>
    </row>
    <row r="1129" spans="6:22">
      <c r="F1129" s="262"/>
      <c r="G1129" s="263"/>
      <c r="H1129" s="264"/>
      <c r="I1129" s="264"/>
      <c r="J1129" s="264"/>
      <c r="K1129" s="264"/>
      <c r="L1129" s="264"/>
      <c r="M1129" s="264"/>
      <c r="N1129" s="263"/>
      <c r="O1129" s="265"/>
      <c r="P1129" s="264"/>
      <c r="Q1129" s="263"/>
      <c r="R1129" s="263"/>
      <c r="S1129" s="266"/>
      <c r="T1129" s="266"/>
      <c r="U1129" s="266"/>
      <c r="V1129" s="267"/>
    </row>
    <row r="1130" spans="6:22">
      <c r="F1130" s="262"/>
      <c r="G1130" s="263"/>
      <c r="H1130" s="264"/>
      <c r="I1130" s="264"/>
      <c r="J1130" s="264"/>
      <c r="K1130" s="264"/>
      <c r="L1130" s="264"/>
      <c r="M1130" s="264"/>
      <c r="N1130" s="263"/>
      <c r="O1130" s="265"/>
      <c r="P1130" s="264"/>
      <c r="Q1130" s="263"/>
      <c r="R1130" s="263"/>
      <c r="S1130" s="266"/>
      <c r="T1130" s="266"/>
      <c r="U1130" s="266"/>
      <c r="V1130" s="267"/>
    </row>
    <row r="1131" spans="6:22">
      <c r="F1131" s="262"/>
      <c r="G1131" s="263"/>
      <c r="H1131" s="264"/>
      <c r="I1131" s="264"/>
      <c r="J1131" s="264"/>
      <c r="K1131" s="264"/>
      <c r="L1131" s="264"/>
      <c r="M1131" s="264"/>
      <c r="N1131" s="263"/>
      <c r="O1131" s="265"/>
      <c r="P1131" s="264"/>
      <c r="Q1131" s="263"/>
      <c r="R1131" s="263"/>
      <c r="S1131" s="266"/>
      <c r="T1131" s="266"/>
      <c r="U1131" s="266"/>
      <c r="V1131" s="267"/>
    </row>
    <row r="1132" spans="6:22">
      <c r="F1132" s="262"/>
      <c r="G1132" s="263"/>
      <c r="H1132" s="264"/>
      <c r="I1132" s="264"/>
      <c r="J1132" s="264"/>
      <c r="K1132" s="264"/>
      <c r="L1132" s="264"/>
      <c r="M1132" s="264"/>
      <c r="N1132" s="263"/>
      <c r="O1132" s="265"/>
      <c r="P1132" s="264"/>
      <c r="Q1132" s="263"/>
      <c r="R1132" s="263"/>
      <c r="S1132" s="266"/>
      <c r="T1132" s="266"/>
      <c r="U1132" s="266"/>
      <c r="V1132" s="267"/>
    </row>
    <row r="1133" spans="6:22">
      <c r="F1133" s="262"/>
      <c r="G1133" s="263"/>
      <c r="H1133" s="264"/>
      <c r="I1133" s="264"/>
      <c r="J1133" s="264"/>
      <c r="K1133" s="264"/>
      <c r="L1133" s="264"/>
      <c r="M1133" s="264"/>
      <c r="N1133" s="263"/>
      <c r="O1133" s="265"/>
      <c r="P1133" s="264"/>
      <c r="Q1133" s="263"/>
      <c r="R1133" s="263"/>
      <c r="S1133" s="266"/>
      <c r="T1133" s="266"/>
      <c r="U1133" s="266"/>
      <c r="V1133" s="267"/>
    </row>
    <row r="1134" spans="6:22">
      <c r="F1134" s="262"/>
      <c r="G1134" s="263"/>
      <c r="H1134" s="264"/>
      <c r="I1134" s="264"/>
      <c r="J1134" s="264"/>
      <c r="K1134" s="264"/>
      <c r="L1134" s="264"/>
      <c r="M1134" s="264"/>
      <c r="N1134" s="263"/>
      <c r="O1134" s="265"/>
      <c r="P1134" s="264"/>
      <c r="Q1134" s="263"/>
      <c r="R1134" s="263"/>
      <c r="S1134" s="266"/>
      <c r="T1134" s="266"/>
      <c r="U1134" s="266"/>
      <c r="V1134" s="267"/>
    </row>
    <row r="1135" spans="6:22">
      <c r="F1135" s="262"/>
      <c r="G1135" s="263"/>
      <c r="H1135" s="264"/>
      <c r="I1135" s="264"/>
      <c r="J1135" s="264"/>
      <c r="K1135" s="264"/>
      <c r="L1135" s="264"/>
      <c r="M1135" s="264"/>
      <c r="N1135" s="263"/>
      <c r="O1135" s="265"/>
      <c r="P1135" s="264"/>
      <c r="Q1135" s="263"/>
      <c r="R1135" s="263"/>
      <c r="S1135" s="266"/>
      <c r="T1135" s="266"/>
      <c r="U1135" s="266"/>
      <c r="V1135" s="267"/>
    </row>
    <row r="1136" spans="6:22">
      <c r="F1136" s="262"/>
      <c r="G1136" s="263"/>
      <c r="H1136" s="264"/>
      <c r="I1136" s="264"/>
      <c r="J1136" s="264"/>
      <c r="K1136" s="264"/>
      <c r="L1136" s="264"/>
      <c r="M1136" s="264"/>
      <c r="N1136" s="263"/>
      <c r="O1136" s="265"/>
      <c r="P1136" s="264"/>
      <c r="Q1136" s="263"/>
      <c r="R1136" s="263"/>
      <c r="S1136" s="266"/>
      <c r="T1136" s="266"/>
      <c r="U1136" s="266"/>
      <c r="V1136" s="267"/>
    </row>
    <row r="1137" spans="6:22">
      <c r="F1137" s="262"/>
      <c r="G1137" s="263"/>
      <c r="H1137" s="264"/>
      <c r="I1137" s="264"/>
      <c r="J1137" s="264"/>
      <c r="K1137" s="264"/>
      <c r="L1137" s="264"/>
      <c r="M1137" s="264"/>
      <c r="N1137" s="263"/>
      <c r="O1137" s="265"/>
      <c r="P1137" s="264"/>
      <c r="Q1137" s="263"/>
      <c r="R1137" s="263"/>
      <c r="S1137" s="266"/>
      <c r="T1137" s="266"/>
      <c r="U1137" s="266"/>
      <c r="V1137" s="267"/>
    </row>
    <row r="1138" spans="6:22">
      <c r="F1138" s="262"/>
      <c r="G1138" s="263"/>
      <c r="H1138" s="264"/>
      <c r="I1138" s="264"/>
      <c r="J1138" s="264"/>
      <c r="K1138" s="264"/>
      <c r="L1138" s="264"/>
      <c r="M1138" s="264"/>
      <c r="N1138" s="263"/>
      <c r="O1138" s="265"/>
      <c r="P1138" s="264"/>
      <c r="Q1138" s="263"/>
      <c r="R1138" s="263"/>
      <c r="S1138" s="266"/>
      <c r="T1138" s="266"/>
      <c r="U1138" s="266"/>
      <c r="V1138" s="267"/>
    </row>
    <row r="1139" spans="6:22">
      <c r="F1139" s="262"/>
      <c r="G1139" s="263"/>
      <c r="H1139" s="264"/>
      <c r="I1139" s="264"/>
      <c r="J1139" s="264"/>
      <c r="K1139" s="264"/>
      <c r="L1139" s="264"/>
      <c r="M1139" s="264"/>
      <c r="N1139" s="263"/>
      <c r="O1139" s="265"/>
      <c r="P1139" s="264"/>
      <c r="Q1139" s="263"/>
      <c r="R1139" s="263"/>
      <c r="S1139" s="266"/>
      <c r="T1139" s="266"/>
      <c r="U1139" s="266"/>
      <c r="V1139" s="267"/>
    </row>
    <row r="1140" spans="6:22">
      <c r="F1140" s="262"/>
      <c r="G1140" s="263"/>
      <c r="H1140" s="264"/>
      <c r="I1140" s="264"/>
      <c r="J1140" s="264"/>
      <c r="K1140" s="264"/>
      <c r="L1140" s="264"/>
      <c r="M1140" s="264"/>
      <c r="N1140" s="263"/>
      <c r="O1140" s="265"/>
      <c r="P1140" s="264"/>
      <c r="Q1140" s="263"/>
      <c r="R1140" s="263"/>
      <c r="S1140" s="266"/>
      <c r="T1140" s="266"/>
      <c r="U1140" s="266"/>
      <c r="V1140" s="267"/>
    </row>
    <row r="1141" spans="6:22">
      <c r="F1141" s="262"/>
      <c r="G1141" s="263"/>
      <c r="H1141" s="264"/>
      <c r="I1141" s="264"/>
      <c r="J1141" s="264"/>
      <c r="K1141" s="264"/>
      <c r="L1141" s="264"/>
      <c r="M1141" s="264"/>
      <c r="N1141" s="263"/>
      <c r="O1141" s="265"/>
      <c r="P1141" s="264"/>
      <c r="Q1141" s="263"/>
      <c r="R1141" s="263"/>
      <c r="S1141" s="266"/>
      <c r="T1141" s="266"/>
      <c r="U1141" s="266"/>
      <c r="V1141" s="267"/>
    </row>
    <row r="1142" spans="6:22">
      <c r="F1142" s="262"/>
      <c r="G1142" s="263"/>
      <c r="H1142" s="264"/>
      <c r="I1142" s="264"/>
      <c r="J1142" s="264"/>
      <c r="K1142" s="264"/>
      <c r="L1142" s="264"/>
      <c r="M1142" s="264"/>
      <c r="N1142" s="263"/>
      <c r="O1142" s="265"/>
      <c r="P1142" s="264"/>
      <c r="Q1142" s="263"/>
      <c r="R1142" s="263"/>
      <c r="S1142" s="266"/>
      <c r="T1142" s="266"/>
      <c r="U1142" s="266"/>
      <c r="V1142" s="267"/>
    </row>
    <row r="1143" spans="6:22">
      <c r="F1143" s="262"/>
      <c r="G1143" s="263"/>
      <c r="H1143" s="264"/>
      <c r="I1143" s="264"/>
      <c r="J1143" s="264"/>
      <c r="K1143" s="264"/>
      <c r="L1143" s="264"/>
      <c r="M1143" s="264"/>
      <c r="N1143" s="263"/>
      <c r="O1143" s="265"/>
      <c r="P1143" s="264"/>
      <c r="Q1143" s="263"/>
      <c r="R1143" s="263"/>
      <c r="S1143" s="266"/>
      <c r="T1143" s="266"/>
      <c r="U1143" s="266"/>
      <c r="V1143" s="267"/>
    </row>
    <row r="1144" spans="6:22">
      <c r="F1144" s="262"/>
      <c r="G1144" s="263"/>
      <c r="H1144" s="264"/>
      <c r="I1144" s="264"/>
      <c r="J1144" s="264"/>
      <c r="K1144" s="264"/>
      <c r="L1144" s="264"/>
      <c r="M1144" s="264"/>
      <c r="N1144" s="263"/>
      <c r="O1144" s="265"/>
      <c r="P1144" s="264"/>
      <c r="Q1144" s="263"/>
      <c r="R1144" s="263"/>
      <c r="S1144" s="266"/>
      <c r="T1144" s="266"/>
      <c r="U1144" s="266"/>
      <c r="V1144" s="267"/>
    </row>
    <row r="1145" spans="6:22">
      <c r="F1145" s="262"/>
      <c r="G1145" s="263"/>
      <c r="H1145" s="264"/>
      <c r="I1145" s="264"/>
      <c r="J1145" s="264"/>
      <c r="K1145" s="264"/>
      <c r="L1145" s="264"/>
      <c r="M1145" s="264"/>
      <c r="N1145" s="263"/>
      <c r="O1145" s="265"/>
      <c r="P1145" s="264"/>
      <c r="Q1145" s="263"/>
      <c r="R1145" s="263"/>
      <c r="S1145" s="266"/>
      <c r="T1145" s="266"/>
      <c r="U1145" s="266"/>
      <c r="V1145" s="267"/>
    </row>
    <row r="1146" spans="6:22">
      <c r="F1146" s="262"/>
      <c r="G1146" s="263"/>
      <c r="H1146" s="264"/>
      <c r="I1146" s="264"/>
      <c r="J1146" s="264"/>
      <c r="K1146" s="264"/>
      <c r="L1146" s="264"/>
      <c r="M1146" s="264"/>
      <c r="N1146" s="263"/>
      <c r="O1146" s="265"/>
      <c r="P1146" s="264"/>
      <c r="Q1146" s="263"/>
      <c r="R1146" s="263"/>
      <c r="S1146" s="266"/>
      <c r="T1146" s="266"/>
      <c r="U1146" s="266"/>
      <c r="V1146" s="267"/>
    </row>
    <row r="1147" spans="6:22">
      <c r="F1147" s="262"/>
      <c r="G1147" s="263"/>
      <c r="H1147" s="264"/>
      <c r="I1147" s="264"/>
      <c r="J1147" s="264"/>
      <c r="K1147" s="264"/>
      <c r="L1147" s="264"/>
      <c r="M1147" s="264"/>
      <c r="N1147" s="263"/>
      <c r="O1147" s="265"/>
      <c r="P1147" s="264"/>
      <c r="Q1147" s="263"/>
      <c r="R1147" s="263"/>
      <c r="S1147" s="266"/>
      <c r="T1147" s="266"/>
      <c r="U1147" s="266"/>
      <c r="V1147" s="267"/>
    </row>
    <row r="1148" spans="6:22">
      <c r="F1148" s="262"/>
      <c r="G1148" s="263"/>
      <c r="H1148" s="264"/>
      <c r="I1148" s="264"/>
      <c r="J1148" s="264"/>
      <c r="K1148" s="264"/>
      <c r="L1148" s="264"/>
      <c r="M1148" s="264"/>
      <c r="N1148" s="263"/>
      <c r="O1148" s="265"/>
      <c r="P1148" s="264"/>
      <c r="Q1148" s="263"/>
      <c r="R1148" s="263"/>
      <c r="S1148" s="266"/>
      <c r="T1148" s="266"/>
      <c r="U1148" s="266"/>
      <c r="V1148" s="267"/>
    </row>
    <row r="1149" spans="6:22">
      <c r="F1149" s="262"/>
      <c r="G1149" s="263"/>
      <c r="H1149" s="264"/>
      <c r="I1149" s="264"/>
      <c r="J1149" s="264"/>
      <c r="K1149" s="264"/>
      <c r="L1149" s="264"/>
      <c r="M1149" s="264"/>
      <c r="N1149" s="263"/>
      <c r="O1149" s="265"/>
      <c r="P1149" s="264"/>
      <c r="Q1149" s="263"/>
      <c r="R1149" s="263"/>
      <c r="S1149" s="266"/>
      <c r="T1149" s="266"/>
      <c r="U1149" s="266"/>
      <c r="V1149" s="267"/>
    </row>
    <row r="1150" spans="6:22">
      <c r="F1150" s="262"/>
      <c r="G1150" s="263"/>
      <c r="H1150" s="264"/>
      <c r="I1150" s="264"/>
      <c r="J1150" s="264"/>
      <c r="K1150" s="264"/>
      <c r="L1150" s="264"/>
      <c r="M1150" s="264"/>
      <c r="N1150" s="263"/>
      <c r="O1150" s="265"/>
      <c r="P1150" s="264"/>
      <c r="Q1150" s="263"/>
      <c r="R1150" s="263"/>
      <c r="S1150" s="266"/>
      <c r="T1150" s="266"/>
      <c r="U1150" s="266"/>
      <c r="V1150" s="267"/>
    </row>
    <row r="1151" spans="6:22">
      <c r="F1151" s="262"/>
      <c r="G1151" s="263"/>
      <c r="H1151" s="264"/>
      <c r="I1151" s="264"/>
      <c r="J1151" s="264"/>
      <c r="K1151" s="264"/>
      <c r="L1151" s="264"/>
      <c r="M1151" s="264"/>
      <c r="N1151" s="263"/>
      <c r="O1151" s="265"/>
      <c r="P1151" s="264"/>
      <c r="Q1151" s="263"/>
      <c r="R1151" s="263"/>
      <c r="S1151" s="266"/>
      <c r="T1151" s="266"/>
      <c r="U1151" s="266"/>
      <c r="V1151" s="267"/>
    </row>
    <row r="1152" spans="6:22">
      <c r="F1152" s="262"/>
      <c r="G1152" s="263"/>
      <c r="H1152" s="264"/>
      <c r="I1152" s="264"/>
      <c r="J1152" s="264"/>
      <c r="K1152" s="264"/>
      <c r="L1152" s="264"/>
      <c r="M1152" s="264"/>
      <c r="N1152" s="263"/>
      <c r="O1152" s="265"/>
      <c r="P1152" s="264"/>
      <c r="Q1152" s="263"/>
      <c r="R1152" s="263"/>
      <c r="S1152" s="266"/>
      <c r="T1152" s="266"/>
      <c r="U1152" s="266"/>
      <c r="V1152" s="267"/>
    </row>
    <row r="1153" spans="6:22">
      <c r="F1153" s="262"/>
      <c r="G1153" s="263"/>
      <c r="H1153" s="264"/>
      <c r="I1153" s="264"/>
      <c r="J1153" s="264"/>
      <c r="K1153" s="264"/>
      <c r="L1153" s="264"/>
      <c r="M1153" s="264"/>
      <c r="N1153" s="263"/>
      <c r="O1153" s="265"/>
      <c r="P1153" s="264"/>
      <c r="Q1153" s="263"/>
      <c r="R1153" s="263"/>
      <c r="S1153" s="266"/>
      <c r="T1153" s="266"/>
      <c r="U1153" s="266"/>
      <c r="V1153" s="267"/>
    </row>
    <row r="1154" spans="6:22">
      <c r="F1154" s="262"/>
      <c r="G1154" s="263"/>
      <c r="H1154" s="264"/>
      <c r="I1154" s="264"/>
      <c r="J1154" s="264"/>
      <c r="K1154" s="264"/>
      <c r="L1154" s="264"/>
      <c r="M1154" s="264"/>
      <c r="N1154" s="263"/>
      <c r="O1154" s="265"/>
      <c r="P1154" s="264"/>
      <c r="Q1154" s="263"/>
      <c r="R1154" s="263"/>
      <c r="S1154" s="266"/>
      <c r="T1154" s="266"/>
      <c r="U1154" s="266"/>
      <c r="V1154" s="267"/>
    </row>
    <row r="1155" spans="6:22">
      <c r="F1155" s="262"/>
      <c r="G1155" s="263"/>
      <c r="H1155" s="264"/>
      <c r="I1155" s="264"/>
      <c r="J1155" s="264"/>
      <c r="K1155" s="264"/>
      <c r="L1155" s="264"/>
      <c r="M1155" s="264"/>
      <c r="N1155" s="263"/>
      <c r="O1155" s="265"/>
      <c r="P1155" s="264"/>
      <c r="Q1155" s="263"/>
      <c r="R1155" s="263"/>
      <c r="S1155" s="266"/>
      <c r="T1155" s="266"/>
      <c r="U1155" s="266"/>
      <c r="V1155" s="267"/>
    </row>
    <row r="1156" spans="6:22">
      <c r="F1156" s="262"/>
      <c r="G1156" s="263"/>
      <c r="H1156" s="264"/>
      <c r="I1156" s="264"/>
      <c r="J1156" s="264"/>
      <c r="K1156" s="264"/>
      <c r="L1156" s="264"/>
      <c r="M1156" s="264"/>
      <c r="N1156" s="263"/>
      <c r="O1156" s="265"/>
      <c r="P1156" s="264"/>
      <c r="Q1156" s="263"/>
      <c r="R1156" s="263"/>
      <c r="S1156" s="266"/>
      <c r="T1156" s="266"/>
      <c r="U1156" s="266"/>
      <c r="V1156" s="267"/>
    </row>
    <row r="1157" spans="6:22">
      <c r="F1157" s="262"/>
      <c r="G1157" s="263"/>
      <c r="H1157" s="264"/>
      <c r="I1157" s="264"/>
      <c r="J1157" s="264"/>
      <c r="K1157" s="264"/>
      <c r="L1157" s="264"/>
      <c r="M1157" s="264"/>
      <c r="N1157" s="263"/>
      <c r="O1157" s="265"/>
      <c r="P1157" s="264"/>
      <c r="Q1157" s="263"/>
      <c r="R1157" s="263"/>
      <c r="S1157" s="266"/>
      <c r="T1157" s="266"/>
      <c r="U1157" s="266"/>
      <c r="V1157" s="267"/>
    </row>
    <row r="1158" spans="6:22">
      <c r="F1158" s="262"/>
      <c r="G1158" s="263"/>
      <c r="H1158" s="264"/>
      <c r="I1158" s="264"/>
      <c r="J1158" s="264"/>
      <c r="K1158" s="264"/>
      <c r="L1158" s="264"/>
      <c r="M1158" s="264"/>
      <c r="N1158" s="263"/>
      <c r="O1158" s="265"/>
      <c r="P1158" s="264"/>
      <c r="Q1158" s="263"/>
      <c r="R1158" s="263"/>
      <c r="S1158" s="266"/>
      <c r="T1158" s="266"/>
      <c r="U1158" s="266"/>
      <c r="V1158" s="267"/>
    </row>
    <row r="1159" spans="6:22">
      <c r="F1159" s="262"/>
      <c r="G1159" s="263"/>
      <c r="H1159" s="264"/>
      <c r="I1159" s="264"/>
      <c r="J1159" s="264"/>
      <c r="K1159" s="264"/>
      <c r="L1159" s="264"/>
      <c r="M1159" s="264"/>
      <c r="N1159" s="263"/>
      <c r="O1159" s="265"/>
      <c r="P1159" s="264"/>
      <c r="Q1159" s="263"/>
      <c r="R1159" s="263"/>
      <c r="S1159" s="266"/>
      <c r="T1159" s="266"/>
      <c r="U1159" s="266"/>
      <c r="V1159" s="267"/>
    </row>
    <row r="1160" spans="6:22">
      <c r="F1160" s="262"/>
      <c r="G1160" s="263"/>
      <c r="H1160" s="264"/>
      <c r="I1160" s="264"/>
      <c r="J1160" s="264"/>
      <c r="K1160" s="264"/>
      <c r="L1160" s="264"/>
      <c r="M1160" s="264"/>
      <c r="N1160" s="263"/>
      <c r="O1160" s="265"/>
      <c r="P1160" s="264"/>
      <c r="Q1160" s="263"/>
      <c r="R1160" s="263"/>
      <c r="S1160" s="266"/>
      <c r="T1160" s="266"/>
      <c r="U1160" s="266"/>
      <c r="V1160" s="267"/>
    </row>
    <row r="1161" spans="6:22">
      <c r="F1161" s="262"/>
      <c r="G1161" s="263"/>
      <c r="H1161" s="264"/>
      <c r="I1161" s="264"/>
      <c r="J1161" s="264"/>
      <c r="K1161" s="264"/>
      <c r="L1161" s="264"/>
      <c r="M1161" s="264"/>
      <c r="N1161" s="263"/>
      <c r="O1161" s="265"/>
      <c r="P1161" s="264"/>
      <c r="Q1161" s="263"/>
      <c r="R1161" s="263"/>
      <c r="S1161" s="266"/>
      <c r="T1161" s="266"/>
      <c r="U1161" s="266"/>
      <c r="V1161" s="267"/>
    </row>
    <row r="1162" spans="6:22">
      <c r="F1162" s="262"/>
      <c r="G1162" s="263"/>
      <c r="H1162" s="264"/>
      <c r="I1162" s="264"/>
      <c r="J1162" s="264"/>
      <c r="K1162" s="264"/>
      <c r="L1162" s="264"/>
      <c r="M1162" s="264"/>
      <c r="N1162" s="263"/>
      <c r="O1162" s="265"/>
      <c r="P1162" s="264"/>
      <c r="Q1162" s="263"/>
      <c r="R1162" s="263"/>
      <c r="S1162" s="266"/>
      <c r="T1162" s="266"/>
      <c r="U1162" s="266"/>
      <c r="V1162" s="267"/>
    </row>
    <row r="1163" spans="6:22">
      <c r="F1163" s="262"/>
      <c r="G1163" s="263"/>
      <c r="H1163" s="264"/>
      <c r="I1163" s="264"/>
      <c r="J1163" s="264"/>
      <c r="K1163" s="264"/>
      <c r="L1163" s="264"/>
      <c r="M1163" s="264"/>
      <c r="N1163" s="263"/>
      <c r="O1163" s="265"/>
      <c r="P1163" s="264"/>
      <c r="Q1163" s="263"/>
      <c r="R1163" s="263"/>
      <c r="S1163" s="266"/>
      <c r="T1163" s="266"/>
      <c r="U1163" s="266"/>
      <c r="V1163" s="267"/>
    </row>
    <row r="1164" spans="6:22">
      <c r="F1164" s="262"/>
      <c r="G1164" s="263"/>
      <c r="H1164" s="264"/>
      <c r="I1164" s="264"/>
      <c r="J1164" s="264"/>
      <c r="K1164" s="264"/>
      <c r="L1164" s="264"/>
      <c r="M1164" s="264"/>
      <c r="N1164" s="263"/>
      <c r="O1164" s="265"/>
      <c r="P1164" s="264"/>
      <c r="Q1164" s="263"/>
      <c r="R1164" s="263"/>
      <c r="S1164" s="266"/>
      <c r="T1164" s="266"/>
      <c r="U1164" s="266"/>
      <c r="V1164" s="267"/>
    </row>
    <row r="1165" spans="6:22">
      <c r="F1165" s="262"/>
      <c r="G1165" s="263"/>
      <c r="H1165" s="264"/>
      <c r="I1165" s="264"/>
      <c r="J1165" s="264"/>
      <c r="K1165" s="264"/>
      <c r="L1165" s="264"/>
      <c r="M1165" s="264"/>
      <c r="N1165" s="263"/>
      <c r="O1165" s="265"/>
      <c r="P1165" s="264"/>
      <c r="Q1165" s="263"/>
      <c r="R1165" s="263"/>
      <c r="S1165" s="266"/>
      <c r="T1165" s="266"/>
      <c r="U1165" s="266"/>
      <c r="V1165" s="267"/>
    </row>
    <row r="1166" spans="6:22">
      <c r="F1166" s="262"/>
      <c r="G1166" s="263"/>
      <c r="H1166" s="264"/>
      <c r="I1166" s="264"/>
      <c r="J1166" s="264"/>
      <c r="K1166" s="264"/>
      <c r="L1166" s="264"/>
      <c r="M1166" s="264"/>
      <c r="N1166" s="263"/>
      <c r="O1166" s="265"/>
      <c r="P1166" s="264"/>
      <c r="Q1166" s="263"/>
      <c r="R1166" s="263"/>
      <c r="S1166" s="266"/>
      <c r="T1166" s="266"/>
      <c r="U1166" s="266"/>
      <c r="V1166" s="267"/>
    </row>
    <row r="1167" spans="6:22">
      <c r="F1167" s="262"/>
      <c r="G1167" s="263"/>
      <c r="H1167" s="264"/>
      <c r="I1167" s="264"/>
      <c r="J1167" s="264"/>
      <c r="K1167" s="264"/>
      <c r="L1167" s="264"/>
      <c r="M1167" s="264"/>
      <c r="N1167" s="263"/>
      <c r="O1167" s="265"/>
      <c r="P1167" s="264"/>
      <c r="Q1167" s="263"/>
      <c r="R1167" s="263"/>
      <c r="S1167" s="266"/>
      <c r="T1167" s="266"/>
      <c r="U1167" s="266"/>
      <c r="V1167" s="267"/>
    </row>
    <row r="1168" spans="6:22">
      <c r="F1168" s="262"/>
      <c r="G1168" s="263"/>
      <c r="H1168" s="264"/>
      <c r="I1168" s="264"/>
      <c r="J1168" s="264"/>
      <c r="K1168" s="264"/>
      <c r="L1168" s="264"/>
      <c r="M1168" s="264"/>
      <c r="N1168" s="263"/>
      <c r="O1168" s="265"/>
      <c r="P1168" s="264"/>
      <c r="Q1168" s="263"/>
      <c r="R1168" s="263"/>
      <c r="S1168" s="266"/>
      <c r="T1168" s="266"/>
      <c r="U1168" s="266"/>
      <c r="V1168" s="267"/>
    </row>
    <row r="1169" spans="6:22">
      <c r="F1169" s="262"/>
      <c r="G1169" s="263"/>
      <c r="H1169" s="264"/>
      <c r="I1169" s="264"/>
      <c r="J1169" s="264"/>
      <c r="K1169" s="264"/>
      <c r="L1169" s="264"/>
      <c r="M1169" s="264"/>
      <c r="N1169" s="263"/>
      <c r="O1169" s="265"/>
      <c r="P1169" s="264"/>
      <c r="Q1169" s="263"/>
      <c r="R1169" s="263"/>
      <c r="S1169" s="266"/>
      <c r="T1169" s="266"/>
      <c r="U1169" s="266"/>
      <c r="V1169" s="267"/>
    </row>
    <row r="1170" spans="6:22">
      <c r="F1170" s="262"/>
      <c r="G1170" s="263"/>
      <c r="H1170" s="264"/>
      <c r="I1170" s="264"/>
      <c r="J1170" s="264"/>
      <c r="K1170" s="264"/>
      <c r="L1170" s="264"/>
      <c r="M1170" s="264"/>
      <c r="N1170" s="263"/>
      <c r="O1170" s="265"/>
      <c r="P1170" s="264"/>
      <c r="Q1170" s="263"/>
      <c r="R1170" s="263"/>
      <c r="S1170" s="266"/>
      <c r="T1170" s="266"/>
      <c r="U1170" s="266"/>
      <c r="V1170" s="267"/>
    </row>
    <row r="1171" spans="6:22">
      <c r="F1171" s="262"/>
      <c r="G1171" s="263"/>
      <c r="H1171" s="264"/>
      <c r="I1171" s="264"/>
      <c r="J1171" s="264"/>
      <c r="K1171" s="264"/>
      <c r="L1171" s="264"/>
      <c r="M1171" s="264"/>
      <c r="N1171" s="263"/>
      <c r="O1171" s="265"/>
      <c r="P1171" s="264"/>
      <c r="Q1171" s="263"/>
      <c r="R1171" s="263"/>
      <c r="S1171" s="266"/>
      <c r="T1171" s="266"/>
      <c r="U1171" s="266"/>
      <c r="V1171" s="267"/>
    </row>
    <row r="1172" spans="6:22">
      <c r="F1172" s="262"/>
      <c r="G1172" s="263"/>
      <c r="H1172" s="264"/>
      <c r="I1172" s="264"/>
      <c r="J1172" s="264"/>
      <c r="K1172" s="264"/>
      <c r="L1172" s="264"/>
      <c r="M1172" s="264"/>
      <c r="N1172" s="263"/>
      <c r="O1172" s="265"/>
      <c r="P1172" s="264"/>
      <c r="Q1172" s="263"/>
      <c r="R1172" s="263"/>
      <c r="S1172" s="266"/>
      <c r="T1172" s="266"/>
      <c r="U1172" s="266"/>
      <c r="V1172" s="267"/>
    </row>
    <row r="1173" spans="6:22">
      <c r="F1173" s="262"/>
      <c r="G1173" s="263"/>
      <c r="H1173" s="264"/>
      <c r="I1173" s="264"/>
      <c r="J1173" s="264"/>
      <c r="K1173" s="264"/>
      <c r="L1173" s="264"/>
      <c r="M1173" s="264"/>
      <c r="N1173" s="263"/>
      <c r="O1173" s="265"/>
      <c r="P1173" s="264"/>
      <c r="Q1173" s="263"/>
      <c r="R1173" s="263"/>
      <c r="S1173" s="266"/>
      <c r="T1173" s="266"/>
      <c r="U1173" s="266"/>
      <c r="V1173" s="267"/>
    </row>
    <row r="1174" spans="6:22">
      <c r="F1174" s="262"/>
      <c r="G1174" s="263"/>
      <c r="H1174" s="264"/>
      <c r="I1174" s="264"/>
      <c r="J1174" s="264"/>
      <c r="K1174" s="264"/>
      <c r="L1174" s="264"/>
      <c r="M1174" s="264"/>
      <c r="N1174" s="263"/>
      <c r="O1174" s="265"/>
      <c r="P1174" s="264"/>
      <c r="Q1174" s="263"/>
      <c r="R1174" s="263"/>
      <c r="S1174" s="266"/>
      <c r="T1174" s="266"/>
      <c r="U1174" s="266"/>
      <c r="V1174" s="267"/>
    </row>
    <row r="1175" spans="6:22">
      <c r="F1175" s="262"/>
      <c r="G1175" s="263"/>
      <c r="H1175" s="264"/>
      <c r="I1175" s="264"/>
      <c r="J1175" s="264"/>
      <c r="K1175" s="264"/>
      <c r="L1175" s="264"/>
      <c r="M1175" s="264"/>
      <c r="N1175" s="263"/>
      <c r="O1175" s="265"/>
      <c r="P1175" s="264"/>
      <c r="Q1175" s="263"/>
      <c r="R1175" s="263"/>
      <c r="S1175" s="266"/>
      <c r="T1175" s="266"/>
      <c r="U1175" s="266"/>
      <c r="V1175" s="267"/>
    </row>
    <row r="1176" spans="6:22">
      <c r="F1176" s="262"/>
      <c r="G1176" s="263"/>
      <c r="H1176" s="264"/>
      <c r="I1176" s="264"/>
      <c r="J1176" s="264"/>
      <c r="K1176" s="264"/>
      <c r="L1176" s="264"/>
      <c r="M1176" s="264"/>
      <c r="N1176" s="263"/>
      <c r="O1176" s="265"/>
      <c r="P1176" s="264"/>
      <c r="Q1176" s="263"/>
      <c r="R1176" s="263"/>
      <c r="S1176" s="266"/>
      <c r="T1176" s="266"/>
      <c r="U1176" s="266"/>
      <c r="V1176" s="267"/>
    </row>
    <row r="1177" spans="6:22">
      <c r="F1177" s="262"/>
      <c r="G1177" s="263"/>
      <c r="H1177" s="264"/>
      <c r="I1177" s="264"/>
      <c r="J1177" s="264"/>
      <c r="K1177" s="264"/>
      <c r="L1177" s="264"/>
      <c r="M1177" s="264"/>
      <c r="N1177" s="263"/>
      <c r="O1177" s="265"/>
      <c r="P1177" s="264"/>
      <c r="Q1177" s="263"/>
      <c r="R1177" s="263"/>
      <c r="S1177" s="266"/>
      <c r="T1177" s="266"/>
      <c r="U1177" s="266"/>
      <c r="V1177" s="267"/>
    </row>
    <row r="1178" spans="6:22">
      <c r="F1178" s="262"/>
      <c r="G1178" s="263"/>
      <c r="H1178" s="264"/>
      <c r="I1178" s="264"/>
      <c r="J1178" s="264"/>
      <c r="K1178" s="264"/>
      <c r="L1178" s="264"/>
      <c r="M1178" s="264"/>
      <c r="N1178" s="263"/>
      <c r="O1178" s="265"/>
      <c r="P1178" s="264"/>
      <c r="Q1178" s="263"/>
      <c r="R1178" s="263"/>
      <c r="S1178" s="266"/>
      <c r="T1178" s="266"/>
      <c r="U1178" s="266"/>
      <c r="V1178" s="267"/>
    </row>
    <row r="1179" spans="6:22">
      <c r="F1179" s="262"/>
      <c r="G1179" s="263"/>
      <c r="H1179" s="264"/>
      <c r="I1179" s="264"/>
      <c r="J1179" s="264"/>
      <c r="K1179" s="264"/>
      <c r="L1179" s="264"/>
      <c r="M1179" s="264"/>
      <c r="N1179" s="263"/>
      <c r="O1179" s="265"/>
      <c r="P1179" s="264"/>
      <c r="Q1179" s="263"/>
      <c r="R1179" s="263"/>
      <c r="S1179" s="266"/>
      <c r="T1179" s="266"/>
      <c r="U1179" s="266"/>
      <c r="V1179" s="267"/>
    </row>
    <row r="1180" spans="6:22">
      <c r="F1180" s="262"/>
      <c r="G1180" s="263"/>
      <c r="H1180" s="264"/>
      <c r="I1180" s="264"/>
      <c r="J1180" s="264"/>
      <c r="K1180" s="264"/>
      <c r="L1180" s="264"/>
      <c r="M1180" s="264"/>
      <c r="N1180" s="263"/>
      <c r="O1180" s="265"/>
      <c r="P1180" s="264"/>
      <c r="Q1180" s="263"/>
      <c r="R1180" s="263"/>
      <c r="S1180" s="266"/>
      <c r="T1180" s="266"/>
      <c r="U1180" s="266"/>
      <c r="V1180" s="267"/>
    </row>
    <row r="1181" spans="6:22">
      <c r="F1181" s="262"/>
      <c r="G1181" s="263"/>
      <c r="H1181" s="264"/>
      <c r="I1181" s="264"/>
      <c r="J1181" s="264"/>
      <c r="K1181" s="264"/>
      <c r="L1181" s="264"/>
      <c r="M1181" s="264"/>
      <c r="N1181" s="263"/>
      <c r="O1181" s="265"/>
      <c r="P1181" s="264"/>
      <c r="Q1181" s="263"/>
      <c r="R1181" s="263"/>
      <c r="S1181" s="266"/>
      <c r="T1181" s="266"/>
      <c r="U1181" s="266"/>
      <c r="V1181" s="267"/>
    </row>
    <row r="1182" spans="6:22">
      <c r="F1182" s="262"/>
      <c r="G1182" s="263"/>
      <c r="H1182" s="264"/>
      <c r="I1182" s="264"/>
      <c r="J1182" s="264"/>
      <c r="K1182" s="264"/>
      <c r="L1182" s="264"/>
      <c r="M1182" s="264"/>
      <c r="N1182" s="263"/>
      <c r="O1182" s="265"/>
      <c r="P1182" s="264"/>
      <c r="Q1182" s="263"/>
      <c r="R1182" s="263"/>
      <c r="S1182" s="266"/>
      <c r="T1182" s="266"/>
      <c r="U1182" s="266"/>
      <c r="V1182" s="267"/>
    </row>
    <row r="1183" spans="6:22">
      <c r="F1183" s="262"/>
      <c r="G1183" s="263"/>
      <c r="H1183" s="264"/>
      <c r="I1183" s="264"/>
      <c r="J1183" s="264"/>
      <c r="K1183" s="264"/>
      <c r="L1183" s="264"/>
      <c r="M1183" s="264"/>
      <c r="N1183" s="263"/>
      <c r="O1183" s="265"/>
      <c r="P1183" s="264"/>
      <c r="Q1183" s="263"/>
      <c r="R1183" s="263"/>
      <c r="S1183" s="266"/>
      <c r="T1183" s="266"/>
      <c r="U1183" s="266"/>
      <c r="V1183" s="267"/>
    </row>
    <row r="1184" spans="6:22">
      <c r="F1184" s="262"/>
      <c r="G1184" s="263"/>
      <c r="H1184" s="264"/>
      <c r="I1184" s="264"/>
      <c r="J1184" s="264"/>
      <c r="K1184" s="264"/>
      <c r="L1184" s="264"/>
      <c r="M1184" s="264"/>
      <c r="N1184" s="263"/>
      <c r="O1184" s="265"/>
      <c r="P1184" s="264"/>
      <c r="Q1184" s="263"/>
      <c r="R1184" s="263"/>
      <c r="S1184" s="266"/>
      <c r="T1184" s="266"/>
      <c r="U1184" s="266"/>
      <c r="V1184" s="267"/>
    </row>
    <row r="1185" spans="6:22">
      <c r="F1185" s="262"/>
      <c r="G1185" s="263"/>
      <c r="H1185" s="264"/>
      <c r="I1185" s="264"/>
      <c r="J1185" s="264"/>
      <c r="K1185" s="264"/>
      <c r="L1185" s="264"/>
      <c r="M1185" s="264"/>
      <c r="N1185" s="263"/>
      <c r="O1185" s="265"/>
      <c r="P1185" s="264"/>
      <c r="Q1185" s="263"/>
      <c r="R1185" s="263"/>
      <c r="S1185" s="266"/>
      <c r="T1185" s="266"/>
      <c r="U1185" s="266"/>
      <c r="V1185" s="267"/>
    </row>
    <row r="1186" spans="6:22">
      <c r="F1186" s="262"/>
      <c r="G1186" s="263"/>
      <c r="H1186" s="264"/>
      <c r="I1186" s="264"/>
      <c r="J1186" s="264"/>
      <c r="K1186" s="264"/>
      <c r="L1186" s="264"/>
      <c r="M1186" s="264"/>
      <c r="N1186" s="263"/>
      <c r="O1186" s="265"/>
      <c r="P1186" s="264"/>
      <c r="Q1186" s="263"/>
      <c r="R1186" s="263"/>
      <c r="S1186" s="266"/>
      <c r="T1186" s="266"/>
      <c r="U1186" s="266"/>
      <c r="V1186" s="267"/>
    </row>
    <row r="1187" spans="6:22">
      <c r="F1187" s="262"/>
      <c r="G1187" s="263"/>
      <c r="H1187" s="264"/>
      <c r="I1187" s="264"/>
      <c r="J1187" s="264"/>
      <c r="K1187" s="264"/>
      <c r="L1187" s="264"/>
      <c r="M1187" s="264"/>
      <c r="N1187" s="263"/>
      <c r="O1187" s="265"/>
      <c r="P1187" s="264"/>
      <c r="Q1187" s="263"/>
      <c r="R1187" s="263"/>
      <c r="S1187" s="266"/>
      <c r="T1187" s="266"/>
      <c r="U1187" s="266"/>
      <c r="V1187" s="267"/>
    </row>
    <row r="1188" spans="6:22">
      <c r="F1188" s="262"/>
      <c r="G1188" s="263"/>
      <c r="H1188" s="264"/>
      <c r="I1188" s="264"/>
      <c r="J1188" s="264"/>
      <c r="K1188" s="264"/>
      <c r="L1188" s="264"/>
      <c r="M1188" s="264"/>
      <c r="N1188" s="263"/>
      <c r="O1188" s="265"/>
      <c r="P1188" s="264"/>
      <c r="Q1188" s="263"/>
      <c r="R1188" s="263"/>
      <c r="S1188" s="266"/>
      <c r="T1188" s="266"/>
      <c r="U1188" s="266"/>
      <c r="V1188" s="267"/>
    </row>
    <row r="1189" spans="6:22">
      <c r="F1189" s="262"/>
      <c r="G1189" s="263"/>
      <c r="H1189" s="264"/>
      <c r="I1189" s="264"/>
      <c r="J1189" s="264"/>
      <c r="K1189" s="264"/>
      <c r="L1189" s="264"/>
      <c r="M1189" s="264"/>
      <c r="N1189" s="263"/>
      <c r="O1189" s="265"/>
      <c r="P1189" s="264"/>
      <c r="Q1189" s="263"/>
      <c r="R1189" s="263"/>
      <c r="S1189" s="266"/>
      <c r="T1189" s="266"/>
      <c r="U1189" s="266"/>
      <c r="V1189" s="267"/>
    </row>
    <row r="1190" spans="6:22">
      <c r="F1190" s="262"/>
      <c r="G1190" s="263"/>
      <c r="H1190" s="264"/>
      <c r="I1190" s="264"/>
      <c r="J1190" s="264"/>
      <c r="K1190" s="264"/>
      <c r="L1190" s="264"/>
      <c r="M1190" s="264"/>
      <c r="N1190" s="263"/>
      <c r="O1190" s="265"/>
      <c r="P1190" s="264"/>
      <c r="Q1190" s="263"/>
      <c r="R1190" s="263"/>
      <c r="S1190" s="266"/>
      <c r="T1190" s="266"/>
      <c r="U1190" s="266"/>
      <c r="V1190" s="267"/>
    </row>
    <row r="1191" spans="6:22">
      <c r="F1191" s="262"/>
      <c r="G1191" s="263"/>
      <c r="H1191" s="264"/>
      <c r="I1191" s="264"/>
      <c r="J1191" s="264"/>
      <c r="K1191" s="264"/>
      <c r="L1191" s="264"/>
      <c r="M1191" s="264"/>
      <c r="N1191" s="263"/>
      <c r="O1191" s="265"/>
      <c r="P1191" s="264"/>
      <c r="Q1191" s="263"/>
      <c r="R1191" s="263"/>
      <c r="S1191" s="266"/>
      <c r="T1191" s="266"/>
      <c r="U1191" s="266"/>
      <c r="V1191" s="267"/>
    </row>
    <row r="1192" spans="6:22">
      <c r="F1192" s="262"/>
      <c r="G1192" s="263"/>
      <c r="H1192" s="264"/>
      <c r="I1192" s="264"/>
      <c r="J1192" s="264"/>
      <c r="K1192" s="264"/>
      <c r="L1192" s="264"/>
      <c r="M1192" s="264"/>
      <c r="N1192" s="263"/>
      <c r="O1192" s="265"/>
      <c r="P1192" s="264"/>
      <c r="Q1192" s="263"/>
      <c r="R1192" s="263"/>
      <c r="S1192" s="266"/>
      <c r="T1192" s="266"/>
      <c r="U1192" s="266"/>
      <c r="V1192" s="267"/>
    </row>
    <row r="1193" spans="6:22">
      <c r="F1193" s="262"/>
      <c r="G1193" s="263"/>
      <c r="H1193" s="264"/>
      <c r="I1193" s="264"/>
      <c r="J1193" s="264"/>
      <c r="K1193" s="264"/>
      <c r="L1193" s="264"/>
      <c r="M1193" s="264"/>
      <c r="N1193" s="263"/>
      <c r="O1193" s="265"/>
      <c r="P1193" s="264"/>
      <c r="Q1193" s="263"/>
      <c r="R1193" s="263"/>
      <c r="S1193" s="266"/>
      <c r="T1193" s="266"/>
      <c r="U1193" s="266"/>
      <c r="V1193" s="267"/>
    </row>
    <row r="1194" spans="6:22">
      <c r="F1194" s="262"/>
      <c r="G1194" s="263"/>
      <c r="H1194" s="264"/>
      <c r="I1194" s="264"/>
      <c r="J1194" s="264"/>
      <c r="K1194" s="264"/>
      <c r="L1194" s="264"/>
      <c r="M1194" s="264"/>
      <c r="N1194" s="263"/>
      <c r="O1194" s="265"/>
      <c r="P1194" s="264"/>
      <c r="Q1194" s="263"/>
      <c r="R1194" s="263"/>
      <c r="S1194" s="266"/>
      <c r="T1194" s="266"/>
      <c r="U1194" s="266"/>
      <c r="V1194" s="267"/>
    </row>
    <row r="1195" spans="6:22">
      <c r="F1195" s="262"/>
      <c r="G1195" s="263"/>
      <c r="H1195" s="264"/>
      <c r="I1195" s="264"/>
      <c r="J1195" s="264"/>
      <c r="K1195" s="264"/>
      <c r="L1195" s="264"/>
      <c r="M1195" s="264"/>
      <c r="N1195" s="263"/>
      <c r="O1195" s="265"/>
      <c r="P1195" s="264"/>
      <c r="Q1195" s="263"/>
      <c r="R1195" s="263"/>
      <c r="S1195" s="266"/>
      <c r="T1195" s="266"/>
      <c r="U1195" s="266"/>
      <c r="V1195" s="267"/>
    </row>
    <row r="1196" spans="6:22">
      <c r="F1196" s="262"/>
      <c r="G1196" s="263"/>
      <c r="H1196" s="264"/>
      <c r="I1196" s="264"/>
      <c r="J1196" s="264"/>
      <c r="K1196" s="264"/>
      <c r="L1196" s="264"/>
      <c r="M1196" s="264"/>
      <c r="N1196" s="263"/>
      <c r="O1196" s="265"/>
      <c r="P1196" s="264"/>
      <c r="Q1196" s="263"/>
      <c r="R1196" s="263"/>
      <c r="S1196" s="266"/>
      <c r="T1196" s="266"/>
      <c r="U1196" s="266"/>
      <c r="V1196" s="267"/>
    </row>
    <row r="1197" spans="6:22">
      <c r="F1197" s="262"/>
      <c r="G1197" s="263"/>
      <c r="H1197" s="264"/>
      <c r="I1197" s="264"/>
      <c r="J1197" s="264"/>
      <c r="K1197" s="264"/>
      <c r="L1197" s="264"/>
      <c r="M1197" s="264"/>
      <c r="N1197" s="263"/>
      <c r="O1197" s="265"/>
      <c r="P1197" s="264"/>
      <c r="Q1197" s="263"/>
      <c r="R1197" s="263"/>
      <c r="S1197" s="266"/>
      <c r="T1197" s="266"/>
      <c r="U1197" s="266"/>
      <c r="V1197" s="267"/>
    </row>
    <row r="1198" spans="6:22">
      <c r="F1198" s="262"/>
      <c r="G1198" s="263"/>
      <c r="H1198" s="264"/>
      <c r="I1198" s="264"/>
      <c r="J1198" s="264"/>
      <c r="K1198" s="264"/>
      <c r="L1198" s="264"/>
      <c r="M1198" s="264"/>
      <c r="N1198" s="263"/>
      <c r="O1198" s="265"/>
      <c r="P1198" s="264"/>
      <c r="Q1198" s="263"/>
      <c r="R1198" s="263"/>
      <c r="S1198" s="266"/>
      <c r="T1198" s="266"/>
      <c r="U1198" s="266"/>
      <c r="V1198" s="267"/>
    </row>
    <row r="1199" spans="6:22">
      <c r="F1199" s="262"/>
      <c r="G1199" s="263"/>
      <c r="H1199" s="264"/>
      <c r="I1199" s="264"/>
      <c r="J1199" s="264"/>
      <c r="K1199" s="264"/>
      <c r="L1199" s="264"/>
      <c r="M1199" s="264"/>
      <c r="N1199" s="263"/>
      <c r="O1199" s="265"/>
      <c r="P1199" s="264"/>
      <c r="Q1199" s="263"/>
      <c r="R1199" s="263"/>
      <c r="S1199" s="266"/>
      <c r="T1199" s="266"/>
      <c r="U1199" s="266"/>
      <c r="V1199" s="267"/>
    </row>
    <row r="1200" spans="6:22">
      <c r="F1200" s="262"/>
      <c r="G1200" s="263"/>
      <c r="H1200" s="264"/>
      <c r="I1200" s="264"/>
      <c r="J1200" s="264"/>
      <c r="K1200" s="264"/>
      <c r="L1200" s="264"/>
      <c r="M1200" s="264"/>
      <c r="N1200" s="263"/>
      <c r="O1200" s="265"/>
      <c r="P1200" s="264"/>
      <c r="Q1200" s="263"/>
      <c r="R1200" s="263"/>
      <c r="S1200" s="266"/>
      <c r="T1200" s="266"/>
      <c r="U1200" s="266"/>
      <c r="V1200" s="267"/>
    </row>
    <row r="1201" spans="6:22">
      <c r="F1201" s="262"/>
      <c r="G1201" s="263"/>
      <c r="H1201" s="264"/>
      <c r="I1201" s="264"/>
      <c r="J1201" s="264"/>
      <c r="K1201" s="264"/>
      <c r="L1201" s="264"/>
      <c r="M1201" s="264"/>
      <c r="N1201" s="263"/>
      <c r="O1201" s="265"/>
      <c r="P1201" s="264"/>
      <c r="Q1201" s="263"/>
      <c r="R1201" s="263"/>
      <c r="S1201" s="266"/>
      <c r="T1201" s="266"/>
      <c r="U1201" s="266"/>
      <c r="V1201" s="267"/>
    </row>
    <row r="1202" spans="6:22">
      <c r="F1202" s="262"/>
      <c r="G1202" s="263"/>
      <c r="H1202" s="264"/>
      <c r="I1202" s="264"/>
      <c r="J1202" s="264"/>
      <c r="K1202" s="264"/>
      <c r="L1202" s="264"/>
      <c r="M1202" s="264"/>
      <c r="N1202" s="263"/>
      <c r="O1202" s="265"/>
      <c r="P1202" s="264"/>
      <c r="Q1202" s="263"/>
      <c r="R1202" s="263"/>
      <c r="S1202" s="266"/>
      <c r="T1202" s="266"/>
      <c r="U1202" s="266"/>
      <c r="V1202" s="267"/>
    </row>
    <row r="1203" spans="6:22">
      <c r="F1203" s="262"/>
      <c r="G1203" s="263"/>
      <c r="H1203" s="264"/>
      <c r="I1203" s="264"/>
      <c r="J1203" s="264"/>
      <c r="K1203" s="264"/>
      <c r="L1203" s="264"/>
      <c r="M1203" s="264"/>
      <c r="N1203" s="263"/>
      <c r="O1203" s="265"/>
      <c r="P1203" s="264"/>
      <c r="Q1203" s="263"/>
      <c r="R1203" s="263"/>
      <c r="S1203" s="266"/>
      <c r="T1203" s="266"/>
      <c r="U1203" s="266"/>
      <c r="V1203" s="267"/>
    </row>
    <row r="1204" spans="6:22">
      <c r="F1204" s="262"/>
      <c r="G1204" s="263"/>
      <c r="H1204" s="264"/>
      <c r="I1204" s="264"/>
      <c r="J1204" s="264"/>
      <c r="K1204" s="264"/>
      <c r="L1204" s="264"/>
      <c r="M1204" s="264"/>
      <c r="N1204" s="263"/>
      <c r="O1204" s="265"/>
      <c r="P1204" s="264"/>
      <c r="Q1204" s="263"/>
      <c r="R1204" s="263"/>
      <c r="S1204" s="266"/>
      <c r="T1204" s="266"/>
      <c r="U1204" s="266"/>
      <c r="V1204" s="267"/>
    </row>
    <row r="1205" spans="6:22">
      <c r="F1205" s="262"/>
      <c r="G1205" s="263"/>
      <c r="H1205" s="264"/>
      <c r="I1205" s="264"/>
      <c r="J1205" s="264"/>
      <c r="K1205" s="264"/>
      <c r="L1205" s="264"/>
      <c r="M1205" s="264"/>
      <c r="N1205" s="263"/>
      <c r="O1205" s="265"/>
      <c r="P1205" s="264"/>
      <c r="Q1205" s="263"/>
      <c r="R1205" s="263"/>
      <c r="S1205" s="266"/>
      <c r="T1205" s="266"/>
      <c r="U1205" s="266"/>
      <c r="V1205" s="267"/>
    </row>
    <row r="1206" spans="6:22">
      <c r="F1206" s="262"/>
      <c r="G1206" s="263"/>
      <c r="H1206" s="264"/>
      <c r="I1206" s="264"/>
      <c r="J1206" s="264"/>
      <c r="K1206" s="264"/>
      <c r="L1206" s="264"/>
      <c r="M1206" s="264"/>
      <c r="N1206" s="263"/>
      <c r="O1206" s="265"/>
      <c r="P1206" s="264"/>
      <c r="Q1206" s="263"/>
      <c r="R1206" s="263"/>
      <c r="S1206" s="266"/>
      <c r="T1206" s="266"/>
      <c r="U1206" s="266"/>
      <c r="V1206" s="267"/>
    </row>
    <row r="1207" spans="6:22">
      <c r="F1207" s="262"/>
      <c r="G1207" s="263"/>
      <c r="H1207" s="264"/>
      <c r="I1207" s="264"/>
      <c r="J1207" s="264"/>
      <c r="K1207" s="264"/>
      <c r="L1207" s="264"/>
      <c r="M1207" s="264"/>
      <c r="N1207" s="263"/>
      <c r="O1207" s="265"/>
      <c r="P1207" s="264"/>
      <c r="Q1207" s="263"/>
      <c r="R1207" s="263"/>
      <c r="S1207" s="266"/>
      <c r="T1207" s="266"/>
      <c r="U1207" s="266"/>
      <c r="V1207" s="267"/>
    </row>
    <row r="1208" spans="6:22">
      <c r="F1208" s="262"/>
      <c r="G1208" s="263"/>
      <c r="H1208" s="264"/>
      <c r="I1208" s="264"/>
      <c r="J1208" s="264"/>
      <c r="K1208" s="264"/>
      <c r="L1208" s="264"/>
      <c r="M1208" s="264"/>
      <c r="N1208" s="263"/>
      <c r="O1208" s="265"/>
      <c r="P1208" s="264"/>
      <c r="Q1208" s="263"/>
      <c r="R1208" s="263"/>
      <c r="S1208" s="266"/>
      <c r="T1208" s="266"/>
      <c r="U1208" s="266"/>
      <c r="V1208" s="267"/>
    </row>
    <row r="1209" spans="6:22">
      <c r="F1209" s="262"/>
      <c r="G1209" s="263"/>
      <c r="H1209" s="264"/>
      <c r="I1209" s="264"/>
      <c r="J1209" s="264"/>
      <c r="K1209" s="264"/>
      <c r="L1209" s="264"/>
      <c r="M1209" s="264"/>
      <c r="N1209" s="263"/>
      <c r="O1209" s="265"/>
      <c r="P1209" s="264"/>
      <c r="Q1209" s="263"/>
      <c r="R1209" s="263"/>
      <c r="S1209" s="266"/>
      <c r="T1209" s="266"/>
      <c r="U1209" s="266"/>
      <c r="V1209" s="267"/>
    </row>
    <row r="1210" spans="6:22">
      <c r="F1210" s="262"/>
      <c r="G1210" s="263"/>
      <c r="H1210" s="264"/>
      <c r="I1210" s="264"/>
      <c r="J1210" s="264"/>
      <c r="K1210" s="264"/>
      <c r="L1210" s="264"/>
      <c r="M1210" s="264"/>
      <c r="N1210" s="263"/>
      <c r="O1210" s="265"/>
      <c r="P1210" s="264"/>
      <c r="Q1210" s="263"/>
      <c r="R1210" s="263"/>
      <c r="S1210" s="266"/>
      <c r="T1210" s="266"/>
      <c r="U1210" s="266"/>
      <c r="V1210" s="267"/>
    </row>
    <row r="1211" spans="6:22">
      <c r="F1211" s="262"/>
      <c r="G1211" s="263"/>
      <c r="H1211" s="264"/>
      <c r="I1211" s="264"/>
      <c r="J1211" s="264"/>
      <c r="K1211" s="264"/>
      <c r="L1211" s="264"/>
      <c r="M1211" s="264"/>
      <c r="N1211" s="263"/>
      <c r="O1211" s="265"/>
      <c r="P1211" s="264"/>
      <c r="Q1211" s="263"/>
      <c r="R1211" s="263"/>
      <c r="S1211" s="266"/>
      <c r="T1211" s="266"/>
      <c r="U1211" s="266"/>
      <c r="V1211" s="267"/>
    </row>
    <row r="1212" spans="6:22">
      <c r="F1212" s="262"/>
      <c r="G1212" s="263"/>
      <c r="H1212" s="264"/>
      <c r="I1212" s="264"/>
      <c r="J1212" s="264"/>
      <c r="K1212" s="264"/>
      <c r="L1212" s="264"/>
      <c r="M1212" s="264"/>
      <c r="N1212" s="263"/>
      <c r="O1212" s="265"/>
      <c r="P1212" s="264"/>
      <c r="Q1212" s="263"/>
      <c r="R1212" s="263"/>
      <c r="S1212" s="266"/>
      <c r="T1212" s="266"/>
      <c r="U1212" s="266"/>
      <c r="V1212" s="267"/>
    </row>
    <row r="1213" spans="6:22">
      <c r="F1213" s="262"/>
      <c r="G1213" s="263"/>
      <c r="H1213" s="264"/>
      <c r="I1213" s="264"/>
      <c r="J1213" s="264"/>
      <c r="K1213" s="264"/>
      <c r="L1213" s="264"/>
      <c r="M1213" s="264"/>
      <c r="N1213" s="263"/>
      <c r="O1213" s="265"/>
      <c r="P1213" s="264"/>
      <c r="Q1213" s="263"/>
      <c r="R1213" s="263"/>
      <c r="S1213" s="266"/>
      <c r="T1213" s="266"/>
      <c r="U1213" s="266"/>
      <c r="V1213" s="267"/>
    </row>
    <row r="1214" spans="6:22">
      <c r="F1214" s="262"/>
      <c r="G1214" s="263"/>
      <c r="H1214" s="264"/>
      <c r="I1214" s="264"/>
      <c r="J1214" s="264"/>
      <c r="K1214" s="264"/>
      <c r="L1214" s="264"/>
      <c r="M1214" s="264"/>
      <c r="N1214" s="263"/>
      <c r="O1214" s="265"/>
      <c r="P1214" s="264"/>
      <c r="Q1214" s="263"/>
      <c r="R1214" s="263"/>
      <c r="S1214" s="266"/>
      <c r="T1214" s="266"/>
      <c r="U1214" s="266"/>
      <c r="V1214" s="267"/>
    </row>
    <row r="1215" spans="6:22">
      <c r="F1215" s="262"/>
      <c r="G1215" s="263"/>
      <c r="H1215" s="264"/>
      <c r="I1215" s="264"/>
      <c r="J1215" s="264"/>
      <c r="K1215" s="264"/>
      <c r="L1215" s="264"/>
      <c r="M1215" s="264"/>
      <c r="N1215" s="263"/>
      <c r="O1215" s="265"/>
      <c r="P1215" s="264"/>
      <c r="Q1215" s="263"/>
      <c r="R1215" s="263"/>
      <c r="S1215" s="266"/>
      <c r="T1215" s="266"/>
      <c r="U1215" s="266"/>
      <c r="V1215" s="267"/>
    </row>
    <row r="1216" spans="6:22">
      <c r="F1216" s="262"/>
      <c r="G1216" s="263"/>
      <c r="H1216" s="264"/>
      <c r="I1216" s="264"/>
      <c r="J1216" s="264"/>
      <c r="K1216" s="264"/>
      <c r="L1216" s="264"/>
      <c r="M1216" s="264"/>
      <c r="N1216" s="263"/>
      <c r="O1216" s="265"/>
      <c r="P1216" s="264"/>
      <c r="Q1216" s="263"/>
      <c r="R1216" s="263"/>
      <c r="S1216" s="266"/>
      <c r="T1216" s="266"/>
      <c r="U1216" s="266"/>
      <c r="V1216" s="267"/>
    </row>
    <row r="1217" spans="6:22">
      <c r="F1217" s="262"/>
      <c r="G1217" s="263"/>
      <c r="H1217" s="264"/>
      <c r="I1217" s="264"/>
      <c r="J1217" s="264"/>
      <c r="K1217" s="264"/>
      <c r="L1217" s="264"/>
      <c r="M1217" s="264"/>
      <c r="N1217" s="263"/>
      <c r="O1217" s="265"/>
      <c r="P1217" s="264"/>
      <c r="Q1217" s="263"/>
      <c r="R1217" s="263"/>
      <c r="S1217" s="266"/>
      <c r="T1217" s="266"/>
      <c r="U1217" s="266"/>
      <c r="V1217" s="267"/>
    </row>
    <row r="1218" spans="6:22">
      <c r="F1218" s="262"/>
      <c r="G1218" s="263"/>
      <c r="H1218" s="264"/>
      <c r="I1218" s="264"/>
      <c r="J1218" s="264"/>
      <c r="K1218" s="264"/>
      <c r="L1218" s="264"/>
      <c r="M1218" s="264"/>
      <c r="N1218" s="263"/>
      <c r="O1218" s="265"/>
      <c r="P1218" s="264"/>
      <c r="Q1218" s="263"/>
      <c r="R1218" s="263"/>
      <c r="S1218" s="266"/>
      <c r="T1218" s="266"/>
      <c r="U1218" s="266"/>
      <c r="V1218" s="267"/>
    </row>
    <row r="1219" spans="6:22">
      <c r="F1219" s="262"/>
      <c r="G1219" s="263"/>
      <c r="H1219" s="264"/>
      <c r="I1219" s="264"/>
      <c r="J1219" s="264"/>
      <c r="K1219" s="264"/>
      <c r="L1219" s="264"/>
      <c r="M1219" s="264"/>
      <c r="N1219" s="263"/>
      <c r="O1219" s="265"/>
      <c r="P1219" s="264"/>
      <c r="Q1219" s="263"/>
      <c r="R1219" s="263"/>
      <c r="S1219" s="266"/>
      <c r="T1219" s="266"/>
      <c r="U1219" s="266"/>
      <c r="V1219" s="267"/>
    </row>
    <row r="1220" spans="6:22">
      <c r="F1220" s="262"/>
      <c r="G1220" s="263"/>
      <c r="H1220" s="264"/>
      <c r="I1220" s="264"/>
      <c r="J1220" s="264"/>
      <c r="K1220" s="264"/>
      <c r="L1220" s="264"/>
      <c r="M1220" s="264"/>
      <c r="N1220" s="263"/>
      <c r="O1220" s="265"/>
      <c r="P1220" s="264"/>
      <c r="Q1220" s="263"/>
      <c r="R1220" s="263"/>
      <c r="S1220" s="266"/>
      <c r="T1220" s="266"/>
      <c r="U1220" s="266"/>
      <c r="V1220" s="267"/>
    </row>
    <row r="1221" spans="6:22">
      <c r="F1221" s="262"/>
      <c r="G1221" s="263"/>
      <c r="H1221" s="264"/>
      <c r="I1221" s="264"/>
      <c r="J1221" s="264"/>
      <c r="K1221" s="264"/>
      <c r="L1221" s="264"/>
      <c r="M1221" s="264"/>
      <c r="N1221" s="263"/>
      <c r="O1221" s="265"/>
      <c r="P1221" s="264"/>
      <c r="Q1221" s="263"/>
      <c r="R1221" s="263"/>
      <c r="S1221" s="266"/>
      <c r="T1221" s="266"/>
      <c r="U1221" s="266"/>
      <c r="V1221" s="267"/>
    </row>
    <row r="1222" spans="6:22">
      <c r="F1222" s="262"/>
      <c r="G1222" s="263"/>
      <c r="H1222" s="264"/>
      <c r="I1222" s="264"/>
      <c r="J1222" s="264"/>
      <c r="K1222" s="264"/>
      <c r="L1222" s="264"/>
      <c r="M1222" s="264"/>
      <c r="N1222" s="263"/>
      <c r="O1222" s="265"/>
      <c r="P1222" s="264"/>
      <c r="Q1222" s="263"/>
      <c r="R1222" s="263"/>
      <c r="S1222" s="266"/>
      <c r="T1222" s="266"/>
      <c r="U1222" s="266"/>
      <c r="V1222" s="267"/>
    </row>
    <row r="1223" spans="6:22">
      <c r="F1223" s="262"/>
      <c r="G1223" s="263"/>
      <c r="H1223" s="264"/>
      <c r="I1223" s="264"/>
      <c r="J1223" s="264"/>
      <c r="K1223" s="264"/>
      <c r="L1223" s="264"/>
      <c r="M1223" s="264"/>
      <c r="N1223" s="263"/>
      <c r="O1223" s="265"/>
      <c r="P1223" s="264"/>
      <c r="Q1223" s="263"/>
      <c r="R1223" s="263"/>
      <c r="S1223" s="266"/>
      <c r="T1223" s="266"/>
      <c r="U1223" s="266"/>
      <c r="V1223" s="267"/>
    </row>
    <row r="1224" spans="6:22">
      <c r="F1224" s="262"/>
      <c r="G1224" s="263"/>
      <c r="H1224" s="264"/>
      <c r="I1224" s="264"/>
      <c r="J1224" s="264"/>
      <c r="K1224" s="264"/>
      <c r="L1224" s="264"/>
      <c r="M1224" s="264"/>
      <c r="N1224" s="263"/>
      <c r="O1224" s="265"/>
      <c r="P1224" s="264"/>
      <c r="Q1224" s="263"/>
      <c r="R1224" s="263"/>
      <c r="S1224" s="266"/>
      <c r="T1224" s="266"/>
      <c r="U1224" s="266"/>
      <c r="V1224" s="267"/>
    </row>
    <row r="1225" spans="6:22">
      <c r="F1225" s="262"/>
      <c r="G1225" s="263"/>
      <c r="H1225" s="264"/>
      <c r="I1225" s="264"/>
      <c r="J1225" s="264"/>
      <c r="K1225" s="264"/>
      <c r="L1225" s="264"/>
      <c r="M1225" s="264"/>
      <c r="N1225" s="263"/>
      <c r="O1225" s="265"/>
      <c r="P1225" s="264"/>
      <c r="Q1225" s="263"/>
      <c r="R1225" s="263"/>
      <c r="S1225" s="266"/>
      <c r="T1225" s="266"/>
      <c r="U1225" s="266"/>
      <c r="V1225" s="267"/>
    </row>
    <row r="1226" spans="6:22">
      <c r="F1226" s="262"/>
      <c r="G1226" s="263"/>
      <c r="H1226" s="264"/>
      <c r="I1226" s="264"/>
      <c r="J1226" s="264"/>
      <c r="K1226" s="264"/>
      <c r="L1226" s="264"/>
      <c r="M1226" s="264"/>
      <c r="N1226" s="263"/>
      <c r="O1226" s="265"/>
      <c r="P1226" s="264"/>
      <c r="Q1226" s="263"/>
      <c r="R1226" s="263"/>
      <c r="S1226" s="266"/>
      <c r="T1226" s="266"/>
      <c r="U1226" s="266"/>
      <c r="V1226" s="267"/>
    </row>
    <row r="1227" spans="6:22">
      <c r="F1227" s="262"/>
      <c r="G1227" s="263"/>
      <c r="H1227" s="264"/>
      <c r="I1227" s="264"/>
      <c r="J1227" s="264"/>
      <c r="K1227" s="264"/>
      <c r="L1227" s="264"/>
      <c r="M1227" s="264"/>
      <c r="N1227" s="263"/>
      <c r="O1227" s="265"/>
      <c r="P1227" s="264"/>
      <c r="Q1227" s="263"/>
      <c r="R1227" s="263"/>
      <c r="S1227" s="266"/>
      <c r="T1227" s="266"/>
      <c r="U1227" s="266"/>
      <c r="V1227" s="267"/>
    </row>
    <row r="1228" spans="6:22">
      <c r="F1228" s="262"/>
      <c r="G1228" s="263"/>
      <c r="H1228" s="264"/>
      <c r="I1228" s="264"/>
      <c r="J1228" s="264"/>
      <c r="K1228" s="264"/>
      <c r="L1228" s="264"/>
      <c r="M1228" s="264"/>
      <c r="N1228" s="263"/>
      <c r="O1228" s="265"/>
      <c r="P1228" s="264"/>
      <c r="Q1228" s="263"/>
      <c r="R1228" s="263"/>
      <c r="S1228" s="266"/>
      <c r="T1228" s="266"/>
      <c r="U1228" s="266"/>
      <c r="V1228" s="267"/>
    </row>
    <row r="1229" spans="6:22">
      <c r="F1229" s="262"/>
      <c r="G1229" s="263"/>
      <c r="H1229" s="264"/>
      <c r="I1229" s="264"/>
      <c r="J1229" s="264"/>
      <c r="K1229" s="264"/>
      <c r="L1229" s="264"/>
      <c r="M1229" s="264"/>
      <c r="N1229" s="263"/>
      <c r="O1229" s="265"/>
      <c r="P1229" s="264"/>
      <c r="Q1229" s="263"/>
      <c r="R1229" s="263"/>
      <c r="S1229" s="266"/>
      <c r="T1229" s="266"/>
      <c r="U1229" s="266"/>
      <c r="V1229" s="267"/>
    </row>
    <row r="1230" spans="6:22">
      <c r="F1230" s="262"/>
      <c r="G1230" s="263"/>
      <c r="H1230" s="264"/>
      <c r="I1230" s="264"/>
      <c r="J1230" s="264"/>
      <c r="K1230" s="264"/>
      <c r="L1230" s="264"/>
      <c r="M1230" s="264"/>
      <c r="N1230" s="263"/>
      <c r="O1230" s="265"/>
      <c r="P1230" s="264"/>
      <c r="Q1230" s="263"/>
      <c r="R1230" s="263"/>
      <c r="S1230" s="266"/>
      <c r="T1230" s="266"/>
      <c r="U1230" s="266"/>
      <c r="V1230" s="267"/>
    </row>
    <row r="1231" spans="6:22">
      <c r="F1231" s="262"/>
      <c r="G1231" s="263"/>
      <c r="H1231" s="264"/>
      <c r="I1231" s="264"/>
      <c r="J1231" s="264"/>
      <c r="K1231" s="264"/>
      <c r="L1231" s="264"/>
      <c r="M1231" s="264"/>
      <c r="N1231" s="263"/>
      <c r="O1231" s="265"/>
      <c r="P1231" s="264"/>
      <c r="Q1231" s="263"/>
      <c r="R1231" s="263"/>
      <c r="S1231" s="266"/>
      <c r="T1231" s="266"/>
      <c r="U1231" s="266"/>
      <c r="V1231" s="267"/>
    </row>
    <row r="1232" spans="6:22">
      <c r="F1232" s="262"/>
      <c r="G1232" s="263"/>
      <c r="H1232" s="264"/>
      <c r="I1232" s="264"/>
      <c r="J1232" s="264"/>
      <c r="K1232" s="264"/>
      <c r="L1232" s="264"/>
      <c r="M1232" s="264"/>
      <c r="N1232" s="263"/>
      <c r="O1232" s="265"/>
      <c r="P1232" s="264"/>
      <c r="Q1232" s="263"/>
      <c r="R1232" s="263"/>
      <c r="S1232" s="266"/>
      <c r="T1232" s="266"/>
      <c r="U1232" s="266"/>
      <c r="V1232" s="267"/>
    </row>
    <row r="1233" spans="6:22">
      <c r="F1233" s="262"/>
      <c r="G1233" s="263"/>
      <c r="H1233" s="264"/>
      <c r="I1233" s="264"/>
      <c r="J1233" s="264"/>
      <c r="K1233" s="264"/>
      <c r="L1233" s="264"/>
      <c r="M1233" s="264"/>
      <c r="N1233" s="263"/>
      <c r="O1233" s="265"/>
      <c r="P1233" s="264"/>
      <c r="Q1233" s="263"/>
      <c r="R1233" s="263"/>
      <c r="S1233" s="266"/>
      <c r="T1233" s="266"/>
      <c r="U1233" s="266"/>
      <c r="V1233" s="267"/>
    </row>
    <row r="1234" spans="6:22">
      <c r="F1234" s="262"/>
      <c r="G1234" s="263"/>
      <c r="H1234" s="264"/>
      <c r="I1234" s="264"/>
      <c r="J1234" s="264"/>
      <c r="K1234" s="264"/>
      <c r="L1234" s="264"/>
      <c r="M1234" s="264"/>
      <c r="N1234" s="263"/>
      <c r="O1234" s="265"/>
      <c r="P1234" s="264"/>
      <c r="Q1234" s="263"/>
      <c r="R1234" s="263"/>
      <c r="S1234" s="266"/>
      <c r="T1234" s="266"/>
      <c r="U1234" s="266"/>
      <c r="V1234" s="267"/>
    </row>
    <row r="1235" spans="6:22">
      <c r="F1235" s="262"/>
      <c r="G1235" s="263"/>
      <c r="H1235" s="264"/>
      <c r="I1235" s="264"/>
      <c r="J1235" s="264"/>
      <c r="K1235" s="264"/>
      <c r="L1235" s="264"/>
      <c r="M1235" s="264"/>
      <c r="N1235" s="263"/>
      <c r="O1235" s="265"/>
      <c r="P1235" s="264"/>
      <c r="Q1235" s="263"/>
      <c r="R1235" s="263"/>
      <c r="S1235" s="266"/>
      <c r="T1235" s="266"/>
      <c r="U1235" s="266"/>
      <c r="V1235" s="267"/>
    </row>
    <row r="1236" spans="6:22">
      <c r="F1236" s="262"/>
      <c r="G1236" s="263"/>
      <c r="H1236" s="264"/>
      <c r="I1236" s="264"/>
      <c r="J1236" s="264"/>
      <c r="K1236" s="264"/>
      <c r="L1236" s="264"/>
      <c r="M1236" s="264"/>
      <c r="N1236" s="263"/>
      <c r="O1236" s="265"/>
      <c r="P1236" s="264"/>
      <c r="Q1236" s="263"/>
      <c r="R1236" s="263"/>
      <c r="S1236" s="266"/>
      <c r="T1236" s="266"/>
      <c r="U1236" s="266"/>
      <c r="V1236" s="267"/>
    </row>
    <row r="1237" spans="6:22">
      <c r="F1237" s="262"/>
      <c r="G1237" s="263"/>
      <c r="H1237" s="264"/>
      <c r="I1237" s="264"/>
      <c r="J1237" s="264"/>
      <c r="K1237" s="264"/>
      <c r="L1237" s="264"/>
      <c r="M1237" s="264"/>
      <c r="N1237" s="263"/>
      <c r="O1237" s="265"/>
      <c r="P1237" s="264"/>
      <c r="Q1237" s="263"/>
      <c r="R1237" s="263"/>
      <c r="S1237" s="266"/>
      <c r="T1237" s="266"/>
      <c r="U1237" s="266"/>
      <c r="V1237" s="267"/>
    </row>
    <row r="1238" spans="6:22">
      <c r="F1238" s="262"/>
      <c r="G1238" s="263"/>
      <c r="H1238" s="264"/>
      <c r="I1238" s="264"/>
      <c r="J1238" s="264"/>
      <c r="K1238" s="264"/>
      <c r="L1238" s="264"/>
      <c r="M1238" s="264"/>
      <c r="N1238" s="263"/>
      <c r="O1238" s="265"/>
      <c r="P1238" s="264"/>
      <c r="Q1238" s="263"/>
      <c r="R1238" s="263"/>
      <c r="S1238" s="266"/>
      <c r="T1238" s="266"/>
      <c r="U1238" s="266"/>
      <c r="V1238" s="267"/>
    </row>
    <row r="1239" spans="6:22">
      <c r="F1239" s="262"/>
      <c r="G1239" s="263"/>
      <c r="H1239" s="264"/>
      <c r="I1239" s="264"/>
      <c r="J1239" s="264"/>
      <c r="K1239" s="264"/>
      <c r="L1239" s="264"/>
      <c r="M1239" s="264"/>
      <c r="N1239" s="263"/>
      <c r="O1239" s="265"/>
      <c r="P1239" s="264"/>
      <c r="Q1239" s="263"/>
      <c r="R1239" s="263"/>
      <c r="S1239" s="266"/>
      <c r="T1239" s="266"/>
      <c r="U1239" s="266"/>
      <c r="V1239" s="267"/>
    </row>
    <row r="1240" spans="6:22">
      <c r="F1240" s="262"/>
      <c r="G1240" s="263"/>
      <c r="H1240" s="264"/>
      <c r="I1240" s="264"/>
      <c r="J1240" s="264"/>
      <c r="K1240" s="264"/>
      <c r="L1240" s="264"/>
      <c r="M1240" s="264"/>
      <c r="N1240" s="263"/>
      <c r="O1240" s="265"/>
      <c r="P1240" s="264"/>
      <c r="Q1240" s="263"/>
      <c r="R1240" s="263"/>
      <c r="S1240" s="266"/>
      <c r="T1240" s="266"/>
      <c r="U1240" s="266"/>
      <c r="V1240" s="267"/>
    </row>
    <row r="1241" spans="6:22">
      <c r="F1241" s="262"/>
      <c r="G1241" s="263"/>
      <c r="H1241" s="264"/>
      <c r="I1241" s="264"/>
      <c r="J1241" s="264"/>
      <c r="K1241" s="264"/>
      <c r="L1241" s="264"/>
      <c r="M1241" s="264"/>
      <c r="N1241" s="263"/>
      <c r="O1241" s="265"/>
      <c r="P1241" s="264"/>
      <c r="Q1241" s="263"/>
      <c r="R1241" s="263"/>
      <c r="S1241" s="266"/>
      <c r="T1241" s="266"/>
      <c r="U1241" s="266"/>
      <c r="V1241" s="267"/>
    </row>
    <row r="1242" spans="6:22">
      <c r="F1242" s="262"/>
      <c r="G1242" s="263"/>
      <c r="H1242" s="264"/>
      <c r="I1242" s="264"/>
      <c r="J1242" s="264"/>
      <c r="K1242" s="264"/>
      <c r="L1242" s="264"/>
      <c r="M1242" s="264"/>
      <c r="N1242" s="263"/>
      <c r="O1242" s="265"/>
      <c r="P1242" s="264"/>
      <c r="Q1242" s="263"/>
      <c r="R1242" s="263"/>
      <c r="S1242" s="266"/>
      <c r="T1242" s="266"/>
      <c r="U1242" s="266"/>
      <c r="V1242" s="267"/>
    </row>
    <row r="1243" spans="6:22">
      <c r="F1243" s="262"/>
      <c r="G1243" s="263"/>
      <c r="H1243" s="264"/>
      <c r="I1243" s="264"/>
      <c r="J1243" s="264"/>
      <c r="K1243" s="264"/>
      <c r="L1243" s="264"/>
      <c r="M1243" s="264"/>
      <c r="N1243" s="263"/>
      <c r="O1243" s="265"/>
      <c r="P1243" s="264"/>
      <c r="Q1243" s="263"/>
      <c r="R1243" s="263"/>
      <c r="S1243" s="266"/>
      <c r="T1243" s="266"/>
      <c r="U1243" s="266"/>
      <c r="V1243" s="267"/>
    </row>
    <row r="1244" spans="6:22">
      <c r="F1244" s="262"/>
      <c r="G1244" s="263"/>
      <c r="H1244" s="264"/>
      <c r="I1244" s="264"/>
      <c r="J1244" s="264"/>
      <c r="K1244" s="264"/>
      <c r="L1244" s="264"/>
      <c r="M1244" s="264"/>
      <c r="N1244" s="263"/>
      <c r="O1244" s="265"/>
      <c r="P1244" s="264"/>
      <c r="Q1244" s="263"/>
      <c r="R1244" s="263"/>
      <c r="S1244" s="266"/>
      <c r="T1244" s="266"/>
      <c r="U1244" s="266"/>
      <c r="V1244" s="267"/>
    </row>
    <row r="1245" spans="6:22">
      <c r="F1245" s="262"/>
      <c r="G1245" s="263"/>
      <c r="H1245" s="264"/>
      <c r="I1245" s="264"/>
      <c r="J1245" s="264"/>
      <c r="K1245" s="264"/>
      <c r="L1245" s="264"/>
      <c r="M1245" s="264"/>
      <c r="N1245" s="263"/>
      <c r="O1245" s="265"/>
      <c r="P1245" s="264"/>
      <c r="Q1245" s="263"/>
      <c r="R1245" s="263"/>
      <c r="S1245" s="266"/>
      <c r="T1245" s="266"/>
      <c r="U1245" s="266"/>
      <c r="V1245" s="267"/>
    </row>
    <row r="1246" spans="6:22">
      <c r="F1246" s="262"/>
      <c r="G1246" s="263"/>
      <c r="H1246" s="264"/>
      <c r="I1246" s="264"/>
      <c r="J1246" s="264"/>
      <c r="K1246" s="264"/>
      <c r="L1246" s="264"/>
      <c r="M1246" s="264"/>
      <c r="N1246" s="263"/>
      <c r="O1246" s="265"/>
      <c r="P1246" s="264"/>
      <c r="Q1246" s="263"/>
      <c r="R1246" s="263"/>
      <c r="S1246" s="266"/>
      <c r="T1246" s="266"/>
      <c r="U1246" s="266"/>
      <c r="V1246" s="267"/>
    </row>
    <row r="1247" spans="6:22">
      <c r="F1247" s="262"/>
      <c r="G1247" s="263"/>
      <c r="H1247" s="264"/>
      <c r="I1247" s="264"/>
      <c r="J1247" s="264"/>
      <c r="K1247" s="264"/>
      <c r="L1247" s="264"/>
      <c r="M1247" s="264"/>
      <c r="N1247" s="263"/>
      <c r="O1247" s="265"/>
      <c r="P1247" s="264"/>
      <c r="Q1247" s="263"/>
      <c r="R1247" s="263"/>
      <c r="S1247" s="266"/>
      <c r="T1247" s="266"/>
      <c r="U1247" s="266"/>
      <c r="V1247" s="267"/>
    </row>
    <row r="1248" spans="6:22">
      <c r="F1248" s="262"/>
      <c r="G1248" s="263"/>
      <c r="H1248" s="264"/>
      <c r="I1248" s="264"/>
      <c r="J1248" s="264"/>
      <c r="K1248" s="264"/>
      <c r="L1248" s="264"/>
      <c r="M1248" s="264"/>
      <c r="N1248" s="263"/>
      <c r="O1248" s="265"/>
      <c r="P1248" s="264"/>
      <c r="Q1248" s="263"/>
      <c r="R1248" s="263"/>
      <c r="S1248" s="266"/>
      <c r="T1248" s="266"/>
      <c r="U1248" s="266"/>
      <c r="V1248" s="267"/>
    </row>
    <row r="1249" spans="6:22">
      <c r="F1249" s="262"/>
      <c r="G1249" s="263"/>
      <c r="H1249" s="264"/>
      <c r="I1249" s="264"/>
      <c r="J1249" s="264"/>
      <c r="K1249" s="264"/>
      <c r="L1249" s="264"/>
      <c r="M1249" s="264"/>
      <c r="N1249" s="263"/>
      <c r="O1249" s="265"/>
      <c r="P1249" s="264"/>
      <c r="Q1249" s="263"/>
      <c r="R1249" s="263"/>
      <c r="S1249" s="266"/>
      <c r="T1249" s="266"/>
      <c r="U1249" s="266"/>
      <c r="V1249" s="267"/>
    </row>
    <row r="1250" spans="6:22">
      <c r="F1250" s="262"/>
      <c r="G1250" s="263"/>
      <c r="H1250" s="264"/>
      <c r="I1250" s="264"/>
      <c r="J1250" s="264"/>
      <c r="K1250" s="264"/>
      <c r="L1250" s="264"/>
      <c r="M1250" s="264"/>
      <c r="N1250" s="263"/>
      <c r="O1250" s="265"/>
      <c r="P1250" s="264"/>
      <c r="Q1250" s="263"/>
      <c r="R1250" s="263"/>
      <c r="S1250" s="266"/>
      <c r="T1250" s="266"/>
      <c r="U1250" s="266"/>
      <c r="V1250" s="267"/>
    </row>
    <row r="1251" spans="6:22">
      <c r="F1251" s="262"/>
      <c r="G1251" s="263"/>
      <c r="H1251" s="264"/>
      <c r="I1251" s="264"/>
      <c r="J1251" s="264"/>
      <c r="K1251" s="264"/>
      <c r="L1251" s="264"/>
      <c r="M1251" s="264"/>
      <c r="N1251" s="263"/>
      <c r="O1251" s="265"/>
      <c r="P1251" s="264"/>
      <c r="Q1251" s="263"/>
      <c r="R1251" s="263"/>
      <c r="S1251" s="266"/>
      <c r="T1251" s="266"/>
      <c r="U1251" s="266"/>
      <c r="V1251" s="267"/>
    </row>
    <row r="1252" spans="6:22">
      <c r="F1252" s="262"/>
      <c r="G1252" s="263"/>
      <c r="H1252" s="264"/>
      <c r="I1252" s="264"/>
      <c r="J1252" s="264"/>
      <c r="K1252" s="264"/>
      <c r="L1252" s="264"/>
      <c r="M1252" s="264"/>
      <c r="N1252" s="263"/>
      <c r="O1252" s="265"/>
      <c r="P1252" s="264"/>
      <c r="Q1252" s="263"/>
      <c r="R1252" s="263"/>
      <c r="S1252" s="266"/>
      <c r="T1252" s="266"/>
      <c r="U1252" s="266"/>
      <c r="V1252" s="267"/>
    </row>
    <row r="1253" spans="6:22">
      <c r="F1253" s="262"/>
      <c r="G1253" s="263"/>
      <c r="H1253" s="264"/>
      <c r="I1253" s="264"/>
      <c r="J1253" s="264"/>
      <c r="K1253" s="264"/>
      <c r="L1253" s="264"/>
      <c r="M1253" s="264"/>
      <c r="N1253" s="263"/>
      <c r="O1253" s="265"/>
      <c r="P1253" s="264"/>
      <c r="Q1253" s="263"/>
      <c r="R1253" s="263"/>
      <c r="S1253" s="266"/>
      <c r="T1253" s="266"/>
      <c r="U1253" s="266"/>
      <c r="V1253" s="267"/>
    </row>
    <row r="1254" spans="6:22">
      <c r="F1254" s="262"/>
      <c r="G1254" s="263"/>
      <c r="H1254" s="264"/>
      <c r="I1254" s="264"/>
      <c r="J1254" s="264"/>
      <c r="K1254" s="264"/>
      <c r="L1254" s="264"/>
      <c r="M1254" s="264"/>
      <c r="N1254" s="263"/>
      <c r="O1254" s="265"/>
      <c r="P1254" s="264"/>
      <c r="Q1254" s="263"/>
      <c r="R1254" s="263"/>
      <c r="S1254" s="266"/>
      <c r="T1254" s="266"/>
      <c r="U1254" s="266"/>
      <c r="V1254" s="267"/>
    </row>
    <row r="1255" spans="6:22">
      <c r="F1255" s="262"/>
      <c r="G1255" s="263"/>
      <c r="H1255" s="264"/>
      <c r="I1255" s="264"/>
      <c r="J1255" s="264"/>
      <c r="K1255" s="264"/>
      <c r="L1255" s="264"/>
      <c r="M1255" s="264"/>
      <c r="N1255" s="263"/>
      <c r="O1255" s="265"/>
      <c r="P1255" s="264"/>
      <c r="Q1255" s="263"/>
      <c r="R1255" s="263"/>
      <c r="S1255" s="266"/>
      <c r="T1255" s="266"/>
      <c r="U1255" s="266"/>
      <c r="V1255" s="267"/>
    </row>
    <row r="1256" spans="6:22">
      <c r="F1256" s="262"/>
      <c r="G1256" s="263"/>
      <c r="H1256" s="264"/>
      <c r="I1256" s="264"/>
      <c r="J1256" s="264"/>
      <c r="K1256" s="264"/>
      <c r="L1256" s="264"/>
      <c r="M1256" s="264"/>
      <c r="N1256" s="263"/>
      <c r="O1256" s="265"/>
      <c r="P1256" s="264"/>
      <c r="Q1256" s="263"/>
      <c r="R1256" s="263"/>
      <c r="S1256" s="266"/>
      <c r="T1256" s="266"/>
      <c r="U1256" s="266"/>
      <c r="V1256" s="267"/>
    </row>
    <row r="1257" spans="6:22">
      <c r="F1257" s="262"/>
      <c r="G1257" s="263"/>
      <c r="H1257" s="264"/>
      <c r="I1257" s="264"/>
      <c r="J1257" s="264"/>
      <c r="K1257" s="264"/>
      <c r="L1257" s="264"/>
      <c r="M1257" s="264"/>
      <c r="N1257" s="263"/>
      <c r="O1257" s="265"/>
      <c r="P1257" s="264"/>
      <c r="Q1257" s="263"/>
      <c r="R1257" s="263"/>
      <c r="S1257" s="266"/>
      <c r="T1257" s="266"/>
      <c r="U1257" s="266"/>
      <c r="V1257" s="267"/>
    </row>
    <row r="1258" spans="6:22">
      <c r="F1258" s="262"/>
      <c r="G1258" s="263"/>
      <c r="H1258" s="264"/>
      <c r="I1258" s="264"/>
      <c r="J1258" s="264"/>
      <c r="K1258" s="264"/>
      <c r="L1258" s="264"/>
      <c r="M1258" s="264"/>
      <c r="N1258" s="263"/>
      <c r="O1258" s="265"/>
      <c r="P1258" s="264"/>
      <c r="Q1258" s="263"/>
      <c r="R1258" s="263"/>
      <c r="S1258" s="266"/>
      <c r="T1258" s="266"/>
      <c r="U1258" s="266"/>
      <c r="V1258" s="267"/>
    </row>
    <row r="1259" spans="6:22">
      <c r="F1259" s="262"/>
      <c r="G1259" s="263"/>
      <c r="H1259" s="264"/>
      <c r="I1259" s="264"/>
      <c r="J1259" s="264"/>
      <c r="K1259" s="264"/>
      <c r="L1259" s="264"/>
      <c r="M1259" s="264"/>
      <c r="N1259" s="263"/>
      <c r="O1259" s="265"/>
      <c r="P1259" s="264"/>
      <c r="Q1259" s="263"/>
      <c r="R1259" s="263"/>
      <c r="S1259" s="266"/>
      <c r="T1259" s="266"/>
      <c r="U1259" s="266"/>
      <c r="V1259" s="267"/>
    </row>
    <row r="1260" spans="6:22">
      <c r="F1260" s="262"/>
      <c r="G1260" s="263"/>
      <c r="H1260" s="264"/>
      <c r="I1260" s="264"/>
      <c r="J1260" s="264"/>
      <c r="K1260" s="264"/>
      <c r="L1260" s="264"/>
      <c r="M1260" s="264"/>
      <c r="N1260" s="263"/>
      <c r="O1260" s="265"/>
      <c r="P1260" s="264"/>
      <c r="Q1260" s="263"/>
      <c r="R1260" s="263"/>
      <c r="S1260" s="266"/>
      <c r="T1260" s="266"/>
      <c r="U1260" s="266"/>
      <c r="V1260" s="267"/>
    </row>
    <row r="1261" spans="6:22">
      <c r="F1261" s="262"/>
      <c r="G1261" s="263"/>
      <c r="H1261" s="264"/>
      <c r="I1261" s="264"/>
      <c r="J1261" s="264"/>
      <c r="K1261" s="264"/>
      <c r="L1261" s="264"/>
      <c r="M1261" s="264"/>
      <c r="N1261" s="263"/>
      <c r="O1261" s="265"/>
      <c r="P1261" s="264"/>
      <c r="Q1261" s="263"/>
      <c r="R1261" s="263"/>
      <c r="S1261" s="266"/>
      <c r="T1261" s="266"/>
      <c r="U1261" s="266"/>
      <c r="V1261" s="267"/>
    </row>
    <row r="1262" spans="6:22">
      <c r="F1262" s="262"/>
      <c r="G1262" s="263"/>
      <c r="H1262" s="264"/>
      <c r="I1262" s="264"/>
      <c r="J1262" s="264"/>
      <c r="K1262" s="264"/>
      <c r="L1262" s="264"/>
      <c r="M1262" s="264"/>
      <c r="N1262" s="263"/>
      <c r="O1262" s="265"/>
      <c r="P1262" s="264"/>
      <c r="Q1262" s="263"/>
      <c r="R1262" s="263"/>
      <c r="S1262" s="266"/>
      <c r="T1262" s="266"/>
      <c r="U1262" s="266"/>
      <c r="V1262" s="267"/>
    </row>
    <row r="1263" spans="6:22">
      <c r="F1263" s="262"/>
      <c r="G1263" s="263"/>
      <c r="H1263" s="264"/>
      <c r="I1263" s="264"/>
      <c r="J1263" s="264"/>
      <c r="K1263" s="264"/>
      <c r="L1263" s="264"/>
      <c r="M1263" s="264"/>
      <c r="N1263" s="263"/>
      <c r="O1263" s="265"/>
      <c r="P1263" s="264"/>
      <c r="Q1263" s="263"/>
      <c r="R1263" s="263"/>
      <c r="S1263" s="266"/>
      <c r="T1263" s="266"/>
      <c r="U1263" s="266"/>
      <c r="V1263" s="267"/>
    </row>
    <row r="1264" spans="6:22">
      <c r="F1264" s="262"/>
      <c r="G1264" s="263"/>
      <c r="H1264" s="264"/>
      <c r="I1264" s="264"/>
      <c r="J1264" s="264"/>
      <c r="K1264" s="264"/>
      <c r="L1264" s="264"/>
      <c r="M1264" s="264"/>
      <c r="N1264" s="263"/>
      <c r="O1264" s="265"/>
      <c r="P1264" s="264"/>
      <c r="Q1264" s="263"/>
      <c r="R1264" s="263"/>
      <c r="S1264" s="266"/>
      <c r="T1264" s="266"/>
      <c r="U1264" s="266"/>
      <c r="V1264" s="267"/>
    </row>
    <row r="1265" spans="6:22">
      <c r="F1265" s="262"/>
      <c r="G1265" s="263"/>
      <c r="H1265" s="264"/>
      <c r="I1265" s="264"/>
      <c r="J1265" s="264"/>
      <c r="K1265" s="264"/>
      <c r="L1265" s="264"/>
      <c r="M1265" s="264"/>
      <c r="N1265" s="263"/>
      <c r="O1265" s="265"/>
      <c r="P1265" s="264"/>
      <c r="Q1265" s="263"/>
      <c r="R1265" s="263"/>
      <c r="S1265" s="266"/>
      <c r="T1265" s="266"/>
      <c r="U1265" s="266"/>
      <c r="V1265" s="267"/>
    </row>
    <row r="1266" spans="6:22">
      <c r="F1266" s="262"/>
      <c r="G1266" s="263"/>
      <c r="H1266" s="264"/>
      <c r="I1266" s="264"/>
      <c r="J1266" s="264"/>
      <c r="K1266" s="264"/>
      <c r="L1266" s="264"/>
      <c r="M1266" s="264"/>
      <c r="N1266" s="263"/>
      <c r="O1266" s="265"/>
      <c r="P1266" s="264"/>
      <c r="Q1266" s="263"/>
      <c r="R1266" s="263"/>
      <c r="S1266" s="266"/>
      <c r="T1266" s="266"/>
      <c r="U1266" s="266"/>
      <c r="V1266" s="267"/>
    </row>
    <row r="1267" spans="6:22">
      <c r="F1267" s="262"/>
      <c r="G1267" s="263"/>
      <c r="H1267" s="264"/>
      <c r="I1267" s="264"/>
      <c r="J1267" s="264"/>
      <c r="K1267" s="264"/>
      <c r="L1267" s="264"/>
      <c r="M1267" s="264"/>
      <c r="N1267" s="263"/>
      <c r="O1267" s="265"/>
      <c r="P1267" s="264"/>
      <c r="Q1267" s="263"/>
      <c r="R1267" s="263"/>
      <c r="S1267" s="266"/>
      <c r="T1267" s="266"/>
      <c r="U1267" s="266"/>
      <c r="V1267" s="267"/>
    </row>
    <row r="1268" spans="6:22">
      <c r="F1268" s="262"/>
      <c r="G1268" s="263"/>
      <c r="H1268" s="264"/>
      <c r="I1268" s="264"/>
      <c r="J1268" s="264"/>
      <c r="K1268" s="264"/>
      <c r="L1268" s="264"/>
      <c r="M1268" s="264"/>
      <c r="N1268" s="263"/>
      <c r="O1268" s="265"/>
      <c r="P1268" s="264"/>
      <c r="Q1268" s="263"/>
      <c r="R1268" s="263"/>
      <c r="S1268" s="266"/>
      <c r="T1268" s="266"/>
      <c r="U1268" s="266"/>
      <c r="V1268" s="267"/>
    </row>
    <row r="1269" spans="6:22">
      <c r="F1269" s="262"/>
      <c r="G1269" s="263"/>
      <c r="H1269" s="264"/>
      <c r="I1269" s="264"/>
      <c r="J1269" s="264"/>
      <c r="K1269" s="264"/>
      <c r="L1269" s="264"/>
      <c r="M1269" s="264"/>
      <c r="N1269" s="263"/>
      <c r="O1269" s="265"/>
      <c r="P1269" s="264"/>
      <c r="Q1269" s="263"/>
      <c r="R1269" s="263"/>
      <c r="S1269" s="266"/>
      <c r="T1269" s="266"/>
      <c r="U1269" s="266"/>
      <c r="V1269" s="267"/>
    </row>
    <row r="1270" spans="6:22">
      <c r="F1270" s="262"/>
      <c r="G1270" s="263"/>
      <c r="H1270" s="264"/>
      <c r="I1270" s="264"/>
      <c r="J1270" s="264"/>
      <c r="K1270" s="264"/>
      <c r="L1270" s="264"/>
      <c r="M1270" s="264"/>
      <c r="N1270" s="263"/>
      <c r="O1270" s="265"/>
      <c r="P1270" s="264"/>
      <c r="Q1270" s="263"/>
      <c r="R1270" s="263"/>
      <c r="S1270" s="266"/>
      <c r="T1270" s="266"/>
      <c r="U1270" s="266"/>
      <c r="V1270" s="267"/>
    </row>
    <row r="1271" spans="6:22">
      <c r="F1271" s="262"/>
      <c r="G1271" s="263"/>
      <c r="H1271" s="264"/>
      <c r="I1271" s="264"/>
      <c r="J1271" s="264"/>
      <c r="K1271" s="264"/>
      <c r="L1271" s="264"/>
      <c r="M1271" s="264"/>
      <c r="N1271" s="263"/>
      <c r="O1271" s="265"/>
      <c r="P1271" s="264"/>
      <c r="Q1271" s="263"/>
      <c r="R1271" s="263"/>
      <c r="S1271" s="266"/>
      <c r="T1271" s="266"/>
      <c r="U1271" s="266"/>
      <c r="V1271" s="267"/>
    </row>
    <row r="1272" spans="6:22">
      <c r="F1272" s="262"/>
      <c r="G1272" s="263"/>
      <c r="H1272" s="264"/>
      <c r="I1272" s="264"/>
      <c r="J1272" s="264"/>
      <c r="K1272" s="264"/>
      <c r="L1272" s="264"/>
      <c r="M1272" s="264"/>
      <c r="N1272" s="263"/>
      <c r="O1272" s="265"/>
      <c r="P1272" s="264"/>
      <c r="Q1272" s="263"/>
      <c r="R1272" s="263"/>
      <c r="S1272" s="266"/>
      <c r="T1272" s="266"/>
      <c r="U1272" s="266"/>
      <c r="V1272" s="267"/>
    </row>
    <row r="1273" spans="6:22">
      <c r="F1273" s="262"/>
      <c r="G1273" s="263"/>
      <c r="H1273" s="264"/>
      <c r="I1273" s="264"/>
      <c r="J1273" s="264"/>
      <c r="K1273" s="264"/>
      <c r="L1273" s="264"/>
      <c r="M1273" s="264"/>
      <c r="N1273" s="263"/>
      <c r="O1273" s="265"/>
      <c r="P1273" s="264"/>
      <c r="Q1273" s="263"/>
      <c r="R1273" s="263"/>
      <c r="S1273" s="266"/>
      <c r="T1273" s="266"/>
      <c r="U1273" s="266"/>
      <c r="V1273" s="267"/>
    </row>
    <row r="1274" spans="6:22">
      <c r="F1274" s="262"/>
      <c r="G1274" s="263"/>
      <c r="H1274" s="264"/>
      <c r="I1274" s="264"/>
      <c r="J1274" s="264"/>
      <c r="K1274" s="264"/>
      <c r="L1274" s="264"/>
      <c r="M1274" s="264"/>
      <c r="N1274" s="263"/>
      <c r="O1274" s="265"/>
      <c r="P1274" s="264"/>
      <c r="Q1274" s="263"/>
      <c r="R1274" s="263"/>
      <c r="S1274" s="266"/>
      <c r="T1274" s="266"/>
      <c r="U1274" s="266"/>
      <c r="V1274" s="267"/>
    </row>
    <row r="1275" spans="6:22">
      <c r="F1275" s="262"/>
      <c r="G1275" s="263"/>
      <c r="H1275" s="264"/>
      <c r="I1275" s="264"/>
      <c r="J1275" s="264"/>
      <c r="K1275" s="264"/>
      <c r="L1275" s="264"/>
      <c r="M1275" s="264"/>
      <c r="N1275" s="263"/>
      <c r="O1275" s="265"/>
      <c r="P1275" s="264"/>
      <c r="Q1275" s="263"/>
      <c r="R1275" s="263"/>
      <c r="S1275" s="266"/>
      <c r="T1275" s="266"/>
      <c r="U1275" s="266"/>
      <c r="V1275" s="267"/>
    </row>
    <row r="1276" spans="6:22">
      <c r="F1276" s="262"/>
      <c r="G1276" s="263"/>
      <c r="H1276" s="264"/>
      <c r="I1276" s="264"/>
      <c r="J1276" s="264"/>
      <c r="K1276" s="264"/>
      <c r="L1276" s="264"/>
      <c r="M1276" s="264"/>
      <c r="N1276" s="263"/>
      <c r="O1276" s="265"/>
      <c r="P1276" s="264"/>
      <c r="Q1276" s="263"/>
      <c r="R1276" s="263"/>
      <c r="S1276" s="266"/>
      <c r="T1276" s="266"/>
      <c r="U1276" s="266"/>
      <c r="V1276" s="267"/>
    </row>
    <row r="1277" spans="6:22">
      <c r="F1277" s="262"/>
      <c r="G1277" s="263"/>
      <c r="H1277" s="264"/>
      <c r="I1277" s="264"/>
      <c r="J1277" s="264"/>
      <c r="K1277" s="264"/>
      <c r="L1277" s="264"/>
      <c r="M1277" s="264"/>
      <c r="N1277" s="263"/>
      <c r="O1277" s="265"/>
      <c r="P1277" s="264"/>
      <c r="Q1277" s="263"/>
      <c r="R1277" s="263"/>
      <c r="S1277" s="266"/>
      <c r="T1277" s="266"/>
      <c r="U1277" s="266"/>
      <c r="V1277" s="267"/>
    </row>
    <row r="1278" spans="6:22">
      <c r="F1278" s="262"/>
      <c r="G1278" s="263"/>
      <c r="H1278" s="264"/>
      <c r="I1278" s="264"/>
      <c r="J1278" s="264"/>
      <c r="K1278" s="264"/>
      <c r="L1278" s="264"/>
      <c r="M1278" s="264"/>
      <c r="N1278" s="263"/>
      <c r="O1278" s="265"/>
      <c r="P1278" s="264"/>
      <c r="Q1278" s="263"/>
      <c r="R1278" s="263"/>
      <c r="S1278" s="266"/>
      <c r="T1278" s="266"/>
      <c r="U1278" s="266"/>
      <c r="V1278" s="267"/>
    </row>
    <row r="1279" spans="6:22">
      <c r="F1279" s="262"/>
      <c r="G1279" s="263"/>
      <c r="H1279" s="264"/>
      <c r="I1279" s="264"/>
      <c r="J1279" s="264"/>
      <c r="K1279" s="264"/>
      <c r="L1279" s="264"/>
      <c r="M1279" s="264"/>
      <c r="N1279" s="263"/>
      <c r="O1279" s="265"/>
      <c r="P1279" s="264"/>
      <c r="Q1279" s="263"/>
      <c r="R1279" s="263"/>
      <c r="S1279" s="266"/>
      <c r="T1279" s="266"/>
      <c r="U1279" s="266"/>
      <c r="V1279" s="267"/>
    </row>
    <row r="1280" spans="6:22">
      <c r="F1280" s="262"/>
      <c r="G1280" s="263"/>
      <c r="H1280" s="264"/>
      <c r="I1280" s="264"/>
      <c r="J1280" s="264"/>
      <c r="K1280" s="264"/>
      <c r="L1280" s="264"/>
      <c r="M1280" s="264"/>
      <c r="N1280" s="263"/>
      <c r="O1280" s="265"/>
      <c r="P1280" s="264"/>
      <c r="Q1280" s="263"/>
      <c r="R1280" s="263"/>
      <c r="S1280" s="266"/>
      <c r="T1280" s="266"/>
      <c r="U1280" s="266"/>
      <c r="V1280" s="267"/>
    </row>
    <row r="1281" spans="6:22">
      <c r="F1281" s="262"/>
      <c r="G1281" s="263"/>
      <c r="H1281" s="264"/>
      <c r="I1281" s="264"/>
      <c r="J1281" s="264"/>
      <c r="K1281" s="264"/>
      <c r="L1281" s="264"/>
      <c r="M1281" s="264"/>
      <c r="N1281" s="263"/>
      <c r="O1281" s="265"/>
      <c r="P1281" s="264"/>
      <c r="Q1281" s="263"/>
      <c r="R1281" s="263"/>
      <c r="S1281" s="266"/>
      <c r="T1281" s="266"/>
      <c r="U1281" s="266"/>
      <c r="V1281" s="267"/>
    </row>
    <row r="1282" spans="6:22">
      <c r="F1282" s="262"/>
      <c r="G1282" s="263"/>
      <c r="H1282" s="264"/>
      <c r="I1282" s="264"/>
      <c r="J1282" s="264"/>
      <c r="K1282" s="264"/>
      <c r="L1282" s="264"/>
      <c r="M1282" s="264"/>
      <c r="N1282" s="263"/>
      <c r="O1282" s="265"/>
      <c r="P1282" s="264"/>
      <c r="Q1282" s="263"/>
      <c r="R1282" s="263"/>
      <c r="S1282" s="266"/>
      <c r="T1282" s="266"/>
      <c r="U1282" s="266"/>
      <c r="V1282" s="267"/>
    </row>
    <row r="1283" spans="6:22">
      <c r="F1283" s="262"/>
      <c r="G1283" s="263"/>
      <c r="H1283" s="264"/>
      <c r="I1283" s="264"/>
      <c r="J1283" s="264"/>
      <c r="K1283" s="264"/>
      <c r="L1283" s="264"/>
      <c r="M1283" s="264"/>
      <c r="N1283" s="263"/>
      <c r="O1283" s="265"/>
      <c r="P1283" s="264"/>
      <c r="Q1283" s="263"/>
      <c r="R1283" s="263"/>
      <c r="S1283" s="266"/>
      <c r="T1283" s="266"/>
      <c r="U1283" s="266"/>
      <c r="V1283" s="267"/>
    </row>
    <row r="1284" spans="6:22">
      <c r="F1284" s="262"/>
      <c r="G1284" s="263"/>
      <c r="H1284" s="264"/>
      <c r="I1284" s="264"/>
      <c r="J1284" s="264"/>
      <c r="K1284" s="264"/>
      <c r="L1284" s="264"/>
      <c r="M1284" s="264"/>
      <c r="N1284" s="263"/>
      <c r="O1284" s="265"/>
      <c r="P1284" s="264"/>
      <c r="Q1284" s="263"/>
      <c r="R1284" s="263"/>
      <c r="S1284" s="266"/>
      <c r="T1284" s="266"/>
      <c r="U1284" s="266"/>
      <c r="V1284" s="267"/>
    </row>
    <row r="1285" spans="6:22">
      <c r="F1285" s="262"/>
      <c r="G1285" s="263"/>
      <c r="H1285" s="264"/>
      <c r="I1285" s="264"/>
      <c r="J1285" s="264"/>
      <c r="K1285" s="264"/>
      <c r="L1285" s="264"/>
      <c r="M1285" s="264"/>
      <c r="N1285" s="263"/>
      <c r="O1285" s="265"/>
      <c r="P1285" s="264"/>
      <c r="Q1285" s="263"/>
      <c r="R1285" s="263"/>
      <c r="S1285" s="266"/>
      <c r="T1285" s="266"/>
      <c r="U1285" s="266"/>
      <c r="V1285" s="267"/>
    </row>
    <row r="1286" spans="6:22">
      <c r="F1286" s="262"/>
      <c r="G1286" s="263"/>
      <c r="H1286" s="264"/>
      <c r="I1286" s="264"/>
      <c r="J1286" s="264"/>
      <c r="K1286" s="264"/>
      <c r="L1286" s="264"/>
      <c r="M1286" s="264"/>
      <c r="N1286" s="263"/>
      <c r="O1286" s="265"/>
      <c r="P1286" s="264"/>
      <c r="Q1286" s="263"/>
      <c r="R1286" s="263"/>
      <c r="S1286" s="266"/>
      <c r="T1286" s="266"/>
      <c r="U1286" s="266"/>
      <c r="V1286" s="267"/>
    </row>
    <row r="1287" spans="6:22">
      <c r="F1287" s="262"/>
      <c r="G1287" s="263"/>
      <c r="H1287" s="264"/>
      <c r="I1287" s="264"/>
      <c r="J1287" s="264"/>
      <c r="K1287" s="264"/>
      <c r="L1287" s="264"/>
      <c r="M1287" s="264"/>
      <c r="N1287" s="263"/>
      <c r="O1287" s="265"/>
      <c r="P1287" s="264"/>
      <c r="Q1287" s="263"/>
      <c r="R1287" s="263"/>
      <c r="S1287" s="266"/>
      <c r="T1287" s="266"/>
      <c r="U1287" s="266"/>
      <c r="V1287" s="267"/>
    </row>
    <row r="1288" spans="6:22">
      <c r="F1288" s="262"/>
      <c r="G1288" s="263"/>
      <c r="H1288" s="264"/>
      <c r="I1288" s="264"/>
      <c r="J1288" s="264"/>
      <c r="K1288" s="264"/>
      <c r="L1288" s="264"/>
      <c r="M1288" s="264"/>
      <c r="N1288" s="263"/>
      <c r="O1288" s="265"/>
      <c r="P1288" s="264"/>
      <c r="Q1288" s="263"/>
      <c r="R1288" s="263"/>
      <c r="S1288" s="266"/>
      <c r="T1288" s="266"/>
      <c r="U1288" s="266"/>
      <c r="V1288" s="267"/>
    </row>
    <row r="1289" spans="6:22">
      <c r="F1289" s="262"/>
      <c r="G1289" s="263"/>
      <c r="H1289" s="264"/>
      <c r="I1289" s="264"/>
      <c r="J1289" s="264"/>
      <c r="K1289" s="264"/>
      <c r="L1289" s="264"/>
      <c r="M1289" s="264"/>
      <c r="N1289" s="263"/>
      <c r="O1289" s="265"/>
      <c r="P1289" s="264"/>
      <c r="Q1289" s="263"/>
      <c r="R1289" s="263"/>
      <c r="S1289" s="266"/>
      <c r="T1289" s="266"/>
      <c r="U1289" s="266"/>
      <c r="V1289" s="267"/>
    </row>
    <row r="1290" spans="6:22">
      <c r="F1290" s="262"/>
      <c r="G1290" s="263"/>
      <c r="H1290" s="264"/>
      <c r="I1290" s="264"/>
      <c r="J1290" s="264"/>
      <c r="K1290" s="264"/>
      <c r="L1290" s="264"/>
      <c r="M1290" s="264"/>
      <c r="N1290" s="263"/>
      <c r="O1290" s="265"/>
      <c r="P1290" s="264"/>
      <c r="Q1290" s="263"/>
      <c r="R1290" s="263"/>
      <c r="S1290" s="266"/>
      <c r="T1290" s="266"/>
      <c r="U1290" s="266"/>
      <c r="V1290" s="267"/>
    </row>
    <row r="1291" spans="6:22">
      <c r="F1291" s="262"/>
      <c r="G1291" s="263"/>
      <c r="H1291" s="264"/>
      <c r="I1291" s="264"/>
      <c r="J1291" s="264"/>
      <c r="K1291" s="264"/>
      <c r="L1291" s="264"/>
      <c r="M1291" s="264"/>
      <c r="N1291" s="263"/>
      <c r="O1291" s="265"/>
      <c r="P1291" s="264"/>
      <c r="Q1291" s="263"/>
      <c r="R1291" s="263"/>
      <c r="S1291" s="266"/>
      <c r="T1291" s="266"/>
      <c r="U1291" s="266"/>
      <c r="V1291" s="267"/>
    </row>
    <row r="1292" spans="6:22">
      <c r="F1292" s="262"/>
      <c r="G1292" s="263"/>
      <c r="H1292" s="264"/>
      <c r="I1292" s="264"/>
      <c r="J1292" s="264"/>
      <c r="K1292" s="264"/>
      <c r="L1292" s="264"/>
      <c r="M1292" s="264"/>
      <c r="N1292" s="263"/>
      <c r="O1292" s="265"/>
      <c r="P1292" s="264"/>
      <c r="Q1292" s="263"/>
      <c r="R1292" s="263"/>
      <c r="S1292" s="266"/>
      <c r="T1292" s="266"/>
      <c r="U1292" s="266"/>
      <c r="V1292" s="267"/>
    </row>
    <row r="1293" spans="6:22">
      <c r="F1293" s="262"/>
      <c r="G1293" s="263"/>
      <c r="H1293" s="264"/>
      <c r="I1293" s="264"/>
      <c r="J1293" s="264"/>
      <c r="K1293" s="264"/>
      <c r="L1293" s="264"/>
      <c r="M1293" s="264"/>
      <c r="N1293" s="263"/>
      <c r="O1293" s="265"/>
      <c r="P1293" s="264"/>
      <c r="Q1293" s="263"/>
      <c r="R1293" s="263"/>
      <c r="S1293" s="266"/>
      <c r="T1293" s="266"/>
      <c r="U1293" s="266"/>
      <c r="V1293" s="267"/>
    </row>
    <row r="1294" spans="6:22">
      <c r="F1294" s="262"/>
      <c r="G1294" s="263"/>
      <c r="H1294" s="264"/>
      <c r="I1294" s="264"/>
      <c r="J1294" s="264"/>
      <c r="K1294" s="264"/>
      <c r="L1294" s="264"/>
      <c r="M1294" s="264"/>
      <c r="N1294" s="263"/>
      <c r="O1294" s="265"/>
      <c r="P1294" s="264"/>
      <c r="Q1294" s="263"/>
      <c r="R1294" s="263"/>
      <c r="S1294" s="266"/>
      <c r="T1294" s="266"/>
      <c r="U1294" s="266"/>
      <c r="V1294" s="267"/>
    </row>
    <row r="1295" spans="6:22">
      <c r="F1295" s="262"/>
      <c r="G1295" s="263"/>
      <c r="H1295" s="264"/>
      <c r="I1295" s="264"/>
      <c r="J1295" s="264"/>
      <c r="K1295" s="264"/>
      <c r="L1295" s="264"/>
      <c r="M1295" s="264"/>
      <c r="N1295" s="263"/>
      <c r="O1295" s="265"/>
      <c r="P1295" s="264"/>
      <c r="Q1295" s="263"/>
      <c r="R1295" s="263"/>
      <c r="S1295" s="266"/>
      <c r="T1295" s="266"/>
      <c r="U1295" s="266"/>
      <c r="V1295" s="267"/>
    </row>
    <row r="1296" spans="6:22">
      <c r="F1296" s="262"/>
      <c r="G1296" s="263"/>
      <c r="H1296" s="264"/>
      <c r="I1296" s="264"/>
      <c r="J1296" s="264"/>
      <c r="K1296" s="264"/>
      <c r="L1296" s="264"/>
      <c r="M1296" s="264"/>
      <c r="N1296" s="263"/>
      <c r="O1296" s="265"/>
      <c r="P1296" s="264"/>
      <c r="Q1296" s="263"/>
      <c r="R1296" s="263"/>
      <c r="S1296" s="266"/>
      <c r="T1296" s="266"/>
      <c r="U1296" s="266"/>
      <c r="V1296" s="267"/>
    </row>
    <row r="1297" spans="6:22">
      <c r="F1297" s="262"/>
      <c r="G1297" s="263"/>
      <c r="H1297" s="264"/>
      <c r="I1297" s="264"/>
      <c r="J1297" s="264"/>
      <c r="K1297" s="264"/>
      <c r="L1297" s="264"/>
      <c r="M1297" s="264"/>
      <c r="N1297" s="263"/>
      <c r="O1297" s="265"/>
      <c r="P1297" s="264"/>
      <c r="Q1297" s="263"/>
      <c r="R1297" s="263"/>
      <c r="S1297" s="266"/>
      <c r="T1297" s="266"/>
      <c r="U1297" s="266"/>
      <c r="V1297" s="267"/>
    </row>
    <row r="1298" spans="6:22">
      <c r="F1298" s="262"/>
      <c r="G1298" s="263"/>
      <c r="H1298" s="264"/>
      <c r="I1298" s="264"/>
      <c r="J1298" s="264"/>
      <c r="K1298" s="264"/>
      <c r="L1298" s="264"/>
      <c r="M1298" s="264"/>
      <c r="N1298" s="263"/>
      <c r="O1298" s="265"/>
      <c r="P1298" s="264"/>
      <c r="Q1298" s="263"/>
      <c r="R1298" s="263"/>
      <c r="S1298" s="266"/>
      <c r="T1298" s="266"/>
      <c r="U1298" s="266"/>
      <c r="V1298" s="267"/>
    </row>
    <row r="1299" spans="6:22">
      <c r="F1299" s="262"/>
      <c r="G1299" s="263"/>
      <c r="H1299" s="264"/>
      <c r="I1299" s="264"/>
      <c r="J1299" s="264"/>
      <c r="K1299" s="264"/>
      <c r="L1299" s="264"/>
      <c r="M1299" s="264"/>
      <c r="N1299" s="263"/>
      <c r="O1299" s="265"/>
      <c r="P1299" s="264"/>
      <c r="Q1299" s="263"/>
      <c r="R1299" s="263"/>
      <c r="S1299" s="266"/>
      <c r="T1299" s="266"/>
      <c r="U1299" s="266"/>
      <c r="V1299" s="267"/>
    </row>
    <row r="1300" spans="6:22">
      <c r="F1300" s="262"/>
      <c r="G1300" s="263"/>
      <c r="H1300" s="264"/>
      <c r="I1300" s="264"/>
      <c r="J1300" s="264"/>
      <c r="K1300" s="264"/>
      <c r="L1300" s="264"/>
      <c r="M1300" s="264"/>
      <c r="N1300" s="263"/>
      <c r="O1300" s="265"/>
      <c r="P1300" s="264"/>
      <c r="Q1300" s="263"/>
      <c r="R1300" s="263"/>
      <c r="S1300" s="266"/>
      <c r="T1300" s="266"/>
      <c r="U1300" s="266"/>
      <c r="V1300" s="267"/>
    </row>
    <row r="1301" spans="6:22">
      <c r="F1301" s="262"/>
      <c r="G1301" s="263"/>
      <c r="H1301" s="264"/>
      <c r="I1301" s="264"/>
      <c r="J1301" s="264"/>
      <c r="K1301" s="264"/>
      <c r="L1301" s="264"/>
      <c r="M1301" s="264"/>
      <c r="N1301" s="263"/>
      <c r="O1301" s="265"/>
      <c r="P1301" s="264"/>
      <c r="Q1301" s="263"/>
      <c r="R1301" s="263"/>
      <c r="S1301" s="266"/>
      <c r="T1301" s="266"/>
      <c r="U1301" s="266"/>
      <c r="V1301" s="267"/>
    </row>
    <row r="1302" spans="6:22">
      <c r="F1302" s="262"/>
      <c r="G1302" s="263"/>
      <c r="H1302" s="264"/>
      <c r="I1302" s="264"/>
      <c r="J1302" s="264"/>
      <c r="K1302" s="264"/>
      <c r="L1302" s="264"/>
      <c r="M1302" s="264"/>
      <c r="N1302" s="263"/>
      <c r="O1302" s="265"/>
      <c r="P1302" s="264"/>
      <c r="Q1302" s="263"/>
      <c r="R1302" s="263"/>
      <c r="S1302" s="266"/>
      <c r="T1302" s="266"/>
      <c r="U1302" s="266"/>
      <c r="V1302" s="267"/>
    </row>
    <row r="1303" spans="6:22">
      <c r="F1303" s="262"/>
      <c r="G1303" s="263"/>
      <c r="H1303" s="264"/>
      <c r="I1303" s="264"/>
      <c r="J1303" s="264"/>
      <c r="K1303" s="264"/>
      <c r="L1303" s="264"/>
      <c r="M1303" s="264"/>
      <c r="N1303" s="263"/>
      <c r="O1303" s="265"/>
      <c r="P1303" s="264"/>
      <c r="Q1303" s="263"/>
      <c r="R1303" s="263"/>
      <c r="S1303" s="266"/>
      <c r="T1303" s="266"/>
      <c r="U1303" s="266"/>
      <c r="V1303" s="267"/>
    </row>
    <row r="1304" spans="6:22">
      <c r="F1304" s="262"/>
      <c r="G1304" s="263"/>
      <c r="H1304" s="264"/>
      <c r="I1304" s="264"/>
      <c r="J1304" s="264"/>
      <c r="K1304" s="264"/>
      <c r="L1304" s="264"/>
      <c r="M1304" s="264"/>
      <c r="N1304" s="263"/>
      <c r="O1304" s="265"/>
      <c r="P1304" s="264"/>
      <c r="Q1304" s="263"/>
      <c r="R1304" s="263"/>
      <c r="S1304" s="266"/>
      <c r="T1304" s="266"/>
      <c r="U1304" s="266"/>
      <c r="V1304" s="267"/>
    </row>
    <row r="1305" spans="6:22">
      <c r="F1305" s="262"/>
      <c r="G1305" s="263"/>
      <c r="H1305" s="264"/>
      <c r="I1305" s="264"/>
      <c r="J1305" s="264"/>
      <c r="K1305" s="264"/>
      <c r="L1305" s="264"/>
      <c r="M1305" s="264"/>
      <c r="N1305" s="263"/>
      <c r="O1305" s="265"/>
      <c r="P1305" s="264"/>
      <c r="Q1305" s="263"/>
      <c r="R1305" s="263"/>
      <c r="S1305" s="266"/>
      <c r="T1305" s="266"/>
      <c r="U1305" s="266"/>
      <c r="V1305" s="267"/>
    </row>
    <row r="1306" spans="6:22">
      <c r="F1306" s="262"/>
      <c r="G1306" s="263"/>
      <c r="H1306" s="264"/>
      <c r="I1306" s="264"/>
      <c r="J1306" s="264"/>
      <c r="K1306" s="264"/>
      <c r="L1306" s="264"/>
      <c r="M1306" s="264"/>
      <c r="N1306" s="263"/>
      <c r="O1306" s="265"/>
      <c r="P1306" s="264"/>
      <c r="Q1306" s="263"/>
      <c r="R1306" s="263"/>
      <c r="S1306" s="266"/>
      <c r="T1306" s="266"/>
      <c r="U1306" s="266"/>
      <c r="V1306" s="267"/>
    </row>
    <row r="1307" spans="6:22">
      <c r="F1307" s="262"/>
      <c r="G1307" s="263"/>
      <c r="H1307" s="264"/>
      <c r="I1307" s="264"/>
      <c r="J1307" s="264"/>
      <c r="K1307" s="264"/>
      <c r="L1307" s="264"/>
      <c r="M1307" s="264"/>
      <c r="N1307" s="263"/>
      <c r="O1307" s="265"/>
      <c r="P1307" s="264"/>
      <c r="Q1307" s="263"/>
      <c r="R1307" s="263"/>
      <c r="S1307" s="266"/>
      <c r="T1307" s="266"/>
      <c r="U1307" s="266"/>
      <c r="V1307" s="267"/>
    </row>
    <row r="1308" spans="6:22">
      <c r="F1308" s="262"/>
      <c r="G1308" s="263"/>
      <c r="H1308" s="264"/>
      <c r="I1308" s="264"/>
      <c r="J1308" s="264"/>
      <c r="K1308" s="264"/>
      <c r="L1308" s="264"/>
      <c r="M1308" s="264"/>
      <c r="N1308" s="263"/>
      <c r="O1308" s="265"/>
      <c r="P1308" s="264"/>
      <c r="Q1308" s="263"/>
      <c r="R1308" s="263"/>
      <c r="S1308" s="266"/>
      <c r="T1308" s="266"/>
      <c r="U1308" s="266"/>
      <c r="V1308" s="267"/>
    </row>
    <row r="1309" spans="6:22">
      <c r="F1309" s="262"/>
      <c r="G1309" s="263"/>
      <c r="H1309" s="264"/>
      <c r="I1309" s="264"/>
      <c r="J1309" s="264"/>
      <c r="K1309" s="264"/>
      <c r="L1309" s="264"/>
      <c r="M1309" s="264"/>
      <c r="N1309" s="263"/>
      <c r="O1309" s="265"/>
      <c r="P1309" s="264"/>
      <c r="Q1309" s="263"/>
      <c r="R1309" s="263"/>
      <c r="S1309" s="266"/>
      <c r="T1309" s="266"/>
      <c r="U1309" s="266"/>
      <c r="V1309" s="267"/>
    </row>
    <row r="1310" spans="6:22">
      <c r="F1310" s="262"/>
      <c r="G1310" s="263"/>
      <c r="H1310" s="264"/>
      <c r="I1310" s="264"/>
      <c r="J1310" s="264"/>
      <c r="K1310" s="264"/>
      <c r="L1310" s="264"/>
      <c r="M1310" s="264"/>
      <c r="N1310" s="263"/>
      <c r="O1310" s="265"/>
      <c r="P1310" s="264"/>
      <c r="Q1310" s="263"/>
      <c r="R1310" s="263"/>
      <c r="S1310" s="266"/>
      <c r="T1310" s="266"/>
      <c r="U1310" s="266"/>
      <c r="V1310" s="267"/>
    </row>
    <row r="1311" spans="6:22">
      <c r="F1311" s="262"/>
      <c r="G1311" s="263"/>
      <c r="H1311" s="264"/>
      <c r="I1311" s="264"/>
      <c r="J1311" s="264"/>
      <c r="K1311" s="264"/>
      <c r="L1311" s="264"/>
      <c r="M1311" s="264"/>
      <c r="N1311" s="263"/>
      <c r="O1311" s="265"/>
      <c r="P1311" s="264"/>
      <c r="Q1311" s="263"/>
      <c r="R1311" s="263"/>
      <c r="S1311" s="266"/>
      <c r="T1311" s="266"/>
      <c r="U1311" s="266"/>
      <c r="V1311" s="267"/>
    </row>
    <row r="1312" spans="6:22">
      <c r="F1312" s="262"/>
      <c r="G1312" s="263"/>
      <c r="H1312" s="264"/>
      <c r="I1312" s="264"/>
      <c r="J1312" s="264"/>
      <c r="K1312" s="264"/>
      <c r="L1312" s="264"/>
      <c r="M1312" s="264"/>
      <c r="N1312" s="263"/>
      <c r="O1312" s="265"/>
      <c r="P1312" s="264"/>
      <c r="Q1312" s="263"/>
      <c r="R1312" s="263"/>
      <c r="S1312" s="266"/>
      <c r="T1312" s="266"/>
      <c r="U1312" s="266"/>
      <c r="V1312" s="267"/>
    </row>
    <row r="1313" spans="6:22">
      <c r="F1313" s="262"/>
      <c r="G1313" s="263"/>
      <c r="H1313" s="264"/>
      <c r="I1313" s="264"/>
      <c r="J1313" s="264"/>
      <c r="K1313" s="264"/>
      <c r="L1313" s="264"/>
      <c r="M1313" s="264"/>
      <c r="N1313" s="263"/>
      <c r="O1313" s="265"/>
      <c r="P1313" s="264"/>
      <c r="Q1313" s="263"/>
      <c r="R1313" s="263"/>
      <c r="S1313" s="266"/>
      <c r="T1313" s="266"/>
      <c r="U1313" s="266"/>
      <c r="V1313" s="267"/>
    </row>
    <row r="1314" spans="6:22">
      <c r="F1314" s="262"/>
      <c r="G1314" s="263"/>
      <c r="H1314" s="264"/>
      <c r="I1314" s="264"/>
      <c r="J1314" s="264"/>
      <c r="K1314" s="264"/>
      <c r="L1314" s="264"/>
      <c r="M1314" s="264"/>
      <c r="N1314" s="263"/>
      <c r="O1314" s="265"/>
      <c r="P1314" s="264"/>
      <c r="Q1314" s="263"/>
      <c r="R1314" s="263"/>
      <c r="S1314" s="266"/>
      <c r="T1314" s="266"/>
      <c r="U1314" s="266"/>
      <c r="V1314" s="267"/>
    </row>
    <row r="1315" spans="6:22">
      <c r="F1315" s="262"/>
      <c r="G1315" s="263"/>
      <c r="H1315" s="264"/>
      <c r="I1315" s="264"/>
      <c r="J1315" s="264"/>
      <c r="K1315" s="264"/>
      <c r="L1315" s="264"/>
      <c r="M1315" s="264"/>
      <c r="N1315" s="263"/>
      <c r="O1315" s="265"/>
      <c r="P1315" s="264"/>
      <c r="Q1315" s="263"/>
      <c r="R1315" s="263"/>
      <c r="S1315" s="266"/>
      <c r="T1315" s="266"/>
      <c r="U1315" s="266"/>
      <c r="V1315" s="267"/>
    </row>
    <row r="1316" spans="6:22">
      <c r="F1316" s="262"/>
      <c r="G1316" s="263"/>
      <c r="H1316" s="264"/>
      <c r="I1316" s="264"/>
      <c r="J1316" s="264"/>
      <c r="K1316" s="264"/>
      <c r="L1316" s="264"/>
      <c r="M1316" s="264"/>
      <c r="N1316" s="263"/>
      <c r="O1316" s="265"/>
      <c r="P1316" s="264"/>
      <c r="Q1316" s="263"/>
      <c r="R1316" s="263"/>
      <c r="S1316" s="266"/>
      <c r="T1316" s="266"/>
      <c r="U1316" s="266"/>
      <c r="V1316" s="267"/>
    </row>
    <row r="1317" spans="6:22">
      <c r="F1317" s="262"/>
      <c r="G1317" s="263"/>
      <c r="H1317" s="264"/>
      <c r="I1317" s="264"/>
      <c r="J1317" s="264"/>
      <c r="K1317" s="264"/>
      <c r="L1317" s="264"/>
      <c r="M1317" s="264"/>
      <c r="N1317" s="263"/>
      <c r="O1317" s="265"/>
      <c r="P1317" s="264"/>
      <c r="Q1317" s="263"/>
      <c r="R1317" s="263"/>
      <c r="S1317" s="266"/>
      <c r="T1317" s="266"/>
      <c r="U1317" s="266"/>
      <c r="V1317" s="267"/>
    </row>
    <row r="1318" spans="6:22">
      <c r="F1318" s="262"/>
      <c r="G1318" s="263"/>
      <c r="H1318" s="264"/>
      <c r="I1318" s="264"/>
      <c r="J1318" s="264"/>
      <c r="K1318" s="264"/>
      <c r="L1318" s="264"/>
      <c r="M1318" s="264"/>
      <c r="N1318" s="263"/>
      <c r="O1318" s="265"/>
      <c r="P1318" s="264"/>
      <c r="Q1318" s="263"/>
      <c r="R1318" s="263"/>
      <c r="S1318" s="266"/>
      <c r="T1318" s="266"/>
      <c r="U1318" s="266"/>
      <c r="V1318" s="267"/>
    </row>
    <row r="1319" spans="6:22">
      <c r="F1319" s="262"/>
      <c r="G1319" s="263"/>
      <c r="H1319" s="264"/>
      <c r="I1319" s="264"/>
      <c r="J1319" s="264"/>
      <c r="K1319" s="264"/>
      <c r="L1319" s="264"/>
      <c r="M1319" s="264"/>
      <c r="N1319" s="263"/>
      <c r="O1319" s="265"/>
      <c r="P1319" s="264"/>
      <c r="Q1319" s="263"/>
      <c r="R1319" s="263"/>
      <c r="S1319" s="266"/>
      <c r="T1319" s="266"/>
      <c r="U1319" s="266"/>
      <c r="V1319" s="267"/>
    </row>
    <row r="1320" spans="6:22">
      <c r="F1320" s="262"/>
      <c r="G1320" s="263"/>
      <c r="H1320" s="264"/>
      <c r="I1320" s="264"/>
      <c r="J1320" s="264"/>
      <c r="K1320" s="264"/>
      <c r="L1320" s="264"/>
      <c r="M1320" s="264"/>
      <c r="N1320" s="263"/>
      <c r="O1320" s="265"/>
      <c r="P1320" s="264"/>
      <c r="Q1320" s="263"/>
      <c r="R1320" s="263"/>
      <c r="S1320" s="266"/>
      <c r="T1320" s="266"/>
      <c r="U1320" s="266"/>
      <c r="V1320" s="267"/>
    </row>
    <row r="1321" spans="6:22">
      <c r="F1321" s="262"/>
      <c r="G1321" s="263"/>
      <c r="H1321" s="264"/>
      <c r="I1321" s="264"/>
      <c r="J1321" s="264"/>
      <c r="K1321" s="264"/>
      <c r="L1321" s="264"/>
      <c r="M1321" s="264"/>
      <c r="N1321" s="263"/>
      <c r="O1321" s="265"/>
      <c r="P1321" s="264"/>
      <c r="Q1321" s="263"/>
      <c r="R1321" s="263"/>
      <c r="S1321" s="266"/>
      <c r="T1321" s="266"/>
      <c r="U1321" s="266"/>
      <c r="V1321" s="267"/>
    </row>
    <row r="1322" spans="6:22">
      <c r="F1322" s="262"/>
      <c r="G1322" s="263"/>
      <c r="H1322" s="264"/>
      <c r="I1322" s="264"/>
      <c r="J1322" s="264"/>
      <c r="K1322" s="264"/>
      <c r="L1322" s="264"/>
      <c r="M1322" s="264"/>
      <c r="N1322" s="263"/>
      <c r="O1322" s="265"/>
      <c r="P1322" s="264"/>
      <c r="Q1322" s="263"/>
      <c r="R1322" s="263"/>
      <c r="S1322" s="266"/>
      <c r="T1322" s="266"/>
      <c r="U1322" s="266"/>
      <c r="V1322" s="267"/>
    </row>
    <row r="1323" spans="6:22">
      <c r="F1323" s="262"/>
      <c r="G1323" s="263"/>
      <c r="H1323" s="264"/>
      <c r="I1323" s="264"/>
      <c r="J1323" s="264"/>
      <c r="K1323" s="264"/>
      <c r="L1323" s="264"/>
      <c r="M1323" s="264"/>
      <c r="N1323" s="263"/>
      <c r="O1323" s="265"/>
      <c r="P1323" s="264"/>
      <c r="Q1323" s="263"/>
      <c r="R1323" s="263"/>
      <c r="S1323" s="266"/>
      <c r="T1323" s="266"/>
      <c r="U1323" s="266"/>
      <c r="V1323" s="267"/>
    </row>
    <row r="1324" spans="6:22">
      <c r="F1324" s="262"/>
      <c r="G1324" s="263"/>
      <c r="H1324" s="264"/>
      <c r="I1324" s="264"/>
      <c r="J1324" s="264"/>
      <c r="K1324" s="264"/>
      <c r="L1324" s="264"/>
      <c r="M1324" s="264"/>
      <c r="N1324" s="263"/>
      <c r="O1324" s="265"/>
      <c r="P1324" s="264"/>
      <c r="Q1324" s="263"/>
      <c r="R1324" s="263"/>
      <c r="S1324" s="266"/>
      <c r="T1324" s="266"/>
      <c r="U1324" s="266"/>
      <c r="V1324" s="267"/>
    </row>
    <row r="1325" spans="6:22">
      <c r="F1325" s="262"/>
      <c r="G1325" s="263"/>
      <c r="H1325" s="264"/>
      <c r="I1325" s="264"/>
      <c r="J1325" s="264"/>
      <c r="K1325" s="264"/>
      <c r="L1325" s="264"/>
      <c r="M1325" s="264"/>
      <c r="N1325" s="263"/>
      <c r="O1325" s="265"/>
      <c r="P1325" s="264"/>
      <c r="Q1325" s="263"/>
      <c r="R1325" s="263"/>
      <c r="S1325" s="266"/>
      <c r="T1325" s="266"/>
      <c r="U1325" s="266"/>
      <c r="V1325" s="267"/>
    </row>
    <row r="1326" spans="6:22">
      <c r="F1326" s="262"/>
      <c r="G1326" s="263"/>
      <c r="H1326" s="264"/>
      <c r="I1326" s="264"/>
      <c r="J1326" s="264"/>
      <c r="K1326" s="264"/>
      <c r="L1326" s="264"/>
      <c r="M1326" s="264"/>
      <c r="N1326" s="263"/>
      <c r="O1326" s="265"/>
      <c r="P1326" s="264"/>
      <c r="Q1326" s="263"/>
      <c r="R1326" s="263"/>
      <c r="S1326" s="266"/>
      <c r="T1326" s="266"/>
      <c r="U1326" s="266"/>
      <c r="V1326" s="267"/>
    </row>
    <row r="1327" spans="6:22">
      <c r="F1327" s="262"/>
      <c r="G1327" s="263"/>
      <c r="H1327" s="264"/>
      <c r="I1327" s="264"/>
      <c r="J1327" s="264"/>
      <c r="K1327" s="264"/>
      <c r="L1327" s="264"/>
      <c r="M1327" s="264"/>
      <c r="N1327" s="263"/>
      <c r="O1327" s="265"/>
      <c r="P1327" s="264"/>
      <c r="Q1327" s="263"/>
      <c r="R1327" s="263"/>
      <c r="S1327" s="266"/>
      <c r="T1327" s="266"/>
      <c r="U1327" s="266"/>
      <c r="V1327" s="267"/>
    </row>
    <row r="1328" spans="6:22">
      <c r="F1328" s="262"/>
      <c r="G1328" s="263"/>
      <c r="H1328" s="264"/>
      <c r="I1328" s="264"/>
      <c r="J1328" s="264"/>
      <c r="K1328" s="264"/>
      <c r="L1328" s="264"/>
      <c r="M1328" s="264"/>
      <c r="N1328" s="263"/>
      <c r="O1328" s="265"/>
      <c r="P1328" s="264"/>
      <c r="Q1328" s="263"/>
      <c r="R1328" s="263"/>
      <c r="S1328" s="266"/>
      <c r="T1328" s="266"/>
      <c r="U1328" s="266"/>
      <c r="V1328" s="267"/>
    </row>
    <row r="1329" spans="6:22">
      <c r="F1329" s="262"/>
      <c r="G1329" s="263"/>
      <c r="H1329" s="264"/>
      <c r="I1329" s="264"/>
      <c r="J1329" s="264"/>
      <c r="K1329" s="264"/>
      <c r="L1329" s="264"/>
      <c r="M1329" s="264"/>
      <c r="N1329" s="263"/>
      <c r="O1329" s="265"/>
      <c r="P1329" s="264"/>
      <c r="Q1329" s="263"/>
      <c r="R1329" s="263"/>
      <c r="S1329" s="266"/>
      <c r="T1329" s="266"/>
      <c r="U1329" s="266"/>
      <c r="V1329" s="267"/>
    </row>
    <row r="1330" spans="6:22">
      <c r="F1330" s="262"/>
      <c r="G1330" s="263"/>
      <c r="H1330" s="264"/>
      <c r="I1330" s="264"/>
      <c r="J1330" s="264"/>
      <c r="K1330" s="264"/>
      <c r="L1330" s="264"/>
      <c r="M1330" s="264"/>
      <c r="N1330" s="263"/>
      <c r="O1330" s="265"/>
      <c r="P1330" s="264"/>
      <c r="Q1330" s="263"/>
      <c r="R1330" s="263"/>
      <c r="S1330" s="266"/>
      <c r="T1330" s="266"/>
      <c r="U1330" s="266"/>
      <c r="V1330" s="267"/>
    </row>
    <row r="1331" spans="6:22">
      <c r="F1331" s="262"/>
      <c r="G1331" s="263"/>
      <c r="H1331" s="264"/>
      <c r="I1331" s="264"/>
      <c r="J1331" s="264"/>
      <c r="K1331" s="264"/>
      <c r="L1331" s="264"/>
      <c r="M1331" s="264"/>
      <c r="N1331" s="263"/>
      <c r="O1331" s="265"/>
      <c r="P1331" s="264"/>
      <c r="Q1331" s="263"/>
      <c r="R1331" s="263"/>
      <c r="S1331" s="266"/>
      <c r="T1331" s="266"/>
      <c r="U1331" s="266"/>
      <c r="V1331" s="267"/>
    </row>
    <row r="1332" spans="6:22">
      <c r="F1332" s="262"/>
      <c r="G1332" s="263"/>
      <c r="H1332" s="264"/>
      <c r="I1332" s="264"/>
      <c r="J1332" s="264"/>
      <c r="K1332" s="264"/>
      <c r="L1332" s="264"/>
      <c r="M1332" s="264"/>
      <c r="N1332" s="263"/>
      <c r="O1332" s="265"/>
      <c r="P1332" s="264"/>
      <c r="Q1332" s="263"/>
      <c r="R1332" s="263"/>
      <c r="S1332" s="266"/>
      <c r="T1332" s="266"/>
      <c r="U1332" s="266"/>
      <c r="V1332" s="267"/>
    </row>
    <row r="1333" spans="6:22">
      <c r="F1333" s="262"/>
      <c r="G1333" s="263"/>
      <c r="H1333" s="264"/>
      <c r="I1333" s="264"/>
      <c r="J1333" s="264"/>
      <c r="K1333" s="264"/>
      <c r="L1333" s="264"/>
      <c r="M1333" s="264"/>
      <c r="N1333" s="263"/>
      <c r="O1333" s="265"/>
      <c r="P1333" s="264"/>
      <c r="Q1333" s="263"/>
      <c r="R1333" s="263"/>
      <c r="S1333" s="266"/>
      <c r="T1333" s="266"/>
      <c r="U1333" s="266"/>
      <c r="V1333" s="267"/>
    </row>
    <row r="1334" spans="6:22">
      <c r="F1334" s="262"/>
      <c r="G1334" s="263"/>
      <c r="H1334" s="264"/>
      <c r="I1334" s="264"/>
      <c r="J1334" s="264"/>
      <c r="K1334" s="264"/>
      <c r="L1334" s="264"/>
      <c r="M1334" s="264"/>
      <c r="N1334" s="263"/>
      <c r="O1334" s="265"/>
      <c r="P1334" s="264"/>
      <c r="Q1334" s="263"/>
      <c r="R1334" s="263"/>
      <c r="S1334" s="266"/>
      <c r="T1334" s="266"/>
      <c r="U1334" s="266"/>
      <c r="V1334" s="267"/>
    </row>
    <row r="1335" spans="6:22">
      <c r="F1335" s="262"/>
      <c r="G1335" s="263"/>
      <c r="H1335" s="264"/>
      <c r="I1335" s="264"/>
      <c r="J1335" s="264"/>
      <c r="K1335" s="264"/>
      <c r="L1335" s="264"/>
      <c r="M1335" s="264"/>
      <c r="N1335" s="263"/>
      <c r="O1335" s="265"/>
      <c r="P1335" s="264"/>
      <c r="Q1335" s="263"/>
      <c r="R1335" s="263"/>
      <c r="S1335" s="266"/>
      <c r="T1335" s="266"/>
      <c r="U1335" s="266"/>
      <c r="V1335" s="267"/>
    </row>
    <row r="1336" spans="6:22">
      <c r="F1336" s="262"/>
      <c r="G1336" s="263"/>
      <c r="H1336" s="264"/>
      <c r="I1336" s="264"/>
      <c r="J1336" s="264"/>
      <c r="K1336" s="264"/>
      <c r="L1336" s="264"/>
      <c r="M1336" s="264"/>
      <c r="N1336" s="263"/>
      <c r="O1336" s="265"/>
      <c r="P1336" s="264"/>
      <c r="Q1336" s="263"/>
      <c r="R1336" s="263"/>
      <c r="S1336" s="266"/>
      <c r="T1336" s="266"/>
      <c r="U1336" s="266"/>
      <c r="V1336" s="267"/>
    </row>
    <row r="1337" spans="6:22">
      <c r="F1337" s="262"/>
      <c r="G1337" s="263"/>
      <c r="H1337" s="264"/>
      <c r="I1337" s="264"/>
      <c r="J1337" s="264"/>
      <c r="K1337" s="264"/>
      <c r="L1337" s="264"/>
      <c r="M1337" s="264"/>
      <c r="N1337" s="263"/>
      <c r="O1337" s="265"/>
      <c r="P1337" s="264"/>
      <c r="Q1337" s="263"/>
      <c r="R1337" s="263"/>
      <c r="S1337" s="266"/>
      <c r="T1337" s="266"/>
      <c r="U1337" s="266"/>
      <c r="V1337" s="267"/>
    </row>
    <row r="1338" spans="6:22">
      <c r="F1338" s="262"/>
      <c r="G1338" s="263"/>
      <c r="H1338" s="264"/>
      <c r="I1338" s="264"/>
      <c r="J1338" s="264"/>
      <c r="K1338" s="264"/>
      <c r="L1338" s="264"/>
      <c r="M1338" s="264"/>
      <c r="N1338" s="263"/>
      <c r="O1338" s="265"/>
      <c r="P1338" s="264"/>
      <c r="Q1338" s="263"/>
      <c r="R1338" s="263"/>
      <c r="S1338" s="266"/>
      <c r="T1338" s="266"/>
      <c r="U1338" s="266"/>
      <c r="V1338" s="267"/>
    </row>
    <row r="1339" spans="6:22">
      <c r="F1339" s="262"/>
      <c r="G1339" s="263"/>
      <c r="H1339" s="264"/>
      <c r="I1339" s="264"/>
      <c r="J1339" s="264"/>
      <c r="K1339" s="264"/>
      <c r="L1339" s="264"/>
      <c r="M1339" s="264"/>
      <c r="N1339" s="263"/>
      <c r="O1339" s="265"/>
      <c r="P1339" s="264"/>
      <c r="Q1339" s="263"/>
      <c r="R1339" s="263"/>
      <c r="S1339" s="266"/>
      <c r="T1339" s="266"/>
      <c r="U1339" s="266"/>
      <c r="V1339" s="267"/>
    </row>
    <row r="1340" spans="6:22">
      <c r="F1340" s="262"/>
      <c r="G1340" s="263"/>
      <c r="H1340" s="264"/>
      <c r="I1340" s="264"/>
      <c r="J1340" s="264"/>
      <c r="K1340" s="264"/>
      <c r="L1340" s="264"/>
      <c r="M1340" s="264"/>
      <c r="N1340" s="263"/>
      <c r="O1340" s="265"/>
      <c r="P1340" s="264"/>
      <c r="Q1340" s="263"/>
      <c r="R1340" s="263"/>
      <c r="S1340" s="266"/>
      <c r="T1340" s="266"/>
      <c r="U1340" s="266"/>
      <c r="V1340" s="267"/>
    </row>
    <row r="1341" spans="6:22">
      <c r="F1341" s="262"/>
      <c r="G1341" s="263"/>
      <c r="H1341" s="264"/>
      <c r="I1341" s="264"/>
      <c r="J1341" s="264"/>
      <c r="K1341" s="264"/>
      <c r="L1341" s="264"/>
      <c r="M1341" s="264"/>
      <c r="N1341" s="263"/>
      <c r="O1341" s="265"/>
      <c r="P1341" s="264"/>
      <c r="Q1341" s="263"/>
      <c r="R1341" s="263"/>
      <c r="S1341" s="266"/>
      <c r="T1341" s="266"/>
      <c r="U1341" s="266"/>
      <c r="V1341" s="267"/>
    </row>
    <row r="1342" spans="6:22">
      <c r="F1342" s="262"/>
      <c r="G1342" s="263"/>
      <c r="H1342" s="264"/>
      <c r="I1342" s="264"/>
      <c r="J1342" s="264"/>
      <c r="K1342" s="264"/>
      <c r="L1342" s="264"/>
      <c r="M1342" s="264"/>
      <c r="N1342" s="263"/>
      <c r="O1342" s="265"/>
      <c r="P1342" s="264"/>
      <c r="Q1342" s="263"/>
      <c r="R1342" s="263"/>
      <c r="S1342" s="266"/>
      <c r="T1342" s="266"/>
      <c r="U1342" s="266"/>
      <c r="V1342" s="267"/>
    </row>
    <row r="1343" spans="6:22">
      <c r="F1343" s="262"/>
      <c r="G1343" s="263"/>
      <c r="H1343" s="264"/>
      <c r="I1343" s="264"/>
      <c r="J1343" s="264"/>
      <c r="K1343" s="264"/>
      <c r="L1343" s="264"/>
      <c r="M1343" s="264"/>
      <c r="N1343" s="263"/>
      <c r="O1343" s="265"/>
      <c r="P1343" s="264"/>
      <c r="Q1343" s="263"/>
      <c r="R1343" s="263"/>
      <c r="S1343" s="266"/>
      <c r="T1343" s="266"/>
      <c r="U1343" s="266"/>
      <c r="V1343" s="267"/>
    </row>
    <row r="1344" spans="6:22">
      <c r="F1344" s="262"/>
      <c r="G1344" s="263"/>
      <c r="H1344" s="264"/>
      <c r="I1344" s="264"/>
      <c r="J1344" s="264"/>
      <c r="K1344" s="264"/>
      <c r="L1344" s="264"/>
      <c r="M1344" s="264"/>
      <c r="N1344" s="263"/>
      <c r="O1344" s="265"/>
      <c r="P1344" s="264"/>
      <c r="Q1344" s="263"/>
      <c r="R1344" s="263"/>
      <c r="S1344" s="266"/>
      <c r="T1344" s="266"/>
      <c r="U1344" s="266"/>
      <c r="V1344" s="267"/>
    </row>
    <row r="1345" spans="6:22">
      <c r="F1345" s="262"/>
      <c r="G1345" s="263"/>
      <c r="H1345" s="264"/>
      <c r="I1345" s="264"/>
      <c r="J1345" s="264"/>
      <c r="K1345" s="264"/>
      <c r="L1345" s="264"/>
      <c r="M1345" s="264"/>
      <c r="N1345" s="263"/>
      <c r="O1345" s="265"/>
      <c r="P1345" s="264"/>
      <c r="Q1345" s="263"/>
      <c r="R1345" s="263"/>
      <c r="S1345" s="266"/>
      <c r="T1345" s="266"/>
      <c r="U1345" s="266"/>
      <c r="V1345" s="267"/>
    </row>
    <row r="1346" spans="6:22">
      <c r="F1346" s="262"/>
      <c r="G1346" s="263"/>
      <c r="H1346" s="264"/>
      <c r="I1346" s="264"/>
      <c r="J1346" s="264"/>
      <c r="K1346" s="264"/>
      <c r="L1346" s="264"/>
      <c r="M1346" s="264"/>
      <c r="N1346" s="263"/>
      <c r="O1346" s="265"/>
      <c r="P1346" s="264"/>
      <c r="Q1346" s="263"/>
      <c r="R1346" s="263"/>
      <c r="S1346" s="266"/>
      <c r="T1346" s="266"/>
      <c r="U1346" s="266"/>
      <c r="V1346" s="267"/>
    </row>
    <row r="1347" spans="6:22">
      <c r="F1347" s="262"/>
      <c r="G1347" s="263"/>
      <c r="H1347" s="264"/>
      <c r="I1347" s="264"/>
      <c r="J1347" s="264"/>
      <c r="K1347" s="264"/>
      <c r="L1347" s="264"/>
      <c r="M1347" s="264"/>
      <c r="N1347" s="263"/>
      <c r="O1347" s="265"/>
      <c r="P1347" s="264"/>
      <c r="Q1347" s="263"/>
      <c r="R1347" s="263"/>
      <c r="S1347" s="266"/>
      <c r="T1347" s="266"/>
      <c r="U1347" s="266"/>
      <c r="V1347" s="267"/>
    </row>
    <row r="1348" spans="6:22">
      <c r="F1348" s="262"/>
      <c r="G1348" s="263"/>
      <c r="H1348" s="264"/>
      <c r="I1348" s="264"/>
      <c r="J1348" s="264"/>
      <c r="K1348" s="264"/>
      <c r="L1348" s="264"/>
      <c r="M1348" s="264"/>
      <c r="N1348" s="263"/>
      <c r="O1348" s="265"/>
      <c r="P1348" s="264"/>
      <c r="Q1348" s="263"/>
      <c r="R1348" s="263"/>
      <c r="S1348" s="266"/>
      <c r="T1348" s="266"/>
      <c r="U1348" s="266"/>
      <c r="V1348" s="267"/>
    </row>
    <row r="1349" spans="6:22">
      <c r="F1349" s="262"/>
      <c r="G1349" s="263"/>
      <c r="H1349" s="264"/>
      <c r="I1349" s="264"/>
      <c r="J1349" s="264"/>
      <c r="K1349" s="264"/>
      <c r="L1349" s="264"/>
      <c r="M1349" s="264"/>
      <c r="N1349" s="263"/>
      <c r="O1349" s="265"/>
      <c r="P1349" s="264"/>
      <c r="Q1349" s="263"/>
      <c r="R1349" s="263"/>
      <c r="S1349" s="266"/>
      <c r="T1349" s="266"/>
      <c r="U1349" s="266"/>
      <c r="V1349" s="267"/>
    </row>
    <row r="1350" spans="6:22">
      <c r="F1350" s="262"/>
      <c r="G1350" s="263"/>
      <c r="H1350" s="264"/>
      <c r="I1350" s="264"/>
      <c r="J1350" s="264"/>
      <c r="K1350" s="264"/>
      <c r="L1350" s="264"/>
      <c r="M1350" s="264"/>
      <c r="N1350" s="263"/>
      <c r="O1350" s="265"/>
      <c r="P1350" s="264"/>
      <c r="Q1350" s="263"/>
      <c r="R1350" s="263"/>
      <c r="S1350" s="266"/>
      <c r="T1350" s="266"/>
      <c r="U1350" s="266"/>
      <c r="V1350" s="267"/>
    </row>
    <row r="1351" spans="6:22">
      <c r="F1351" s="262"/>
      <c r="G1351" s="263"/>
      <c r="H1351" s="264"/>
      <c r="I1351" s="264"/>
      <c r="J1351" s="264"/>
      <c r="K1351" s="264"/>
      <c r="L1351" s="264"/>
      <c r="M1351" s="264"/>
      <c r="N1351" s="263"/>
      <c r="O1351" s="265"/>
      <c r="P1351" s="264"/>
      <c r="Q1351" s="263"/>
      <c r="R1351" s="263"/>
      <c r="S1351" s="266"/>
      <c r="T1351" s="266"/>
      <c r="U1351" s="266"/>
      <c r="V1351" s="267"/>
    </row>
    <row r="1352" spans="6:22">
      <c r="F1352" s="262"/>
      <c r="G1352" s="263"/>
      <c r="H1352" s="264"/>
      <c r="I1352" s="264"/>
      <c r="J1352" s="264"/>
      <c r="K1352" s="264"/>
      <c r="L1352" s="264"/>
      <c r="M1352" s="264"/>
      <c r="N1352" s="263"/>
      <c r="O1352" s="265"/>
      <c r="P1352" s="264"/>
      <c r="Q1352" s="263"/>
      <c r="R1352" s="263"/>
      <c r="S1352" s="266"/>
      <c r="T1352" s="266"/>
      <c r="U1352" s="266"/>
      <c r="V1352" s="267"/>
    </row>
    <row r="1353" spans="6:22">
      <c r="F1353" s="262"/>
      <c r="G1353" s="263"/>
      <c r="H1353" s="264"/>
      <c r="I1353" s="264"/>
      <c r="J1353" s="264"/>
      <c r="K1353" s="264"/>
      <c r="L1353" s="264"/>
      <c r="M1353" s="264"/>
      <c r="N1353" s="263"/>
      <c r="O1353" s="265"/>
      <c r="P1353" s="264"/>
      <c r="Q1353" s="263"/>
      <c r="R1353" s="263"/>
      <c r="S1353" s="266"/>
      <c r="T1353" s="266"/>
      <c r="U1353" s="266"/>
      <c r="V1353" s="267"/>
    </row>
    <row r="1354" spans="6:22">
      <c r="F1354" s="262"/>
      <c r="G1354" s="263"/>
      <c r="H1354" s="264"/>
      <c r="I1354" s="264"/>
      <c r="J1354" s="264"/>
      <c r="K1354" s="264"/>
      <c r="L1354" s="264"/>
      <c r="M1354" s="264"/>
      <c r="N1354" s="263"/>
      <c r="O1354" s="265"/>
      <c r="P1354" s="264"/>
      <c r="Q1354" s="263"/>
      <c r="R1354" s="263"/>
      <c r="S1354" s="266"/>
      <c r="T1354" s="266"/>
      <c r="U1354" s="266"/>
      <c r="V1354" s="267"/>
    </row>
    <row r="1355" spans="6:22">
      <c r="F1355" s="262"/>
      <c r="G1355" s="263"/>
      <c r="H1355" s="264"/>
      <c r="I1355" s="264"/>
      <c r="J1355" s="264"/>
      <c r="K1355" s="264"/>
      <c r="L1355" s="264"/>
      <c r="M1355" s="264"/>
      <c r="N1355" s="263"/>
      <c r="O1355" s="265"/>
      <c r="P1355" s="264"/>
      <c r="Q1355" s="263"/>
      <c r="R1355" s="263"/>
      <c r="S1355" s="266"/>
      <c r="T1355" s="266"/>
      <c r="U1355" s="266"/>
      <c r="V1355" s="267"/>
    </row>
    <row r="1356" spans="6:22">
      <c r="F1356" s="262"/>
      <c r="G1356" s="263"/>
      <c r="H1356" s="264"/>
      <c r="I1356" s="264"/>
      <c r="J1356" s="264"/>
      <c r="K1356" s="264"/>
      <c r="L1356" s="264"/>
      <c r="M1356" s="264"/>
      <c r="N1356" s="263"/>
      <c r="O1356" s="265"/>
      <c r="P1356" s="264"/>
      <c r="Q1356" s="263"/>
      <c r="R1356" s="263"/>
      <c r="S1356" s="266"/>
      <c r="T1356" s="266"/>
      <c r="U1356" s="266"/>
      <c r="V1356" s="267"/>
    </row>
    <row r="1357" spans="6:22">
      <c r="F1357" s="262"/>
      <c r="G1357" s="263"/>
      <c r="H1357" s="264"/>
      <c r="I1357" s="264"/>
      <c r="J1357" s="264"/>
      <c r="K1357" s="264"/>
      <c r="L1357" s="264"/>
      <c r="M1357" s="264"/>
      <c r="N1357" s="263"/>
      <c r="O1357" s="265"/>
      <c r="P1357" s="264"/>
      <c r="Q1357" s="263"/>
      <c r="R1357" s="263"/>
      <c r="S1357" s="266"/>
      <c r="T1357" s="266"/>
      <c r="U1357" s="266"/>
      <c r="V1357" s="267"/>
    </row>
    <row r="1358" spans="6:22">
      <c r="F1358" s="262"/>
      <c r="G1358" s="263"/>
      <c r="H1358" s="264"/>
      <c r="I1358" s="264"/>
      <c r="J1358" s="264"/>
      <c r="K1358" s="264"/>
      <c r="L1358" s="264"/>
      <c r="M1358" s="264"/>
      <c r="N1358" s="263"/>
      <c r="O1358" s="265"/>
      <c r="P1358" s="264"/>
      <c r="Q1358" s="263"/>
      <c r="R1358" s="263"/>
      <c r="S1358" s="266"/>
      <c r="T1358" s="266"/>
      <c r="U1358" s="266"/>
      <c r="V1358" s="267"/>
    </row>
    <row r="1359" spans="6:22">
      <c r="F1359" s="262"/>
      <c r="G1359" s="263"/>
      <c r="H1359" s="264"/>
      <c r="I1359" s="264"/>
      <c r="J1359" s="264"/>
      <c r="K1359" s="264"/>
      <c r="L1359" s="264"/>
      <c r="M1359" s="264"/>
      <c r="N1359" s="263"/>
      <c r="O1359" s="265"/>
      <c r="P1359" s="264"/>
      <c r="Q1359" s="263"/>
      <c r="R1359" s="263"/>
      <c r="S1359" s="266"/>
      <c r="T1359" s="266"/>
      <c r="U1359" s="266"/>
      <c r="V1359" s="267"/>
    </row>
    <row r="1360" spans="6:22">
      <c r="F1360" s="262"/>
      <c r="G1360" s="263"/>
      <c r="H1360" s="264"/>
      <c r="I1360" s="264"/>
      <c r="J1360" s="264"/>
      <c r="K1360" s="264"/>
      <c r="L1360" s="264"/>
      <c r="M1360" s="264"/>
      <c r="N1360" s="263"/>
      <c r="O1360" s="265"/>
      <c r="P1360" s="264"/>
      <c r="Q1360" s="263"/>
      <c r="R1360" s="263"/>
      <c r="S1360" s="266"/>
      <c r="T1360" s="266"/>
      <c r="U1360" s="266"/>
      <c r="V1360" s="267"/>
    </row>
    <row r="1361" spans="6:22">
      <c r="F1361" s="262"/>
      <c r="G1361" s="263"/>
      <c r="H1361" s="264"/>
      <c r="I1361" s="264"/>
      <c r="J1361" s="264"/>
      <c r="K1361" s="264"/>
      <c r="L1361" s="264"/>
      <c r="M1361" s="264"/>
      <c r="N1361" s="263"/>
      <c r="O1361" s="265"/>
      <c r="P1361" s="264"/>
      <c r="Q1361" s="263"/>
      <c r="R1361" s="263"/>
      <c r="S1361" s="266"/>
      <c r="T1361" s="266"/>
      <c r="U1361" s="266"/>
      <c r="V1361" s="267"/>
    </row>
    <row r="1362" spans="6:22">
      <c r="F1362" s="262"/>
      <c r="G1362" s="263"/>
      <c r="H1362" s="264"/>
      <c r="I1362" s="264"/>
      <c r="J1362" s="264"/>
      <c r="K1362" s="264"/>
      <c r="L1362" s="264"/>
      <c r="M1362" s="264"/>
      <c r="N1362" s="263"/>
      <c r="O1362" s="265"/>
      <c r="P1362" s="264"/>
      <c r="Q1362" s="263"/>
      <c r="R1362" s="263"/>
      <c r="S1362" s="266"/>
      <c r="T1362" s="266"/>
      <c r="U1362" s="266"/>
      <c r="V1362" s="267"/>
    </row>
    <row r="1363" spans="6:22">
      <c r="F1363" s="262"/>
      <c r="G1363" s="263"/>
      <c r="H1363" s="264"/>
      <c r="I1363" s="264"/>
      <c r="J1363" s="264"/>
      <c r="K1363" s="264"/>
      <c r="L1363" s="264"/>
      <c r="M1363" s="264"/>
      <c r="N1363" s="263"/>
      <c r="O1363" s="265"/>
      <c r="P1363" s="264"/>
      <c r="Q1363" s="263"/>
      <c r="R1363" s="263"/>
      <c r="S1363" s="266"/>
      <c r="T1363" s="266"/>
      <c r="U1363" s="266"/>
      <c r="V1363" s="267"/>
    </row>
    <row r="1364" spans="6:22">
      <c r="F1364" s="262"/>
      <c r="G1364" s="263"/>
      <c r="H1364" s="264"/>
      <c r="I1364" s="264"/>
      <c r="J1364" s="264"/>
      <c r="K1364" s="264"/>
      <c r="L1364" s="264"/>
      <c r="M1364" s="264"/>
      <c r="N1364" s="263"/>
      <c r="O1364" s="265"/>
      <c r="P1364" s="264"/>
      <c r="Q1364" s="263"/>
      <c r="R1364" s="263"/>
      <c r="S1364" s="266"/>
      <c r="T1364" s="266"/>
      <c r="U1364" s="266"/>
      <c r="V1364" s="267"/>
    </row>
    <row r="1365" spans="6:22">
      <c r="F1365" s="262"/>
      <c r="G1365" s="263"/>
      <c r="H1365" s="264"/>
      <c r="I1365" s="264"/>
      <c r="J1365" s="264"/>
      <c r="K1365" s="264"/>
      <c r="L1365" s="264"/>
      <c r="M1365" s="264"/>
      <c r="N1365" s="263"/>
      <c r="O1365" s="265"/>
      <c r="P1365" s="264"/>
      <c r="Q1365" s="263"/>
      <c r="R1365" s="263"/>
      <c r="S1365" s="266"/>
      <c r="T1365" s="266"/>
      <c r="U1365" s="266"/>
      <c r="V1365" s="267"/>
    </row>
    <row r="1366" spans="6:22">
      <c r="F1366" s="262"/>
      <c r="G1366" s="263"/>
      <c r="H1366" s="264"/>
      <c r="I1366" s="264"/>
      <c r="J1366" s="264"/>
      <c r="K1366" s="264"/>
      <c r="L1366" s="264"/>
      <c r="M1366" s="264"/>
      <c r="N1366" s="263"/>
      <c r="O1366" s="265"/>
      <c r="P1366" s="264"/>
      <c r="Q1366" s="263"/>
      <c r="R1366" s="263"/>
      <c r="S1366" s="266"/>
      <c r="T1366" s="266"/>
      <c r="U1366" s="266"/>
      <c r="V1366" s="267"/>
    </row>
    <row r="1367" spans="6:22">
      <c r="F1367" s="262"/>
      <c r="G1367" s="263"/>
      <c r="H1367" s="264"/>
      <c r="I1367" s="264"/>
      <c r="J1367" s="264"/>
      <c r="K1367" s="264"/>
      <c r="L1367" s="264"/>
      <c r="M1367" s="264"/>
      <c r="N1367" s="263"/>
      <c r="O1367" s="265"/>
      <c r="P1367" s="264"/>
      <c r="Q1367" s="263"/>
      <c r="R1367" s="263"/>
      <c r="S1367" s="266"/>
      <c r="T1367" s="266"/>
      <c r="U1367" s="266"/>
      <c r="V1367" s="267"/>
    </row>
    <row r="1368" spans="6:22">
      <c r="F1368" s="262"/>
      <c r="G1368" s="263"/>
      <c r="H1368" s="264"/>
      <c r="I1368" s="264"/>
      <c r="J1368" s="264"/>
      <c r="K1368" s="264"/>
      <c r="L1368" s="264"/>
      <c r="M1368" s="264"/>
      <c r="N1368" s="263"/>
      <c r="O1368" s="265"/>
      <c r="P1368" s="264"/>
      <c r="Q1368" s="263"/>
      <c r="R1368" s="263"/>
      <c r="S1368" s="266"/>
      <c r="T1368" s="266"/>
      <c r="U1368" s="266"/>
      <c r="V1368" s="267"/>
    </row>
    <row r="1369" spans="6:22">
      <c r="F1369" s="262"/>
      <c r="G1369" s="263"/>
      <c r="H1369" s="264"/>
      <c r="I1369" s="264"/>
      <c r="J1369" s="264"/>
      <c r="K1369" s="264"/>
      <c r="L1369" s="264"/>
      <c r="M1369" s="264"/>
      <c r="N1369" s="263"/>
      <c r="O1369" s="265"/>
      <c r="P1369" s="264"/>
      <c r="Q1369" s="263"/>
      <c r="R1369" s="263"/>
      <c r="S1369" s="266"/>
      <c r="T1369" s="266"/>
      <c r="U1369" s="266"/>
      <c r="V1369" s="267"/>
    </row>
    <row r="1370" spans="6:22">
      <c r="F1370" s="262"/>
      <c r="G1370" s="263"/>
      <c r="H1370" s="264"/>
      <c r="I1370" s="264"/>
      <c r="J1370" s="264"/>
      <c r="K1370" s="264"/>
      <c r="L1370" s="264"/>
      <c r="M1370" s="264"/>
      <c r="N1370" s="263"/>
      <c r="O1370" s="265"/>
      <c r="P1370" s="264"/>
      <c r="Q1370" s="263"/>
      <c r="R1370" s="263"/>
      <c r="S1370" s="266"/>
      <c r="T1370" s="266"/>
      <c r="U1370" s="266"/>
      <c r="V1370" s="267"/>
    </row>
    <row r="1371" spans="6:22">
      <c r="F1371" s="262"/>
      <c r="G1371" s="263"/>
      <c r="H1371" s="264"/>
      <c r="I1371" s="264"/>
      <c r="J1371" s="264"/>
      <c r="K1371" s="264"/>
      <c r="L1371" s="264"/>
      <c r="M1371" s="264"/>
      <c r="N1371" s="263"/>
      <c r="O1371" s="265"/>
      <c r="P1371" s="264"/>
      <c r="Q1371" s="263"/>
      <c r="R1371" s="263"/>
      <c r="S1371" s="266"/>
      <c r="T1371" s="266"/>
      <c r="U1371" s="266"/>
      <c r="V1371" s="267"/>
    </row>
    <row r="1372" spans="6:22">
      <c r="F1372" s="262"/>
      <c r="G1372" s="263"/>
      <c r="H1372" s="264"/>
      <c r="I1372" s="264"/>
      <c r="J1372" s="264"/>
      <c r="K1372" s="264"/>
      <c r="L1372" s="264"/>
      <c r="M1372" s="264"/>
      <c r="N1372" s="263"/>
      <c r="O1372" s="265"/>
      <c r="P1372" s="264"/>
      <c r="Q1372" s="263"/>
      <c r="R1372" s="263"/>
      <c r="S1372" s="266"/>
      <c r="T1372" s="266"/>
      <c r="U1372" s="266"/>
      <c r="V1372" s="267"/>
    </row>
    <row r="1373" spans="6:22">
      <c r="F1373" s="262"/>
      <c r="G1373" s="263"/>
      <c r="H1373" s="264"/>
      <c r="I1373" s="264"/>
      <c r="J1373" s="264"/>
      <c r="K1373" s="264"/>
      <c r="L1373" s="264"/>
      <c r="M1373" s="264"/>
      <c r="N1373" s="263"/>
      <c r="O1373" s="265"/>
      <c r="P1373" s="264"/>
      <c r="Q1373" s="263"/>
      <c r="R1373" s="263"/>
      <c r="S1373" s="266"/>
      <c r="T1373" s="266"/>
      <c r="U1373" s="266"/>
      <c r="V1373" s="267"/>
    </row>
    <row r="1374" spans="6:22">
      <c r="F1374" s="262"/>
      <c r="G1374" s="263"/>
      <c r="H1374" s="264"/>
      <c r="I1374" s="264"/>
      <c r="J1374" s="264"/>
      <c r="K1374" s="264"/>
      <c r="L1374" s="264"/>
      <c r="M1374" s="264"/>
      <c r="N1374" s="263"/>
      <c r="O1374" s="265"/>
      <c r="P1374" s="264"/>
      <c r="Q1374" s="263"/>
      <c r="R1374" s="263"/>
      <c r="S1374" s="266"/>
      <c r="T1374" s="266"/>
      <c r="U1374" s="266"/>
      <c r="V1374" s="267"/>
    </row>
    <row r="1375" spans="6:22">
      <c r="F1375" s="262"/>
      <c r="G1375" s="263"/>
      <c r="H1375" s="264"/>
      <c r="I1375" s="264"/>
      <c r="J1375" s="264"/>
      <c r="K1375" s="264"/>
      <c r="L1375" s="264"/>
      <c r="M1375" s="264"/>
      <c r="N1375" s="263"/>
      <c r="O1375" s="265"/>
      <c r="P1375" s="264"/>
      <c r="Q1375" s="263"/>
      <c r="R1375" s="263"/>
      <c r="S1375" s="266"/>
      <c r="T1375" s="266"/>
      <c r="U1375" s="266"/>
      <c r="V1375" s="267"/>
    </row>
    <row r="1376" spans="6:22">
      <c r="F1376" s="262"/>
      <c r="G1376" s="263"/>
      <c r="H1376" s="264"/>
      <c r="I1376" s="264"/>
      <c r="J1376" s="264"/>
      <c r="K1376" s="264"/>
      <c r="L1376" s="264"/>
      <c r="M1376" s="264"/>
      <c r="N1376" s="263"/>
      <c r="O1376" s="265"/>
      <c r="P1376" s="264"/>
      <c r="Q1376" s="263"/>
      <c r="R1376" s="263"/>
      <c r="S1376" s="266"/>
      <c r="T1376" s="266"/>
      <c r="U1376" s="266"/>
      <c r="V1376" s="267"/>
    </row>
    <row r="1377" spans="6:22">
      <c r="F1377" s="262"/>
      <c r="G1377" s="263"/>
      <c r="H1377" s="264"/>
      <c r="I1377" s="264"/>
      <c r="J1377" s="264"/>
      <c r="K1377" s="264"/>
      <c r="L1377" s="264"/>
      <c r="M1377" s="264"/>
      <c r="N1377" s="263"/>
      <c r="O1377" s="265"/>
      <c r="P1377" s="264"/>
      <c r="Q1377" s="263"/>
      <c r="R1377" s="263"/>
      <c r="S1377" s="266"/>
      <c r="T1377" s="266"/>
      <c r="U1377" s="266"/>
      <c r="V1377" s="267"/>
    </row>
    <row r="1378" spans="6:22">
      <c r="F1378" s="262"/>
      <c r="G1378" s="263"/>
      <c r="H1378" s="264"/>
      <c r="I1378" s="264"/>
      <c r="J1378" s="264"/>
      <c r="K1378" s="264"/>
      <c r="L1378" s="264"/>
      <c r="M1378" s="264"/>
      <c r="N1378" s="263"/>
      <c r="O1378" s="265"/>
      <c r="P1378" s="264"/>
      <c r="Q1378" s="263"/>
      <c r="R1378" s="263"/>
      <c r="S1378" s="266"/>
      <c r="T1378" s="266"/>
      <c r="U1378" s="266"/>
      <c r="V1378" s="267"/>
    </row>
    <row r="1379" spans="6:22">
      <c r="F1379" s="262"/>
      <c r="G1379" s="263"/>
      <c r="H1379" s="264"/>
      <c r="I1379" s="264"/>
      <c r="J1379" s="264"/>
      <c r="K1379" s="264"/>
      <c r="L1379" s="264"/>
      <c r="M1379" s="264"/>
      <c r="N1379" s="263"/>
      <c r="O1379" s="265"/>
      <c r="P1379" s="264"/>
      <c r="Q1379" s="263"/>
      <c r="R1379" s="263"/>
      <c r="S1379" s="266"/>
      <c r="T1379" s="266"/>
      <c r="U1379" s="266"/>
      <c r="V1379" s="267"/>
    </row>
    <row r="1380" spans="6:22">
      <c r="F1380" s="262"/>
      <c r="G1380" s="263"/>
      <c r="H1380" s="264"/>
      <c r="I1380" s="264"/>
      <c r="J1380" s="264"/>
      <c r="K1380" s="264"/>
      <c r="L1380" s="264"/>
      <c r="M1380" s="264"/>
      <c r="N1380" s="263"/>
      <c r="O1380" s="265"/>
      <c r="P1380" s="264"/>
      <c r="Q1380" s="263"/>
      <c r="R1380" s="263"/>
      <c r="S1380" s="266"/>
      <c r="T1380" s="266"/>
      <c r="U1380" s="266"/>
      <c r="V1380" s="267"/>
    </row>
    <row r="1381" spans="6:22">
      <c r="F1381" s="262"/>
      <c r="G1381" s="263"/>
      <c r="H1381" s="264"/>
      <c r="I1381" s="264"/>
      <c r="J1381" s="264"/>
      <c r="K1381" s="264"/>
      <c r="L1381" s="264"/>
      <c r="M1381" s="264"/>
      <c r="N1381" s="263"/>
      <c r="O1381" s="265"/>
      <c r="P1381" s="264"/>
      <c r="Q1381" s="263"/>
      <c r="R1381" s="263"/>
      <c r="S1381" s="266"/>
      <c r="T1381" s="266"/>
      <c r="U1381" s="266"/>
      <c r="V1381" s="267"/>
    </row>
    <row r="1382" spans="6:22">
      <c r="F1382" s="262"/>
      <c r="G1382" s="263"/>
      <c r="H1382" s="264"/>
      <c r="I1382" s="264"/>
      <c r="J1382" s="264"/>
      <c r="K1382" s="264"/>
      <c r="L1382" s="264"/>
      <c r="M1382" s="264"/>
      <c r="N1382" s="263"/>
      <c r="O1382" s="265"/>
      <c r="P1382" s="264"/>
      <c r="Q1382" s="263"/>
      <c r="R1382" s="263"/>
      <c r="S1382" s="266"/>
      <c r="T1382" s="266"/>
      <c r="U1382" s="266"/>
      <c r="V1382" s="267"/>
    </row>
    <row r="1383" spans="6:22">
      <c r="F1383" s="262"/>
      <c r="G1383" s="263"/>
      <c r="H1383" s="264"/>
      <c r="I1383" s="264"/>
      <c r="J1383" s="264"/>
      <c r="K1383" s="264"/>
      <c r="L1383" s="264"/>
      <c r="M1383" s="264"/>
      <c r="N1383" s="263"/>
      <c r="O1383" s="265"/>
      <c r="P1383" s="264"/>
      <c r="Q1383" s="263"/>
      <c r="R1383" s="263"/>
      <c r="S1383" s="266"/>
      <c r="T1383" s="266"/>
      <c r="U1383" s="266"/>
      <c r="V1383" s="267"/>
    </row>
    <row r="1384" spans="6:22">
      <c r="F1384" s="262"/>
      <c r="G1384" s="263"/>
      <c r="H1384" s="264"/>
      <c r="I1384" s="264"/>
      <c r="J1384" s="264"/>
      <c r="K1384" s="264"/>
      <c r="L1384" s="264"/>
      <c r="M1384" s="264"/>
      <c r="N1384" s="263"/>
      <c r="O1384" s="265"/>
      <c r="P1384" s="264"/>
      <c r="Q1384" s="263"/>
      <c r="R1384" s="263"/>
      <c r="S1384" s="266"/>
      <c r="T1384" s="266"/>
      <c r="U1384" s="266"/>
      <c r="V1384" s="267"/>
    </row>
    <row r="1385" spans="6:22">
      <c r="F1385" s="262"/>
      <c r="G1385" s="263"/>
      <c r="H1385" s="264"/>
      <c r="I1385" s="264"/>
      <c r="J1385" s="264"/>
      <c r="K1385" s="264"/>
      <c r="L1385" s="264"/>
      <c r="M1385" s="264"/>
      <c r="N1385" s="263"/>
      <c r="O1385" s="265"/>
      <c r="P1385" s="264"/>
      <c r="Q1385" s="263"/>
      <c r="R1385" s="263"/>
      <c r="S1385" s="266"/>
      <c r="T1385" s="266"/>
      <c r="U1385" s="266"/>
      <c r="V1385" s="267"/>
    </row>
    <row r="1386" spans="6:22">
      <c r="F1386" s="262"/>
      <c r="G1386" s="263"/>
      <c r="H1386" s="264"/>
      <c r="I1386" s="264"/>
      <c r="J1386" s="264"/>
      <c r="K1386" s="264"/>
      <c r="L1386" s="264"/>
      <c r="M1386" s="264"/>
      <c r="N1386" s="263"/>
      <c r="O1386" s="265"/>
      <c r="P1386" s="264"/>
      <c r="Q1386" s="263"/>
      <c r="R1386" s="263"/>
      <c r="S1386" s="266"/>
      <c r="T1386" s="266"/>
      <c r="U1386" s="266"/>
      <c r="V1386" s="267"/>
    </row>
    <row r="1387" spans="6:22">
      <c r="F1387" s="262"/>
      <c r="G1387" s="263"/>
      <c r="H1387" s="264"/>
      <c r="I1387" s="264"/>
      <c r="J1387" s="264"/>
      <c r="K1387" s="264"/>
      <c r="L1387" s="264"/>
      <c r="M1387" s="264"/>
      <c r="N1387" s="263"/>
      <c r="O1387" s="265"/>
      <c r="P1387" s="264"/>
      <c r="Q1387" s="263"/>
      <c r="R1387" s="263"/>
      <c r="S1387" s="266"/>
      <c r="T1387" s="266"/>
      <c r="U1387" s="266"/>
      <c r="V1387" s="267"/>
    </row>
    <row r="1388" spans="6:22">
      <c r="F1388" s="262"/>
      <c r="G1388" s="263"/>
      <c r="H1388" s="264"/>
      <c r="I1388" s="264"/>
      <c r="J1388" s="264"/>
      <c r="K1388" s="264"/>
      <c r="L1388" s="264"/>
      <c r="M1388" s="264"/>
      <c r="N1388" s="263"/>
      <c r="O1388" s="265"/>
      <c r="P1388" s="264"/>
      <c r="Q1388" s="263"/>
      <c r="R1388" s="263"/>
      <c r="S1388" s="266"/>
      <c r="T1388" s="266"/>
      <c r="U1388" s="266"/>
      <c r="V1388" s="267"/>
    </row>
    <row r="1389" spans="6:22">
      <c r="F1389" s="262"/>
      <c r="G1389" s="263"/>
      <c r="H1389" s="264"/>
      <c r="I1389" s="264"/>
      <c r="J1389" s="264"/>
      <c r="K1389" s="264"/>
      <c r="L1389" s="264"/>
      <c r="M1389" s="264"/>
      <c r="N1389" s="263"/>
      <c r="O1389" s="265"/>
      <c r="P1389" s="264"/>
      <c r="Q1389" s="263"/>
      <c r="R1389" s="263"/>
      <c r="S1389" s="266"/>
      <c r="T1389" s="266"/>
      <c r="U1389" s="266"/>
      <c r="V1389" s="267"/>
    </row>
    <row r="1390" spans="6:22">
      <c r="F1390" s="262"/>
      <c r="G1390" s="263"/>
      <c r="H1390" s="264"/>
      <c r="I1390" s="264"/>
      <c r="J1390" s="264"/>
      <c r="K1390" s="264"/>
      <c r="L1390" s="264"/>
      <c r="M1390" s="264"/>
      <c r="N1390" s="263"/>
      <c r="O1390" s="265"/>
      <c r="P1390" s="264"/>
      <c r="Q1390" s="263"/>
      <c r="R1390" s="263"/>
      <c r="S1390" s="266"/>
      <c r="T1390" s="266"/>
      <c r="U1390" s="266"/>
      <c r="V1390" s="267"/>
    </row>
    <row r="1391" spans="6:22">
      <c r="F1391" s="262"/>
      <c r="G1391" s="263"/>
      <c r="H1391" s="264"/>
      <c r="I1391" s="264"/>
      <c r="J1391" s="264"/>
      <c r="K1391" s="264"/>
      <c r="L1391" s="264"/>
      <c r="M1391" s="264"/>
      <c r="N1391" s="263"/>
      <c r="O1391" s="265"/>
      <c r="P1391" s="264"/>
      <c r="Q1391" s="263"/>
      <c r="R1391" s="263"/>
      <c r="S1391" s="266"/>
      <c r="T1391" s="266"/>
      <c r="U1391" s="266"/>
      <c r="V1391" s="267"/>
    </row>
    <row r="1392" spans="6:22">
      <c r="F1392" s="262"/>
      <c r="G1392" s="263"/>
      <c r="H1392" s="264"/>
      <c r="I1392" s="264"/>
      <c r="J1392" s="264"/>
      <c r="K1392" s="264"/>
      <c r="L1392" s="264"/>
      <c r="M1392" s="264"/>
      <c r="N1392" s="263"/>
      <c r="O1392" s="265"/>
      <c r="P1392" s="264"/>
      <c r="Q1392" s="263"/>
      <c r="R1392" s="263"/>
      <c r="S1392" s="266"/>
      <c r="T1392" s="266"/>
      <c r="U1392" s="266"/>
      <c r="V1392" s="267"/>
    </row>
    <row r="1393" spans="6:22">
      <c r="F1393" s="262"/>
      <c r="G1393" s="263"/>
      <c r="H1393" s="264"/>
      <c r="I1393" s="264"/>
      <c r="J1393" s="264"/>
      <c r="K1393" s="264"/>
      <c r="L1393" s="264"/>
      <c r="M1393" s="264"/>
      <c r="N1393" s="263"/>
      <c r="O1393" s="265"/>
      <c r="P1393" s="264"/>
      <c r="Q1393" s="263"/>
      <c r="R1393" s="263"/>
      <c r="S1393" s="266"/>
      <c r="T1393" s="266"/>
      <c r="U1393" s="266"/>
      <c r="V1393" s="267"/>
    </row>
    <row r="1394" spans="6:22">
      <c r="F1394" s="262"/>
      <c r="G1394" s="263"/>
      <c r="H1394" s="264"/>
      <c r="I1394" s="264"/>
      <c r="J1394" s="264"/>
      <c r="K1394" s="264"/>
      <c r="L1394" s="264"/>
      <c r="M1394" s="264"/>
      <c r="N1394" s="263"/>
      <c r="O1394" s="265"/>
      <c r="P1394" s="264"/>
      <c r="Q1394" s="263"/>
      <c r="R1394" s="263"/>
      <c r="S1394" s="266"/>
      <c r="T1394" s="266"/>
      <c r="U1394" s="266"/>
      <c r="V1394" s="267"/>
    </row>
    <row r="1395" spans="6:22">
      <c r="F1395" s="262"/>
      <c r="G1395" s="263"/>
      <c r="H1395" s="264"/>
      <c r="I1395" s="264"/>
      <c r="J1395" s="264"/>
      <c r="K1395" s="264"/>
      <c r="L1395" s="264"/>
      <c r="M1395" s="264"/>
      <c r="N1395" s="263"/>
      <c r="O1395" s="265"/>
      <c r="P1395" s="264"/>
      <c r="Q1395" s="263"/>
      <c r="R1395" s="263"/>
      <c r="S1395" s="266"/>
      <c r="T1395" s="266"/>
      <c r="U1395" s="266"/>
      <c r="V1395" s="267"/>
    </row>
    <row r="1396" spans="6:22">
      <c r="F1396" s="262"/>
      <c r="G1396" s="263"/>
      <c r="H1396" s="264"/>
      <c r="I1396" s="264"/>
      <c r="J1396" s="264"/>
      <c r="K1396" s="264"/>
      <c r="L1396" s="264"/>
      <c r="M1396" s="264"/>
      <c r="N1396" s="263"/>
      <c r="O1396" s="265"/>
      <c r="P1396" s="264"/>
      <c r="Q1396" s="263"/>
      <c r="R1396" s="263"/>
      <c r="S1396" s="266"/>
      <c r="T1396" s="266"/>
      <c r="U1396" s="266"/>
      <c r="V1396" s="267"/>
    </row>
    <row r="1397" spans="6:22">
      <c r="F1397" s="262"/>
      <c r="G1397" s="263"/>
      <c r="H1397" s="264"/>
      <c r="I1397" s="264"/>
      <c r="J1397" s="264"/>
      <c r="K1397" s="264"/>
      <c r="L1397" s="264"/>
      <c r="M1397" s="264"/>
      <c r="N1397" s="263"/>
      <c r="O1397" s="265"/>
      <c r="P1397" s="264"/>
      <c r="Q1397" s="263"/>
      <c r="R1397" s="263"/>
      <c r="S1397" s="266"/>
      <c r="T1397" s="266"/>
      <c r="U1397" s="266"/>
      <c r="V1397" s="267"/>
    </row>
    <row r="1398" spans="6:22">
      <c r="F1398" s="262"/>
      <c r="G1398" s="263"/>
      <c r="H1398" s="264"/>
      <c r="I1398" s="264"/>
      <c r="J1398" s="264"/>
      <c r="K1398" s="264"/>
      <c r="L1398" s="264"/>
      <c r="M1398" s="264"/>
      <c r="N1398" s="263"/>
      <c r="O1398" s="265"/>
      <c r="P1398" s="264"/>
      <c r="Q1398" s="263"/>
      <c r="R1398" s="263"/>
      <c r="S1398" s="266"/>
      <c r="T1398" s="266"/>
      <c r="U1398" s="266"/>
      <c r="V1398" s="267"/>
    </row>
    <row r="1399" spans="6:22">
      <c r="F1399" s="262"/>
      <c r="G1399" s="263"/>
      <c r="H1399" s="264"/>
      <c r="I1399" s="264"/>
      <c r="J1399" s="264"/>
      <c r="K1399" s="264"/>
      <c r="L1399" s="264"/>
      <c r="M1399" s="264"/>
      <c r="N1399" s="263"/>
      <c r="O1399" s="265"/>
      <c r="P1399" s="264"/>
      <c r="Q1399" s="263"/>
      <c r="R1399" s="263"/>
      <c r="S1399" s="266"/>
      <c r="T1399" s="266"/>
      <c r="U1399" s="266"/>
      <c r="V1399" s="267"/>
    </row>
    <row r="1400" spans="6:22">
      <c r="F1400" s="262"/>
      <c r="G1400" s="263"/>
      <c r="H1400" s="264"/>
      <c r="I1400" s="264"/>
      <c r="J1400" s="264"/>
      <c r="K1400" s="264"/>
      <c r="L1400" s="264"/>
      <c r="M1400" s="264"/>
      <c r="N1400" s="263"/>
      <c r="O1400" s="265"/>
      <c r="P1400" s="264"/>
      <c r="Q1400" s="263"/>
      <c r="R1400" s="263"/>
      <c r="S1400" s="266"/>
      <c r="T1400" s="266"/>
      <c r="U1400" s="266"/>
      <c r="V1400" s="267"/>
    </row>
    <row r="1401" spans="6:22">
      <c r="F1401" s="262"/>
      <c r="G1401" s="263"/>
      <c r="H1401" s="264"/>
      <c r="I1401" s="264"/>
      <c r="J1401" s="264"/>
      <c r="K1401" s="264"/>
      <c r="L1401" s="264"/>
      <c r="M1401" s="264"/>
      <c r="N1401" s="263"/>
      <c r="O1401" s="265"/>
      <c r="P1401" s="264"/>
      <c r="Q1401" s="263"/>
      <c r="R1401" s="263"/>
      <c r="S1401" s="266"/>
      <c r="T1401" s="266"/>
      <c r="U1401" s="266"/>
      <c r="V1401" s="267"/>
    </row>
    <row r="1402" spans="6:22">
      <c r="F1402" s="262"/>
      <c r="G1402" s="263"/>
      <c r="H1402" s="264"/>
      <c r="I1402" s="264"/>
      <c r="J1402" s="264"/>
      <c r="K1402" s="264"/>
      <c r="L1402" s="264"/>
      <c r="M1402" s="264"/>
      <c r="N1402" s="263"/>
      <c r="O1402" s="265"/>
      <c r="P1402" s="264"/>
      <c r="Q1402" s="263"/>
      <c r="R1402" s="263"/>
      <c r="S1402" s="266"/>
      <c r="T1402" s="266"/>
      <c r="U1402" s="266"/>
      <c r="V1402" s="267"/>
    </row>
    <row r="1403" spans="6:22">
      <c r="F1403" s="262"/>
      <c r="G1403" s="263"/>
      <c r="H1403" s="264"/>
      <c r="I1403" s="264"/>
      <c r="J1403" s="264"/>
      <c r="K1403" s="264"/>
      <c r="L1403" s="264"/>
      <c r="M1403" s="264"/>
      <c r="N1403" s="263"/>
      <c r="O1403" s="265"/>
      <c r="P1403" s="264"/>
      <c r="Q1403" s="263"/>
      <c r="R1403" s="263"/>
      <c r="S1403" s="266"/>
      <c r="T1403" s="266"/>
      <c r="U1403" s="266"/>
      <c r="V1403" s="267"/>
    </row>
    <row r="1404" spans="6:22">
      <c r="F1404" s="262"/>
      <c r="G1404" s="263"/>
      <c r="H1404" s="264"/>
      <c r="I1404" s="264"/>
      <c r="J1404" s="264"/>
      <c r="K1404" s="264"/>
      <c r="L1404" s="264"/>
      <c r="M1404" s="264"/>
      <c r="N1404" s="263"/>
      <c r="O1404" s="265"/>
      <c r="P1404" s="264"/>
      <c r="Q1404" s="263"/>
      <c r="R1404" s="263"/>
      <c r="S1404" s="266"/>
      <c r="T1404" s="266"/>
      <c r="U1404" s="266"/>
      <c r="V1404" s="267"/>
    </row>
    <row r="1405" spans="6:22">
      <c r="F1405" s="262"/>
      <c r="G1405" s="263"/>
      <c r="H1405" s="264"/>
      <c r="I1405" s="264"/>
      <c r="J1405" s="264"/>
      <c r="K1405" s="264"/>
      <c r="L1405" s="264"/>
      <c r="M1405" s="264"/>
      <c r="N1405" s="263"/>
      <c r="O1405" s="265"/>
      <c r="P1405" s="264"/>
      <c r="Q1405" s="263"/>
      <c r="R1405" s="263"/>
      <c r="S1405" s="266"/>
      <c r="T1405" s="266"/>
      <c r="U1405" s="266"/>
      <c r="V1405" s="267"/>
    </row>
    <row r="1406" spans="6:22">
      <c r="F1406" s="262"/>
      <c r="G1406" s="263"/>
      <c r="H1406" s="264"/>
      <c r="I1406" s="264"/>
      <c r="J1406" s="264"/>
      <c r="K1406" s="264"/>
      <c r="L1406" s="264"/>
      <c r="M1406" s="264"/>
      <c r="N1406" s="263"/>
      <c r="O1406" s="265"/>
      <c r="P1406" s="264"/>
      <c r="Q1406" s="263"/>
      <c r="R1406" s="263"/>
      <c r="S1406" s="266"/>
      <c r="T1406" s="266"/>
      <c r="U1406" s="266"/>
      <c r="V1406" s="267"/>
    </row>
    <row r="1407" spans="6:22">
      <c r="F1407" s="262"/>
      <c r="G1407" s="263"/>
      <c r="H1407" s="264"/>
      <c r="I1407" s="264"/>
      <c r="J1407" s="264"/>
      <c r="K1407" s="264"/>
      <c r="L1407" s="264"/>
      <c r="M1407" s="264"/>
      <c r="N1407" s="263"/>
      <c r="O1407" s="265"/>
      <c r="P1407" s="264"/>
      <c r="Q1407" s="263"/>
      <c r="R1407" s="263"/>
      <c r="S1407" s="266"/>
      <c r="T1407" s="266"/>
      <c r="U1407" s="266"/>
      <c r="V1407" s="267"/>
    </row>
    <row r="1408" spans="6:22">
      <c r="F1408" s="262"/>
      <c r="G1408" s="263"/>
      <c r="H1408" s="264"/>
      <c r="I1408" s="264"/>
      <c r="J1408" s="264"/>
      <c r="K1408" s="264"/>
      <c r="L1408" s="264"/>
      <c r="M1408" s="264"/>
      <c r="N1408" s="263"/>
      <c r="O1408" s="265"/>
      <c r="P1408" s="264"/>
      <c r="Q1408" s="263"/>
      <c r="R1408" s="263"/>
      <c r="S1408" s="266"/>
      <c r="T1408" s="266"/>
      <c r="U1408" s="266"/>
      <c r="V1408" s="267"/>
    </row>
    <row r="1409" spans="6:22">
      <c r="F1409" s="262"/>
      <c r="G1409" s="263"/>
      <c r="H1409" s="264"/>
      <c r="I1409" s="264"/>
      <c r="J1409" s="264"/>
      <c r="K1409" s="264"/>
      <c r="L1409" s="264"/>
      <c r="M1409" s="264"/>
      <c r="N1409" s="263"/>
      <c r="O1409" s="265"/>
      <c r="P1409" s="264"/>
      <c r="Q1409" s="263"/>
      <c r="R1409" s="263"/>
      <c r="S1409" s="266"/>
      <c r="T1409" s="266"/>
      <c r="U1409" s="266"/>
      <c r="V1409" s="267"/>
    </row>
    <row r="1410" spans="6:22">
      <c r="F1410" s="262"/>
      <c r="G1410" s="263"/>
      <c r="H1410" s="264"/>
      <c r="I1410" s="264"/>
      <c r="J1410" s="264"/>
      <c r="K1410" s="264"/>
      <c r="L1410" s="264"/>
      <c r="M1410" s="264"/>
      <c r="N1410" s="263"/>
      <c r="O1410" s="265"/>
      <c r="P1410" s="264"/>
      <c r="Q1410" s="263"/>
      <c r="R1410" s="263"/>
      <c r="S1410" s="266"/>
      <c r="T1410" s="266"/>
      <c r="U1410" s="266"/>
      <c r="V1410" s="267"/>
    </row>
    <row r="1411" spans="6:22">
      <c r="F1411" s="262"/>
      <c r="G1411" s="263"/>
      <c r="H1411" s="264"/>
      <c r="I1411" s="264"/>
      <c r="J1411" s="264"/>
      <c r="K1411" s="264"/>
      <c r="L1411" s="264"/>
      <c r="M1411" s="264"/>
      <c r="N1411" s="263"/>
      <c r="O1411" s="265"/>
      <c r="P1411" s="264"/>
      <c r="Q1411" s="263"/>
      <c r="R1411" s="263"/>
      <c r="S1411" s="266"/>
      <c r="T1411" s="266"/>
      <c r="U1411" s="266"/>
      <c r="V1411" s="267"/>
    </row>
    <row r="1412" spans="6:22">
      <c r="F1412" s="262"/>
      <c r="G1412" s="263"/>
      <c r="H1412" s="264"/>
      <c r="I1412" s="264"/>
      <c r="J1412" s="264"/>
      <c r="K1412" s="264"/>
      <c r="L1412" s="264"/>
      <c r="M1412" s="264"/>
      <c r="N1412" s="263"/>
      <c r="O1412" s="265"/>
      <c r="P1412" s="264"/>
      <c r="Q1412" s="263"/>
      <c r="R1412" s="263"/>
      <c r="S1412" s="266"/>
      <c r="T1412" s="266"/>
      <c r="U1412" s="266"/>
      <c r="V1412" s="267"/>
    </row>
    <row r="1413" spans="6:22">
      <c r="F1413" s="262"/>
      <c r="G1413" s="263"/>
      <c r="H1413" s="264"/>
      <c r="I1413" s="264"/>
      <c r="J1413" s="264"/>
      <c r="K1413" s="264"/>
      <c r="L1413" s="264"/>
      <c r="M1413" s="264"/>
      <c r="N1413" s="263"/>
      <c r="O1413" s="265"/>
      <c r="P1413" s="264"/>
      <c r="Q1413" s="263"/>
      <c r="R1413" s="263"/>
      <c r="S1413" s="266"/>
      <c r="T1413" s="266"/>
      <c r="U1413" s="266"/>
      <c r="V1413" s="267"/>
    </row>
    <row r="1414" spans="6:22">
      <c r="F1414" s="262"/>
      <c r="G1414" s="263"/>
      <c r="H1414" s="264"/>
      <c r="I1414" s="264"/>
      <c r="J1414" s="264"/>
      <c r="K1414" s="264"/>
      <c r="L1414" s="264"/>
      <c r="M1414" s="264"/>
      <c r="N1414" s="263"/>
      <c r="O1414" s="265"/>
      <c r="P1414" s="264"/>
      <c r="Q1414" s="263"/>
      <c r="R1414" s="263"/>
      <c r="S1414" s="266"/>
      <c r="T1414" s="266"/>
      <c r="U1414" s="266"/>
      <c r="V1414" s="267"/>
    </row>
    <row r="1415" spans="6:22">
      <c r="F1415" s="262"/>
      <c r="G1415" s="263"/>
      <c r="H1415" s="264"/>
      <c r="I1415" s="264"/>
      <c r="J1415" s="264"/>
      <c r="K1415" s="264"/>
      <c r="L1415" s="264"/>
      <c r="M1415" s="264"/>
      <c r="N1415" s="263"/>
      <c r="O1415" s="265"/>
      <c r="P1415" s="264"/>
      <c r="Q1415" s="263"/>
      <c r="R1415" s="263"/>
      <c r="S1415" s="266"/>
      <c r="T1415" s="266"/>
      <c r="U1415" s="266"/>
      <c r="V1415" s="267"/>
    </row>
    <row r="1416" spans="6:22">
      <c r="F1416" s="262"/>
      <c r="G1416" s="263"/>
      <c r="H1416" s="264"/>
      <c r="I1416" s="264"/>
      <c r="J1416" s="264"/>
      <c r="K1416" s="264"/>
      <c r="L1416" s="264"/>
      <c r="M1416" s="264"/>
      <c r="N1416" s="263"/>
      <c r="O1416" s="265"/>
      <c r="P1416" s="264"/>
      <c r="Q1416" s="263"/>
      <c r="R1416" s="263"/>
      <c r="S1416" s="266"/>
      <c r="T1416" s="266"/>
      <c r="U1416" s="266"/>
      <c r="V1416" s="267"/>
    </row>
    <row r="1417" spans="6:22">
      <c r="F1417" s="262"/>
      <c r="G1417" s="263"/>
      <c r="H1417" s="264"/>
      <c r="I1417" s="264"/>
      <c r="J1417" s="264"/>
      <c r="K1417" s="264"/>
      <c r="L1417" s="264"/>
      <c r="M1417" s="264"/>
      <c r="N1417" s="263"/>
      <c r="O1417" s="265"/>
      <c r="P1417" s="264"/>
      <c r="Q1417" s="263"/>
      <c r="R1417" s="263"/>
      <c r="S1417" s="266"/>
      <c r="T1417" s="266"/>
      <c r="U1417" s="266"/>
      <c r="V1417" s="267"/>
    </row>
    <row r="1418" spans="6:22">
      <c r="F1418" s="262"/>
      <c r="G1418" s="263"/>
      <c r="H1418" s="264"/>
      <c r="I1418" s="264"/>
      <c r="J1418" s="264"/>
      <c r="K1418" s="264"/>
      <c r="L1418" s="264"/>
      <c r="M1418" s="264"/>
      <c r="N1418" s="263"/>
      <c r="O1418" s="265"/>
      <c r="P1418" s="264"/>
      <c r="Q1418" s="263"/>
      <c r="R1418" s="263"/>
      <c r="S1418" s="266"/>
      <c r="T1418" s="266"/>
      <c r="U1418" s="266"/>
      <c r="V1418" s="267"/>
    </row>
    <row r="1419" spans="6:22">
      <c r="F1419" s="262"/>
      <c r="G1419" s="263"/>
      <c r="H1419" s="264"/>
      <c r="I1419" s="264"/>
      <c r="J1419" s="264"/>
      <c r="K1419" s="264"/>
      <c r="L1419" s="264"/>
      <c r="M1419" s="264"/>
      <c r="N1419" s="263"/>
      <c r="O1419" s="265"/>
      <c r="P1419" s="264"/>
      <c r="Q1419" s="263"/>
      <c r="R1419" s="263"/>
      <c r="S1419" s="266"/>
      <c r="T1419" s="266"/>
      <c r="U1419" s="266"/>
      <c r="V1419" s="267"/>
    </row>
    <row r="1420" spans="6:22">
      <c r="F1420" s="262"/>
      <c r="G1420" s="263"/>
      <c r="H1420" s="264"/>
      <c r="I1420" s="264"/>
      <c r="J1420" s="264"/>
      <c r="K1420" s="264"/>
      <c r="L1420" s="264"/>
      <c r="M1420" s="264"/>
      <c r="N1420" s="263"/>
      <c r="O1420" s="265"/>
      <c r="P1420" s="264"/>
      <c r="Q1420" s="263"/>
      <c r="R1420" s="263"/>
      <c r="S1420" s="266"/>
      <c r="T1420" s="266"/>
      <c r="U1420" s="266"/>
      <c r="V1420" s="267"/>
    </row>
    <row r="1421" spans="6:22">
      <c r="F1421" s="262"/>
      <c r="G1421" s="263"/>
      <c r="H1421" s="264"/>
      <c r="I1421" s="264"/>
      <c r="J1421" s="264"/>
      <c r="K1421" s="264"/>
      <c r="L1421" s="264"/>
      <c r="M1421" s="264"/>
      <c r="N1421" s="263"/>
      <c r="O1421" s="265"/>
      <c r="P1421" s="264"/>
      <c r="Q1421" s="263"/>
      <c r="R1421" s="263"/>
      <c r="S1421" s="266"/>
      <c r="T1421" s="266"/>
      <c r="U1421" s="266"/>
      <c r="V1421" s="267"/>
    </row>
    <row r="1422" spans="6:22">
      <c r="F1422" s="262"/>
      <c r="G1422" s="263"/>
      <c r="H1422" s="264"/>
      <c r="I1422" s="264"/>
      <c r="J1422" s="264"/>
      <c r="K1422" s="264"/>
      <c r="L1422" s="264"/>
      <c r="M1422" s="264"/>
      <c r="N1422" s="263"/>
      <c r="O1422" s="265"/>
      <c r="P1422" s="264"/>
      <c r="Q1422" s="263"/>
      <c r="R1422" s="263"/>
      <c r="S1422" s="266"/>
      <c r="T1422" s="266"/>
      <c r="U1422" s="266"/>
      <c r="V1422" s="267"/>
    </row>
    <row r="1423" spans="6:22">
      <c r="F1423" s="262"/>
      <c r="G1423" s="263"/>
      <c r="H1423" s="264"/>
      <c r="I1423" s="264"/>
      <c r="J1423" s="264"/>
      <c r="K1423" s="264"/>
      <c r="L1423" s="264"/>
      <c r="M1423" s="264"/>
      <c r="N1423" s="263"/>
      <c r="O1423" s="265"/>
      <c r="P1423" s="264"/>
      <c r="Q1423" s="263"/>
      <c r="R1423" s="263"/>
      <c r="S1423" s="266"/>
      <c r="T1423" s="266"/>
      <c r="U1423" s="266"/>
      <c r="V1423" s="267"/>
    </row>
    <row r="1424" spans="6:22">
      <c r="F1424" s="262"/>
      <c r="G1424" s="263"/>
      <c r="H1424" s="264"/>
      <c r="I1424" s="264"/>
      <c r="J1424" s="264"/>
      <c r="K1424" s="264"/>
      <c r="L1424" s="264"/>
      <c r="M1424" s="264"/>
      <c r="N1424" s="263"/>
      <c r="O1424" s="265"/>
      <c r="P1424" s="264"/>
      <c r="Q1424" s="263"/>
      <c r="R1424" s="263"/>
      <c r="S1424" s="266"/>
      <c r="T1424" s="266"/>
      <c r="U1424" s="266"/>
      <c r="V1424" s="267"/>
    </row>
    <row r="1425" spans="6:22">
      <c r="F1425" s="262"/>
      <c r="G1425" s="263"/>
      <c r="H1425" s="264"/>
      <c r="I1425" s="264"/>
      <c r="J1425" s="264"/>
      <c r="K1425" s="264"/>
      <c r="L1425" s="264"/>
      <c r="M1425" s="264"/>
      <c r="N1425" s="263"/>
      <c r="O1425" s="265"/>
      <c r="P1425" s="264"/>
      <c r="Q1425" s="263"/>
      <c r="R1425" s="263"/>
      <c r="S1425" s="266"/>
      <c r="T1425" s="266"/>
      <c r="U1425" s="266"/>
      <c r="V1425" s="267"/>
    </row>
    <row r="1426" spans="6:22">
      <c r="F1426" s="262"/>
      <c r="G1426" s="263"/>
      <c r="H1426" s="264"/>
      <c r="I1426" s="264"/>
      <c r="J1426" s="264"/>
      <c r="K1426" s="264"/>
      <c r="L1426" s="264"/>
      <c r="M1426" s="264"/>
      <c r="N1426" s="263"/>
      <c r="O1426" s="265"/>
      <c r="P1426" s="264"/>
      <c r="Q1426" s="263"/>
      <c r="R1426" s="263"/>
      <c r="S1426" s="266"/>
      <c r="T1426" s="266"/>
      <c r="U1426" s="266"/>
      <c r="V1426" s="267"/>
    </row>
    <row r="1427" spans="6:22">
      <c r="F1427" s="262"/>
      <c r="G1427" s="263"/>
      <c r="H1427" s="264"/>
      <c r="I1427" s="264"/>
      <c r="J1427" s="264"/>
      <c r="K1427" s="264"/>
      <c r="L1427" s="264"/>
      <c r="M1427" s="264"/>
      <c r="N1427" s="263"/>
      <c r="O1427" s="265"/>
      <c r="P1427" s="264"/>
      <c r="Q1427" s="263"/>
      <c r="R1427" s="263"/>
      <c r="S1427" s="266"/>
      <c r="T1427" s="266"/>
      <c r="U1427" s="266"/>
      <c r="V1427" s="267"/>
    </row>
    <row r="1428" spans="6:22">
      <c r="F1428" s="262"/>
      <c r="G1428" s="263"/>
      <c r="H1428" s="264"/>
      <c r="I1428" s="264"/>
      <c r="J1428" s="264"/>
      <c r="K1428" s="264"/>
      <c r="L1428" s="264"/>
      <c r="M1428" s="264"/>
      <c r="N1428" s="263"/>
      <c r="O1428" s="265"/>
      <c r="P1428" s="264"/>
      <c r="Q1428" s="263"/>
      <c r="R1428" s="263"/>
      <c r="S1428" s="266"/>
      <c r="T1428" s="266"/>
      <c r="U1428" s="266"/>
      <c r="V1428" s="267"/>
    </row>
    <row r="1429" spans="6:22">
      <c r="F1429" s="262"/>
      <c r="G1429" s="263"/>
      <c r="H1429" s="264"/>
      <c r="I1429" s="264"/>
      <c r="J1429" s="264"/>
      <c r="K1429" s="264"/>
      <c r="L1429" s="264"/>
      <c r="M1429" s="264"/>
      <c r="N1429" s="263"/>
      <c r="O1429" s="265"/>
      <c r="P1429" s="264"/>
      <c r="Q1429" s="263"/>
      <c r="R1429" s="263"/>
      <c r="S1429" s="266"/>
      <c r="T1429" s="266"/>
      <c r="U1429" s="266"/>
      <c r="V1429" s="267"/>
    </row>
    <row r="1430" spans="6:22">
      <c r="F1430" s="262"/>
      <c r="G1430" s="263"/>
      <c r="H1430" s="264"/>
      <c r="I1430" s="264"/>
      <c r="J1430" s="264"/>
      <c r="K1430" s="264"/>
      <c r="L1430" s="264"/>
      <c r="M1430" s="264"/>
      <c r="N1430" s="263"/>
      <c r="O1430" s="265"/>
      <c r="P1430" s="264"/>
      <c r="Q1430" s="263"/>
      <c r="R1430" s="263"/>
      <c r="S1430" s="266"/>
      <c r="T1430" s="266"/>
      <c r="U1430" s="266"/>
      <c r="V1430" s="267"/>
    </row>
    <row r="1431" spans="6:22">
      <c r="F1431" s="262"/>
      <c r="G1431" s="263"/>
      <c r="H1431" s="264"/>
      <c r="I1431" s="264"/>
      <c r="J1431" s="264"/>
      <c r="K1431" s="264"/>
      <c r="L1431" s="264"/>
      <c r="M1431" s="264"/>
      <c r="N1431" s="263"/>
      <c r="O1431" s="265"/>
      <c r="P1431" s="264"/>
      <c r="Q1431" s="263"/>
      <c r="R1431" s="263"/>
      <c r="S1431" s="266"/>
      <c r="T1431" s="266"/>
      <c r="U1431" s="266"/>
      <c r="V1431" s="267"/>
    </row>
    <row r="1432" spans="6:22">
      <c r="F1432" s="262"/>
      <c r="G1432" s="263"/>
      <c r="H1432" s="264"/>
      <c r="I1432" s="264"/>
      <c r="J1432" s="264"/>
      <c r="K1432" s="264"/>
      <c r="L1432" s="264"/>
      <c r="M1432" s="264"/>
      <c r="N1432" s="263"/>
      <c r="O1432" s="265"/>
      <c r="P1432" s="264"/>
      <c r="Q1432" s="263"/>
      <c r="R1432" s="263"/>
      <c r="S1432" s="266"/>
      <c r="T1432" s="266"/>
      <c r="U1432" s="266"/>
      <c r="V1432" s="267"/>
    </row>
    <row r="1433" spans="6:22">
      <c r="F1433" s="262"/>
      <c r="G1433" s="263"/>
      <c r="H1433" s="264"/>
      <c r="I1433" s="264"/>
      <c r="J1433" s="264"/>
      <c r="K1433" s="264"/>
      <c r="L1433" s="264"/>
      <c r="M1433" s="264"/>
      <c r="N1433" s="263"/>
      <c r="O1433" s="265"/>
      <c r="P1433" s="264"/>
      <c r="Q1433" s="263"/>
      <c r="R1433" s="263"/>
      <c r="S1433" s="266"/>
      <c r="T1433" s="266"/>
      <c r="U1433" s="266"/>
      <c r="V1433" s="267"/>
    </row>
    <row r="1434" spans="6:22">
      <c r="F1434" s="262"/>
      <c r="G1434" s="263"/>
      <c r="H1434" s="264"/>
      <c r="I1434" s="264"/>
      <c r="J1434" s="264"/>
      <c r="K1434" s="264"/>
      <c r="L1434" s="264"/>
      <c r="M1434" s="264"/>
      <c r="N1434" s="263"/>
      <c r="O1434" s="265"/>
      <c r="P1434" s="264"/>
      <c r="Q1434" s="263"/>
      <c r="R1434" s="263"/>
      <c r="S1434" s="266"/>
      <c r="T1434" s="266"/>
      <c r="U1434" s="266"/>
      <c r="V1434" s="267"/>
    </row>
    <row r="1435" spans="6:22">
      <c r="F1435" s="262"/>
      <c r="G1435" s="263"/>
      <c r="H1435" s="264"/>
      <c r="I1435" s="264"/>
      <c r="J1435" s="264"/>
      <c r="K1435" s="264"/>
      <c r="L1435" s="264"/>
      <c r="M1435" s="264"/>
      <c r="N1435" s="263"/>
      <c r="O1435" s="265"/>
      <c r="P1435" s="264"/>
      <c r="Q1435" s="263"/>
      <c r="R1435" s="263"/>
      <c r="S1435" s="266"/>
      <c r="T1435" s="266"/>
      <c r="U1435" s="266"/>
      <c r="V1435" s="267"/>
    </row>
    <row r="1436" spans="6:22">
      <c r="F1436" s="262"/>
      <c r="G1436" s="263"/>
      <c r="H1436" s="264"/>
      <c r="I1436" s="264"/>
      <c r="J1436" s="264"/>
      <c r="K1436" s="264"/>
      <c r="L1436" s="264"/>
      <c r="M1436" s="264"/>
      <c r="N1436" s="263"/>
      <c r="O1436" s="265"/>
      <c r="P1436" s="264"/>
      <c r="Q1436" s="263"/>
      <c r="R1436" s="263"/>
      <c r="S1436" s="266"/>
      <c r="T1436" s="266"/>
      <c r="U1436" s="266"/>
      <c r="V1436" s="267"/>
    </row>
    <row r="1437" spans="6:22">
      <c r="F1437" s="262"/>
      <c r="G1437" s="263"/>
      <c r="H1437" s="264"/>
      <c r="I1437" s="264"/>
      <c r="J1437" s="264"/>
      <c r="K1437" s="264"/>
      <c r="L1437" s="264"/>
      <c r="M1437" s="264"/>
      <c r="N1437" s="263"/>
      <c r="O1437" s="265"/>
      <c r="P1437" s="264"/>
      <c r="Q1437" s="263"/>
      <c r="R1437" s="263"/>
      <c r="S1437" s="266"/>
      <c r="T1437" s="266"/>
      <c r="U1437" s="266"/>
      <c r="V1437" s="267"/>
    </row>
    <row r="1438" spans="6:22">
      <c r="F1438" s="262"/>
      <c r="G1438" s="263"/>
      <c r="H1438" s="264"/>
      <c r="I1438" s="264"/>
      <c r="J1438" s="264"/>
      <c r="K1438" s="264"/>
      <c r="L1438" s="264"/>
      <c r="M1438" s="264"/>
      <c r="N1438" s="263"/>
      <c r="O1438" s="265"/>
      <c r="P1438" s="264"/>
      <c r="Q1438" s="263"/>
      <c r="R1438" s="263"/>
      <c r="S1438" s="266"/>
      <c r="T1438" s="266"/>
      <c r="U1438" s="266"/>
      <c r="V1438" s="267"/>
    </row>
    <row r="1439" spans="6:22">
      <c r="F1439" s="262"/>
      <c r="G1439" s="263"/>
      <c r="H1439" s="264"/>
      <c r="I1439" s="264"/>
      <c r="J1439" s="264"/>
      <c r="K1439" s="264"/>
      <c r="L1439" s="264"/>
      <c r="M1439" s="264"/>
      <c r="N1439" s="263"/>
      <c r="O1439" s="265"/>
      <c r="P1439" s="264"/>
      <c r="Q1439" s="263"/>
      <c r="R1439" s="263"/>
      <c r="S1439" s="266"/>
      <c r="T1439" s="266"/>
      <c r="U1439" s="266"/>
      <c r="V1439" s="267"/>
    </row>
    <row r="1440" spans="6:22">
      <c r="F1440" s="262"/>
      <c r="G1440" s="263"/>
      <c r="H1440" s="264"/>
      <c r="I1440" s="264"/>
      <c r="J1440" s="264"/>
      <c r="K1440" s="264"/>
      <c r="L1440" s="264"/>
      <c r="M1440" s="264"/>
      <c r="N1440" s="263"/>
      <c r="O1440" s="265"/>
      <c r="P1440" s="264"/>
      <c r="Q1440" s="263"/>
      <c r="R1440" s="263"/>
      <c r="S1440" s="266"/>
      <c r="T1440" s="266"/>
      <c r="U1440" s="266"/>
      <c r="V1440" s="267"/>
    </row>
    <row r="1441" spans="6:22">
      <c r="F1441" s="262"/>
      <c r="G1441" s="263"/>
      <c r="H1441" s="264"/>
      <c r="I1441" s="264"/>
      <c r="J1441" s="264"/>
      <c r="K1441" s="264"/>
      <c r="L1441" s="264"/>
      <c r="M1441" s="264"/>
      <c r="N1441" s="263"/>
      <c r="O1441" s="265"/>
      <c r="P1441" s="264"/>
      <c r="Q1441" s="263"/>
      <c r="R1441" s="263"/>
      <c r="S1441" s="266"/>
      <c r="T1441" s="266"/>
      <c r="U1441" s="266"/>
      <c r="V1441" s="267"/>
    </row>
    <row r="1442" spans="6:22">
      <c r="F1442" s="262"/>
      <c r="G1442" s="263"/>
      <c r="H1442" s="264"/>
      <c r="I1442" s="264"/>
      <c r="J1442" s="264"/>
      <c r="K1442" s="264"/>
      <c r="L1442" s="264"/>
      <c r="M1442" s="264"/>
      <c r="N1442" s="263"/>
      <c r="O1442" s="265"/>
      <c r="P1442" s="264"/>
      <c r="Q1442" s="263"/>
      <c r="R1442" s="263"/>
      <c r="S1442" s="266"/>
      <c r="T1442" s="266"/>
      <c r="U1442" s="266"/>
      <c r="V1442" s="267"/>
    </row>
    <row r="1443" spans="6:22">
      <c r="F1443" s="262"/>
      <c r="G1443" s="263"/>
      <c r="H1443" s="264"/>
      <c r="I1443" s="264"/>
      <c r="J1443" s="264"/>
      <c r="K1443" s="264"/>
      <c r="L1443" s="264"/>
      <c r="M1443" s="264"/>
      <c r="N1443" s="263"/>
      <c r="O1443" s="265"/>
      <c r="P1443" s="264"/>
      <c r="Q1443" s="263"/>
      <c r="R1443" s="263"/>
      <c r="S1443" s="266"/>
      <c r="T1443" s="266"/>
      <c r="U1443" s="266"/>
      <c r="V1443" s="267"/>
    </row>
    <row r="1444" spans="6:22">
      <c r="F1444" s="262"/>
      <c r="G1444" s="263"/>
      <c r="H1444" s="264"/>
      <c r="I1444" s="264"/>
      <c r="J1444" s="264"/>
      <c r="K1444" s="264"/>
      <c r="L1444" s="264"/>
      <c r="M1444" s="264"/>
      <c r="N1444" s="263"/>
      <c r="O1444" s="265"/>
      <c r="P1444" s="264"/>
      <c r="Q1444" s="263"/>
      <c r="R1444" s="263"/>
      <c r="S1444" s="266"/>
      <c r="T1444" s="266"/>
      <c r="U1444" s="266"/>
      <c r="V1444" s="267"/>
    </row>
    <row r="1445" spans="6:22">
      <c r="F1445" s="262"/>
      <c r="G1445" s="263"/>
      <c r="H1445" s="264"/>
      <c r="I1445" s="264"/>
      <c r="J1445" s="264"/>
      <c r="K1445" s="264"/>
      <c r="L1445" s="264"/>
      <c r="M1445" s="264"/>
      <c r="N1445" s="263"/>
      <c r="O1445" s="265"/>
      <c r="P1445" s="264"/>
      <c r="Q1445" s="263"/>
      <c r="R1445" s="263"/>
      <c r="S1445" s="266"/>
      <c r="T1445" s="266"/>
      <c r="U1445" s="266"/>
      <c r="V1445" s="267"/>
    </row>
    <row r="1446" spans="6:22">
      <c r="F1446" s="262"/>
      <c r="G1446" s="263"/>
      <c r="H1446" s="264"/>
      <c r="I1446" s="264"/>
      <c r="J1446" s="264"/>
      <c r="K1446" s="264"/>
      <c r="L1446" s="264"/>
      <c r="M1446" s="264"/>
      <c r="N1446" s="263"/>
      <c r="O1446" s="265"/>
      <c r="P1446" s="264"/>
      <c r="Q1446" s="263"/>
      <c r="R1446" s="263"/>
      <c r="S1446" s="266"/>
      <c r="T1446" s="266"/>
      <c r="U1446" s="266"/>
      <c r="V1446" s="267"/>
    </row>
    <row r="1447" spans="6:22">
      <c r="F1447" s="262"/>
      <c r="G1447" s="263"/>
      <c r="H1447" s="264"/>
      <c r="I1447" s="264"/>
      <c r="J1447" s="264"/>
      <c r="K1447" s="264"/>
      <c r="L1447" s="264"/>
      <c r="M1447" s="264"/>
      <c r="N1447" s="263"/>
      <c r="O1447" s="265"/>
      <c r="P1447" s="264"/>
      <c r="Q1447" s="263"/>
      <c r="R1447" s="263"/>
      <c r="S1447" s="266"/>
      <c r="T1447" s="266"/>
      <c r="U1447" s="266"/>
      <c r="V1447" s="267"/>
    </row>
    <row r="1448" spans="6:22">
      <c r="F1448" s="262"/>
      <c r="G1448" s="263"/>
      <c r="H1448" s="264"/>
      <c r="I1448" s="264"/>
      <c r="J1448" s="264"/>
      <c r="K1448" s="264"/>
      <c r="L1448" s="264"/>
      <c r="M1448" s="264"/>
      <c r="N1448" s="263"/>
      <c r="O1448" s="265"/>
      <c r="P1448" s="264"/>
      <c r="Q1448" s="263"/>
      <c r="R1448" s="263"/>
      <c r="S1448" s="266"/>
      <c r="T1448" s="266"/>
      <c r="U1448" s="266"/>
      <c r="V1448" s="267"/>
    </row>
    <row r="1449" spans="6:22">
      <c r="F1449" s="262"/>
      <c r="G1449" s="263"/>
      <c r="H1449" s="264"/>
      <c r="I1449" s="264"/>
      <c r="J1449" s="264"/>
      <c r="K1449" s="264"/>
      <c r="L1449" s="264"/>
      <c r="M1449" s="264"/>
      <c r="N1449" s="263"/>
      <c r="O1449" s="265"/>
      <c r="P1449" s="264"/>
      <c r="Q1449" s="263"/>
      <c r="R1449" s="263"/>
      <c r="S1449" s="266"/>
      <c r="T1449" s="266"/>
      <c r="U1449" s="266"/>
      <c r="V1449" s="267"/>
    </row>
    <row r="1450" spans="6:22">
      <c r="F1450" s="262"/>
      <c r="G1450" s="263"/>
      <c r="H1450" s="264"/>
      <c r="I1450" s="264"/>
      <c r="J1450" s="264"/>
      <c r="K1450" s="264"/>
      <c r="L1450" s="264"/>
      <c r="M1450" s="264"/>
      <c r="N1450" s="263"/>
      <c r="O1450" s="265"/>
      <c r="P1450" s="264"/>
      <c r="Q1450" s="263"/>
      <c r="R1450" s="263"/>
      <c r="S1450" s="266"/>
      <c r="T1450" s="266"/>
      <c r="U1450" s="266"/>
      <c r="V1450" s="267"/>
    </row>
    <row r="1451" spans="6:22">
      <c r="F1451" s="262"/>
      <c r="G1451" s="263"/>
      <c r="H1451" s="264"/>
      <c r="I1451" s="264"/>
      <c r="J1451" s="264"/>
      <c r="K1451" s="264"/>
      <c r="L1451" s="264"/>
      <c r="M1451" s="264"/>
      <c r="N1451" s="263"/>
      <c r="O1451" s="265"/>
      <c r="P1451" s="264"/>
      <c r="Q1451" s="263"/>
      <c r="R1451" s="263"/>
      <c r="S1451" s="266"/>
      <c r="T1451" s="266"/>
      <c r="U1451" s="266"/>
      <c r="V1451" s="267"/>
    </row>
    <row r="1452" spans="6:22">
      <c r="F1452" s="262"/>
      <c r="G1452" s="263"/>
      <c r="H1452" s="264"/>
      <c r="I1452" s="264"/>
      <c r="J1452" s="264"/>
      <c r="K1452" s="264"/>
      <c r="L1452" s="264"/>
      <c r="M1452" s="264"/>
      <c r="N1452" s="263"/>
      <c r="O1452" s="265"/>
      <c r="P1452" s="264"/>
      <c r="Q1452" s="263"/>
      <c r="R1452" s="263"/>
      <c r="S1452" s="266"/>
      <c r="T1452" s="266"/>
      <c r="U1452" s="266"/>
      <c r="V1452" s="267"/>
    </row>
    <row r="1453" spans="6:22">
      <c r="F1453" s="262"/>
      <c r="G1453" s="263"/>
      <c r="H1453" s="264"/>
      <c r="I1453" s="264"/>
      <c r="J1453" s="264"/>
      <c r="K1453" s="264"/>
      <c r="L1453" s="264"/>
      <c r="M1453" s="264"/>
      <c r="N1453" s="263"/>
      <c r="O1453" s="265"/>
      <c r="P1453" s="264"/>
      <c r="Q1453" s="263"/>
      <c r="R1453" s="263"/>
      <c r="S1453" s="266"/>
      <c r="T1453" s="266"/>
      <c r="U1453" s="266"/>
      <c r="V1453" s="267"/>
    </row>
    <row r="1454" spans="6:22">
      <c r="F1454" s="262"/>
      <c r="G1454" s="263"/>
      <c r="H1454" s="264"/>
      <c r="I1454" s="264"/>
      <c r="J1454" s="264"/>
      <c r="K1454" s="264"/>
      <c r="L1454" s="264"/>
      <c r="M1454" s="264"/>
      <c r="N1454" s="263"/>
      <c r="O1454" s="265"/>
      <c r="P1454" s="264"/>
      <c r="Q1454" s="263"/>
      <c r="R1454" s="263"/>
      <c r="S1454" s="266"/>
      <c r="T1454" s="266"/>
      <c r="U1454" s="266"/>
      <c r="V1454" s="267"/>
    </row>
    <row r="1455" spans="6:22">
      <c r="F1455" s="262"/>
      <c r="G1455" s="263"/>
      <c r="H1455" s="264"/>
      <c r="I1455" s="264"/>
      <c r="J1455" s="264"/>
      <c r="K1455" s="264"/>
      <c r="L1455" s="264"/>
      <c r="M1455" s="264"/>
      <c r="N1455" s="263"/>
      <c r="O1455" s="265"/>
      <c r="P1455" s="264"/>
      <c r="Q1455" s="263"/>
      <c r="R1455" s="263"/>
      <c r="S1455" s="266"/>
      <c r="T1455" s="266"/>
      <c r="U1455" s="266"/>
      <c r="V1455" s="267"/>
    </row>
    <row r="1456" spans="6:22">
      <c r="F1456" s="262"/>
      <c r="G1456" s="263"/>
      <c r="H1456" s="264"/>
      <c r="I1456" s="264"/>
      <c r="J1456" s="264"/>
      <c r="K1456" s="264"/>
      <c r="L1456" s="264"/>
      <c r="M1456" s="264"/>
      <c r="N1456" s="263"/>
      <c r="O1456" s="265"/>
      <c r="P1456" s="264"/>
      <c r="Q1456" s="263"/>
      <c r="R1456" s="263"/>
      <c r="S1456" s="266"/>
      <c r="T1456" s="266"/>
      <c r="U1456" s="266"/>
      <c r="V1456" s="267"/>
    </row>
    <row r="1457" spans="6:22">
      <c r="F1457" s="262"/>
      <c r="G1457" s="263"/>
      <c r="H1457" s="264"/>
      <c r="I1457" s="264"/>
      <c r="J1457" s="264"/>
      <c r="K1457" s="264"/>
      <c r="L1457" s="264"/>
      <c r="M1457" s="264"/>
      <c r="N1457" s="263"/>
      <c r="O1457" s="265"/>
      <c r="P1457" s="264"/>
      <c r="Q1457" s="263"/>
      <c r="R1457" s="263"/>
      <c r="S1457" s="266"/>
      <c r="T1457" s="266"/>
      <c r="U1457" s="266"/>
      <c r="V1457" s="267"/>
    </row>
    <row r="1458" spans="6:22">
      <c r="F1458" s="262"/>
      <c r="G1458" s="263"/>
      <c r="H1458" s="264"/>
      <c r="I1458" s="264"/>
      <c r="J1458" s="264"/>
      <c r="K1458" s="264"/>
      <c r="L1458" s="264"/>
      <c r="M1458" s="264"/>
      <c r="N1458" s="263"/>
      <c r="O1458" s="265"/>
      <c r="P1458" s="264"/>
      <c r="Q1458" s="263"/>
      <c r="R1458" s="263"/>
      <c r="S1458" s="266"/>
      <c r="T1458" s="266"/>
      <c r="U1458" s="266"/>
      <c r="V1458" s="267"/>
    </row>
    <row r="1459" spans="6:22">
      <c r="F1459" s="262"/>
      <c r="G1459" s="263"/>
      <c r="H1459" s="264"/>
      <c r="I1459" s="264"/>
      <c r="J1459" s="264"/>
      <c r="K1459" s="264"/>
      <c r="L1459" s="264"/>
      <c r="M1459" s="264"/>
      <c r="N1459" s="263"/>
      <c r="O1459" s="265"/>
      <c r="P1459" s="264"/>
      <c r="Q1459" s="263"/>
      <c r="R1459" s="263"/>
      <c r="S1459" s="266"/>
      <c r="T1459" s="266"/>
      <c r="U1459" s="266"/>
      <c r="V1459" s="267"/>
    </row>
    <row r="1460" spans="6:22">
      <c r="F1460" s="262"/>
      <c r="G1460" s="263"/>
      <c r="H1460" s="264"/>
      <c r="I1460" s="264"/>
      <c r="J1460" s="264"/>
      <c r="K1460" s="264"/>
      <c r="L1460" s="264"/>
      <c r="M1460" s="264"/>
      <c r="N1460" s="263"/>
      <c r="O1460" s="265"/>
      <c r="P1460" s="264"/>
      <c r="Q1460" s="263"/>
      <c r="R1460" s="263"/>
      <c r="S1460" s="266"/>
      <c r="T1460" s="266"/>
      <c r="U1460" s="266"/>
      <c r="V1460" s="267"/>
    </row>
    <row r="1461" spans="6:22">
      <c r="F1461" s="262"/>
      <c r="G1461" s="263"/>
      <c r="H1461" s="264"/>
      <c r="I1461" s="264"/>
      <c r="J1461" s="264"/>
      <c r="K1461" s="264"/>
      <c r="L1461" s="264"/>
      <c r="M1461" s="264"/>
      <c r="N1461" s="263"/>
      <c r="O1461" s="265"/>
      <c r="P1461" s="264"/>
      <c r="Q1461" s="263"/>
      <c r="R1461" s="263"/>
      <c r="S1461" s="266"/>
      <c r="T1461" s="266"/>
      <c r="U1461" s="266"/>
      <c r="V1461" s="267"/>
    </row>
    <row r="1462" spans="6:22">
      <c r="F1462" s="262"/>
      <c r="G1462" s="263"/>
      <c r="H1462" s="264"/>
      <c r="I1462" s="264"/>
      <c r="J1462" s="264"/>
      <c r="K1462" s="264"/>
      <c r="L1462" s="264"/>
      <c r="M1462" s="264"/>
      <c r="N1462" s="263"/>
      <c r="O1462" s="265"/>
      <c r="P1462" s="264"/>
      <c r="Q1462" s="263"/>
      <c r="R1462" s="263"/>
      <c r="S1462" s="266"/>
      <c r="T1462" s="266"/>
      <c r="U1462" s="266"/>
      <c r="V1462" s="267"/>
    </row>
    <row r="1463" spans="6:22">
      <c r="F1463" s="262"/>
      <c r="G1463" s="263"/>
      <c r="H1463" s="264"/>
      <c r="I1463" s="264"/>
      <c r="J1463" s="264"/>
      <c r="K1463" s="264"/>
      <c r="L1463" s="264"/>
      <c r="M1463" s="264"/>
      <c r="N1463" s="263"/>
      <c r="O1463" s="265"/>
      <c r="P1463" s="264"/>
      <c r="Q1463" s="263"/>
      <c r="R1463" s="263"/>
      <c r="S1463" s="266"/>
      <c r="T1463" s="266"/>
      <c r="U1463" s="266"/>
      <c r="V1463" s="267"/>
    </row>
    <row r="1464" spans="6:22">
      <c r="F1464" s="262"/>
      <c r="G1464" s="263"/>
      <c r="H1464" s="264"/>
      <c r="I1464" s="264"/>
      <c r="J1464" s="264"/>
      <c r="K1464" s="264"/>
      <c r="L1464" s="264"/>
      <c r="M1464" s="264"/>
      <c r="N1464" s="263"/>
      <c r="O1464" s="265"/>
      <c r="P1464" s="264"/>
      <c r="Q1464" s="263"/>
      <c r="R1464" s="263"/>
      <c r="S1464" s="266"/>
      <c r="T1464" s="266"/>
      <c r="U1464" s="266"/>
      <c r="V1464" s="267"/>
    </row>
    <row r="1465" spans="6:22">
      <c r="F1465" s="262"/>
      <c r="G1465" s="263"/>
      <c r="H1465" s="264"/>
      <c r="I1465" s="264"/>
      <c r="J1465" s="264"/>
      <c r="K1465" s="264"/>
      <c r="L1465" s="264"/>
      <c r="M1465" s="264"/>
      <c r="N1465" s="263"/>
      <c r="O1465" s="265"/>
      <c r="P1465" s="264"/>
      <c r="Q1465" s="263"/>
      <c r="R1465" s="263"/>
      <c r="S1465" s="266"/>
      <c r="T1465" s="266"/>
      <c r="U1465" s="266"/>
      <c r="V1465" s="267"/>
    </row>
    <row r="1466" spans="6:22">
      <c r="F1466" s="262"/>
      <c r="G1466" s="263"/>
      <c r="H1466" s="264"/>
      <c r="I1466" s="264"/>
      <c r="J1466" s="264"/>
      <c r="K1466" s="264"/>
      <c r="L1466" s="264"/>
      <c r="M1466" s="264"/>
      <c r="N1466" s="263"/>
      <c r="O1466" s="265"/>
      <c r="P1466" s="264"/>
      <c r="Q1466" s="263"/>
      <c r="R1466" s="263"/>
      <c r="S1466" s="266"/>
      <c r="T1466" s="266"/>
      <c r="U1466" s="266"/>
      <c r="V1466" s="267"/>
    </row>
    <row r="1467" spans="6:22">
      <c r="F1467" s="262"/>
      <c r="G1467" s="263"/>
      <c r="H1467" s="264"/>
      <c r="I1467" s="264"/>
      <c r="J1467" s="264"/>
      <c r="K1467" s="264"/>
      <c r="L1467" s="264"/>
      <c r="M1467" s="264"/>
      <c r="N1467" s="263"/>
      <c r="O1467" s="265"/>
      <c r="P1467" s="264"/>
      <c r="Q1467" s="263"/>
      <c r="R1467" s="263"/>
      <c r="S1467" s="266"/>
      <c r="T1467" s="266"/>
      <c r="U1467" s="266"/>
      <c r="V1467" s="267"/>
    </row>
    <row r="1468" spans="6:22">
      <c r="F1468" s="262"/>
      <c r="G1468" s="263"/>
      <c r="H1468" s="264"/>
      <c r="I1468" s="264"/>
      <c r="J1468" s="264"/>
      <c r="K1468" s="264"/>
      <c r="L1468" s="264"/>
      <c r="M1468" s="264"/>
      <c r="N1468" s="263"/>
      <c r="O1468" s="265"/>
      <c r="P1468" s="264"/>
      <c r="Q1468" s="263"/>
      <c r="R1468" s="263"/>
      <c r="S1468" s="266"/>
      <c r="T1468" s="266"/>
      <c r="U1468" s="266"/>
      <c r="V1468" s="267"/>
    </row>
    <row r="1469" spans="6:22">
      <c r="F1469" s="262"/>
      <c r="G1469" s="263"/>
      <c r="H1469" s="264"/>
      <c r="I1469" s="264"/>
      <c r="J1469" s="264"/>
      <c r="K1469" s="264"/>
      <c r="L1469" s="264"/>
      <c r="M1469" s="264"/>
      <c r="N1469" s="263"/>
      <c r="O1469" s="265"/>
      <c r="P1469" s="264"/>
      <c r="Q1469" s="263"/>
      <c r="R1469" s="263"/>
      <c r="S1469" s="266"/>
      <c r="T1469" s="266"/>
      <c r="U1469" s="266"/>
      <c r="V1469" s="267"/>
    </row>
    <row r="1470" spans="6:22">
      <c r="F1470" s="262"/>
      <c r="G1470" s="263"/>
      <c r="H1470" s="264"/>
      <c r="I1470" s="264"/>
      <c r="J1470" s="264"/>
      <c r="K1470" s="264"/>
      <c r="L1470" s="264"/>
      <c r="M1470" s="264"/>
      <c r="N1470" s="263"/>
      <c r="O1470" s="265"/>
      <c r="P1470" s="264"/>
      <c r="Q1470" s="263"/>
      <c r="R1470" s="263"/>
      <c r="S1470" s="266"/>
      <c r="T1470" s="266"/>
      <c r="U1470" s="266"/>
      <c r="V1470" s="267"/>
    </row>
    <row r="1471" spans="6:22">
      <c r="F1471" s="262"/>
      <c r="G1471" s="263"/>
      <c r="H1471" s="264"/>
      <c r="I1471" s="264"/>
      <c r="J1471" s="264"/>
      <c r="K1471" s="264"/>
      <c r="L1471" s="264"/>
      <c r="M1471" s="264"/>
      <c r="N1471" s="263"/>
      <c r="O1471" s="265"/>
      <c r="P1471" s="264"/>
      <c r="Q1471" s="263"/>
      <c r="R1471" s="263"/>
      <c r="S1471" s="266"/>
      <c r="T1471" s="266"/>
      <c r="U1471" s="266"/>
      <c r="V1471" s="267"/>
    </row>
    <row r="1472" spans="6:22">
      <c r="F1472" s="262"/>
      <c r="G1472" s="263"/>
      <c r="H1472" s="264"/>
      <c r="I1472" s="264"/>
      <c r="J1472" s="264"/>
      <c r="K1472" s="264"/>
      <c r="L1472" s="264"/>
      <c r="M1472" s="264"/>
      <c r="N1472" s="263"/>
      <c r="O1472" s="265"/>
      <c r="P1472" s="264"/>
      <c r="Q1472" s="263"/>
      <c r="R1472" s="263"/>
      <c r="S1472" s="266"/>
      <c r="T1472" s="266"/>
      <c r="U1472" s="266"/>
      <c r="V1472" s="267"/>
    </row>
    <row r="1473" spans="6:22">
      <c r="F1473" s="262"/>
      <c r="G1473" s="263"/>
      <c r="H1473" s="264"/>
      <c r="I1473" s="264"/>
      <c r="J1473" s="264"/>
      <c r="K1473" s="264"/>
      <c r="L1473" s="264"/>
      <c r="M1473" s="264"/>
      <c r="N1473" s="263"/>
      <c r="O1473" s="265"/>
      <c r="P1473" s="264"/>
      <c r="Q1473" s="263"/>
      <c r="R1473" s="263"/>
      <c r="S1473" s="266"/>
      <c r="T1473" s="266"/>
      <c r="U1473" s="266"/>
      <c r="V1473" s="267"/>
    </row>
    <row r="1474" spans="6:22">
      <c r="F1474" s="262"/>
      <c r="G1474" s="263"/>
      <c r="H1474" s="264"/>
      <c r="I1474" s="264"/>
      <c r="J1474" s="264"/>
      <c r="K1474" s="264"/>
      <c r="L1474" s="264"/>
      <c r="M1474" s="264"/>
      <c r="N1474" s="263"/>
      <c r="O1474" s="265"/>
      <c r="P1474" s="264"/>
      <c r="Q1474" s="263"/>
      <c r="R1474" s="263"/>
      <c r="S1474" s="266"/>
      <c r="T1474" s="266"/>
      <c r="U1474" s="266"/>
      <c r="V1474" s="267"/>
    </row>
    <row r="1475" spans="6:22">
      <c r="F1475" s="262"/>
      <c r="G1475" s="263"/>
      <c r="H1475" s="264"/>
      <c r="I1475" s="264"/>
      <c r="J1475" s="264"/>
      <c r="K1475" s="264"/>
      <c r="L1475" s="264"/>
      <c r="M1475" s="264"/>
      <c r="N1475" s="263"/>
      <c r="O1475" s="265"/>
      <c r="P1475" s="264"/>
      <c r="Q1475" s="263"/>
      <c r="R1475" s="263"/>
      <c r="S1475" s="266"/>
      <c r="T1475" s="266"/>
      <c r="U1475" s="266"/>
      <c r="V1475" s="267"/>
    </row>
    <row r="1476" spans="6:22">
      <c r="F1476" s="262"/>
      <c r="G1476" s="263"/>
      <c r="H1476" s="264"/>
      <c r="I1476" s="264"/>
      <c r="J1476" s="264"/>
      <c r="K1476" s="264"/>
      <c r="L1476" s="264"/>
      <c r="M1476" s="264"/>
      <c r="N1476" s="263"/>
      <c r="O1476" s="265"/>
      <c r="P1476" s="264"/>
      <c r="Q1476" s="263"/>
      <c r="R1476" s="263"/>
      <c r="S1476" s="266"/>
      <c r="T1476" s="266"/>
      <c r="U1476" s="266"/>
      <c r="V1476" s="267"/>
    </row>
    <row r="1477" spans="6:22">
      <c r="F1477" s="262"/>
      <c r="G1477" s="263"/>
      <c r="H1477" s="264"/>
      <c r="I1477" s="264"/>
      <c r="J1477" s="264"/>
      <c r="K1477" s="264"/>
      <c r="L1477" s="264"/>
      <c r="M1477" s="264"/>
      <c r="N1477" s="263"/>
      <c r="O1477" s="265"/>
      <c r="P1477" s="264"/>
      <c r="Q1477" s="263"/>
      <c r="R1477" s="263"/>
      <c r="S1477" s="266"/>
      <c r="T1477" s="266"/>
      <c r="U1477" s="266"/>
      <c r="V1477" s="267"/>
    </row>
    <row r="1478" spans="6:22">
      <c r="F1478" s="262"/>
      <c r="G1478" s="263"/>
      <c r="H1478" s="264"/>
      <c r="I1478" s="264"/>
      <c r="J1478" s="264"/>
      <c r="K1478" s="264"/>
      <c r="L1478" s="264"/>
      <c r="M1478" s="264"/>
      <c r="N1478" s="263"/>
      <c r="O1478" s="265"/>
      <c r="P1478" s="264"/>
      <c r="Q1478" s="263"/>
      <c r="R1478" s="263"/>
      <c r="S1478" s="266"/>
      <c r="T1478" s="266"/>
      <c r="U1478" s="266"/>
      <c r="V1478" s="267"/>
    </row>
    <row r="1479" spans="6:22">
      <c r="F1479" s="262"/>
      <c r="G1479" s="263"/>
      <c r="H1479" s="264"/>
      <c r="I1479" s="264"/>
      <c r="J1479" s="264"/>
      <c r="K1479" s="264"/>
      <c r="L1479" s="264"/>
      <c r="M1479" s="264"/>
      <c r="N1479" s="263"/>
      <c r="O1479" s="265"/>
      <c r="P1479" s="264"/>
      <c r="Q1479" s="263"/>
      <c r="R1479" s="263"/>
      <c r="S1479" s="266"/>
      <c r="T1479" s="266"/>
      <c r="U1479" s="266"/>
      <c r="V1479" s="267"/>
    </row>
    <row r="1480" spans="6:22">
      <c r="F1480" s="262"/>
      <c r="G1480" s="263"/>
      <c r="H1480" s="264"/>
      <c r="I1480" s="264"/>
      <c r="J1480" s="264"/>
      <c r="K1480" s="264"/>
      <c r="L1480" s="264"/>
      <c r="M1480" s="264"/>
      <c r="N1480" s="263"/>
      <c r="O1480" s="265"/>
      <c r="P1480" s="264"/>
      <c r="Q1480" s="263"/>
      <c r="R1480" s="263"/>
      <c r="S1480" s="266"/>
      <c r="T1480" s="266"/>
      <c r="U1480" s="266"/>
      <c r="V1480" s="267"/>
    </row>
    <row r="1481" spans="6:22">
      <c r="F1481" s="262"/>
      <c r="G1481" s="263"/>
      <c r="H1481" s="264"/>
      <c r="I1481" s="264"/>
      <c r="J1481" s="264"/>
      <c r="K1481" s="264"/>
      <c r="L1481" s="264"/>
      <c r="M1481" s="264"/>
      <c r="N1481" s="263"/>
      <c r="O1481" s="265"/>
      <c r="P1481" s="264"/>
      <c r="Q1481" s="263"/>
      <c r="R1481" s="263"/>
      <c r="S1481" s="266"/>
      <c r="T1481" s="266"/>
      <c r="U1481" s="266"/>
      <c r="V1481" s="267"/>
    </row>
    <row r="1482" spans="6:22">
      <c r="F1482" s="262"/>
      <c r="G1482" s="263"/>
      <c r="H1482" s="264"/>
      <c r="I1482" s="264"/>
      <c r="J1482" s="264"/>
      <c r="K1482" s="264"/>
      <c r="L1482" s="264"/>
      <c r="M1482" s="264"/>
      <c r="N1482" s="263"/>
      <c r="O1482" s="265"/>
      <c r="P1482" s="264"/>
      <c r="Q1482" s="263"/>
      <c r="R1482" s="263"/>
      <c r="S1482" s="266"/>
      <c r="T1482" s="266"/>
      <c r="U1482" s="266"/>
      <c r="V1482" s="267"/>
    </row>
    <row r="1483" spans="6:22">
      <c r="F1483" s="262"/>
      <c r="G1483" s="263"/>
      <c r="H1483" s="264"/>
      <c r="I1483" s="264"/>
      <c r="J1483" s="264"/>
      <c r="K1483" s="264"/>
      <c r="L1483" s="264"/>
      <c r="M1483" s="264"/>
      <c r="N1483" s="263"/>
      <c r="O1483" s="265"/>
      <c r="P1483" s="264"/>
      <c r="Q1483" s="263"/>
      <c r="R1483" s="263"/>
      <c r="S1483" s="266"/>
      <c r="T1483" s="266"/>
      <c r="U1483" s="266"/>
      <c r="V1483" s="267"/>
    </row>
    <row r="1484" spans="6:22">
      <c r="F1484" s="262"/>
      <c r="G1484" s="263"/>
      <c r="H1484" s="264"/>
      <c r="I1484" s="264"/>
      <c r="J1484" s="264"/>
      <c r="K1484" s="264"/>
      <c r="L1484" s="264"/>
      <c r="M1484" s="264"/>
      <c r="N1484" s="263"/>
      <c r="O1484" s="265"/>
      <c r="P1484" s="264"/>
      <c r="Q1484" s="263"/>
      <c r="R1484" s="263"/>
      <c r="S1484" s="266"/>
      <c r="T1484" s="266"/>
      <c r="U1484" s="266"/>
      <c r="V1484" s="267"/>
    </row>
    <row r="1485" spans="6:22">
      <c r="F1485" s="262"/>
      <c r="G1485" s="263"/>
      <c r="H1485" s="264"/>
      <c r="I1485" s="264"/>
      <c r="J1485" s="264"/>
      <c r="K1485" s="264"/>
      <c r="L1485" s="264"/>
      <c r="M1485" s="264"/>
      <c r="N1485" s="263"/>
      <c r="O1485" s="265"/>
      <c r="P1485" s="264"/>
      <c r="Q1485" s="263"/>
      <c r="R1485" s="263"/>
      <c r="S1485" s="266"/>
      <c r="T1485" s="266"/>
      <c r="U1485" s="266"/>
      <c r="V1485" s="267"/>
    </row>
    <row r="1486" spans="6:22">
      <c r="F1486" s="262"/>
      <c r="G1486" s="263"/>
      <c r="H1486" s="264"/>
      <c r="I1486" s="264"/>
      <c r="J1486" s="264"/>
      <c r="K1486" s="264"/>
      <c r="L1486" s="264"/>
      <c r="M1486" s="264"/>
      <c r="N1486" s="263"/>
      <c r="O1486" s="265"/>
      <c r="P1486" s="264"/>
      <c r="Q1486" s="263"/>
      <c r="R1486" s="263"/>
      <c r="S1486" s="266"/>
      <c r="T1486" s="266"/>
      <c r="U1486" s="266"/>
      <c r="V1486" s="267"/>
    </row>
    <row r="1487" spans="6:22">
      <c r="F1487" s="262"/>
      <c r="G1487" s="263"/>
      <c r="H1487" s="264"/>
      <c r="I1487" s="264"/>
      <c r="J1487" s="264"/>
      <c r="K1487" s="264"/>
      <c r="L1487" s="264"/>
      <c r="M1487" s="264"/>
      <c r="N1487" s="263"/>
      <c r="O1487" s="265"/>
      <c r="P1487" s="264"/>
      <c r="Q1487" s="263"/>
      <c r="R1487" s="263"/>
      <c r="S1487" s="266"/>
      <c r="T1487" s="266"/>
      <c r="U1487" s="266"/>
      <c r="V1487" s="267"/>
    </row>
    <row r="1488" spans="6:22">
      <c r="F1488" s="262"/>
      <c r="G1488" s="263"/>
      <c r="H1488" s="264"/>
      <c r="I1488" s="264"/>
      <c r="J1488" s="264"/>
      <c r="K1488" s="264"/>
      <c r="L1488" s="264"/>
      <c r="M1488" s="264"/>
      <c r="N1488" s="263"/>
      <c r="O1488" s="265"/>
      <c r="P1488" s="264"/>
      <c r="Q1488" s="263"/>
      <c r="R1488" s="263"/>
      <c r="S1488" s="266"/>
      <c r="T1488" s="266"/>
      <c r="U1488" s="266"/>
      <c r="V1488" s="267"/>
    </row>
    <row r="1489" spans="6:22">
      <c r="F1489" s="262"/>
      <c r="G1489" s="263"/>
      <c r="H1489" s="264"/>
      <c r="I1489" s="264"/>
      <c r="J1489" s="264"/>
      <c r="K1489" s="264"/>
      <c r="L1489" s="264"/>
      <c r="M1489" s="264"/>
      <c r="N1489" s="263"/>
      <c r="O1489" s="265"/>
      <c r="P1489" s="264"/>
      <c r="Q1489" s="263"/>
      <c r="R1489" s="263"/>
      <c r="S1489" s="266"/>
      <c r="T1489" s="266"/>
      <c r="U1489" s="266"/>
      <c r="V1489" s="267"/>
    </row>
    <row r="1490" spans="6:22">
      <c r="F1490" s="262"/>
      <c r="G1490" s="263"/>
      <c r="H1490" s="264"/>
      <c r="I1490" s="264"/>
      <c r="J1490" s="264"/>
      <c r="K1490" s="264"/>
      <c r="L1490" s="264"/>
      <c r="M1490" s="264"/>
      <c r="N1490" s="263"/>
      <c r="O1490" s="265"/>
      <c r="P1490" s="264"/>
      <c r="Q1490" s="263"/>
      <c r="R1490" s="263"/>
      <c r="S1490" s="266"/>
      <c r="T1490" s="266"/>
      <c r="U1490" s="266"/>
      <c r="V1490" s="267"/>
    </row>
    <row r="1491" spans="6:22">
      <c r="F1491" s="262"/>
      <c r="G1491" s="263"/>
      <c r="H1491" s="264"/>
      <c r="I1491" s="264"/>
      <c r="J1491" s="264"/>
      <c r="K1491" s="264"/>
      <c r="L1491" s="264"/>
      <c r="M1491" s="264"/>
      <c r="N1491" s="263"/>
      <c r="O1491" s="265"/>
      <c r="P1491" s="264"/>
      <c r="Q1491" s="263"/>
      <c r="R1491" s="263"/>
      <c r="S1491" s="266"/>
      <c r="T1491" s="266"/>
      <c r="U1491" s="266"/>
      <c r="V1491" s="267"/>
    </row>
    <row r="1492" spans="6:22">
      <c r="F1492" s="262"/>
      <c r="G1492" s="263"/>
      <c r="H1492" s="264"/>
      <c r="I1492" s="264"/>
      <c r="J1492" s="264"/>
      <c r="K1492" s="264"/>
      <c r="L1492" s="264"/>
      <c r="M1492" s="264"/>
      <c r="N1492" s="263"/>
      <c r="O1492" s="265"/>
      <c r="P1492" s="264"/>
      <c r="Q1492" s="263"/>
      <c r="R1492" s="263"/>
      <c r="S1492" s="266"/>
      <c r="T1492" s="266"/>
      <c r="U1492" s="266"/>
      <c r="V1492" s="267"/>
    </row>
    <row r="1493" spans="6:22">
      <c r="F1493" s="262"/>
      <c r="G1493" s="263"/>
      <c r="H1493" s="264"/>
      <c r="I1493" s="264"/>
      <c r="J1493" s="264"/>
      <c r="K1493" s="264"/>
      <c r="L1493" s="264"/>
      <c r="M1493" s="264"/>
      <c r="N1493" s="263"/>
      <c r="O1493" s="265"/>
      <c r="P1493" s="264"/>
      <c r="Q1493" s="263"/>
      <c r="R1493" s="263"/>
      <c r="S1493" s="266"/>
      <c r="T1493" s="266"/>
      <c r="U1493" s="266"/>
      <c r="V1493" s="267"/>
    </row>
    <row r="1494" spans="6:22">
      <c r="F1494" s="262"/>
      <c r="G1494" s="263"/>
      <c r="H1494" s="264"/>
      <c r="I1494" s="264"/>
      <c r="J1494" s="264"/>
      <c r="K1494" s="264"/>
      <c r="L1494" s="264"/>
      <c r="M1494" s="264"/>
      <c r="N1494" s="263"/>
      <c r="O1494" s="265"/>
      <c r="P1494" s="264"/>
      <c r="Q1494" s="263"/>
      <c r="R1494" s="263"/>
      <c r="S1494" s="266"/>
      <c r="T1494" s="266"/>
      <c r="U1494" s="266"/>
      <c r="V1494" s="267"/>
    </row>
    <row r="1495" spans="6:22">
      <c r="F1495" s="262"/>
      <c r="G1495" s="263"/>
      <c r="H1495" s="264"/>
      <c r="I1495" s="264"/>
      <c r="J1495" s="264"/>
      <c r="K1495" s="264"/>
      <c r="L1495" s="264"/>
      <c r="M1495" s="264"/>
      <c r="N1495" s="263"/>
      <c r="O1495" s="265"/>
      <c r="P1495" s="264"/>
      <c r="Q1495" s="263"/>
      <c r="R1495" s="263"/>
      <c r="S1495" s="266"/>
      <c r="T1495" s="266"/>
      <c r="U1495" s="266"/>
      <c r="V1495" s="267"/>
    </row>
    <row r="1496" spans="6:22">
      <c r="F1496" s="262"/>
      <c r="G1496" s="263"/>
      <c r="H1496" s="264"/>
      <c r="I1496" s="264"/>
      <c r="J1496" s="264"/>
      <c r="K1496" s="264"/>
      <c r="L1496" s="264"/>
      <c r="M1496" s="264"/>
      <c r="N1496" s="263"/>
      <c r="O1496" s="265"/>
      <c r="P1496" s="264"/>
      <c r="Q1496" s="263"/>
      <c r="R1496" s="263"/>
      <c r="S1496" s="266"/>
      <c r="T1496" s="266"/>
      <c r="U1496" s="266"/>
      <c r="V1496" s="267"/>
    </row>
    <row r="1497" spans="6:22">
      <c r="F1497" s="262"/>
      <c r="G1497" s="263"/>
      <c r="H1497" s="264"/>
      <c r="I1497" s="264"/>
      <c r="J1497" s="264"/>
      <c r="K1497" s="264"/>
      <c r="L1497" s="264"/>
      <c r="M1497" s="264"/>
      <c r="N1497" s="263"/>
      <c r="O1497" s="265"/>
      <c r="P1497" s="264"/>
      <c r="Q1497" s="263"/>
      <c r="R1497" s="263"/>
      <c r="S1497" s="266"/>
      <c r="T1497" s="266"/>
      <c r="U1497" s="266"/>
      <c r="V1497" s="267"/>
    </row>
    <row r="1498" spans="6:22">
      <c r="F1498" s="262"/>
      <c r="G1498" s="263"/>
      <c r="H1498" s="264"/>
      <c r="I1498" s="264"/>
      <c r="J1498" s="264"/>
      <c r="K1498" s="264"/>
      <c r="L1498" s="264"/>
      <c r="M1498" s="264"/>
      <c r="N1498" s="263"/>
      <c r="O1498" s="265"/>
      <c r="P1498" s="264"/>
      <c r="Q1498" s="263"/>
      <c r="R1498" s="263"/>
      <c r="S1498" s="266"/>
      <c r="T1498" s="266"/>
      <c r="U1498" s="266"/>
      <c r="V1498" s="267"/>
    </row>
    <row r="1499" spans="6:22">
      <c r="F1499" s="262"/>
      <c r="G1499" s="263"/>
      <c r="H1499" s="264"/>
      <c r="I1499" s="264"/>
      <c r="J1499" s="264"/>
      <c r="K1499" s="264"/>
      <c r="L1499" s="264"/>
      <c r="M1499" s="264"/>
      <c r="N1499" s="263"/>
      <c r="O1499" s="265"/>
      <c r="P1499" s="264"/>
      <c r="Q1499" s="263"/>
      <c r="R1499" s="263"/>
      <c r="S1499" s="266"/>
      <c r="T1499" s="266"/>
      <c r="U1499" s="266"/>
      <c r="V1499" s="267"/>
    </row>
    <row r="1500" spans="6:22">
      <c r="F1500" s="262"/>
      <c r="G1500" s="263"/>
      <c r="H1500" s="264"/>
      <c r="I1500" s="264"/>
      <c r="J1500" s="264"/>
      <c r="K1500" s="264"/>
      <c r="L1500" s="264"/>
      <c r="M1500" s="264"/>
      <c r="N1500" s="263"/>
      <c r="O1500" s="265"/>
      <c r="P1500" s="264"/>
      <c r="Q1500" s="263"/>
      <c r="R1500" s="263"/>
      <c r="S1500" s="266"/>
      <c r="T1500" s="266"/>
      <c r="U1500" s="266"/>
      <c r="V1500" s="267"/>
    </row>
    <row r="1501" spans="6:22">
      <c r="F1501" s="262"/>
      <c r="G1501" s="263"/>
      <c r="H1501" s="264"/>
      <c r="I1501" s="264"/>
      <c r="J1501" s="264"/>
      <c r="K1501" s="264"/>
      <c r="L1501" s="264"/>
      <c r="M1501" s="264"/>
      <c r="N1501" s="263"/>
      <c r="O1501" s="265"/>
      <c r="P1501" s="264"/>
      <c r="Q1501" s="263"/>
      <c r="R1501" s="263"/>
      <c r="S1501" s="266"/>
      <c r="T1501" s="266"/>
      <c r="U1501" s="266"/>
      <c r="V1501" s="267"/>
    </row>
    <row r="1502" spans="6:22">
      <c r="N1502" s="263"/>
      <c r="O1502" s="265"/>
      <c r="P1502" s="264"/>
      <c r="Q1502" s="263"/>
      <c r="R1502" s="263"/>
      <c r="S1502" s="266"/>
      <c r="T1502" s="266"/>
      <c r="U1502" s="266"/>
      <c r="V1502" s="267"/>
    </row>
    <row r="1503" spans="6:22">
      <c r="N1503" s="263"/>
      <c r="O1503" s="265"/>
      <c r="P1503" s="264"/>
      <c r="Q1503" s="263"/>
      <c r="R1503" s="263"/>
      <c r="S1503" s="266"/>
      <c r="T1503" s="266"/>
      <c r="U1503" s="266"/>
      <c r="V1503" s="267"/>
    </row>
  </sheetData>
  <mergeCells count="15">
    <mergeCell ref="T2:T3"/>
    <mergeCell ref="U2:U3"/>
    <mergeCell ref="V2:V3"/>
    <mergeCell ref="B1:B2"/>
    <mergeCell ref="N2:N3"/>
    <mergeCell ref="O2:O3"/>
    <mergeCell ref="P2:P3"/>
    <mergeCell ref="Q2:Q3"/>
    <mergeCell ref="R2:R3"/>
    <mergeCell ref="M1:M2"/>
    <mergeCell ref="A1:A2"/>
    <mergeCell ref="E1:E2"/>
    <mergeCell ref="D1:D2"/>
    <mergeCell ref="C1:C2"/>
    <mergeCell ref="S2:S3"/>
  </mergeCells>
  <phoneticPr fontId="3"/>
  <conditionalFormatting sqref="F4:F1501">
    <cfRule type="expression" dxfId="8" priority="8">
      <formula>$F4&lt;&gt;""</formula>
    </cfRule>
  </conditionalFormatting>
  <pageMargins left="0.7" right="0.7" top="0.75" bottom="0.75" header="0.3" footer="0.3"/>
  <pageSetup paperSize="9" orientation="portrait" r:id="rId1"/>
  <ignoredErrors>
    <ignoredError sqref="M4:M502" unlockedFormula="1"/>
  </ignoredErrors>
  <extLst>
    <ext xmlns:x14="http://schemas.microsoft.com/office/spreadsheetml/2009/9/main" uri="{78C0D931-6437-407d-A8EE-F0AAD7539E65}">
      <x14:conditionalFormattings>
        <x14:conditionalFormatting xmlns:xm="http://schemas.microsoft.com/office/excel/2006/main">
          <x14:cfRule type="expression" priority="2" id="{BFA8F91A-9A11-4348-BF71-3863D272022A}">
            <xm:f>AND(入力シート!$J$22=入力リスト!$K$5,入力シート!$J$18=入力リスト!$K$5)</xm:f>
            <x14:dxf>
              <font>
                <color rgb="FFC00000"/>
              </font>
            </x14:dxf>
          </x14:cfRule>
          <xm:sqref>C3</xm:sqref>
        </x14:conditionalFormatting>
        <x14:conditionalFormatting xmlns:xm="http://schemas.microsoft.com/office/excel/2006/main">
          <x14:cfRule type="expression" priority="4" stopIfTrue="1" id="{88A16A1D-E786-4946-926B-A436A1B15539}">
            <xm:f>AND(入力シート!$J$20=入力リスト!$K$5,入力シート!$J$22=入力リスト!$K$5)</xm:f>
            <x14:dxf>
              <font>
                <color rgb="FFC00000"/>
              </font>
            </x14:dxf>
          </x14:cfRule>
          <xm:sqref>E3</xm:sqref>
        </x14:conditionalFormatting>
        <x14:conditionalFormatting xmlns:xm="http://schemas.microsoft.com/office/excel/2006/main">
          <x14:cfRule type="expression" priority="7" stopIfTrue="1" id="{00000000-000E-0000-0200-000006000000}">
            <xm:f>VLOOKUP($F$1,エラー_従業員!$T$4:$V$13,3,0)=1</xm:f>
            <x14:dxf>
              <font>
                <color rgb="FFC00000"/>
              </font>
            </x14:dxf>
          </x14:cfRule>
          <xm:sqref>F1:F2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1BCFD-B633-9342-B254-F78C4DCCE6FB}">
  <dimension ref="A1:P2507"/>
  <sheetViews>
    <sheetView view="pageBreakPreview" zoomScale="80" zoomScaleNormal="125" zoomScaleSheetLayoutView="80" workbookViewId="0">
      <pane ySplit="3" topLeftCell="A4" activePane="bottomLeft" state="frozen"/>
      <selection activeCell="F45" sqref="F45"/>
      <selection pane="bottomLeft" sqref="A1:A2"/>
    </sheetView>
  </sheetViews>
  <sheetFormatPr defaultColWidth="11.5546875" defaultRowHeight="19.5"/>
  <cols>
    <col min="1" max="1" width="10.77734375" style="251" customWidth="1"/>
    <col min="2" max="2" width="11.21875" style="252" customWidth="1"/>
    <col min="3" max="3" width="10.77734375" style="252" customWidth="1"/>
    <col min="4" max="4" width="10.77734375" style="253" customWidth="1"/>
    <col min="5" max="5" width="10.77734375" style="252" customWidth="1"/>
    <col min="6" max="6" width="10.77734375" style="254" customWidth="1"/>
    <col min="7" max="7" width="68.77734375" style="255" customWidth="1"/>
    <col min="8" max="9" width="13.5546875" style="252" hidden="1" customWidth="1"/>
    <col min="10" max="10" width="16.77734375" style="252" hidden="1" customWidth="1"/>
    <col min="11" max="12" width="10.77734375" style="252" hidden="1" customWidth="1"/>
    <col min="13" max="13" width="10.77734375" style="254" hidden="1" customWidth="1"/>
    <col min="14" max="14" width="10.77734375" style="252" hidden="1" customWidth="1"/>
    <col min="15" max="15" width="2.44140625" style="252" customWidth="1"/>
    <col min="16" max="16" width="45.77734375" style="252" customWidth="1"/>
  </cols>
  <sheetData>
    <row r="1" spans="1:16" ht="52.9" customHeight="1">
      <c r="A1" s="944" t="s">
        <v>471</v>
      </c>
      <c r="B1" s="942" t="s">
        <v>1228</v>
      </c>
      <c r="C1" s="940" t="s">
        <v>95</v>
      </c>
      <c r="D1" s="940" t="s">
        <v>1348</v>
      </c>
      <c r="E1" s="947" t="s">
        <v>1229</v>
      </c>
      <c r="F1" s="247" t="s">
        <v>1192</v>
      </c>
      <c r="G1" s="113" t="str">
        <f>VLOOKUP(TRUE,エラー_給与!$N$4:$P$13,2,0)</f>
        <v>［入力シート］へ移動して、使用用途を選択してください。</v>
      </c>
      <c r="H1" s="325"/>
      <c r="I1" s="325"/>
      <c r="J1" s="326"/>
      <c r="K1" s="326"/>
      <c r="L1" s="326"/>
      <c r="M1" s="327"/>
      <c r="N1" s="326"/>
      <c r="O1" s="946" t="s">
        <v>1357</v>
      </c>
      <c r="P1" s="946"/>
    </row>
    <row r="2" spans="1:16" ht="21" customHeight="1">
      <c r="A2" s="945"/>
      <c r="B2" s="943"/>
      <c r="C2" s="941"/>
      <c r="D2" s="941"/>
      <c r="E2" s="948"/>
      <c r="F2" s="71"/>
      <c r="G2" s="324" t="str">
        <f>IF(VLOOKUP(TRUE,エラー_給与!$N$4:$P$13,3,0)=0,"",VLOOKUP(TRUE,エラー_給与!$N$4:$P$13,3,0))</f>
        <v/>
      </c>
      <c r="H2" s="325"/>
      <c r="I2" s="325"/>
      <c r="J2" s="326"/>
      <c r="K2" s="326"/>
      <c r="L2" s="326"/>
      <c r="M2" s="327"/>
      <c r="N2" s="326"/>
      <c r="O2" s="946"/>
      <c r="P2" s="946"/>
    </row>
    <row r="3" spans="1:16" ht="111" customHeight="1">
      <c r="A3" s="328" t="s">
        <v>1191</v>
      </c>
      <c r="B3" s="329" t="s">
        <v>1358</v>
      </c>
      <c r="C3" s="330" t="s">
        <v>1246</v>
      </c>
      <c r="D3" s="331" t="s">
        <v>1245</v>
      </c>
      <c r="E3" s="332" t="str">
        <f>"258892.84"</f>
        <v>258892.84</v>
      </c>
      <c r="F3" s="333" t="str">
        <f>IF(入力シート!$J$22=入力リスト!$K$5,"この項目への入力は不要です。"&amp;CHAR(10)&amp;"↓","32.5(32.5時間)=
32.30(32時間30分)"&amp;CHAR(10)&amp;CHAR(10))</f>
        <v xml:space="preserve">32.5(32.5時間)=
32.30(32時間30分)
</v>
      </c>
      <c r="G3" s="233" t="s">
        <v>1359</v>
      </c>
      <c r="H3" s="13" t="s">
        <v>1258</v>
      </c>
      <c r="I3" s="13" t="s">
        <v>95</v>
      </c>
      <c r="J3" s="13" t="s">
        <v>96</v>
      </c>
      <c r="K3" s="13" t="s">
        <v>94</v>
      </c>
      <c r="L3" s="13" t="s">
        <v>93</v>
      </c>
      <c r="M3" s="13" t="s">
        <v>182</v>
      </c>
      <c r="N3" s="13"/>
      <c r="O3" s="946"/>
      <c r="P3" s="946"/>
    </row>
    <row r="4" spans="1:16" ht="19.899999999999999" customHeight="1">
      <c r="A4" s="119"/>
      <c r="B4" s="363"/>
      <c r="C4" s="369"/>
      <c r="D4" s="369"/>
      <c r="E4" s="369"/>
      <c r="F4" s="1"/>
      <c r="G4" s="248" t="str">
        <f>IF(AND($B4="",OR(B4&lt;&gt;"",C4&lt;&gt;"",D4&lt;&gt;"",E4&lt;&gt;"",F4&lt;&gt;"")),"従業員番号が空白です。",IF($H4=TRUE,"この従業員番号は、シート［従業員情報（給与以外）］に存在しません。",IF(I4=FALSE,"「毎月の固定給与額」","")&amp;IF(AND(I4=FALSE,OR(J4=FALSE,K4=FALSE,L4=FALSE)),",","")&amp;IF(J4=FALSE,"「賞与額等」","")&amp;IF(AND(J4=FALSE,OR(K4=FALSE,L4=FALSE)),",","")&amp;IF(K4=FALSE,"「残業手当」","")&amp;IF(AND(K4=FALSE,L4=FALSE),",","")&amp;IF(L4=FALSE,"「残業時間」","")&amp;IF(OR(I4=FALSE,J4=FALSE,K4=FALSE,L4=FALSE),"に数値以外が入力されています。","")&amp;IF(M4,"","「残業時間」を分単位で入力した場合、小数点以下の値は0.6未満にしてください。")))</f>
        <v/>
      </c>
      <c r="H4" s="1" t="b">
        <f>IF(B4="",FALSE,COUNTIF('従業員情報(給与以外)'!$A$4:$A$1000000,$B4)=0)</f>
        <v>0</v>
      </c>
      <c r="I4" s="9" t="b">
        <f>OR(C4="",ISNUMBER(C4))</f>
        <v>1</v>
      </c>
      <c r="J4" s="9" t="b">
        <f>OR(D4="",ISNUMBER(D4))</f>
        <v>1</v>
      </c>
      <c r="K4" s="9" t="b">
        <f>OR(E4="",ISNUMBER(E4))</f>
        <v>1</v>
      </c>
      <c r="L4" s="9" t="b">
        <f>OR(F4="",ISNUMBER(F4))</f>
        <v>1</v>
      </c>
      <c r="M4" s="1" t="b">
        <f>IF(OR(入力シート!$C$5&lt;&gt;入力リスト!$N$4,入力シート!$J$22&lt;&gt;入力リスト!$K$4),TRUE,IF($F$2=入力リスト!$Q$4,IF(F4-INT(F4)&lt;0.6,TRUE,FALSE),TRUE))</f>
        <v>1</v>
      </c>
      <c r="N4" s="9" t="str">
        <f>IF(F4="","",IF($F$2=入力リスト!$Q$4,ROUNDDOWN(INT(F4)+ROUNDDOWN((F4-INT(F4))*100,0)/60,2),従業員の給与情報!F4))</f>
        <v/>
      </c>
      <c r="O4" s="8"/>
      <c r="P4" s="334"/>
    </row>
    <row r="5" spans="1:16" ht="19.899999999999999" customHeight="1">
      <c r="A5" s="119"/>
      <c r="B5" s="373"/>
      <c r="C5" s="369"/>
      <c r="D5" s="369"/>
      <c r="E5" s="369"/>
      <c r="F5" s="371"/>
      <c r="G5" s="248" t="str">
        <f t="shared" ref="G5:G68" si="0">IF(AND($B5="",OR(B5&lt;&gt;"",C5&lt;&gt;"",D5&lt;&gt;"",E5&lt;&gt;"",F5&lt;&gt;"")),"従業員番号が空白です。",IF($H5=TRUE,"この従業員番号は、シート［従業員情報（給与以外）］に存在しません。",IF(I5=FALSE,"「毎月の固定給与額」","")&amp;IF(AND(I5=FALSE,OR(J5=FALSE,K5=FALSE,L5=FALSE)),",","")&amp;IF(J5=FALSE,"「賞与額等」","")&amp;IF(AND(J5=FALSE,OR(K5=FALSE,L5=FALSE)),",","")&amp;IF(K5=FALSE,"「残業手当」","")&amp;IF(AND(K5=FALSE,L5=FALSE),",","")&amp;IF(L5=FALSE,"「残業時間」","")&amp;IF(OR(I5=FALSE,J5=FALSE,K5=FALSE,L5=FALSE),"に数値以外が入力されています。","")&amp;IF(M5,"","「残業時間」を分単位で入力した場合、小数点以下の値は0.6未満にしてください。")))</f>
        <v/>
      </c>
      <c r="H5" s="1" t="b">
        <f>IF(B5="",FALSE,COUNTIF('従業員情報(給与以外)'!$A$4:$A$1000000,$B5)=0)</f>
        <v>0</v>
      </c>
      <c r="I5" s="9" t="b">
        <f t="shared" ref="I5:I68" si="1">OR(C5="",ISNUMBER(C5))</f>
        <v>1</v>
      </c>
      <c r="J5" s="9" t="b">
        <f t="shared" ref="J5:J68" si="2">OR(D5="",ISNUMBER(D5))</f>
        <v>1</v>
      </c>
      <c r="K5" s="9" t="b">
        <f t="shared" ref="K5:K68" si="3">OR(E5="",ISNUMBER(E5))</f>
        <v>1</v>
      </c>
      <c r="L5" s="9" t="b">
        <f t="shared" ref="L5:L68" si="4">OR(F5="",ISNUMBER(F5))</f>
        <v>1</v>
      </c>
      <c r="M5" s="1" t="b">
        <f>IF(OR(入力シート!$C$5&lt;&gt;入力リスト!$N$4,入力シート!$J$22&lt;&gt;入力リスト!$K$4),TRUE,IF($F$2=入力リスト!$Q$4,IF(F5-INT(F5)&lt;0.6,TRUE,FALSE),TRUE))</f>
        <v>1</v>
      </c>
      <c r="N5" s="9" t="str">
        <f>IF(F5="","",IF($F$2=入力リスト!$Q$4,ROUNDDOWN(INT(F5)+ROUNDDOWN((F5-INT(F5))*100,0)/60,2),従業員の給与情報!F5))</f>
        <v/>
      </c>
      <c r="O5" s="8"/>
      <c r="P5" s="335"/>
    </row>
    <row r="6" spans="1:16" ht="19.899999999999999" customHeight="1">
      <c r="A6" s="119"/>
      <c r="B6" s="363"/>
      <c r="C6" s="369"/>
      <c r="D6" s="369"/>
      <c r="E6" s="369"/>
      <c r="F6" s="370"/>
      <c r="G6" s="248" t="str">
        <f t="shared" si="0"/>
        <v/>
      </c>
      <c r="H6" s="1" t="b">
        <f>IF(B6="",FALSE,COUNTIF('従業員情報(給与以外)'!$A$4:$A$1000000,$B6)=0)</f>
        <v>0</v>
      </c>
      <c r="I6" s="9" t="b">
        <f t="shared" si="1"/>
        <v>1</v>
      </c>
      <c r="J6" s="9" t="b">
        <f t="shared" si="2"/>
        <v>1</v>
      </c>
      <c r="K6" s="9" t="b">
        <f t="shared" si="3"/>
        <v>1</v>
      </c>
      <c r="L6" s="9" t="b">
        <f t="shared" si="4"/>
        <v>1</v>
      </c>
      <c r="M6" s="1" t="b">
        <f>IF(OR(入力シート!$C$5&lt;&gt;入力リスト!$N$4,入力シート!$J$22&lt;&gt;入力リスト!$K$4),TRUE,IF($F$2=入力リスト!$Q$4,IF(F6-INT(F6)&lt;0.6,TRUE,FALSE),TRUE))</f>
        <v>1</v>
      </c>
      <c r="N6" s="9" t="str">
        <f>IF(F6="","",IF($F$2=入力リスト!$Q$4,ROUNDDOWN(INT(F6)+ROUNDDOWN((F6-INT(F6))*100,0)/60,2),従業員の給与情報!F6))</f>
        <v/>
      </c>
      <c r="O6" s="8"/>
      <c r="P6" s="18"/>
    </row>
    <row r="7" spans="1:16" ht="19.899999999999999" customHeight="1">
      <c r="A7" s="119"/>
      <c r="B7" s="363"/>
      <c r="C7" s="369"/>
      <c r="D7" s="369"/>
      <c r="E7" s="369"/>
      <c r="F7" s="370"/>
      <c r="G7" s="248" t="str">
        <f t="shared" si="0"/>
        <v/>
      </c>
      <c r="H7" s="1" t="b">
        <f>IF(B7="",FALSE,COUNTIF('従業員情報(給与以外)'!$A$4:$A$1000000,$B7)=0)</f>
        <v>0</v>
      </c>
      <c r="I7" s="9" t="b">
        <f t="shared" si="1"/>
        <v>1</v>
      </c>
      <c r="J7" s="9" t="b">
        <f t="shared" si="2"/>
        <v>1</v>
      </c>
      <c r="K7" s="9" t="b">
        <f t="shared" si="3"/>
        <v>1</v>
      </c>
      <c r="L7" s="9" t="b">
        <f t="shared" si="4"/>
        <v>1</v>
      </c>
      <c r="M7" s="1" t="b">
        <f>IF(OR(入力シート!$C$5&lt;&gt;入力リスト!$N$4,入力シート!$J$22&lt;&gt;入力リスト!$K$4),TRUE,IF($F$2=入力リスト!$Q$4,IF(F7-INT(F7)&lt;0.6,TRUE,FALSE),TRUE))</f>
        <v>1</v>
      </c>
      <c r="N7" s="9" t="str">
        <f>IF(F7="","",IF($F$2=入力リスト!$Q$4,ROUNDDOWN(INT(F7)+ROUNDDOWN((F7-INT(F7))*100,0)/60,2),従業員の給与情報!F7))</f>
        <v/>
      </c>
      <c r="O7" s="8"/>
      <c r="P7" s="18"/>
    </row>
    <row r="8" spans="1:16" ht="19.899999999999999" customHeight="1">
      <c r="A8" s="119"/>
      <c r="B8" s="363"/>
      <c r="C8" s="369"/>
      <c r="D8" s="369"/>
      <c r="E8" s="369"/>
      <c r="F8" s="370"/>
      <c r="G8" s="248" t="str">
        <f t="shared" si="0"/>
        <v/>
      </c>
      <c r="H8" s="1" t="b">
        <f>IF(B8="",FALSE,COUNTIF('従業員情報(給与以外)'!$A$4:$A$1000000,$B8)=0)</f>
        <v>0</v>
      </c>
      <c r="I8" s="9" t="b">
        <f t="shared" si="1"/>
        <v>1</v>
      </c>
      <c r="J8" s="9" t="b">
        <f t="shared" si="2"/>
        <v>1</v>
      </c>
      <c r="K8" s="9" t="b">
        <f t="shared" si="3"/>
        <v>1</v>
      </c>
      <c r="L8" s="9" t="b">
        <f t="shared" si="4"/>
        <v>1</v>
      </c>
      <c r="M8" s="1" t="b">
        <f>IF(OR(入力シート!$C$5&lt;&gt;入力リスト!$N$4,入力シート!$J$22&lt;&gt;入力リスト!$K$4),TRUE,IF($F$2=入力リスト!$Q$4,IF(F8-INT(F8)&lt;0.6,TRUE,FALSE),TRUE))</f>
        <v>1</v>
      </c>
      <c r="N8" s="9" t="str">
        <f>IF(F8="","",IF($F$2=入力リスト!$Q$4,ROUNDDOWN(INT(F8)+ROUNDDOWN((F8-INT(F8))*100,0)/60,2),従業員の給与情報!F8))</f>
        <v/>
      </c>
      <c r="O8" s="8"/>
      <c r="P8" s="18"/>
    </row>
    <row r="9" spans="1:16" ht="19.899999999999999" customHeight="1">
      <c r="A9" s="119"/>
      <c r="B9" s="363"/>
      <c r="C9" s="369"/>
      <c r="D9" s="369"/>
      <c r="E9" s="369"/>
      <c r="F9" s="370"/>
      <c r="G9" s="248" t="str">
        <f t="shared" si="0"/>
        <v/>
      </c>
      <c r="H9" s="1" t="b">
        <f>IF(B9="",FALSE,COUNTIF('従業員情報(給与以外)'!$A$4:$A$1000000,$B9)=0)</f>
        <v>0</v>
      </c>
      <c r="I9" s="9" t="b">
        <f t="shared" si="1"/>
        <v>1</v>
      </c>
      <c r="J9" s="9" t="b">
        <f t="shared" si="2"/>
        <v>1</v>
      </c>
      <c r="K9" s="9" t="b">
        <f t="shared" si="3"/>
        <v>1</v>
      </c>
      <c r="L9" s="9" t="b">
        <f t="shared" si="4"/>
        <v>1</v>
      </c>
      <c r="M9" s="1" t="b">
        <f>IF(OR(入力シート!$C$5&lt;&gt;入力リスト!$N$4,入力シート!$J$22&lt;&gt;入力リスト!$K$4),TRUE,IF($F$2=入力リスト!$Q$4,IF(F9-INT(F9)&lt;0.6,TRUE,FALSE),TRUE))</f>
        <v>1</v>
      </c>
      <c r="N9" s="9" t="str">
        <f>IF(F9="","",IF($F$2=入力リスト!$Q$4,ROUNDDOWN(INT(F9)+ROUNDDOWN((F9-INT(F9))*100,0)/60,2),従業員の給与情報!F9))</f>
        <v/>
      </c>
      <c r="O9" s="8"/>
      <c r="P9" s="18"/>
    </row>
    <row r="10" spans="1:16" ht="19.899999999999999" customHeight="1">
      <c r="A10" s="119"/>
      <c r="B10" s="363"/>
      <c r="C10" s="369"/>
      <c r="D10" s="369"/>
      <c r="E10" s="369"/>
      <c r="F10" s="370"/>
      <c r="G10" s="248" t="str">
        <f t="shared" si="0"/>
        <v/>
      </c>
      <c r="H10" s="1" t="b">
        <f>IF(B10="",FALSE,COUNTIF('従業員情報(給与以外)'!$A$4:$A$1000000,$B10)=0)</f>
        <v>0</v>
      </c>
      <c r="I10" s="9" t="b">
        <f t="shared" si="1"/>
        <v>1</v>
      </c>
      <c r="J10" s="9" t="b">
        <f t="shared" si="2"/>
        <v>1</v>
      </c>
      <c r="K10" s="9" t="b">
        <f t="shared" si="3"/>
        <v>1</v>
      </c>
      <c r="L10" s="9" t="b">
        <f t="shared" si="4"/>
        <v>1</v>
      </c>
      <c r="M10" s="1" t="b">
        <f>IF(OR(入力シート!$C$5&lt;&gt;入力リスト!$N$4,入力シート!$J$22&lt;&gt;入力リスト!$K$4),TRUE,IF($F$2=入力リスト!$Q$4,IF(F10-INT(F10)&lt;0.6,TRUE,FALSE),TRUE))</f>
        <v>1</v>
      </c>
      <c r="N10" s="9" t="str">
        <f>IF(F10="","",IF($F$2=入力リスト!$Q$4,ROUNDDOWN(INT(F10)+ROUNDDOWN((F10-INT(F10))*100,0)/60,2),従業員の給与情報!F10))</f>
        <v/>
      </c>
      <c r="O10" s="8"/>
      <c r="P10" s="8"/>
    </row>
    <row r="11" spans="1:16" ht="19.899999999999999" customHeight="1">
      <c r="A11" s="119"/>
      <c r="B11" s="363"/>
      <c r="C11" s="369"/>
      <c r="D11" s="369"/>
      <c r="E11" s="369"/>
      <c r="F11" s="370"/>
      <c r="G11" s="248" t="str">
        <f t="shared" si="0"/>
        <v/>
      </c>
      <c r="H11" s="1" t="b">
        <f>IF(B11="",FALSE,COUNTIF('従業員情報(給与以外)'!$A$4:$A$1000000,$B11)=0)</f>
        <v>0</v>
      </c>
      <c r="I11" s="9" t="b">
        <f t="shared" si="1"/>
        <v>1</v>
      </c>
      <c r="J11" s="9" t="b">
        <f t="shared" si="2"/>
        <v>1</v>
      </c>
      <c r="K11" s="9" t="b">
        <f t="shared" si="3"/>
        <v>1</v>
      </c>
      <c r="L11" s="9" t="b">
        <f t="shared" si="4"/>
        <v>1</v>
      </c>
      <c r="M11" s="1" t="b">
        <f>IF(OR(入力シート!$C$5&lt;&gt;入力リスト!$N$4,入力シート!$J$22&lt;&gt;入力リスト!$K$4),TRUE,IF($F$2=入力リスト!$Q$4,IF(F11-INT(F11)&lt;0.6,TRUE,FALSE),TRUE))</f>
        <v>1</v>
      </c>
      <c r="N11" s="9" t="str">
        <f>IF(F11="","",IF($F$2=入力リスト!$Q$4,ROUNDDOWN(INT(F11)+ROUNDDOWN((F11-INT(F11))*100,0)/60,2),従業員の給与情報!F11))</f>
        <v/>
      </c>
      <c r="O11" s="8"/>
      <c r="P11" s="8"/>
    </row>
    <row r="12" spans="1:16" ht="19.899999999999999" customHeight="1">
      <c r="A12" s="119"/>
      <c r="B12" s="363"/>
      <c r="C12" s="369"/>
      <c r="D12" s="369"/>
      <c r="E12" s="369"/>
      <c r="F12" s="370"/>
      <c r="G12" s="248" t="str">
        <f t="shared" si="0"/>
        <v/>
      </c>
      <c r="H12" s="1" t="b">
        <f>IF(B12="",FALSE,COUNTIF('従業員情報(給与以外)'!$A$4:$A$1000000,$B12)=0)</f>
        <v>0</v>
      </c>
      <c r="I12" s="9" t="b">
        <f t="shared" si="1"/>
        <v>1</v>
      </c>
      <c r="J12" s="9" t="b">
        <f t="shared" si="2"/>
        <v>1</v>
      </c>
      <c r="K12" s="9" t="b">
        <f t="shared" si="3"/>
        <v>1</v>
      </c>
      <c r="L12" s="9" t="b">
        <f t="shared" si="4"/>
        <v>1</v>
      </c>
      <c r="M12" s="1" t="b">
        <f>IF(OR(入力シート!$C$5&lt;&gt;入力リスト!$N$4,入力シート!$J$22&lt;&gt;入力リスト!$K$4),TRUE,IF($F$2=入力リスト!$Q$4,IF(F12-INT(F12)&lt;0.6,TRUE,FALSE),TRUE))</f>
        <v>1</v>
      </c>
      <c r="N12" s="9" t="str">
        <f>IF(F12="","",IF($F$2=入力リスト!$Q$4,ROUNDDOWN(INT(F12)+ROUNDDOWN((F12-INT(F12))*100,0)/60,2),従業員の給与情報!F12))</f>
        <v/>
      </c>
      <c r="O12" s="8"/>
      <c r="P12" s="8"/>
    </row>
    <row r="13" spans="1:16" ht="19.899999999999999" customHeight="1">
      <c r="A13" s="119"/>
      <c r="B13" s="363"/>
      <c r="C13" s="369"/>
      <c r="D13" s="369"/>
      <c r="E13" s="369"/>
      <c r="F13" s="370"/>
      <c r="G13" s="248" t="str">
        <f t="shared" si="0"/>
        <v/>
      </c>
      <c r="H13" s="1" t="b">
        <f>IF(B13="",FALSE,COUNTIF('従業員情報(給与以外)'!$A$4:$A$1000000,$B13)=0)</f>
        <v>0</v>
      </c>
      <c r="I13" s="9" t="b">
        <f t="shared" si="1"/>
        <v>1</v>
      </c>
      <c r="J13" s="9" t="b">
        <f t="shared" si="2"/>
        <v>1</v>
      </c>
      <c r="K13" s="9" t="b">
        <f t="shared" si="3"/>
        <v>1</v>
      </c>
      <c r="L13" s="9" t="b">
        <f t="shared" si="4"/>
        <v>1</v>
      </c>
      <c r="M13" s="1" t="b">
        <f>IF(OR(入力シート!$C$5&lt;&gt;入力リスト!$N$4,入力シート!$J$22&lt;&gt;入力リスト!$K$4),TRUE,IF($F$2=入力リスト!$Q$4,IF(F13-INT(F13)&lt;0.6,TRUE,FALSE),TRUE))</f>
        <v>1</v>
      </c>
      <c r="N13" s="9" t="str">
        <f>IF(F13="","",IF($F$2=入力リスト!$Q$4,ROUNDDOWN(INT(F13)+ROUNDDOWN((F13-INT(F13))*100,0)/60,2),従業員の給与情報!F13))</f>
        <v/>
      </c>
      <c r="O13" s="8"/>
      <c r="P13" s="8"/>
    </row>
    <row r="14" spans="1:16" ht="19.899999999999999" customHeight="1">
      <c r="A14" s="119"/>
      <c r="B14" s="363"/>
      <c r="C14" s="369"/>
      <c r="D14" s="369"/>
      <c r="E14" s="369"/>
      <c r="F14" s="370"/>
      <c r="G14" s="248" t="str">
        <f t="shared" si="0"/>
        <v/>
      </c>
      <c r="H14" s="1" t="b">
        <f>IF(B14="",FALSE,COUNTIF('従業員情報(給与以外)'!$A$4:$A$1000000,$B14)=0)</f>
        <v>0</v>
      </c>
      <c r="I14" s="9" t="b">
        <f t="shared" si="1"/>
        <v>1</v>
      </c>
      <c r="J14" s="9" t="b">
        <f t="shared" si="2"/>
        <v>1</v>
      </c>
      <c r="K14" s="9" t="b">
        <f t="shared" si="3"/>
        <v>1</v>
      </c>
      <c r="L14" s="9" t="b">
        <f t="shared" si="4"/>
        <v>1</v>
      </c>
      <c r="M14" s="1" t="b">
        <f>IF(OR(入力シート!$C$5&lt;&gt;入力リスト!$N$4,入力シート!$J$22&lt;&gt;入力リスト!$K$4),TRUE,IF($F$2=入力リスト!$Q$4,IF(F14-INT(F14)&lt;0.6,TRUE,FALSE),TRUE))</f>
        <v>1</v>
      </c>
      <c r="N14" s="9" t="str">
        <f>IF(F14="","",IF($F$2=入力リスト!$Q$4,ROUNDDOWN(INT(F14)+ROUNDDOWN((F14-INT(F14))*100,0)/60,2),従業員の給与情報!F14))</f>
        <v/>
      </c>
      <c r="O14" s="8"/>
      <c r="P14" s="8"/>
    </row>
    <row r="15" spans="1:16" ht="19.899999999999999" customHeight="1">
      <c r="A15" s="119"/>
      <c r="B15" s="363"/>
      <c r="C15" s="369"/>
      <c r="D15" s="369"/>
      <c r="E15" s="369"/>
      <c r="F15" s="370"/>
      <c r="G15" s="248" t="str">
        <f t="shared" si="0"/>
        <v/>
      </c>
      <c r="H15" s="1" t="b">
        <f>IF(B15="",FALSE,COUNTIF('従業員情報(給与以外)'!$A$4:$A$1000000,$B15)=0)</f>
        <v>0</v>
      </c>
      <c r="I15" s="9" t="b">
        <f t="shared" si="1"/>
        <v>1</v>
      </c>
      <c r="J15" s="9" t="b">
        <f t="shared" si="2"/>
        <v>1</v>
      </c>
      <c r="K15" s="9" t="b">
        <f t="shared" si="3"/>
        <v>1</v>
      </c>
      <c r="L15" s="9" t="b">
        <f t="shared" si="4"/>
        <v>1</v>
      </c>
      <c r="M15" s="1" t="b">
        <f>IF(OR(入力シート!$C$5&lt;&gt;入力リスト!$N$4,入力シート!$J$22&lt;&gt;入力リスト!$K$4),TRUE,IF($F$2=入力リスト!$Q$4,IF(F15-INT(F15)&lt;0.6,TRUE,FALSE),TRUE))</f>
        <v>1</v>
      </c>
      <c r="N15" s="9" t="str">
        <f>IF(F15="","",IF($F$2=入力リスト!$Q$4,ROUNDDOWN(INT(F15)+ROUNDDOWN((F15-INT(F15))*100,0)/60,2),従業員の給与情報!F15))</f>
        <v/>
      </c>
      <c r="O15" s="8"/>
      <c r="P15" s="8"/>
    </row>
    <row r="16" spans="1:16" ht="19.899999999999999" customHeight="1">
      <c r="A16" s="119"/>
      <c r="B16" s="363"/>
      <c r="C16" s="369"/>
      <c r="D16" s="369"/>
      <c r="E16" s="369"/>
      <c r="F16" s="370"/>
      <c r="G16" s="248" t="str">
        <f t="shared" si="0"/>
        <v/>
      </c>
      <c r="H16" s="1" t="b">
        <f>IF(B16="",FALSE,COUNTIF('従業員情報(給与以外)'!$A$4:$A$1000000,$B16)=0)</f>
        <v>0</v>
      </c>
      <c r="I16" s="9" t="b">
        <f t="shared" si="1"/>
        <v>1</v>
      </c>
      <c r="J16" s="9" t="b">
        <f t="shared" si="2"/>
        <v>1</v>
      </c>
      <c r="K16" s="9" t="b">
        <f t="shared" si="3"/>
        <v>1</v>
      </c>
      <c r="L16" s="9" t="b">
        <f t="shared" si="4"/>
        <v>1</v>
      </c>
      <c r="M16" s="1" t="b">
        <f>IF(OR(入力シート!$C$5&lt;&gt;入力リスト!$N$4,入力シート!$J$22&lt;&gt;入力リスト!$K$4),TRUE,IF($F$2=入力リスト!$Q$4,IF(F16-INT(F16)&lt;0.6,TRUE,FALSE),TRUE))</f>
        <v>1</v>
      </c>
      <c r="N16" s="9" t="str">
        <f>IF(F16="","",IF($F$2=入力リスト!$Q$4,ROUNDDOWN(INT(F16)+ROUNDDOWN((F16-INT(F16))*100,0)/60,2),従業員の給与情報!F16))</f>
        <v/>
      </c>
      <c r="O16" s="8"/>
      <c r="P16" s="8"/>
    </row>
    <row r="17" spans="1:16" ht="19.899999999999999" customHeight="1">
      <c r="A17" s="119"/>
      <c r="B17" s="363"/>
      <c r="C17" s="369"/>
      <c r="D17" s="369"/>
      <c r="E17" s="369"/>
      <c r="F17" s="370"/>
      <c r="G17" s="248" t="str">
        <f t="shared" si="0"/>
        <v/>
      </c>
      <c r="H17" s="1" t="b">
        <f>IF(B17="",FALSE,COUNTIF('従業員情報(給与以外)'!$A$4:$A$1000000,$B17)=0)</f>
        <v>0</v>
      </c>
      <c r="I17" s="9" t="b">
        <f t="shared" si="1"/>
        <v>1</v>
      </c>
      <c r="J17" s="9" t="b">
        <f t="shared" si="2"/>
        <v>1</v>
      </c>
      <c r="K17" s="9" t="b">
        <f t="shared" si="3"/>
        <v>1</v>
      </c>
      <c r="L17" s="9" t="b">
        <f t="shared" si="4"/>
        <v>1</v>
      </c>
      <c r="M17" s="1" t="b">
        <f>IF(OR(入力シート!$C$5&lt;&gt;入力リスト!$N$4,入力シート!$J$22&lt;&gt;入力リスト!$K$4),TRUE,IF($F$2=入力リスト!$Q$4,IF(F17-INT(F17)&lt;0.6,TRUE,FALSE),TRUE))</f>
        <v>1</v>
      </c>
      <c r="N17" s="9" t="str">
        <f>IF(F17="","",IF($F$2=入力リスト!$Q$4,ROUNDDOWN(INT(F17)+ROUNDDOWN((F17-INT(F17))*100,0)/60,2),従業員の給与情報!F17))</f>
        <v/>
      </c>
      <c r="O17" s="8"/>
      <c r="P17" s="8"/>
    </row>
    <row r="18" spans="1:16" ht="19.899999999999999" customHeight="1">
      <c r="A18" s="119"/>
      <c r="B18" s="2"/>
      <c r="C18" s="369"/>
      <c r="D18" s="369"/>
      <c r="E18" s="369"/>
      <c r="F18" s="370"/>
      <c r="G18" s="248" t="str">
        <f t="shared" si="0"/>
        <v/>
      </c>
      <c r="H18" s="1" t="b">
        <f>IF(B18="",FALSE,COUNTIF('従業員情報(給与以外)'!$A$4:$A$1000000,$B18)=0)</f>
        <v>0</v>
      </c>
      <c r="I18" s="9" t="b">
        <f t="shared" si="1"/>
        <v>1</v>
      </c>
      <c r="J18" s="9" t="b">
        <f t="shared" si="2"/>
        <v>1</v>
      </c>
      <c r="K18" s="9" t="b">
        <f t="shared" si="3"/>
        <v>1</v>
      </c>
      <c r="L18" s="9" t="b">
        <f t="shared" si="4"/>
        <v>1</v>
      </c>
      <c r="M18" s="1" t="b">
        <f>IF(OR(入力シート!$C$5&lt;&gt;入力リスト!$N$4,入力シート!$J$22&lt;&gt;入力リスト!$K$4),TRUE,IF($F$2=入力リスト!$Q$4,IF(F18-INT(F18)&lt;0.6,TRUE,FALSE),TRUE))</f>
        <v>1</v>
      </c>
      <c r="N18" s="9" t="str">
        <f>IF(F18="","",IF($F$2=入力リスト!$Q$4,ROUNDDOWN(INT(F18)+ROUNDDOWN((F18-INT(F18))*100,0)/60,2),従業員の給与情報!F18))</f>
        <v/>
      </c>
      <c r="O18" s="8"/>
      <c r="P18" s="8"/>
    </row>
    <row r="19" spans="1:16" ht="19.899999999999999" customHeight="1">
      <c r="A19" s="119"/>
      <c r="B19" s="2"/>
      <c r="C19" s="369"/>
      <c r="D19" s="369"/>
      <c r="E19" s="369"/>
      <c r="F19" s="370"/>
      <c r="G19" s="248" t="str">
        <f t="shared" si="0"/>
        <v/>
      </c>
      <c r="H19" s="1" t="b">
        <f>IF(B19="",FALSE,COUNTIF('従業員情報(給与以外)'!$A$4:$A$1000000,$B19)=0)</f>
        <v>0</v>
      </c>
      <c r="I19" s="9" t="b">
        <f t="shared" si="1"/>
        <v>1</v>
      </c>
      <c r="J19" s="9" t="b">
        <f t="shared" si="2"/>
        <v>1</v>
      </c>
      <c r="K19" s="9" t="b">
        <f t="shared" si="3"/>
        <v>1</v>
      </c>
      <c r="L19" s="9" t="b">
        <f t="shared" si="4"/>
        <v>1</v>
      </c>
      <c r="M19" s="1" t="b">
        <f>IF(OR(入力シート!$C$5&lt;&gt;入力リスト!$N$4,入力シート!$J$22&lt;&gt;入力リスト!$K$4),TRUE,IF($F$2=入力リスト!$Q$4,IF(F19-INT(F19)&lt;0.6,TRUE,FALSE),TRUE))</f>
        <v>1</v>
      </c>
      <c r="N19" s="9" t="str">
        <f>IF(F19="","",IF($F$2=入力リスト!$Q$4,ROUNDDOWN(INT(F19)+ROUNDDOWN((F19-INT(F19))*100,0)/60,2),従業員の給与情報!F19))</f>
        <v/>
      </c>
      <c r="O19" s="8"/>
      <c r="P19" s="8"/>
    </row>
    <row r="20" spans="1:16" ht="19.899999999999999" customHeight="1">
      <c r="A20" s="119"/>
      <c r="B20" s="2"/>
      <c r="C20" s="369"/>
      <c r="D20" s="369"/>
      <c r="E20" s="369"/>
      <c r="F20" s="370"/>
      <c r="G20" s="248" t="str">
        <f t="shared" si="0"/>
        <v/>
      </c>
      <c r="H20" s="1" t="b">
        <f>IF(B20="",FALSE,COUNTIF('従業員情報(給与以外)'!$A$4:$A$1000000,$B20)=0)</f>
        <v>0</v>
      </c>
      <c r="I20" s="9" t="b">
        <f t="shared" si="1"/>
        <v>1</v>
      </c>
      <c r="J20" s="9" t="b">
        <f t="shared" si="2"/>
        <v>1</v>
      </c>
      <c r="K20" s="9" t="b">
        <f t="shared" si="3"/>
        <v>1</v>
      </c>
      <c r="L20" s="9" t="b">
        <f t="shared" si="4"/>
        <v>1</v>
      </c>
      <c r="M20" s="1" t="b">
        <f>IF(OR(入力シート!$C$5&lt;&gt;入力リスト!$N$4,入力シート!$J$22&lt;&gt;入力リスト!$K$4),TRUE,IF($F$2=入力リスト!$Q$4,IF(F20-INT(F20)&lt;0.6,TRUE,FALSE),TRUE))</f>
        <v>1</v>
      </c>
      <c r="N20" s="9" t="str">
        <f>IF(F20="","",IF($F$2=入力リスト!$Q$4,ROUNDDOWN(INT(F20)+ROUNDDOWN((F20-INT(F20))*100,0)/60,2),従業員の給与情報!F20))</f>
        <v/>
      </c>
      <c r="O20" s="8"/>
      <c r="P20" s="8"/>
    </row>
    <row r="21" spans="1:16" ht="19.899999999999999" customHeight="1">
      <c r="A21" s="119"/>
      <c r="B21" s="2"/>
      <c r="C21" s="369"/>
      <c r="D21" s="369"/>
      <c r="E21" s="369"/>
      <c r="F21" s="370"/>
      <c r="G21" s="248" t="str">
        <f t="shared" si="0"/>
        <v/>
      </c>
      <c r="H21" s="1" t="b">
        <f>IF(B21="",FALSE,COUNTIF('従業員情報(給与以外)'!$A$4:$A$1000000,$B21)=0)</f>
        <v>0</v>
      </c>
      <c r="I21" s="9" t="b">
        <f t="shared" si="1"/>
        <v>1</v>
      </c>
      <c r="J21" s="9" t="b">
        <f t="shared" si="2"/>
        <v>1</v>
      </c>
      <c r="K21" s="9" t="b">
        <f t="shared" si="3"/>
        <v>1</v>
      </c>
      <c r="L21" s="9" t="b">
        <f t="shared" si="4"/>
        <v>1</v>
      </c>
      <c r="M21" s="1" t="b">
        <f>IF(OR(入力シート!$C$5&lt;&gt;入力リスト!$N$4,入力シート!$J$22&lt;&gt;入力リスト!$K$4),TRUE,IF($F$2=入力リスト!$Q$4,IF(F21-INT(F21)&lt;0.6,TRUE,FALSE),TRUE))</f>
        <v>1</v>
      </c>
      <c r="N21" s="9" t="str">
        <f>IF(F21="","",IF($F$2=入力リスト!$Q$4,ROUNDDOWN(INT(F21)+ROUNDDOWN((F21-INT(F21))*100,0)/60,2),従業員の給与情報!F21))</f>
        <v/>
      </c>
      <c r="O21" s="8"/>
      <c r="P21" s="8"/>
    </row>
    <row r="22" spans="1:16" ht="19.899999999999999" customHeight="1">
      <c r="A22" s="119"/>
      <c r="B22" s="2"/>
      <c r="C22" s="369"/>
      <c r="D22" s="369"/>
      <c r="E22" s="369"/>
      <c r="F22" s="370"/>
      <c r="G22" s="248" t="str">
        <f t="shared" si="0"/>
        <v/>
      </c>
      <c r="H22" s="1" t="b">
        <f>IF(B22="",FALSE,COUNTIF('従業員情報(給与以外)'!$A$4:$A$1000000,$B22)=0)</f>
        <v>0</v>
      </c>
      <c r="I22" s="9" t="b">
        <f t="shared" si="1"/>
        <v>1</v>
      </c>
      <c r="J22" s="9" t="b">
        <f t="shared" si="2"/>
        <v>1</v>
      </c>
      <c r="K22" s="9" t="b">
        <f t="shared" si="3"/>
        <v>1</v>
      </c>
      <c r="L22" s="9" t="b">
        <f t="shared" si="4"/>
        <v>1</v>
      </c>
      <c r="M22" s="1" t="b">
        <f>IF(OR(入力シート!$C$5&lt;&gt;入力リスト!$N$4,入力シート!$J$22&lt;&gt;入力リスト!$K$4),TRUE,IF($F$2=入力リスト!$Q$4,IF(F22-INT(F22)&lt;0.6,TRUE,FALSE),TRUE))</f>
        <v>1</v>
      </c>
      <c r="N22" s="9" t="str">
        <f>IF(F22="","",IF($F$2=入力リスト!$Q$4,ROUNDDOWN(INT(F22)+ROUNDDOWN((F22-INT(F22))*100,0)/60,2),従業員の給与情報!F22))</f>
        <v/>
      </c>
      <c r="O22" s="8"/>
      <c r="P22" s="8"/>
    </row>
    <row r="23" spans="1:16" ht="19.899999999999999" customHeight="1">
      <c r="A23" s="119"/>
      <c r="B23" s="2"/>
      <c r="C23" s="369"/>
      <c r="D23" s="369"/>
      <c r="E23" s="369"/>
      <c r="F23" s="370"/>
      <c r="G23" s="248" t="str">
        <f t="shared" si="0"/>
        <v/>
      </c>
      <c r="H23" s="1" t="b">
        <f>IF(B23="",FALSE,COUNTIF('従業員情報(給与以外)'!$A$4:$A$1000000,$B23)=0)</f>
        <v>0</v>
      </c>
      <c r="I23" s="9" t="b">
        <f t="shared" si="1"/>
        <v>1</v>
      </c>
      <c r="J23" s="9" t="b">
        <f t="shared" si="2"/>
        <v>1</v>
      </c>
      <c r="K23" s="9" t="b">
        <f t="shared" si="3"/>
        <v>1</v>
      </c>
      <c r="L23" s="9" t="b">
        <f t="shared" si="4"/>
        <v>1</v>
      </c>
      <c r="M23" s="1" t="b">
        <f>IF(OR(入力シート!$C$5&lt;&gt;入力リスト!$N$4,入力シート!$J$22&lt;&gt;入力リスト!$K$4),TRUE,IF($F$2=入力リスト!$Q$4,IF(F23-INT(F23)&lt;0.6,TRUE,FALSE),TRUE))</f>
        <v>1</v>
      </c>
      <c r="N23" s="9" t="str">
        <f>IF(F23="","",IF($F$2=入力リスト!$Q$4,ROUNDDOWN(INT(F23)+ROUNDDOWN((F23-INT(F23))*100,0)/60,2),従業員の給与情報!F23))</f>
        <v/>
      </c>
      <c r="O23" s="8"/>
      <c r="P23" s="8"/>
    </row>
    <row r="24" spans="1:16">
      <c r="A24" s="119"/>
      <c r="B24" s="2"/>
      <c r="C24" s="369"/>
      <c r="D24" s="369"/>
      <c r="E24" s="369"/>
      <c r="F24" s="370"/>
      <c r="G24" s="248" t="str">
        <f t="shared" si="0"/>
        <v/>
      </c>
      <c r="H24" s="1" t="b">
        <f>IF(B24="",FALSE,COUNTIF('従業員情報(給与以外)'!$A$4:$A$1000000,$B24)=0)</f>
        <v>0</v>
      </c>
      <c r="I24" s="9" t="b">
        <f t="shared" si="1"/>
        <v>1</v>
      </c>
      <c r="J24" s="9" t="b">
        <f t="shared" si="2"/>
        <v>1</v>
      </c>
      <c r="K24" s="9" t="b">
        <f t="shared" si="3"/>
        <v>1</v>
      </c>
      <c r="L24" s="9" t="b">
        <f t="shared" si="4"/>
        <v>1</v>
      </c>
      <c r="M24" s="1" t="b">
        <f>IF(OR(入力シート!$C$5&lt;&gt;入力リスト!$N$4,入力シート!$J$22&lt;&gt;入力リスト!$K$4),TRUE,IF($F$2=入力リスト!$Q$4,IF(F24-INT(F24)&lt;0.6,TRUE,FALSE),TRUE))</f>
        <v>1</v>
      </c>
      <c r="N24" s="9" t="str">
        <f>IF(F24="","",IF($F$2=入力リスト!$Q$4,ROUNDDOWN(INT(F24)+ROUNDDOWN((F24-INT(F24))*100,0)/60,2),従業員の給与情報!F24))</f>
        <v/>
      </c>
      <c r="O24" s="8"/>
      <c r="P24" s="8"/>
    </row>
    <row r="25" spans="1:16">
      <c r="A25" s="119"/>
      <c r="B25" s="2"/>
      <c r="C25" s="369"/>
      <c r="D25" s="369"/>
      <c r="E25" s="369"/>
      <c r="F25" s="370"/>
      <c r="G25" s="248" t="str">
        <f t="shared" si="0"/>
        <v/>
      </c>
      <c r="H25" s="1" t="b">
        <f>IF(B25="",FALSE,COUNTIF('従業員情報(給与以外)'!$A$4:$A$1000000,$B25)=0)</f>
        <v>0</v>
      </c>
      <c r="I25" s="9" t="b">
        <f t="shared" si="1"/>
        <v>1</v>
      </c>
      <c r="J25" s="9" t="b">
        <f t="shared" si="2"/>
        <v>1</v>
      </c>
      <c r="K25" s="9" t="b">
        <f t="shared" si="3"/>
        <v>1</v>
      </c>
      <c r="L25" s="9" t="b">
        <f t="shared" si="4"/>
        <v>1</v>
      </c>
      <c r="M25" s="1" t="b">
        <f>IF(OR(入力シート!$C$5&lt;&gt;入力リスト!$N$4,入力シート!$J$22&lt;&gt;入力リスト!$K$4),TRUE,IF($F$2=入力リスト!$Q$4,IF(F25-INT(F25)&lt;0.6,TRUE,FALSE),TRUE))</f>
        <v>1</v>
      </c>
      <c r="N25" s="9" t="str">
        <f>IF(F25="","",IF($F$2=入力リスト!$Q$4,ROUNDDOWN(INT(F25)+ROUNDDOWN((F25-INT(F25))*100,0)/60,2),従業員の給与情報!F25))</f>
        <v/>
      </c>
      <c r="O25" s="8"/>
      <c r="P25" s="8"/>
    </row>
    <row r="26" spans="1:16">
      <c r="A26" s="119"/>
      <c r="B26" s="2"/>
      <c r="C26" s="369"/>
      <c r="D26" s="369"/>
      <c r="E26" s="369"/>
      <c r="F26" s="370"/>
      <c r="G26" s="248" t="str">
        <f t="shared" si="0"/>
        <v/>
      </c>
      <c r="H26" s="1" t="b">
        <f>IF(B26="",FALSE,COUNTIF('従業員情報(給与以外)'!$A$4:$A$1000000,$B26)=0)</f>
        <v>0</v>
      </c>
      <c r="I26" s="9" t="b">
        <f t="shared" si="1"/>
        <v>1</v>
      </c>
      <c r="J26" s="9" t="b">
        <f t="shared" si="2"/>
        <v>1</v>
      </c>
      <c r="K26" s="9" t="b">
        <f t="shared" si="3"/>
        <v>1</v>
      </c>
      <c r="L26" s="9" t="b">
        <f t="shared" si="4"/>
        <v>1</v>
      </c>
      <c r="M26" s="1" t="b">
        <f>IF(OR(入力シート!$C$5&lt;&gt;入力リスト!$N$4,入力シート!$J$22&lt;&gt;入力リスト!$K$4),TRUE,IF($F$2=入力リスト!$Q$4,IF(F26-INT(F26)&lt;0.6,TRUE,FALSE),TRUE))</f>
        <v>1</v>
      </c>
      <c r="N26" s="9" t="str">
        <f>IF(F26="","",IF($F$2=入力リスト!$Q$4,ROUNDDOWN(INT(F26)+ROUNDDOWN((F26-INT(F26))*100,0)/60,2),従業員の給与情報!F26))</f>
        <v/>
      </c>
      <c r="O26" s="8"/>
      <c r="P26" s="8"/>
    </row>
    <row r="27" spans="1:16">
      <c r="A27" s="119"/>
      <c r="B27" s="2"/>
      <c r="C27" s="369"/>
      <c r="D27" s="369"/>
      <c r="E27" s="369"/>
      <c r="F27" s="370"/>
      <c r="G27" s="248" t="str">
        <f t="shared" si="0"/>
        <v/>
      </c>
      <c r="H27" s="1" t="b">
        <f>IF(B27="",FALSE,COUNTIF('従業員情報(給与以外)'!$A$4:$A$1000000,$B27)=0)</f>
        <v>0</v>
      </c>
      <c r="I27" s="9" t="b">
        <f t="shared" si="1"/>
        <v>1</v>
      </c>
      <c r="J27" s="9" t="b">
        <f t="shared" si="2"/>
        <v>1</v>
      </c>
      <c r="K27" s="9" t="b">
        <f t="shared" si="3"/>
        <v>1</v>
      </c>
      <c r="L27" s="9" t="b">
        <f t="shared" si="4"/>
        <v>1</v>
      </c>
      <c r="M27" s="1" t="b">
        <f>IF(OR(入力シート!$C$5&lt;&gt;入力リスト!$N$4,入力シート!$J$22&lt;&gt;入力リスト!$K$4),TRUE,IF($F$2=入力リスト!$Q$4,IF(F27-INT(F27)&lt;0.6,TRUE,FALSE),TRUE))</f>
        <v>1</v>
      </c>
      <c r="N27" s="9" t="str">
        <f>IF(F27="","",IF($F$2=入力リスト!$Q$4,ROUNDDOWN(INT(F27)+ROUNDDOWN((F27-INT(F27))*100,0)/60,2),従業員の給与情報!F27))</f>
        <v/>
      </c>
      <c r="O27" s="8"/>
      <c r="P27" s="8"/>
    </row>
    <row r="28" spans="1:16">
      <c r="A28" s="119"/>
      <c r="B28" s="2"/>
      <c r="C28" s="369"/>
      <c r="D28" s="369"/>
      <c r="E28" s="369"/>
      <c r="F28" s="370"/>
      <c r="G28" s="248" t="str">
        <f t="shared" si="0"/>
        <v/>
      </c>
      <c r="H28" s="1" t="b">
        <f>IF(B28="",FALSE,COUNTIF('従業員情報(給与以外)'!$A$4:$A$1000000,$B28)=0)</f>
        <v>0</v>
      </c>
      <c r="I28" s="9" t="b">
        <f t="shared" si="1"/>
        <v>1</v>
      </c>
      <c r="J28" s="9" t="b">
        <f t="shared" si="2"/>
        <v>1</v>
      </c>
      <c r="K28" s="9" t="b">
        <f t="shared" si="3"/>
        <v>1</v>
      </c>
      <c r="L28" s="9" t="b">
        <f t="shared" si="4"/>
        <v>1</v>
      </c>
      <c r="M28" s="1" t="b">
        <f>IF(OR(入力シート!$C$5&lt;&gt;入力リスト!$N$4,入力シート!$J$22&lt;&gt;入力リスト!$K$4),TRUE,IF($F$2=入力リスト!$Q$4,IF(F28-INT(F28)&lt;0.6,TRUE,FALSE),TRUE))</f>
        <v>1</v>
      </c>
      <c r="N28" s="9" t="str">
        <f>IF(F28="","",IF($F$2=入力リスト!$Q$4,ROUNDDOWN(INT(F28)+ROUNDDOWN((F28-INT(F28))*100,0)/60,2),従業員の給与情報!F28))</f>
        <v/>
      </c>
      <c r="O28" s="8"/>
      <c r="P28" s="8"/>
    </row>
    <row r="29" spans="1:16">
      <c r="A29" s="119"/>
      <c r="B29" s="2"/>
      <c r="C29" s="369"/>
      <c r="D29" s="369"/>
      <c r="E29" s="369"/>
      <c r="F29" s="370"/>
      <c r="G29" s="248" t="str">
        <f t="shared" si="0"/>
        <v/>
      </c>
      <c r="H29" s="1" t="b">
        <f>IF(B29="",FALSE,COUNTIF('従業員情報(給与以外)'!$A$4:$A$1000000,$B29)=0)</f>
        <v>0</v>
      </c>
      <c r="I29" s="9" t="b">
        <f t="shared" si="1"/>
        <v>1</v>
      </c>
      <c r="J29" s="9" t="b">
        <f t="shared" si="2"/>
        <v>1</v>
      </c>
      <c r="K29" s="9" t="b">
        <f t="shared" si="3"/>
        <v>1</v>
      </c>
      <c r="L29" s="9" t="b">
        <f t="shared" si="4"/>
        <v>1</v>
      </c>
      <c r="M29" s="1" t="b">
        <f>IF(OR(入力シート!$C$5&lt;&gt;入力リスト!$N$4,入力シート!$J$22&lt;&gt;入力リスト!$K$4),TRUE,IF($F$2=入力リスト!$Q$4,IF(F29-INT(F29)&lt;0.6,TRUE,FALSE),TRUE))</f>
        <v>1</v>
      </c>
      <c r="N29" s="9" t="str">
        <f>IF(F29="","",IF($F$2=入力リスト!$Q$4,ROUNDDOWN(INT(F29)+ROUNDDOWN((F29-INT(F29))*100,0)/60,2),従業員の給与情報!F29))</f>
        <v/>
      </c>
      <c r="O29" s="8"/>
      <c r="P29" s="8"/>
    </row>
    <row r="30" spans="1:16">
      <c r="A30" s="119"/>
      <c r="B30" s="2"/>
      <c r="C30" s="369"/>
      <c r="D30" s="369"/>
      <c r="E30" s="369"/>
      <c r="F30" s="370"/>
      <c r="G30" s="248" t="str">
        <f t="shared" si="0"/>
        <v/>
      </c>
      <c r="H30" s="1" t="b">
        <f>IF(B30="",FALSE,COUNTIF('従業員情報(給与以外)'!$A$4:$A$1000000,$B30)=0)</f>
        <v>0</v>
      </c>
      <c r="I30" s="9" t="b">
        <f t="shared" si="1"/>
        <v>1</v>
      </c>
      <c r="J30" s="9" t="b">
        <f t="shared" si="2"/>
        <v>1</v>
      </c>
      <c r="K30" s="9" t="b">
        <f t="shared" si="3"/>
        <v>1</v>
      </c>
      <c r="L30" s="9" t="b">
        <f t="shared" si="4"/>
        <v>1</v>
      </c>
      <c r="M30" s="1" t="b">
        <f>IF(OR(入力シート!$C$5&lt;&gt;入力リスト!$N$4,入力シート!$J$22&lt;&gt;入力リスト!$K$4),TRUE,IF($F$2=入力リスト!$Q$4,IF(F30-INT(F30)&lt;0.6,TRUE,FALSE),TRUE))</f>
        <v>1</v>
      </c>
      <c r="N30" s="9" t="str">
        <f>IF(F30="","",IF($F$2=入力リスト!$Q$4,ROUNDDOWN(INT(F30)+ROUNDDOWN((F30-INT(F30))*100,0)/60,2),従業員の給与情報!F30))</f>
        <v/>
      </c>
      <c r="O30" s="8"/>
      <c r="P30" s="8"/>
    </row>
    <row r="31" spans="1:16">
      <c r="A31" s="119"/>
      <c r="B31" s="2"/>
      <c r="C31" s="369"/>
      <c r="D31" s="369"/>
      <c r="E31" s="369"/>
      <c r="F31" s="370"/>
      <c r="G31" s="248" t="str">
        <f t="shared" si="0"/>
        <v/>
      </c>
      <c r="H31" s="1" t="b">
        <f>IF(B31="",FALSE,COUNTIF('従業員情報(給与以外)'!$A$4:$A$1000000,$B31)=0)</f>
        <v>0</v>
      </c>
      <c r="I31" s="9" t="b">
        <f t="shared" si="1"/>
        <v>1</v>
      </c>
      <c r="J31" s="9" t="b">
        <f t="shared" si="2"/>
        <v>1</v>
      </c>
      <c r="K31" s="9" t="b">
        <f t="shared" si="3"/>
        <v>1</v>
      </c>
      <c r="L31" s="9" t="b">
        <f t="shared" si="4"/>
        <v>1</v>
      </c>
      <c r="M31" s="1" t="b">
        <f>IF(OR(入力シート!$C$5&lt;&gt;入力リスト!$N$4,入力シート!$J$22&lt;&gt;入力リスト!$K$4),TRUE,IF($F$2=入力リスト!$Q$4,IF(F31-INT(F31)&lt;0.6,TRUE,FALSE),TRUE))</f>
        <v>1</v>
      </c>
      <c r="N31" s="9" t="str">
        <f>IF(F31="","",IF($F$2=入力リスト!$Q$4,ROUNDDOWN(INT(F31)+ROUNDDOWN((F31-INT(F31))*100,0)/60,2),従業員の給与情報!F31))</f>
        <v/>
      </c>
      <c r="O31" s="8"/>
      <c r="P31" s="8"/>
    </row>
    <row r="32" spans="1:16">
      <c r="A32" s="119"/>
      <c r="B32" s="2"/>
      <c r="C32" s="369"/>
      <c r="D32" s="369"/>
      <c r="E32" s="369"/>
      <c r="F32" s="370"/>
      <c r="G32" s="248" t="str">
        <f t="shared" si="0"/>
        <v/>
      </c>
      <c r="H32" s="1" t="b">
        <f>IF(B32="",FALSE,COUNTIF('従業員情報(給与以外)'!$A$4:$A$1000000,$B32)=0)</f>
        <v>0</v>
      </c>
      <c r="I32" s="9" t="b">
        <f t="shared" si="1"/>
        <v>1</v>
      </c>
      <c r="J32" s="9" t="b">
        <f t="shared" si="2"/>
        <v>1</v>
      </c>
      <c r="K32" s="9" t="b">
        <f t="shared" si="3"/>
        <v>1</v>
      </c>
      <c r="L32" s="9" t="b">
        <f t="shared" si="4"/>
        <v>1</v>
      </c>
      <c r="M32" s="1" t="b">
        <f>IF(OR(入力シート!$C$5&lt;&gt;入力リスト!$N$4,入力シート!$J$22&lt;&gt;入力リスト!$K$4),TRUE,IF($F$2=入力リスト!$Q$4,IF(F32-INT(F32)&lt;0.6,TRUE,FALSE),TRUE))</f>
        <v>1</v>
      </c>
      <c r="N32" s="9" t="str">
        <f>IF(F32="","",IF($F$2=入力リスト!$Q$4,ROUNDDOWN(INT(F32)+ROUNDDOWN((F32-INT(F32))*100,0)/60,2),従業員の給与情報!F32))</f>
        <v/>
      </c>
      <c r="O32" s="8"/>
      <c r="P32" s="8"/>
    </row>
    <row r="33" spans="1:16">
      <c r="A33" s="119"/>
      <c r="B33" s="2"/>
      <c r="C33" s="369"/>
      <c r="D33" s="369"/>
      <c r="E33" s="369"/>
      <c r="F33" s="370"/>
      <c r="G33" s="248" t="str">
        <f t="shared" si="0"/>
        <v/>
      </c>
      <c r="H33" s="1" t="b">
        <f>IF(B33="",FALSE,COUNTIF('従業員情報(給与以外)'!$A$4:$A$1000000,$B33)=0)</f>
        <v>0</v>
      </c>
      <c r="I33" s="9" t="b">
        <f t="shared" si="1"/>
        <v>1</v>
      </c>
      <c r="J33" s="9" t="b">
        <f t="shared" si="2"/>
        <v>1</v>
      </c>
      <c r="K33" s="9" t="b">
        <f t="shared" si="3"/>
        <v>1</v>
      </c>
      <c r="L33" s="9" t="b">
        <f t="shared" si="4"/>
        <v>1</v>
      </c>
      <c r="M33" s="1" t="b">
        <f>IF(OR(入力シート!$C$5&lt;&gt;入力リスト!$N$4,入力シート!$J$22&lt;&gt;入力リスト!$K$4),TRUE,IF($F$2=入力リスト!$Q$4,IF(F33-INT(F33)&lt;0.6,TRUE,FALSE),TRUE))</f>
        <v>1</v>
      </c>
      <c r="N33" s="9" t="str">
        <f>IF(F33="","",IF($F$2=入力リスト!$Q$4,ROUNDDOWN(INT(F33)+ROUNDDOWN((F33-INT(F33))*100,0)/60,2),従業員の給与情報!F33))</f>
        <v/>
      </c>
      <c r="O33" s="8"/>
      <c r="P33" s="8"/>
    </row>
    <row r="34" spans="1:16">
      <c r="A34" s="119"/>
      <c r="B34" s="2"/>
      <c r="C34" s="369"/>
      <c r="D34" s="369"/>
      <c r="E34" s="369"/>
      <c r="F34" s="370"/>
      <c r="G34" s="248" t="str">
        <f t="shared" si="0"/>
        <v/>
      </c>
      <c r="H34" s="1" t="b">
        <f>IF(B34="",FALSE,COUNTIF('従業員情報(給与以外)'!$A$4:$A$1000000,$B34)=0)</f>
        <v>0</v>
      </c>
      <c r="I34" s="9" t="b">
        <f t="shared" si="1"/>
        <v>1</v>
      </c>
      <c r="J34" s="9" t="b">
        <f t="shared" si="2"/>
        <v>1</v>
      </c>
      <c r="K34" s="9" t="b">
        <f t="shared" si="3"/>
        <v>1</v>
      </c>
      <c r="L34" s="9" t="b">
        <f t="shared" si="4"/>
        <v>1</v>
      </c>
      <c r="M34" s="1" t="b">
        <f>IF(OR(入力シート!$C$5&lt;&gt;入力リスト!$N$4,入力シート!$J$22&lt;&gt;入力リスト!$K$4),TRUE,IF($F$2=入力リスト!$Q$4,IF(F34-INT(F34)&lt;0.6,TRUE,FALSE),TRUE))</f>
        <v>1</v>
      </c>
      <c r="N34" s="9" t="str">
        <f>IF(F34="","",IF($F$2=入力リスト!$Q$4,ROUNDDOWN(INT(F34)+ROUNDDOWN((F34-INT(F34))*100,0)/60,2),従業員の給与情報!F34))</f>
        <v/>
      </c>
      <c r="O34" s="8"/>
      <c r="P34" s="8"/>
    </row>
    <row r="35" spans="1:16">
      <c r="A35" s="119"/>
      <c r="B35" s="2"/>
      <c r="C35" s="369"/>
      <c r="D35" s="369"/>
      <c r="E35" s="369"/>
      <c r="F35" s="370"/>
      <c r="G35" s="248" t="str">
        <f t="shared" si="0"/>
        <v/>
      </c>
      <c r="H35" s="1" t="b">
        <f>IF(B35="",FALSE,COUNTIF('従業員情報(給与以外)'!$A$4:$A$1000000,$B35)=0)</f>
        <v>0</v>
      </c>
      <c r="I35" s="9" t="b">
        <f t="shared" si="1"/>
        <v>1</v>
      </c>
      <c r="J35" s="9" t="b">
        <f t="shared" si="2"/>
        <v>1</v>
      </c>
      <c r="K35" s="9" t="b">
        <f t="shared" si="3"/>
        <v>1</v>
      </c>
      <c r="L35" s="9" t="b">
        <f t="shared" si="4"/>
        <v>1</v>
      </c>
      <c r="M35" s="1" t="b">
        <f>IF(OR(入力シート!$C$5&lt;&gt;入力リスト!$N$4,入力シート!$J$22&lt;&gt;入力リスト!$K$4),TRUE,IF($F$2=入力リスト!$Q$4,IF(F35-INT(F35)&lt;0.6,TRUE,FALSE),TRUE))</f>
        <v>1</v>
      </c>
      <c r="N35" s="9" t="str">
        <f>IF(F35="","",IF($F$2=入力リスト!$Q$4,ROUNDDOWN(INT(F35)+ROUNDDOWN((F35-INT(F35))*100,0)/60,2),従業員の給与情報!F35))</f>
        <v/>
      </c>
      <c r="O35" s="8"/>
      <c r="P35" s="8"/>
    </row>
    <row r="36" spans="1:16">
      <c r="A36" s="119"/>
      <c r="B36" s="2"/>
      <c r="C36" s="369"/>
      <c r="D36" s="369"/>
      <c r="E36" s="369"/>
      <c r="F36" s="370"/>
      <c r="G36" s="248" t="str">
        <f t="shared" si="0"/>
        <v/>
      </c>
      <c r="H36" s="1" t="b">
        <f>IF(B36="",FALSE,COUNTIF('従業員情報(給与以外)'!$A$4:$A$1000000,$B36)=0)</f>
        <v>0</v>
      </c>
      <c r="I36" s="9" t="b">
        <f t="shared" si="1"/>
        <v>1</v>
      </c>
      <c r="J36" s="9" t="b">
        <f t="shared" si="2"/>
        <v>1</v>
      </c>
      <c r="K36" s="9" t="b">
        <f t="shared" si="3"/>
        <v>1</v>
      </c>
      <c r="L36" s="9" t="b">
        <f t="shared" si="4"/>
        <v>1</v>
      </c>
      <c r="M36" s="1" t="b">
        <f>IF(OR(入力シート!$C$5&lt;&gt;入力リスト!$N$4,入力シート!$J$22&lt;&gt;入力リスト!$K$4),TRUE,IF($F$2=入力リスト!$Q$4,IF(F36-INT(F36)&lt;0.6,TRUE,FALSE),TRUE))</f>
        <v>1</v>
      </c>
      <c r="N36" s="9" t="str">
        <f>IF(F36="","",IF($F$2=入力リスト!$Q$4,ROUNDDOWN(INT(F36)+ROUNDDOWN((F36-INT(F36))*100,0)/60,2),従業員の給与情報!F36))</f>
        <v/>
      </c>
      <c r="O36" s="8"/>
      <c r="P36" s="8"/>
    </row>
    <row r="37" spans="1:16">
      <c r="A37" s="119"/>
      <c r="B37" s="2"/>
      <c r="C37" s="369"/>
      <c r="D37" s="369"/>
      <c r="E37" s="369"/>
      <c r="F37" s="370"/>
      <c r="G37" s="248" t="str">
        <f t="shared" si="0"/>
        <v/>
      </c>
      <c r="H37" s="1" t="b">
        <f>IF(B37="",FALSE,COUNTIF('従業員情報(給与以外)'!$A$4:$A$1000000,$B37)=0)</f>
        <v>0</v>
      </c>
      <c r="I37" s="9" t="b">
        <f t="shared" si="1"/>
        <v>1</v>
      </c>
      <c r="J37" s="9" t="b">
        <f t="shared" si="2"/>
        <v>1</v>
      </c>
      <c r="K37" s="9" t="b">
        <f t="shared" si="3"/>
        <v>1</v>
      </c>
      <c r="L37" s="9" t="b">
        <f t="shared" si="4"/>
        <v>1</v>
      </c>
      <c r="M37" s="1" t="b">
        <f>IF(OR(入力シート!$C$5&lt;&gt;入力リスト!$N$4,入力シート!$J$22&lt;&gt;入力リスト!$K$4),TRUE,IF($F$2=入力リスト!$Q$4,IF(F37-INT(F37)&lt;0.6,TRUE,FALSE),TRUE))</f>
        <v>1</v>
      </c>
      <c r="N37" s="9" t="str">
        <f>IF(F37="","",IF($F$2=入力リスト!$Q$4,ROUNDDOWN(INT(F37)+ROUNDDOWN((F37-INT(F37))*100,0)/60,2),従業員の給与情報!F37))</f>
        <v/>
      </c>
      <c r="O37" s="8"/>
      <c r="P37" s="8"/>
    </row>
    <row r="38" spans="1:16">
      <c r="A38" s="119"/>
      <c r="B38" s="2"/>
      <c r="C38" s="369"/>
      <c r="D38" s="369"/>
      <c r="E38" s="369"/>
      <c r="F38" s="370"/>
      <c r="G38" s="248" t="str">
        <f t="shared" si="0"/>
        <v/>
      </c>
      <c r="H38" s="1" t="b">
        <f>IF(B38="",FALSE,COUNTIF('従業員情報(給与以外)'!$A$4:$A$1000000,$B38)=0)</f>
        <v>0</v>
      </c>
      <c r="I38" s="9" t="b">
        <f t="shared" si="1"/>
        <v>1</v>
      </c>
      <c r="J38" s="9" t="b">
        <f t="shared" si="2"/>
        <v>1</v>
      </c>
      <c r="K38" s="9" t="b">
        <f t="shared" si="3"/>
        <v>1</v>
      </c>
      <c r="L38" s="9" t="b">
        <f t="shared" si="4"/>
        <v>1</v>
      </c>
      <c r="M38" s="1" t="b">
        <f>IF(OR(入力シート!$C$5&lt;&gt;入力リスト!$N$4,入力シート!$J$22&lt;&gt;入力リスト!$K$4),TRUE,IF($F$2=入力リスト!$Q$4,IF(F38-INT(F38)&lt;0.6,TRUE,FALSE),TRUE))</f>
        <v>1</v>
      </c>
      <c r="N38" s="9" t="str">
        <f>IF(F38="","",IF($F$2=入力リスト!$Q$4,ROUNDDOWN(INT(F38)+ROUNDDOWN((F38-INT(F38))*100,0)/60,2),従業員の給与情報!F38))</f>
        <v/>
      </c>
      <c r="O38" s="8"/>
      <c r="P38" s="8"/>
    </row>
    <row r="39" spans="1:16">
      <c r="A39" s="119"/>
      <c r="B39" s="2"/>
      <c r="C39" s="369"/>
      <c r="D39" s="369"/>
      <c r="E39" s="369"/>
      <c r="F39" s="370"/>
      <c r="G39" s="248" t="str">
        <f t="shared" si="0"/>
        <v/>
      </c>
      <c r="H39" s="1" t="b">
        <f>IF(B39="",FALSE,COUNTIF('従業員情報(給与以外)'!$A$4:$A$1000000,$B39)=0)</f>
        <v>0</v>
      </c>
      <c r="I39" s="9" t="b">
        <f t="shared" si="1"/>
        <v>1</v>
      </c>
      <c r="J39" s="9" t="b">
        <f t="shared" si="2"/>
        <v>1</v>
      </c>
      <c r="K39" s="9" t="b">
        <f t="shared" si="3"/>
        <v>1</v>
      </c>
      <c r="L39" s="9" t="b">
        <f t="shared" si="4"/>
        <v>1</v>
      </c>
      <c r="M39" s="1" t="b">
        <f>IF(OR(入力シート!$C$5&lt;&gt;入力リスト!$N$4,入力シート!$J$22&lt;&gt;入力リスト!$K$4),TRUE,IF($F$2=入力リスト!$Q$4,IF(F39-INT(F39)&lt;0.6,TRUE,FALSE),TRUE))</f>
        <v>1</v>
      </c>
      <c r="N39" s="9" t="str">
        <f>IF(F39="","",IF($F$2=入力リスト!$Q$4,ROUNDDOWN(INT(F39)+ROUNDDOWN((F39-INT(F39))*100,0)/60,2),従業員の給与情報!F39))</f>
        <v/>
      </c>
      <c r="O39" s="8"/>
      <c r="P39" s="8"/>
    </row>
    <row r="40" spans="1:16">
      <c r="A40" s="119"/>
      <c r="B40" s="2"/>
      <c r="C40" s="369"/>
      <c r="D40" s="369"/>
      <c r="E40" s="369"/>
      <c r="F40" s="370"/>
      <c r="G40" s="248" t="str">
        <f t="shared" si="0"/>
        <v/>
      </c>
      <c r="H40" s="1" t="b">
        <f>IF(B40="",FALSE,COUNTIF('従業員情報(給与以外)'!$A$4:$A$1000000,$B40)=0)</f>
        <v>0</v>
      </c>
      <c r="I40" s="9" t="b">
        <f t="shared" si="1"/>
        <v>1</v>
      </c>
      <c r="J40" s="9" t="b">
        <f t="shared" si="2"/>
        <v>1</v>
      </c>
      <c r="K40" s="9" t="b">
        <f t="shared" si="3"/>
        <v>1</v>
      </c>
      <c r="L40" s="9" t="b">
        <f t="shared" si="4"/>
        <v>1</v>
      </c>
      <c r="M40" s="1" t="b">
        <f>IF(OR(入力シート!$C$5&lt;&gt;入力リスト!$N$4,入力シート!$J$22&lt;&gt;入力リスト!$K$4),TRUE,IF($F$2=入力リスト!$Q$4,IF(F40-INT(F40)&lt;0.6,TRUE,FALSE),TRUE))</f>
        <v>1</v>
      </c>
      <c r="N40" s="9" t="str">
        <f>IF(F40="","",IF($F$2=入力リスト!$Q$4,ROUNDDOWN(INT(F40)+ROUNDDOWN((F40-INT(F40))*100,0)/60,2),従業員の給与情報!F40))</f>
        <v/>
      </c>
      <c r="O40" s="8"/>
      <c r="P40" s="8"/>
    </row>
    <row r="41" spans="1:16">
      <c r="A41" s="119"/>
      <c r="B41" s="2"/>
      <c r="C41" s="369"/>
      <c r="D41" s="369"/>
      <c r="E41" s="369"/>
      <c r="F41" s="370"/>
      <c r="G41" s="248" t="str">
        <f t="shared" si="0"/>
        <v/>
      </c>
      <c r="H41" s="1" t="b">
        <f>IF(B41="",FALSE,COUNTIF('従業員情報(給与以外)'!$A$4:$A$1000000,$B41)=0)</f>
        <v>0</v>
      </c>
      <c r="I41" s="9" t="b">
        <f t="shared" si="1"/>
        <v>1</v>
      </c>
      <c r="J41" s="9" t="b">
        <f t="shared" si="2"/>
        <v>1</v>
      </c>
      <c r="K41" s="9" t="b">
        <f t="shared" si="3"/>
        <v>1</v>
      </c>
      <c r="L41" s="9" t="b">
        <f t="shared" si="4"/>
        <v>1</v>
      </c>
      <c r="M41" s="1" t="b">
        <f>IF(OR(入力シート!$C$5&lt;&gt;入力リスト!$N$4,入力シート!$J$22&lt;&gt;入力リスト!$K$4),TRUE,IF($F$2=入力リスト!$Q$4,IF(F41-INT(F41)&lt;0.6,TRUE,FALSE),TRUE))</f>
        <v>1</v>
      </c>
      <c r="N41" s="9" t="str">
        <f>IF(F41="","",IF($F$2=入力リスト!$Q$4,ROUNDDOWN(INT(F41)+ROUNDDOWN((F41-INT(F41))*100,0)/60,2),従業員の給与情報!F41))</f>
        <v/>
      </c>
      <c r="O41" s="8"/>
      <c r="P41" s="8"/>
    </row>
    <row r="42" spans="1:16">
      <c r="A42" s="119"/>
      <c r="B42" s="2"/>
      <c r="C42" s="369"/>
      <c r="D42" s="369"/>
      <c r="E42" s="369"/>
      <c r="F42" s="370"/>
      <c r="G42" s="248" t="str">
        <f t="shared" si="0"/>
        <v/>
      </c>
      <c r="H42" s="1" t="b">
        <f>IF(B42="",FALSE,COUNTIF('従業員情報(給与以外)'!$A$4:$A$1000000,$B42)=0)</f>
        <v>0</v>
      </c>
      <c r="I42" s="9" t="b">
        <f t="shared" si="1"/>
        <v>1</v>
      </c>
      <c r="J42" s="9" t="b">
        <f t="shared" si="2"/>
        <v>1</v>
      </c>
      <c r="K42" s="9" t="b">
        <f t="shared" si="3"/>
        <v>1</v>
      </c>
      <c r="L42" s="9" t="b">
        <f t="shared" si="4"/>
        <v>1</v>
      </c>
      <c r="M42" s="1" t="b">
        <f>IF(OR(入力シート!$C$5&lt;&gt;入力リスト!$N$4,入力シート!$J$22&lt;&gt;入力リスト!$K$4),TRUE,IF($F$2=入力リスト!$Q$4,IF(F42-INT(F42)&lt;0.6,TRUE,FALSE),TRUE))</f>
        <v>1</v>
      </c>
      <c r="N42" s="9" t="str">
        <f>IF(F42="","",IF($F$2=入力リスト!$Q$4,ROUNDDOWN(INT(F42)+ROUNDDOWN((F42-INT(F42))*100,0)/60,2),従業員の給与情報!F42))</f>
        <v/>
      </c>
      <c r="O42" s="8"/>
      <c r="P42" s="8"/>
    </row>
    <row r="43" spans="1:16">
      <c r="A43" s="119"/>
      <c r="B43" s="2"/>
      <c r="C43" s="369"/>
      <c r="D43" s="369"/>
      <c r="E43" s="369"/>
      <c r="F43" s="370"/>
      <c r="G43" s="248" t="str">
        <f t="shared" si="0"/>
        <v/>
      </c>
      <c r="H43" s="1" t="b">
        <f>IF(B43="",FALSE,COUNTIF('従業員情報(給与以外)'!$A$4:$A$1000000,$B43)=0)</f>
        <v>0</v>
      </c>
      <c r="I43" s="9" t="b">
        <f t="shared" si="1"/>
        <v>1</v>
      </c>
      <c r="J43" s="9" t="b">
        <f t="shared" si="2"/>
        <v>1</v>
      </c>
      <c r="K43" s="9" t="b">
        <f t="shared" si="3"/>
        <v>1</v>
      </c>
      <c r="L43" s="9" t="b">
        <f t="shared" si="4"/>
        <v>1</v>
      </c>
      <c r="M43" s="1" t="b">
        <f>IF(OR(入力シート!$C$5&lt;&gt;入力リスト!$N$4,入力シート!$J$22&lt;&gt;入力リスト!$K$4),TRUE,IF($F$2=入力リスト!$Q$4,IF(F43-INT(F43)&lt;0.6,TRUE,FALSE),TRUE))</f>
        <v>1</v>
      </c>
      <c r="N43" s="9" t="str">
        <f>IF(F43="","",IF($F$2=入力リスト!$Q$4,ROUNDDOWN(INT(F43)+ROUNDDOWN((F43-INT(F43))*100,0)/60,2),従業員の給与情報!F43))</f>
        <v/>
      </c>
      <c r="O43" s="8"/>
      <c r="P43" s="8"/>
    </row>
    <row r="44" spans="1:16">
      <c r="A44" s="119"/>
      <c r="B44" s="2"/>
      <c r="C44" s="369"/>
      <c r="D44" s="369"/>
      <c r="E44" s="369"/>
      <c r="F44" s="370"/>
      <c r="G44" s="248" t="str">
        <f t="shared" si="0"/>
        <v/>
      </c>
      <c r="H44" s="1" t="b">
        <f>IF(B44="",FALSE,COUNTIF('従業員情報(給与以外)'!$A$4:$A$1000000,$B44)=0)</f>
        <v>0</v>
      </c>
      <c r="I44" s="9" t="b">
        <f t="shared" si="1"/>
        <v>1</v>
      </c>
      <c r="J44" s="9" t="b">
        <f t="shared" si="2"/>
        <v>1</v>
      </c>
      <c r="K44" s="9" t="b">
        <f t="shared" si="3"/>
        <v>1</v>
      </c>
      <c r="L44" s="9" t="b">
        <f t="shared" si="4"/>
        <v>1</v>
      </c>
      <c r="M44" s="1" t="b">
        <f>IF(OR(入力シート!$C$5&lt;&gt;入力リスト!$N$4,入力シート!$J$22&lt;&gt;入力リスト!$K$4),TRUE,IF($F$2=入力リスト!$Q$4,IF(F44-INT(F44)&lt;0.6,TRUE,FALSE),TRUE))</f>
        <v>1</v>
      </c>
      <c r="N44" s="9" t="str">
        <f>IF(F44="","",IF($F$2=入力リスト!$Q$4,ROUNDDOWN(INT(F44)+ROUNDDOWN((F44-INT(F44))*100,0)/60,2),従業員の給与情報!F44))</f>
        <v/>
      </c>
      <c r="O44" s="8"/>
      <c r="P44" s="8"/>
    </row>
    <row r="45" spans="1:16">
      <c r="A45" s="119"/>
      <c r="B45" s="2"/>
      <c r="C45" s="369"/>
      <c r="D45" s="369"/>
      <c r="E45" s="369"/>
      <c r="F45" s="370"/>
      <c r="G45" s="248" t="str">
        <f t="shared" si="0"/>
        <v/>
      </c>
      <c r="H45" s="1" t="b">
        <f>IF(B45="",FALSE,COUNTIF('従業員情報(給与以外)'!$A$4:$A$1000000,$B45)=0)</f>
        <v>0</v>
      </c>
      <c r="I45" s="9" t="b">
        <f t="shared" si="1"/>
        <v>1</v>
      </c>
      <c r="J45" s="9" t="b">
        <f t="shared" si="2"/>
        <v>1</v>
      </c>
      <c r="K45" s="9" t="b">
        <f t="shared" si="3"/>
        <v>1</v>
      </c>
      <c r="L45" s="9" t="b">
        <f t="shared" si="4"/>
        <v>1</v>
      </c>
      <c r="M45" s="1" t="b">
        <f>IF(OR(入力シート!$C$5&lt;&gt;入力リスト!$N$4,入力シート!$J$22&lt;&gt;入力リスト!$K$4),TRUE,IF($F$2=入力リスト!$Q$4,IF(F45-INT(F45)&lt;0.6,TRUE,FALSE),TRUE))</f>
        <v>1</v>
      </c>
      <c r="N45" s="9" t="str">
        <f>IF(F45="","",IF($F$2=入力リスト!$Q$4,ROUNDDOWN(INT(F45)+ROUNDDOWN((F45-INT(F45))*100,0)/60,2),従業員の給与情報!F45))</f>
        <v/>
      </c>
      <c r="O45" s="8"/>
      <c r="P45" s="8"/>
    </row>
    <row r="46" spans="1:16">
      <c r="A46" s="119"/>
      <c r="B46" s="2"/>
      <c r="C46" s="369"/>
      <c r="D46" s="369"/>
      <c r="E46" s="369"/>
      <c r="F46" s="370"/>
      <c r="G46" s="248" t="str">
        <f t="shared" si="0"/>
        <v/>
      </c>
      <c r="H46" s="1" t="b">
        <f>IF(B46="",FALSE,COUNTIF('従業員情報(給与以外)'!$A$4:$A$1000000,$B46)=0)</f>
        <v>0</v>
      </c>
      <c r="I46" s="9" t="b">
        <f t="shared" si="1"/>
        <v>1</v>
      </c>
      <c r="J46" s="9" t="b">
        <f t="shared" si="2"/>
        <v>1</v>
      </c>
      <c r="K46" s="9" t="b">
        <f t="shared" si="3"/>
        <v>1</v>
      </c>
      <c r="L46" s="9" t="b">
        <f t="shared" si="4"/>
        <v>1</v>
      </c>
      <c r="M46" s="1" t="b">
        <f>IF(OR(入力シート!$C$5&lt;&gt;入力リスト!$N$4,入力シート!$J$22&lt;&gt;入力リスト!$K$4),TRUE,IF($F$2=入力リスト!$Q$4,IF(F46-INT(F46)&lt;0.6,TRUE,FALSE),TRUE))</f>
        <v>1</v>
      </c>
      <c r="N46" s="9" t="str">
        <f>IF(F46="","",IF($F$2=入力リスト!$Q$4,ROUNDDOWN(INT(F46)+ROUNDDOWN((F46-INT(F46))*100,0)/60,2),従業員の給与情報!F46))</f>
        <v/>
      </c>
      <c r="O46" s="8"/>
      <c r="P46" s="8"/>
    </row>
    <row r="47" spans="1:16">
      <c r="A47" s="119"/>
      <c r="B47" s="2"/>
      <c r="C47" s="369"/>
      <c r="D47" s="369"/>
      <c r="E47" s="369"/>
      <c r="F47" s="370"/>
      <c r="G47" s="248" t="str">
        <f t="shared" si="0"/>
        <v/>
      </c>
      <c r="H47" s="1" t="b">
        <f>IF(B47="",FALSE,COUNTIF('従業員情報(給与以外)'!$A$4:$A$1000000,$B47)=0)</f>
        <v>0</v>
      </c>
      <c r="I47" s="9" t="b">
        <f t="shared" si="1"/>
        <v>1</v>
      </c>
      <c r="J47" s="9" t="b">
        <f t="shared" si="2"/>
        <v>1</v>
      </c>
      <c r="K47" s="9" t="b">
        <f t="shared" si="3"/>
        <v>1</v>
      </c>
      <c r="L47" s="9" t="b">
        <f t="shared" si="4"/>
        <v>1</v>
      </c>
      <c r="M47" s="1" t="b">
        <f>IF(OR(入力シート!$C$5&lt;&gt;入力リスト!$N$4,入力シート!$J$22&lt;&gt;入力リスト!$K$4),TRUE,IF($F$2=入力リスト!$Q$4,IF(F47-INT(F47)&lt;0.6,TRUE,FALSE),TRUE))</f>
        <v>1</v>
      </c>
      <c r="N47" s="9" t="str">
        <f>IF(F47="","",IF($F$2=入力リスト!$Q$4,ROUNDDOWN(INT(F47)+ROUNDDOWN((F47-INT(F47))*100,0)/60,2),従業員の給与情報!F47))</f>
        <v/>
      </c>
      <c r="O47" s="8"/>
      <c r="P47" s="8"/>
    </row>
    <row r="48" spans="1:16">
      <c r="A48" s="119"/>
      <c r="B48" s="2"/>
      <c r="C48" s="369"/>
      <c r="D48" s="369"/>
      <c r="E48" s="369"/>
      <c r="F48" s="370"/>
      <c r="G48" s="248" t="str">
        <f t="shared" si="0"/>
        <v/>
      </c>
      <c r="H48" s="1" t="b">
        <f>IF(B48="",FALSE,COUNTIF('従業員情報(給与以外)'!$A$4:$A$1000000,$B48)=0)</f>
        <v>0</v>
      </c>
      <c r="I48" s="9" t="b">
        <f t="shared" si="1"/>
        <v>1</v>
      </c>
      <c r="J48" s="9" t="b">
        <f t="shared" si="2"/>
        <v>1</v>
      </c>
      <c r="K48" s="9" t="b">
        <f t="shared" si="3"/>
        <v>1</v>
      </c>
      <c r="L48" s="9" t="b">
        <f t="shared" si="4"/>
        <v>1</v>
      </c>
      <c r="M48" s="1" t="b">
        <f>IF(OR(入力シート!$C$5&lt;&gt;入力リスト!$N$4,入力シート!$J$22&lt;&gt;入力リスト!$K$4),TRUE,IF($F$2=入力リスト!$Q$4,IF(F48-INT(F48)&lt;0.6,TRUE,FALSE),TRUE))</f>
        <v>1</v>
      </c>
      <c r="N48" s="9" t="str">
        <f>IF(F48="","",IF($F$2=入力リスト!$Q$4,ROUNDDOWN(INT(F48)+ROUNDDOWN((F48-INT(F48))*100,0)/60,2),従業員の給与情報!F48))</f>
        <v/>
      </c>
      <c r="O48" s="8"/>
      <c r="P48" s="8"/>
    </row>
    <row r="49" spans="1:16">
      <c r="A49" s="119"/>
      <c r="B49" s="2"/>
      <c r="C49" s="369"/>
      <c r="D49" s="369"/>
      <c r="E49" s="369"/>
      <c r="F49" s="370"/>
      <c r="G49" s="248" t="str">
        <f t="shared" si="0"/>
        <v/>
      </c>
      <c r="H49" s="1" t="b">
        <f>IF(B49="",FALSE,COUNTIF('従業員情報(給与以外)'!$A$4:$A$1000000,$B49)=0)</f>
        <v>0</v>
      </c>
      <c r="I49" s="9" t="b">
        <f t="shared" si="1"/>
        <v>1</v>
      </c>
      <c r="J49" s="9" t="b">
        <f t="shared" si="2"/>
        <v>1</v>
      </c>
      <c r="K49" s="9" t="b">
        <f t="shared" si="3"/>
        <v>1</v>
      </c>
      <c r="L49" s="9" t="b">
        <f t="shared" si="4"/>
        <v>1</v>
      </c>
      <c r="M49" s="1" t="b">
        <f>IF(OR(入力シート!$C$5&lt;&gt;入力リスト!$N$4,入力シート!$J$22&lt;&gt;入力リスト!$K$4),TRUE,IF($F$2=入力リスト!$Q$4,IF(F49-INT(F49)&lt;0.6,TRUE,FALSE),TRUE))</f>
        <v>1</v>
      </c>
      <c r="N49" s="9" t="str">
        <f>IF(F49="","",IF($F$2=入力リスト!$Q$4,ROUNDDOWN(INT(F49)+ROUNDDOWN((F49-INT(F49))*100,0)/60,2),従業員の給与情報!F49))</f>
        <v/>
      </c>
      <c r="O49" s="8"/>
      <c r="P49" s="8"/>
    </row>
    <row r="50" spans="1:16">
      <c r="A50" s="119"/>
      <c r="B50" s="2"/>
      <c r="C50" s="369"/>
      <c r="D50" s="369"/>
      <c r="E50" s="369"/>
      <c r="F50" s="370"/>
      <c r="G50" s="248" t="str">
        <f t="shared" si="0"/>
        <v/>
      </c>
      <c r="H50" s="1" t="b">
        <f>IF(B50="",FALSE,COUNTIF('従業員情報(給与以外)'!$A$4:$A$1000000,$B50)=0)</f>
        <v>0</v>
      </c>
      <c r="I50" s="9" t="b">
        <f t="shared" si="1"/>
        <v>1</v>
      </c>
      <c r="J50" s="9" t="b">
        <f t="shared" si="2"/>
        <v>1</v>
      </c>
      <c r="K50" s="9" t="b">
        <f t="shared" si="3"/>
        <v>1</v>
      </c>
      <c r="L50" s="9" t="b">
        <f t="shared" si="4"/>
        <v>1</v>
      </c>
      <c r="M50" s="1" t="b">
        <f>IF(OR(入力シート!$C$5&lt;&gt;入力リスト!$N$4,入力シート!$J$22&lt;&gt;入力リスト!$K$4),TRUE,IF($F$2=入力リスト!$Q$4,IF(F50-INT(F50)&lt;0.6,TRUE,FALSE),TRUE))</f>
        <v>1</v>
      </c>
      <c r="N50" s="9" t="str">
        <f>IF(F50="","",IF($F$2=入力リスト!$Q$4,ROUNDDOWN(INT(F50)+ROUNDDOWN((F50-INT(F50))*100,0)/60,2),従業員の給与情報!F50))</f>
        <v/>
      </c>
      <c r="O50" s="8"/>
      <c r="P50" s="8"/>
    </row>
    <row r="51" spans="1:16">
      <c r="A51" s="119"/>
      <c r="B51" s="2"/>
      <c r="C51" s="369"/>
      <c r="D51" s="369"/>
      <c r="E51" s="369"/>
      <c r="F51" s="370"/>
      <c r="G51" s="248" t="str">
        <f t="shared" si="0"/>
        <v/>
      </c>
      <c r="H51" s="1" t="b">
        <f>IF(B51="",FALSE,COUNTIF('従業員情報(給与以外)'!$A$4:$A$1000000,$B51)=0)</f>
        <v>0</v>
      </c>
      <c r="I51" s="9" t="b">
        <f t="shared" si="1"/>
        <v>1</v>
      </c>
      <c r="J51" s="9" t="b">
        <f t="shared" si="2"/>
        <v>1</v>
      </c>
      <c r="K51" s="9" t="b">
        <f t="shared" si="3"/>
        <v>1</v>
      </c>
      <c r="L51" s="9" t="b">
        <f t="shared" si="4"/>
        <v>1</v>
      </c>
      <c r="M51" s="1" t="b">
        <f>IF(OR(入力シート!$C$5&lt;&gt;入力リスト!$N$4,入力シート!$J$22&lt;&gt;入力リスト!$K$4),TRUE,IF($F$2=入力リスト!$Q$4,IF(F51-INT(F51)&lt;0.6,TRUE,FALSE),TRUE))</f>
        <v>1</v>
      </c>
      <c r="N51" s="9" t="str">
        <f>IF(F51="","",IF($F$2=入力リスト!$Q$4,ROUNDDOWN(INT(F51)+ROUNDDOWN((F51-INT(F51))*100,0)/60,2),従業員の給与情報!F51))</f>
        <v/>
      </c>
      <c r="O51" s="8"/>
      <c r="P51" s="8"/>
    </row>
    <row r="52" spans="1:16">
      <c r="A52" s="119"/>
      <c r="B52" s="2"/>
      <c r="C52" s="369"/>
      <c r="D52" s="369"/>
      <c r="E52" s="369"/>
      <c r="F52" s="370"/>
      <c r="G52" s="248" t="str">
        <f t="shared" si="0"/>
        <v/>
      </c>
      <c r="H52" s="1" t="b">
        <f>IF(B52="",FALSE,COUNTIF('従業員情報(給与以外)'!$A$4:$A$1000000,$B52)=0)</f>
        <v>0</v>
      </c>
      <c r="I52" s="9" t="b">
        <f t="shared" si="1"/>
        <v>1</v>
      </c>
      <c r="J52" s="9" t="b">
        <f t="shared" si="2"/>
        <v>1</v>
      </c>
      <c r="K52" s="9" t="b">
        <f t="shared" si="3"/>
        <v>1</v>
      </c>
      <c r="L52" s="9" t="b">
        <f t="shared" si="4"/>
        <v>1</v>
      </c>
      <c r="M52" s="1" t="b">
        <f>IF(OR(入力シート!$C$5&lt;&gt;入力リスト!$N$4,入力シート!$J$22&lt;&gt;入力リスト!$K$4),TRUE,IF($F$2=入力リスト!$Q$4,IF(F52-INT(F52)&lt;0.6,TRUE,FALSE),TRUE))</f>
        <v>1</v>
      </c>
      <c r="N52" s="9" t="str">
        <f>IF(F52="","",IF($F$2=入力リスト!$Q$4,ROUNDDOWN(INT(F52)+ROUNDDOWN((F52-INT(F52))*100,0)/60,2),従業員の給与情報!F52))</f>
        <v/>
      </c>
      <c r="O52" s="8"/>
      <c r="P52" s="8"/>
    </row>
    <row r="53" spans="1:16">
      <c r="A53" s="119"/>
      <c r="B53" s="2"/>
      <c r="C53" s="369"/>
      <c r="D53" s="369"/>
      <c r="E53" s="369"/>
      <c r="F53" s="370"/>
      <c r="G53" s="248" t="str">
        <f t="shared" si="0"/>
        <v/>
      </c>
      <c r="H53" s="1" t="b">
        <f>IF(B53="",FALSE,COUNTIF('従業員情報(給与以外)'!$A$4:$A$1000000,$B53)=0)</f>
        <v>0</v>
      </c>
      <c r="I53" s="9" t="b">
        <f t="shared" si="1"/>
        <v>1</v>
      </c>
      <c r="J53" s="9" t="b">
        <f t="shared" si="2"/>
        <v>1</v>
      </c>
      <c r="K53" s="9" t="b">
        <f t="shared" si="3"/>
        <v>1</v>
      </c>
      <c r="L53" s="9" t="b">
        <f t="shared" si="4"/>
        <v>1</v>
      </c>
      <c r="M53" s="1" t="b">
        <f>IF(OR(入力シート!$C$5&lt;&gt;入力リスト!$N$4,入力シート!$J$22&lt;&gt;入力リスト!$K$4),TRUE,IF($F$2=入力リスト!$Q$4,IF(F53-INT(F53)&lt;0.6,TRUE,FALSE),TRUE))</f>
        <v>1</v>
      </c>
      <c r="N53" s="9" t="str">
        <f>IF(F53="","",IF($F$2=入力リスト!$Q$4,ROUNDDOWN(INT(F53)+ROUNDDOWN((F53-INT(F53))*100,0)/60,2),従業員の給与情報!F53))</f>
        <v/>
      </c>
      <c r="O53" s="8"/>
      <c r="P53" s="8"/>
    </row>
    <row r="54" spans="1:16">
      <c r="A54" s="119"/>
      <c r="B54" s="2"/>
      <c r="C54" s="369"/>
      <c r="D54" s="369"/>
      <c r="E54" s="369"/>
      <c r="F54" s="370"/>
      <c r="G54" s="248" t="str">
        <f t="shared" si="0"/>
        <v/>
      </c>
      <c r="H54" s="1" t="b">
        <f>IF(B54="",FALSE,COUNTIF('従業員情報(給与以外)'!$A$4:$A$1000000,$B54)=0)</f>
        <v>0</v>
      </c>
      <c r="I54" s="9" t="b">
        <f t="shared" si="1"/>
        <v>1</v>
      </c>
      <c r="J54" s="9" t="b">
        <f t="shared" si="2"/>
        <v>1</v>
      </c>
      <c r="K54" s="9" t="b">
        <f t="shared" si="3"/>
        <v>1</v>
      </c>
      <c r="L54" s="9" t="b">
        <f t="shared" si="4"/>
        <v>1</v>
      </c>
      <c r="M54" s="1" t="b">
        <f>IF(OR(入力シート!$C$5&lt;&gt;入力リスト!$N$4,入力シート!$J$22&lt;&gt;入力リスト!$K$4),TRUE,IF($F$2=入力リスト!$Q$4,IF(F54-INT(F54)&lt;0.6,TRUE,FALSE),TRUE))</f>
        <v>1</v>
      </c>
      <c r="N54" s="9" t="str">
        <f>IF(F54="","",IF($F$2=入力リスト!$Q$4,ROUNDDOWN(INT(F54)+ROUNDDOWN((F54-INT(F54))*100,0)/60,2),従業員の給与情報!F54))</f>
        <v/>
      </c>
      <c r="O54" s="8"/>
      <c r="P54" s="8"/>
    </row>
    <row r="55" spans="1:16">
      <c r="A55" s="119"/>
      <c r="B55" s="2"/>
      <c r="C55" s="369"/>
      <c r="D55" s="369"/>
      <c r="E55" s="369"/>
      <c r="F55" s="370"/>
      <c r="G55" s="248" t="str">
        <f t="shared" si="0"/>
        <v/>
      </c>
      <c r="H55" s="1" t="b">
        <f>IF(B55="",FALSE,COUNTIF('従業員情報(給与以外)'!$A$4:$A$1000000,$B55)=0)</f>
        <v>0</v>
      </c>
      <c r="I55" s="9" t="b">
        <f t="shared" si="1"/>
        <v>1</v>
      </c>
      <c r="J55" s="9" t="b">
        <f t="shared" si="2"/>
        <v>1</v>
      </c>
      <c r="K55" s="9" t="b">
        <f t="shared" si="3"/>
        <v>1</v>
      </c>
      <c r="L55" s="9" t="b">
        <f t="shared" si="4"/>
        <v>1</v>
      </c>
      <c r="M55" s="1" t="b">
        <f>IF(OR(入力シート!$C$5&lt;&gt;入力リスト!$N$4,入力シート!$J$22&lt;&gt;入力リスト!$K$4),TRUE,IF($F$2=入力リスト!$Q$4,IF(F55-INT(F55)&lt;0.6,TRUE,FALSE),TRUE))</f>
        <v>1</v>
      </c>
      <c r="N55" s="9" t="str">
        <f>IF(F55="","",IF($F$2=入力リスト!$Q$4,ROUNDDOWN(INT(F55)+ROUNDDOWN((F55-INT(F55))*100,0)/60,2),従業員の給与情報!F55))</f>
        <v/>
      </c>
      <c r="O55" s="8"/>
      <c r="P55" s="8"/>
    </row>
    <row r="56" spans="1:16">
      <c r="A56" s="119"/>
      <c r="B56" s="2"/>
      <c r="C56" s="369"/>
      <c r="D56" s="369"/>
      <c r="E56" s="369"/>
      <c r="F56" s="370"/>
      <c r="G56" s="248" t="str">
        <f t="shared" si="0"/>
        <v/>
      </c>
      <c r="H56" s="1" t="b">
        <f>IF(B56="",FALSE,COUNTIF('従業員情報(給与以外)'!$A$4:$A$1000000,$B56)=0)</f>
        <v>0</v>
      </c>
      <c r="I56" s="9" t="b">
        <f t="shared" si="1"/>
        <v>1</v>
      </c>
      <c r="J56" s="9" t="b">
        <f t="shared" si="2"/>
        <v>1</v>
      </c>
      <c r="K56" s="9" t="b">
        <f t="shared" si="3"/>
        <v>1</v>
      </c>
      <c r="L56" s="9" t="b">
        <f t="shared" si="4"/>
        <v>1</v>
      </c>
      <c r="M56" s="1" t="b">
        <f>IF(OR(入力シート!$C$5&lt;&gt;入力リスト!$N$4,入力シート!$J$22&lt;&gt;入力リスト!$K$4),TRUE,IF($F$2=入力リスト!$Q$4,IF(F56-INT(F56)&lt;0.6,TRUE,FALSE),TRUE))</f>
        <v>1</v>
      </c>
      <c r="N56" s="9" t="str">
        <f>IF(F56="","",IF($F$2=入力リスト!$Q$4,ROUNDDOWN(INT(F56)+ROUNDDOWN((F56-INT(F56))*100,0)/60,2),従業員の給与情報!F56))</f>
        <v/>
      </c>
      <c r="O56" s="8"/>
      <c r="P56" s="8"/>
    </row>
    <row r="57" spans="1:16">
      <c r="A57" s="119"/>
      <c r="B57" s="2"/>
      <c r="C57" s="369"/>
      <c r="D57" s="369"/>
      <c r="E57" s="369"/>
      <c r="F57" s="370"/>
      <c r="G57" s="248" t="str">
        <f t="shared" si="0"/>
        <v/>
      </c>
      <c r="H57" s="1" t="b">
        <f>IF(B57="",FALSE,COUNTIF('従業員情報(給与以外)'!$A$4:$A$1000000,$B57)=0)</f>
        <v>0</v>
      </c>
      <c r="I57" s="9" t="b">
        <f t="shared" si="1"/>
        <v>1</v>
      </c>
      <c r="J57" s="9" t="b">
        <f t="shared" si="2"/>
        <v>1</v>
      </c>
      <c r="K57" s="9" t="b">
        <f t="shared" si="3"/>
        <v>1</v>
      </c>
      <c r="L57" s="9" t="b">
        <f t="shared" si="4"/>
        <v>1</v>
      </c>
      <c r="M57" s="1" t="b">
        <f>IF(OR(入力シート!$C$5&lt;&gt;入力リスト!$N$4,入力シート!$J$22&lt;&gt;入力リスト!$K$4),TRUE,IF($F$2=入力リスト!$Q$4,IF(F57-INT(F57)&lt;0.6,TRUE,FALSE),TRUE))</f>
        <v>1</v>
      </c>
      <c r="N57" s="9" t="str">
        <f>IF(F57="","",IF($F$2=入力リスト!$Q$4,ROUNDDOWN(INT(F57)+ROUNDDOWN((F57-INT(F57))*100,0)/60,2),従業員の給与情報!F57))</f>
        <v/>
      </c>
      <c r="O57" s="8"/>
      <c r="P57" s="8"/>
    </row>
    <row r="58" spans="1:16">
      <c r="A58" s="119"/>
      <c r="B58" s="2"/>
      <c r="C58" s="369"/>
      <c r="D58" s="369"/>
      <c r="E58" s="369"/>
      <c r="F58" s="370"/>
      <c r="G58" s="248" t="str">
        <f t="shared" si="0"/>
        <v/>
      </c>
      <c r="H58" s="1" t="b">
        <f>IF(B58="",FALSE,COUNTIF('従業員情報(給与以外)'!$A$4:$A$1000000,$B58)=0)</f>
        <v>0</v>
      </c>
      <c r="I58" s="9" t="b">
        <f t="shared" si="1"/>
        <v>1</v>
      </c>
      <c r="J58" s="9" t="b">
        <f t="shared" si="2"/>
        <v>1</v>
      </c>
      <c r="K58" s="9" t="b">
        <f t="shared" si="3"/>
        <v>1</v>
      </c>
      <c r="L58" s="9" t="b">
        <f t="shared" si="4"/>
        <v>1</v>
      </c>
      <c r="M58" s="1" t="b">
        <f>IF(OR(入力シート!$C$5&lt;&gt;入力リスト!$N$4,入力シート!$J$22&lt;&gt;入力リスト!$K$4),TRUE,IF($F$2=入力リスト!$Q$4,IF(F58-INT(F58)&lt;0.6,TRUE,FALSE),TRUE))</f>
        <v>1</v>
      </c>
      <c r="N58" s="9" t="str">
        <f>IF(F58="","",IF($F$2=入力リスト!$Q$4,ROUNDDOWN(INT(F58)+ROUNDDOWN((F58-INT(F58))*100,0)/60,2),従業員の給与情報!F58))</f>
        <v/>
      </c>
      <c r="O58" s="8"/>
      <c r="P58" s="8"/>
    </row>
    <row r="59" spans="1:16">
      <c r="A59" s="119"/>
      <c r="B59" s="2"/>
      <c r="C59" s="369"/>
      <c r="D59" s="369"/>
      <c r="E59" s="369"/>
      <c r="F59" s="370"/>
      <c r="G59" s="248" t="str">
        <f t="shared" si="0"/>
        <v/>
      </c>
      <c r="H59" s="1" t="b">
        <f>IF(B59="",FALSE,COUNTIF('従業員情報(給与以外)'!$A$4:$A$1000000,$B59)=0)</f>
        <v>0</v>
      </c>
      <c r="I59" s="9" t="b">
        <f t="shared" si="1"/>
        <v>1</v>
      </c>
      <c r="J59" s="9" t="b">
        <f t="shared" si="2"/>
        <v>1</v>
      </c>
      <c r="K59" s="9" t="b">
        <f t="shared" si="3"/>
        <v>1</v>
      </c>
      <c r="L59" s="9" t="b">
        <f t="shared" si="4"/>
        <v>1</v>
      </c>
      <c r="M59" s="1" t="b">
        <f>IF(OR(入力シート!$C$5&lt;&gt;入力リスト!$N$4,入力シート!$J$22&lt;&gt;入力リスト!$K$4),TRUE,IF($F$2=入力リスト!$Q$4,IF(F59-INT(F59)&lt;0.6,TRUE,FALSE),TRUE))</f>
        <v>1</v>
      </c>
      <c r="N59" s="9" t="str">
        <f>IF(F59="","",IF($F$2=入力リスト!$Q$4,ROUNDDOWN(INT(F59)+ROUNDDOWN((F59-INT(F59))*100,0)/60,2),従業員の給与情報!F59))</f>
        <v/>
      </c>
      <c r="O59" s="8"/>
      <c r="P59" s="8"/>
    </row>
    <row r="60" spans="1:16">
      <c r="A60" s="119"/>
      <c r="B60" s="2"/>
      <c r="C60" s="369"/>
      <c r="D60" s="369"/>
      <c r="E60" s="369"/>
      <c r="F60" s="370"/>
      <c r="G60" s="248" t="str">
        <f t="shared" si="0"/>
        <v/>
      </c>
      <c r="H60" s="1" t="b">
        <f>IF(B60="",FALSE,COUNTIF('従業員情報(給与以外)'!$A$4:$A$1000000,$B60)=0)</f>
        <v>0</v>
      </c>
      <c r="I60" s="9" t="b">
        <f t="shared" si="1"/>
        <v>1</v>
      </c>
      <c r="J60" s="9" t="b">
        <f t="shared" si="2"/>
        <v>1</v>
      </c>
      <c r="K60" s="9" t="b">
        <f t="shared" si="3"/>
        <v>1</v>
      </c>
      <c r="L60" s="9" t="b">
        <f t="shared" si="4"/>
        <v>1</v>
      </c>
      <c r="M60" s="1" t="b">
        <f>IF(OR(入力シート!$C$5&lt;&gt;入力リスト!$N$4,入力シート!$J$22&lt;&gt;入力リスト!$K$4),TRUE,IF($F$2=入力リスト!$Q$4,IF(F60-INT(F60)&lt;0.6,TRUE,FALSE),TRUE))</f>
        <v>1</v>
      </c>
      <c r="N60" s="9" t="str">
        <f>IF(F60="","",IF($F$2=入力リスト!$Q$4,ROUNDDOWN(INT(F60)+ROUNDDOWN((F60-INT(F60))*100,0)/60,2),従業員の給与情報!F60))</f>
        <v/>
      </c>
      <c r="O60" s="8"/>
      <c r="P60" s="8"/>
    </row>
    <row r="61" spans="1:16">
      <c r="A61" s="119"/>
      <c r="B61" s="2"/>
      <c r="C61" s="369"/>
      <c r="D61" s="369"/>
      <c r="E61" s="369"/>
      <c r="F61" s="370"/>
      <c r="G61" s="248" t="str">
        <f t="shared" si="0"/>
        <v/>
      </c>
      <c r="H61" s="1" t="b">
        <f>IF(B61="",FALSE,COUNTIF('従業員情報(給与以外)'!$A$4:$A$1000000,$B61)=0)</f>
        <v>0</v>
      </c>
      <c r="I61" s="9" t="b">
        <f t="shared" si="1"/>
        <v>1</v>
      </c>
      <c r="J61" s="9" t="b">
        <f t="shared" si="2"/>
        <v>1</v>
      </c>
      <c r="K61" s="9" t="b">
        <f t="shared" si="3"/>
        <v>1</v>
      </c>
      <c r="L61" s="9" t="b">
        <f t="shared" si="4"/>
        <v>1</v>
      </c>
      <c r="M61" s="1" t="b">
        <f>IF(OR(入力シート!$C$5&lt;&gt;入力リスト!$N$4,入力シート!$J$22&lt;&gt;入力リスト!$K$4),TRUE,IF($F$2=入力リスト!$Q$4,IF(F61-INT(F61)&lt;0.6,TRUE,FALSE),TRUE))</f>
        <v>1</v>
      </c>
      <c r="N61" s="9" t="str">
        <f>IF(F61="","",IF($F$2=入力リスト!$Q$4,ROUNDDOWN(INT(F61)+ROUNDDOWN((F61-INT(F61))*100,0)/60,2),従業員の給与情報!F61))</f>
        <v/>
      </c>
      <c r="O61" s="8"/>
      <c r="P61" s="8"/>
    </row>
    <row r="62" spans="1:16">
      <c r="A62" s="119"/>
      <c r="B62" s="2"/>
      <c r="C62" s="369"/>
      <c r="D62" s="369"/>
      <c r="E62" s="369"/>
      <c r="F62" s="370"/>
      <c r="G62" s="248" t="str">
        <f t="shared" si="0"/>
        <v/>
      </c>
      <c r="H62" s="1" t="b">
        <f>IF(B62="",FALSE,COUNTIF('従業員情報(給与以外)'!$A$4:$A$1000000,$B62)=0)</f>
        <v>0</v>
      </c>
      <c r="I62" s="9" t="b">
        <f t="shared" si="1"/>
        <v>1</v>
      </c>
      <c r="J62" s="9" t="b">
        <f t="shared" si="2"/>
        <v>1</v>
      </c>
      <c r="K62" s="9" t="b">
        <f t="shared" si="3"/>
        <v>1</v>
      </c>
      <c r="L62" s="9" t="b">
        <f t="shared" si="4"/>
        <v>1</v>
      </c>
      <c r="M62" s="1" t="b">
        <f>IF(OR(入力シート!$C$5&lt;&gt;入力リスト!$N$4,入力シート!$J$22&lt;&gt;入力リスト!$K$4),TRUE,IF($F$2=入力リスト!$Q$4,IF(F62-INT(F62)&lt;0.6,TRUE,FALSE),TRUE))</f>
        <v>1</v>
      </c>
      <c r="N62" s="9" t="str">
        <f>IF(F62="","",IF($F$2=入力リスト!$Q$4,ROUNDDOWN(INT(F62)+ROUNDDOWN((F62-INT(F62))*100,0)/60,2),従業員の給与情報!F62))</f>
        <v/>
      </c>
      <c r="O62" s="8"/>
      <c r="P62" s="8"/>
    </row>
    <row r="63" spans="1:16">
      <c r="A63" s="119"/>
      <c r="B63" s="2"/>
      <c r="C63" s="369"/>
      <c r="D63" s="369"/>
      <c r="E63" s="369"/>
      <c r="F63" s="370"/>
      <c r="G63" s="248" t="str">
        <f t="shared" si="0"/>
        <v/>
      </c>
      <c r="H63" s="1" t="b">
        <f>IF(B63="",FALSE,COUNTIF('従業員情報(給与以外)'!$A$4:$A$1000000,$B63)=0)</f>
        <v>0</v>
      </c>
      <c r="I63" s="9" t="b">
        <f t="shared" si="1"/>
        <v>1</v>
      </c>
      <c r="J63" s="9" t="b">
        <f t="shared" si="2"/>
        <v>1</v>
      </c>
      <c r="K63" s="9" t="b">
        <f t="shared" si="3"/>
        <v>1</v>
      </c>
      <c r="L63" s="9" t="b">
        <f t="shared" si="4"/>
        <v>1</v>
      </c>
      <c r="M63" s="1" t="b">
        <f>IF(OR(入力シート!$C$5&lt;&gt;入力リスト!$N$4,入力シート!$J$22&lt;&gt;入力リスト!$K$4),TRUE,IF($F$2=入力リスト!$Q$4,IF(F63-INT(F63)&lt;0.6,TRUE,FALSE),TRUE))</f>
        <v>1</v>
      </c>
      <c r="N63" s="9" t="str">
        <f>IF(F63="","",IF($F$2=入力リスト!$Q$4,ROUNDDOWN(INT(F63)+ROUNDDOWN((F63-INT(F63))*100,0)/60,2),従業員の給与情報!F63))</f>
        <v/>
      </c>
      <c r="O63" s="8"/>
      <c r="P63" s="8"/>
    </row>
    <row r="64" spans="1:16">
      <c r="A64" s="119"/>
      <c r="B64" s="2"/>
      <c r="C64" s="369"/>
      <c r="D64" s="369"/>
      <c r="E64" s="369"/>
      <c r="F64" s="370"/>
      <c r="G64" s="248" t="str">
        <f t="shared" si="0"/>
        <v/>
      </c>
      <c r="H64" s="1" t="b">
        <f>IF(B64="",FALSE,COUNTIF('従業員情報(給与以外)'!$A$4:$A$1000000,$B64)=0)</f>
        <v>0</v>
      </c>
      <c r="I64" s="9" t="b">
        <f t="shared" si="1"/>
        <v>1</v>
      </c>
      <c r="J64" s="9" t="b">
        <f t="shared" si="2"/>
        <v>1</v>
      </c>
      <c r="K64" s="9" t="b">
        <f t="shared" si="3"/>
        <v>1</v>
      </c>
      <c r="L64" s="9" t="b">
        <f t="shared" si="4"/>
        <v>1</v>
      </c>
      <c r="M64" s="1" t="b">
        <f>IF(OR(入力シート!$C$5&lt;&gt;入力リスト!$N$4,入力シート!$J$22&lt;&gt;入力リスト!$K$4),TRUE,IF($F$2=入力リスト!$Q$4,IF(F64-INT(F64)&lt;0.6,TRUE,FALSE),TRUE))</f>
        <v>1</v>
      </c>
      <c r="N64" s="9" t="str">
        <f>IF(F64="","",IF($F$2=入力リスト!$Q$4,ROUNDDOWN(INT(F64)+ROUNDDOWN((F64-INT(F64))*100,0)/60,2),従業員の給与情報!F64))</f>
        <v/>
      </c>
      <c r="O64" s="8"/>
      <c r="P64" s="8"/>
    </row>
    <row r="65" spans="1:16">
      <c r="A65" s="119"/>
      <c r="B65" s="2"/>
      <c r="C65" s="369"/>
      <c r="D65" s="369"/>
      <c r="E65" s="369"/>
      <c r="F65" s="370"/>
      <c r="G65" s="248" t="str">
        <f t="shared" si="0"/>
        <v/>
      </c>
      <c r="H65" s="1" t="b">
        <f>IF(B65="",FALSE,COUNTIF('従業員情報(給与以外)'!$A$4:$A$1000000,$B65)=0)</f>
        <v>0</v>
      </c>
      <c r="I65" s="9" t="b">
        <f t="shared" si="1"/>
        <v>1</v>
      </c>
      <c r="J65" s="9" t="b">
        <f t="shared" si="2"/>
        <v>1</v>
      </c>
      <c r="K65" s="9" t="b">
        <f t="shared" si="3"/>
        <v>1</v>
      </c>
      <c r="L65" s="9" t="b">
        <f t="shared" si="4"/>
        <v>1</v>
      </c>
      <c r="M65" s="1" t="b">
        <f>IF(OR(入力シート!$C$5&lt;&gt;入力リスト!$N$4,入力シート!$J$22&lt;&gt;入力リスト!$K$4),TRUE,IF($F$2=入力リスト!$Q$4,IF(F65-INT(F65)&lt;0.6,TRUE,FALSE),TRUE))</f>
        <v>1</v>
      </c>
      <c r="N65" s="9" t="str">
        <f>IF(F65="","",IF($F$2=入力リスト!$Q$4,ROUNDDOWN(INT(F65)+ROUNDDOWN((F65-INT(F65))*100,0)/60,2),従業員の給与情報!F65))</f>
        <v/>
      </c>
      <c r="O65" s="8"/>
      <c r="P65" s="8"/>
    </row>
    <row r="66" spans="1:16">
      <c r="A66" s="119"/>
      <c r="B66" s="2"/>
      <c r="C66" s="369"/>
      <c r="D66" s="369"/>
      <c r="E66" s="369"/>
      <c r="F66" s="370"/>
      <c r="G66" s="248" t="str">
        <f t="shared" si="0"/>
        <v/>
      </c>
      <c r="H66" s="1" t="b">
        <f>IF(B66="",FALSE,COUNTIF('従業員情報(給与以外)'!$A$4:$A$1000000,$B66)=0)</f>
        <v>0</v>
      </c>
      <c r="I66" s="9" t="b">
        <f t="shared" si="1"/>
        <v>1</v>
      </c>
      <c r="J66" s="9" t="b">
        <f t="shared" si="2"/>
        <v>1</v>
      </c>
      <c r="K66" s="9" t="b">
        <f t="shared" si="3"/>
        <v>1</v>
      </c>
      <c r="L66" s="9" t="b">
        <f t="shared" si="4"/>
        <v>1</v>
      </c>
      <c r="M66" s="1" t="b">
        <f>IF(OR(入力シート!$C$5&lt;&gt;入力リスト!$N$4,入力シート!$J$22&lt;&gt;入力リスト!$K$4),TRUE,IF($F$2=入力リスト!$Q$4,IF(F66-INT(F66)&lt;0.6,TRUE,FALSE),TRUE))</f>
        <v>1</v>
      </c>
      <c r="N66" s="9" t="str">
        <f>IF(F66="","",IF($F$2=入力リスト!$Q$4,ROUNDDOWN(INT(F66)+ROUNDDOWN((F66-INT(F66))*100,0)/60,2),従業員の給与情報!F66))</f>
        <v/>
      </c>
      <c r="O66" s="8"/>
      <c r="P66" s="8"/>
    </row>
    <row r="67" spans="1:16">
      <c r="A67" s="119"/>
      <c r="B67" s="2"/>
      <c r="C67" s="369"/>
      <c r="D67" s="369"/>
      <c r="E67" s="369"/>
      <c r="F67" s="370"/>
      <c r="G67" s="248" t="str">
        <f t="shared" si="0"/>
        <v/>
      </c>
      <c r="H67" s="1" t="b">
        <f>IF(B67="",FALSE,COUNTIF('従業員情報(給与以外)'!$A$4:$A$1000000,$B67)=0)</f>
        <v>0</v>
      </c>
      <c r="I67" s="9" t="b">
        <f t="shared" si="1"/>
        <v>1</v>
      </c>
      <c r="J67" s="9" t="b">
        <f t="shared" si="2"/>
        <v>1</v>
      </c>
      <c r="K67" s="9" t="b">
        <f t="shared" si="3"/>
        <v>1</v>
      </c>
      <c r="L67" s="9" t="b">
        <f t="shared" si="4"/>
        <v>1</v>
      </c>
      <c r="M67" s="1" t="b">
        <f>IF(OR(入力シート!$C$5&lt;&gt;入力リスト!$N$4,入力シート!$J$22&lt;&gt;入力リスト!$K$4),TRUE,IF($F$2=入力リスト!$Q$4,IF(F67-INT(F67)&lt;0.6,TRUE,FALSE),TRUE))</f>
        <v>1</v>
      </c>
      <c r="N67" s="9" t="str">
        <f>IF(F67="","",IF($F$2=入力リスト!$Q$4,ROUNDDOWN(INT(F67)+ROUNDDOWN((F67-INT(F67))*100,0)/60,2),従業員の給与情報!F67))</f>
        <v/>
      </c>
      <c r="O67" s="8"/>
      <c r="P67" s="8"/>
    </row>
    <row r="68" spans="1:16">
      <c r="A68" s="119"/>
      <c r="B68" s="2"/>
      <c r="C68" s="369"/>
      <c r="D68" s="369"/>
      <c r="E68" s="369"/>
      <c r="F68" s="370"/>
      <c r="G68" s="248" t="str">
        <f t="shared" si="0"/>
        <v/>
      </c>
      <c r="H68" s="1" t="b">
        <f>IF(B68="",FALSE,COUNTIF('従業員情報(給与以外)'!$A$4:$A$1000000,$B68)=0)</f>
        <v>0</v>
      </c>
      <c r="I68" s="9" t="b">
        <f t="shared" si="1"/>
        <v>1</v>
      </c>
      <c r="J68" s="9" t="b">
        <f t="shared" si="2"/>
        <v>1</v>
      </c>
      <c r="K68" s="9" t="b">
        <f t="shared" si="3"/>
        <v>1</v>
      </c>
      <c r="L68" s="9" t="b">
        <f t="shared" si="4"/>
        <v>1</v>
      </c>
      <c r="M68" s="1" t="b">
        <f>IF(OR(入力シート!$C$5&lt;&gt;入力リスト!$N$4,入力シート!$J$22&lt;&gt;入力リスト!$K$4),TRUE,IF($F$2=入力リスト!$Q$4,IF(F68-INT(F68)&lt;0.6,TRUE,FALSE),TRUE))</f>
        <v>1</v>
      </c>
      <c r="N68" s="9" t="str">
        <f>IF(F68="","",IF($F$2=入力リスト!$Q$4,ROUNDDOWN(INT(F68)+ROUNDDOWN((F68-INT(F68))*100,0)/60,2),従業員の給与情報!F68))</f>
        <v/>
      </c>
      <c r="O68" s="8"/>
      <c r="P68" s="8"/>
    </row>
    <row r="69" spans="1:16">
      <c r="A69" s="119"/>
      <c r="B69" s="2"/>
      <c r="C69" s="369"/>
      <c r="D69" s="369"/>
      <c r="E69" s="369"/>
      <c r="F69" s="370"/>
      <c r="G69" s="248" t="str">
        <f t="shared" ref="G69:G132" si="5">IF(AND($B69="",OR(B69&lt;&gt;"",C69&lt;&gt;"",D69&lt;&gt;"",E69&lt;&gt;"",F69&lt;&gt;"")),"従業員番号が空白です。",IF($H69=TRUE,"この従業員番号は、シート［従業員情報（給与以外）］に存在しません。",IF(I69=FALSE,"「毎月の固定給与額」","")&amp;IF(AND(I69=FALSE,OR(J69=FALSE,K69=FALSE,L69=FALSE)),",","")&amp;IF(J69=FALSE,"「賞与額等」","")&amp;IF(AND(J69=FALSE,OR(K69=FALSE,L69=FALSE)),",","")&amp;IF(K69=FALSE,"「残業手当」","")&amp;IF(AND(K69=FALSE,L69=FALSE),",","")&amp;IF(L69=FALSE,"「残業時間」","")&amp;IF(OR(I69=FALSE,J69=FALSE,K69=FALSE,L69=FALSE),"に数値以外が入力されています。","")&amp;IF(M69,"","「残業時間」を分単位で入力した場合、小数点以下の値は0.6未満にしてください。")))</f>
        <v/>
      </c>
      <c r="H69" s="1" t="b">
        <f>IF(B69="",FALSE,COUNTIF('従業員情報(給与以外)'!$A$4:$A$1000000,$B69)=0)</f>
        <v>0</v>
      </c>
      <c r="I69" s="9" t="b">
        <f t="shared" ref="I69:I132" si="6">OR(C69="",ISNUMBER(C69))</f>
        <v>1</v>
      </c>
      <c r="J69" s="9" t="b">
        <f t="shared" ref="J69:J132" si="7">OR(D69="",ISNUMBER(D69))</f>
        <v>1</v>
      </c>
      <c r="K69" s="9" t="b">
        <f t="shared" ref="K69:K132" si="8">OR(E69="",ISNUMBER(E69))</f>
        <v>1</v>
      </c>
      <c r="L69" s="9" t="b">
        <f t="shared" ref="L69:L132" si="9">OR(F69="",ISNUMBER(F69))</f>
        <v>1</v>
      </c>
      <c r="M69" s="1" t="b">
        <f>IF(OR(入力シート!$C$5&lt;&gt;入力リスト!$N$4,入力シート!$J$22&lt;&gt;入力リスト!$K$4),TRUE,IF($F$2=入力リスト!$Q$4,IF(F69-INT(F69)&lt;0.6,TRUE,FALSE),TRUE))</f>
        <v>1</v>
      </c>
      <c r="N69" s="9" t="str">
        <f>IF(F69="","",IF($F$2=入力リスト!$Q$4,ROUNDDOWN(INT(F69)+ROUNDDOWN((F69-INT(F69))*100,0)/60,2),従業員の給与情報!F69))</f>
        <v/>
      </c>
      <c r="O69" s="8"/>
      <c r="P69" s="8"/>
    </row>
    <row r="70" spans="1:16">
      <c r="A70" s="119"/>
      <c r="B70" s="2"/>
      <c r="C70" s="369"/>
      <c r="D70" s="369"/>
      <c r="E70" s="369"/>
      <c r="F70" s="370"/>
      <c r="G70" s="248" t="str">
        <f t="shared" si="5"/>
        <v/>
      </c>
      <c r="H70" s="1" t="b">
        <f>IF(B70="",FALSE,COUNTIF('従業員情報(給与以外)'!$A$4:$A$1000000,$B70)=0)</f>
        <v>0</v>
      </c>
      <c r="I70" s="9" t="b">
        <f t="shared" si="6"/>
        <v>1</v>
      </c>
      <c r="J70" s="9" t="b">
        <f t="shared" si="7"/>
        <v>1</v>
      </c>
      <c r="K70" s="9" t="b">
        <f t="shared" si="8"/>
        <v>1</v>
      </c>
      <c r="L70" s="9" t="b">
        <f t="shared" si="9"/>
        <v>1</v>
      </c>
      <c r="M70" s="1" t="b">
        <f>IF(OR(入力シート!$C$5&lt;&gt;入力リスト!$N$4,入力シート!$J$22&lt;&gt;入力リスト!$K$4),TRUE,IF($F$2=入力リスト!$Q$4,IF(F70-INT(F70)&lt;0.6,TRUE,FALSE),TRUE))</f>
        <v>1</v>
      </c>
      <c r="N70" s="9" t="str">
        <f>IF(F70="","",IF($F$2=入力リスト!$Q$4,ROUNDDOWN(INT(F70)+ROUNDDOWN((F70-INT(F70))*100,0)/60,2),従業員の給与情報!F70))</f>
        <v/>
      </c>
      <c r="O70" s="8"/>
      <c r="P70" s="8"/>
    </row>
    <row r="71" spans="1:16">
      <c r="A71" s="119"/>
      <c r="B71" s="2"/>
      <c r="C71" s="369"/>
      <c r="D71" s="369"/>
      <c r="E71" s="369"/>
      <c r="F71" s="370"/>
      <c r="G71" s="248" t="str">
        <f t="shared" si="5"/>
        <v/>
      </c>
      <c r="H71" s="1" t="b">
        <f>IF(B71="",FALSE,COUNTIF('従業員情報(給与以外)'!$A$4:$A$1000000,$B71)=0)</f>
        <v>0</v>
      </c>
      <c r="I71" s="9" t="b">
        <f t="shared" si="6"/>
        <v>1</v>
      </c>
      <c r="J71" s="9" t="b">
        <f t="shared" si="7"/>
        <v>1</v>
      </c>
      <c r="K71" s="9" t="b">
        <f t="shared" si="8"/>
        <v>1</v>
      </c>
      <c r="L71" s="9" t="b">
        <f t="shared" si="9"/>
        <v>1</v>
      </c>
      <c r="M71" s="1" t="b">
        <f>IF(OR(入力シート!$C$5&lt;&gt;入力リスト!$N$4,入力シート!$J$22&lt;&gt;入力リスト!$K$4),TRUE,IF($F$2=入力リスト!$Q$4,IF(F71-INT(F71)&lt;0.6,TRUE,FALSE),TRUE))</f>
        <v>1</v>
      </c>
      <c r="N71" s="9" t="str">
        <f>IF(F71="","",IF($F$2=入力リスト!$Q$4,ROUNDDOWN(INT(F71)+ROUNDDOWN((F71-INT(F71))*100,0)/60,2),従業員の給与情報!F71))</f>
        <v/>
      </c>
      <c r="O71" s="8"/>
      <c r="P71" s="8"/>
    </row>
    <row r="72" spans="1:16">
      <c r="A72" s="119"/>
      <c r="B72" s="2"/>
      <c r="C72" s="369"/>
      <c r="D72" s="369"/>
      <c r="E72" s="369"/>
      <c r="F72" s="370"/>
      <c r="G72" s="248" t="str">
        <f t="shared" si="5"/>
        <v/>
      </c>
      <c r="H72" s="1" t="b">
        <f>IF(B72="",FALSE,COUNTIF('従業員情報(給与以外)'!$A$4:$A$1000000,$B72)=0)</f>
        <v>0</v>
      </c>
      <c r="I72" s="9" t="b">
        <f t="shared" si="6"/>
        <v>1</v>
      </c>
      <c r="J72" s="9" t="b">
        <f t="shared" si="7"/>
        <v>1</v>
      </c>
      <c r="K72" s="9" t="b">
        <f t="shared" si="8"/>
        <v>1</v>
      </c>
      <c r="L72" s="9" t="b">
        <f t="shared" si="9"/>
        <v>1</v>
      </c>
      <c r="M72" s="1" t="b">
        <f>IF(OR(入力シート!$C$5&lt;&gt;入力リスト!$N$4,入力シート!$J$22&lt;&gt;入力リスト!$K$4),TRUE,IF($F$2=入力リスト!$Q$4,IF(F72-INT(F72)&lt;0.6,TRUE,FALSE),TRUE))</f>
        <v>1</v>
      </c>
      <c r="N72" s="9" t="str">
        <f>IF(F72="","",IF($F$2=入力リスト!$Q$4,ROUNDDOWN(INT(F72)+ROUNDDOWN((F72-INT(F72))*100,0)/60,2),従業員の給与情報!F72))</f>
        <v/>
      </c>
      <c r="O72" s="8"/>
      <c r="P72" s="8"/>
    </row>
    <row r="73" spans="1:16">
      <c r="A73" s="119"/>
      <c r="B73" s="2"/>
      <c r="C73" s="369"/>
      <c r="D73" s="369"/>
      <c r="E73" s="369"/>
      <c r="F73" s="370"/>
      <c r="G73" s="248" t="str">
        <f t="shared" si="5"/>
        <v/>
      </c>
      <c r="H73" s="1" t="b">
        <f>IF(B73="",FALSE,COUNTIF('従業員情報(給与以外)'!$A$4:$A$1000000,$B73)=0)</f>
        <v>0</v>
      </c>
      <c r="I73" s="9" t="b">
        <f t="shared" si="6"/>
        <v>1</v>
      </c>
      <c r="J73" s="9" t="b">
        <f t="shared" si="7"/>
        <v>1</v>
      </c>
      <c r="K73" s="9" t="b">
        <f t="shared" si="8"/>
        <v>1</v>
      </c>
      <c r="L73" s="9" t="b">
        <f t="shared" si="9"/>
        <v>1</v>
      </c>
      <c r="M73" s="1" t="b">
        <f>IF(OR(入力シート!$C$5&lt;&gt;入力リスト!$N$4,入力シート!$J$22&lt;&gt;入力リスト!$K$4),TRUE,IF($F$2=入力リスト!$Q$4,IF(F73-INT(F73)&lt;0.6,TRUE,FALSE),TRUE))</f>
        <v>1</v>
      </c>
      <c r="N73" s="9" t="str">
        <f>IF(F73="","",IF($F$2=入力リスト!$Q$4,ROUNDDOWN(INT(F73)+ROUNDDOWN((F73-INT(F73))*100,0)/60,2),従業員の給与情報!F73))</f>
        <v/>
      </c>
      <c r="O73" s="8"/>
      <c r="P73" s="8"/>
    </row>
    <row r="74" spans="1:16">
      <c r="A74" s="119"/>
      <c r="B74" s="2"/>
      <c r="C74" s="369"/>
      <c r="D74" s="369"/>
      <c r="E74" s="369"/>
      <c r="F74" s="370"/>
      <c r="G74" s="248" t="str">
        <f t="shared" si="5"/>
        <v/>
      </c>
      <c r="H74" s="1" t="b">
        <f>IF(B74="",FALSE,COUNTIF('従業員情報(給与以外)'!$A$4:$A$1000000,$B74)=0)</f>
        <v>0</v>
      </c>
      <c r="I74" s="9" t="b">
        <f t="shared" si="6"/>
        <v>1</v>
      </c>
      <c r="J74" s="9" t="b">
        <f t="shared" si="7"/>
        <v>1</v>
      </c>
      <c r="K74" s="9" t="b">
        <f t="shared" si="8"/>
        <v>1</v>
      </c>
      <c r="L74" s="9" t="b">
        <f t="shared" si="9"/>
        <v>1</v>
      </c>
      <c r="M74" s="1" t="b">
        <f>IF(OR(入力シート!$C$5&lt;&gt;入力リスト!$N$4,入力シート!$J$22&lt;&gt;入力リスト!$K$4),TRUE,IF($F$2=入力リスト!$Q$4,IF(F74-INT(F74)&lt;0.6,TRUE,FALSE),TRUE))</f>
        <v>1</v>
      </c>
      <c r="N74" s="9" t="str">
        <f>IF(F74="","",IF($F$2=入力リスト!$Q$4,ROUNDDOWN(INT(F74)+ROUNDDOWN((F74-INT(F74))*100,0)/60,2),従業員の給与情報!F74))</f>
        <v/>
      </c>
      <c r="O74" s="8"/>
      <c r="P74" s="8"/>
    </row>
    <row r="75" spans="1:16">
      <c r="A75" s="119"/>
      <c r="B75" s="2"/>
      <c r="C75" s="369"/>
      <c r="D75" s="369"/>
      <c r="E75" s="369"/>
      <c r="F75" s="370"/>
      <c r="G75" s="248" t="str">
        <f t="shared" si="5"/>
        <v/>
      </c>
      <c r="H75" s="1" t="b">
        <f>IF(B75="",FALSE,COUNTIF('従業員情報(給与以外)'!$A$4:$A$1000000,$B75)=0)</f>
        <v>0</v>
      </c>
      <c r="I75" s="9" t="b">
        <f t="shared" si="6"/>
        <v>1</v>
      </c>
      <c r="J75" s="9" t="b">
        <f t="shared" si="7"/>
        <v>1</v>
      </c>
      <c r="K75" s="9" t="b">
        <f t="shared" si="8"/>
        <v>1</v>
      </c>
      <c r="L75" s="9" t="b">
        <f t="shared" si="9"/>
        <v>1</v>
      </c>
      <c r="M75" s="1" t="b">
        <f>IF(OR(入力シート!$C$5&lt;&gt;入力リスト!$N$4,入力シート!$J$22&lt;&gt;入力リスト!$K$4),TRUE,IF($F$2=入力リスト!$Q$4,IF(F75-INT(F75)&lt;0.6,TRUE,FALSE),TRUE))</f>
        <v>1</v>
      </c>
      <c r="N75" s="9" t="str">
        <f>IF(F75="","",IF($F$2=入力リスト!$Q$4,ROUNDDOWN(INT(F75)+ROUNDDOWN((F75-INT(F75))*100,0)/60,2),従業員の給与情報!F75))</f>
        <v/>
      </c>
      <c r="O75" s="8"/>
      <c r="P75" s="8"/>
    </row>
    <row r="76" spans="1:16">
      <c r="A76" s="119"/>
      <c r="B76" s="2"/>
      <c r="C76" s="369"/>
      <c r="D76" s="369"/>
      <c r="E76" s="369"/>
      <c r="F76" s="370"/>
      <c r="G76" s="248" t="str">
        <f t="shared" si="5"/>
        <v/>
      </c>
      <c r="H76" s="1" t="b">
        <f>IF(B76="",FALSE,COUNTIF('従業員情報(給与以外)'!$A$4:$A$1000000,$B76)=0)</f>
        <v>0</v>
      </c>
      <c r="I76" s="9" t="b">
        <f t="shared" si="6"/>
        <v>1</v>
      </c>
      <c r="J76" s="9" t="b">
        <f t="shared" si="7"/>
        <v>1</v>
      </c>
      <c r="K76" s="9" t="b">
        <f t="shared" si="8"/>
        <v>1</v>
      </c>
      <c r="L76" s="9" t="b">
        <f t="shared" si="9"/>
        <v>1</v>
      </c>
      <c r="M76" s="1" t="b">
        <f>IF(OR(入力シート!$C$5&lt;&gt;入力リスト!$N$4,入力シート!$J$22&lt;&gt;入力リスト!$K$4),TRUE,IF($F$2=入力リスト!$Q$4,IF(F76-INT(F76)&lt;0.6,TRUE,FALSE),TRUE))</f>
        <v>1</v>
      </c>
      <c r="N76" s="9" t="str">
        <f>IF(F76="","",IF($F$2=入力リスト!$Q$4,ROUNDDOWN(INT(F76)+ROUNDDOWN((F76-INT(F76))*100,0)/60,2),従業員の給与情報!F76))</f>
        <v/>
      </c>
      <c r="O76" s="8"/>
      <c r="P76" s="8"/>
    </row>
    <row r="77" spans="1:16">
      <c r="A77" s="119"/>
      <c r="B77" s="2"/>
      <c r="C77" s="369"/>
      <c r="D77" s="369"/>
      <c r="E77" s="369"/>
      <c r="F77" s="370"/>
      <c r="G77" s="248" t="str">
        <f t="shared" si="5"/>
        <v/>
      </c>
      <c r="H77" s="1" t="b">
        <f>IF(B77="",FALSE,COUNTIF('従業員情報(給与以外)'!$A$4:$A$1000000,$B77)=0)</f>
        <v>0</v>
      </c>
      <c r="I77" s="9" t="b">
        <f t="shared" si="6"/>
        <v>1</v>
      </c>
      <c r="J77" s="9" t="b">
        <f t="shared" si="7"/>
        <v>1</v>
      </c>
      <c r="K77" s="9" t="b">
        <f t="shared" si="8"/>
        <v>1</v>
      </c>
      <c r="L77" s="9" t="b">
        <f t="shared" si="9"/>
        <v>1</v>
      </c>
      <c r="M77" s="1" t="b">
        <f>IF(OR(入力シート!$C$5&lt;&gt;入力リスト!$N$4,入力シート!$J$22&lt;&gt;入力リスト!$K$4),TRUE,IF($F$2=入力リスト!$Q$4,IF(F77-INT(F77)&lt;0.6,TRUE,FALSE),TRUE))</f>
        <v>1</v>
      </c>
      <c r="N77" s="9" t="str">
        <f>IF(F77="","",IF($F$2=入力リスト!$Q$4,ROUNDDOWN(INT(F77)+ROUNDDOWN((F77-INT(F77))*100,0)/60,2),従業員の給与情報!F77))</f>
        <v/>
      </c>
      <c r="O77" s="8"/>
      <c r="P77" s="8"/>
    </row>
    <row r="78" spans="1:16">
      <c r="A78" s="119"/>
      <c r="B78" s="2"/>
      <c r="C78" s="369"/>
      <c r="D78" s="369"/>
      <c r="E78" s="369"/>
      <c r="F78" s="370"/>
      <c r="G78" s="248" t="str">
        <f t="shared" si="5"/>
        <v/>
      </c>
      <c r="H78" s="1" t="b">
        <f>IF(B78="",FALSE,COUNTIF('従業員情報(給与以外)'!$A$4:$A$1000000,$B78)=0)</f>
        <v>0</v>
      </c>
      <c r="I78" s="9" t="b">
        <f t="shared" si="6"/>
        <v>1</v>
      </c>
      <c r="J78" s="9" t="b">
        <f t="shared" si="7"/>
        <v>1</v>
      </c>
      <c r="K78" s="9" t="b">
        <f t="shared" si="8"/>
        <v>1</v>
      </c>
      <c r="L78" s="9" t="b">
        <f t="shared" si="9"/>
        <v>1</v>
      </c>
      <c r="M78" s="1" t="b">
        <f>IF(OR(入力シート!$C$5&lt;&gt;入力リスト!$N$4,入力シート!$J$22&lt;&gt;入力リスト!$K$4),TRUE,IF($F$2=入力リスト!$Q$4,IF(F78-INT(F78)&lt;0.6,TRUE,FALSE),TRUE))</f>
        <v>1</v>
      </c>
      <c r="N78" s="9" t="str">
        <f>IF(F78="","",IF($F$2=入力リスト!$Q$4,ROUNDDOWN(INT(F78)+ROUNDDOWN((F78-INT(F78))*100,0)/60,2),従業員の給与情報!F78))</f>
        <v/>
      </c>
      <c r="O78" s="8"/>
      <c r="P78" s="8"/>
    </row>
    <row r="79" spans="1:16">
      <c r="A79" s="119"/>
      <c r="B79" s="2"/>
      <c r="C79" s="369"/>
      <c r="D79" s="369"/>
      <c r="E79" s="369"/>
      <c r="F79" s="370"/>
      <c r="G79" s="248" t="str">
        <f t="shared" si="5"/>
        <v/>
      </c>
      <c r="H79" s="1" t="b">
        <f>IF(B79="",FALSE,COUNTIF('従業員情報(給与以外)'!$A$4:$A$1000000,$B79)=0)</f>
        <v>0</v>
      </c>
      <c r="I79" s="9" t="b">
        <f t="shared" si="6"/>
        <v>1</v>
      </c>
      <c r="J79" s="9" t="b">
        <f t="shared" si="7"/>
        <v>1</v>
      </c>
      <c r="K79" s="9" t="b">
        <f t="shared" si="8"/>
        <v>1</v>
      </c>
      <c r="L79" s="9" t="b">
        <f t="shared" si="9"/>
        <v>1</v>
      </c>
      <c r="M79" s="1" t="b">
        <f>IF(OR(入力シート!$C$5&lt;&gt;入力リスト!$N$4,入力シート!$J$22&lt;&gt;入力リスト!$K$4),TRUE,IF($F$2=入力リスト!$Q$4,IF(F79-INT(F79)&lt;0.6,TRUE,FALSE),TRUE))</f>
        <v>1</v>
      </c>
      <c r="N79" s="9" t="str">
        <f>IF(F79="","",IF($F$2=入力リスト!$Q$4,ROUNDDOWN(INT(F79)+ROUNDDOWN((F79-INT(F79))*100,0)/60,2),従業員の給与情報!F79))</f>
        <v/>
      </c>
      <c r="O79" s="8"/>
      <c r="P79" s="8"/>
    </row>
    <row r="80" spans="1:16">
      <c r="A80" s="119"/>
      <c r="B80" s="2"/>
      <c r="C80" s="369"/>
      <c r="D80" s="369"/>
      <c r="E80" s="369"/>
      <c r="F80" s="370"/>
      <c r="G80" s="248" t="str">
        <f t="shared" si="5"/>
        <v/>
      </c>
      <c r="H80" s="1" t="b">
        <f>IF(B80="",FALSE,COUNTIF('従業員情報(給与以外)'!$A$4:$A$1000000,$B80)=0)</f>
        <v>0</v>
      </c>
      <c r="I80" s="9" t="b">
        <f t="shared" si="6"/>
        <v>1</v>
      </c>
      <c r="J80" s="9" t="b">
        <f t="shared" si="7"/>
        <v>1</v>
      </c>
      <c r="K80" s="9" t="b">
        <f t="shared" si="8"/>
        <v>1</v>
      </c>
      <c r="L80" s="9" t="b">
        <f t="shared" si="9"/>
        <v>1</v>
      </c>
      <c r="M80" s="1" t="b">
        <f>IF(OR(入力シート!$C$5&lt;&gt;入力リスト!$N$4,入力シート!$J$22&lt;&gt;入力リスト!$K$4),TRUE,IF($F$2=入力リスト!$Q$4,IF(F80-INT(F80)&lt;0.6,TRUE,FALSE),TRUE))</f>
        <v>1</v>
      </c>
      <c r="N80" s="9" t="str">
        <f>IF(F80="","",IF($F$2=入力リスト!$Q$4,ROUNDDOWN(INT(F80)+ROUNDDOWN((F80-INT(F80))*100,0)/60,2),従業員の給与情報!F80))</f>
        <v/>
      </c>
      <c r="O80" s="8"/>
      <c r="P80" s="8"/>
    </row>
    <row r="81" spans="1:16">
      <c r="A81" s="119"/>
      <c r="B81" s="2"/>
      <c r="C81" s="369"/>
      <c r="D81" s="369"/>
      <c r="E81" s="369"/>
      <c r="F81" s="370"/>
      <c r="G81" s="248" t="str">
        <f t="shared" si="5"/>
        <v/>
      </c>
      <c r="H81" s="1" t="b">
        <f>IF(B81="",FALSE,COUNTIF('従業員情報(給与以外)'!$A$4:$A$1000000,$B81)=0)</f>
        <v>0</v>
      </c>
      <c r="I81" s="9" t="b">
        <f t="shared" si="6"/>
        <v>1</v>
      </c>
      <c r="J81" s="9" t="b">
        <f t="shared" si="7"/>
        <v>1</v>
      </c>
      <c r="K81" s="9" t="b">
        <f t="shared" si="8"/>
        <v>1</v>
      </c>
      <c r="L81" s="9" t="b">
        <f t="shared" si="9"/>
        <v>1</v>
      </c>
      <c r="M81" s="1" t="b">
        <f>IF(OR(入力シート!$C$5&lt;&gt;入力リスト!$N$4,入力シート!$J$22&lt;&gt;入力リスト!$K$4),TRUE,IF($F$2=入力リスト!$Q$4,IF(F81-INT(F81)&lt;0.6,TRUE,FALSE),TRUE))</f>
        <v>1</v>
      </c>
      <c r="N81" s="9" t="str">
        <f>IF(F81="","",IF($F$2=入力リスト!$Q$4,ROUNDDOWN(INT(F81)+ROUNDDOWN((F81-INT(F81))*100,0)/60,2),従業員の給与情報!F81))</f>
        <v/>
      </c>
      <c r="O81" s="8"/>
      <c r="P81" s="8"/>
    </row>
    <row r="82" spans="1:16">
      <c r="A82" s="119"/>
      <c r="B82" s="2"/>
      <c r="C82" s="369"/>
      <c r="D82" s="369"/>
      <c r="E82" s="369"/>
      <c r="F82" s="370"/>
      <c r="G82" s="248" t="str">
        <f t="shared" si="5"/>
        <v/>
      </c>
      <c r="H82" s="1" t="b">
        <f>IF(B82="",FALSE,COUNTIF('従業員情報(給与以外)'!$A$4:$A$1000000,$B82)=0)</f>
        <v>0</v>
      </c>
      <c r="I82" s="9" t="b">
        <f t="shared" si="6"/>
        <v>1</v>
      </c>
      <c r="J82" s="9" t="b">
        <f t="shared" si="7"/>
        <v>1</v>
      </c>
      <c r="K82" s="9" t="b">
        <f t="shared" si="8"/>
        <v>1</v>
      </c>
      <c r="L82" s="9" t="b">
        <f t="shared" si="9"/>
        <v>1</v>
      </c>
      <c r="M82" s="1" t="b">
        <f>IF(OR(入力シート!$C$5&lt;&gt;入力リスト!$N$4,入力シート!$J$22&lt;&gt;入力リスト!$K$4),TRUE,IF($F$2=入力リスト!$Q$4,IF(F82-INT(F82)&lt;0.6,TRUE,FALSE),TRUE))</f>
        <v>1</v>
      </c>
      <c r="N82" s="9" t="str">
        <f>IF(F82="","",IF($F$2=入力リスト!$Q$4,ROUNDDOWN(INT(F82)+ROUNDDOWN((F82-INT(F82))*100,0)/60,2),従業員の給与情報!F82))</f>
        <v/>
      </c>
      <c r="O82" s="8"/>
      <c r="P82" s="8"/>
    </row>
    <row r="83" spans="1:16">
      <c r="A83" s="119"/>
      <c r="B83" s="2"/>
      <c r="C83" s="369"/>
      <c r="D83" s="369"/>
      <c r="E83" s="369"/>
      <c r="F83" s="370"/>
      <c r="G83" s="248" t="str">
        <f t="shared" si="5"/>
        <v/>
      </c>
      <c r="H83" s="1" t="b">
        <f>IF(B83="",FALSE,COUNTIF('従業員情報(給与以外)'!$A$4:$A$1000000,$B83)=0)</f>
        <v>0</v>
      </c>
      <c r="I83" s="9" t="b">
        <f t="shared" si="6"/>
        <v>1</v>
      </c>
      <c r="J83" s="9" t="b">
        <f t="shared" si="7"/>
        <v>1</v>
      </c>
      <c r="K83" s="9" t="b">
        <f t="shared" si="8"/>
        <v>1</v>
      </c>
      <c r="L83" s="9" t="b">
        <f t="shared" si="9"/>
        <v>1</v>
      </c>
      <c r="M83" s="1" t="b">
        <f>IF(OR(入力シート!$C$5&lt;&gt;入力リスト!$N$4,入力シート!$J$22&lt;&gt;入力リスト!$K$4),TRUE,IF($F$2=入力リスト!$Q$4,IF(F83-INT(F83)&lt;0.6,TRUE,FALSE),TRUE))</f>
        <v>1</v>
      </c>
      <c r="N83" s="9" t="str">
        <f>IF(F83="","",IF($F$2=入力リスト!$Q$4,ROUNDDOWN(INT(F83)+ROUNDDOWN((F83-INT(F83))*100,0)/60,2),従業員の給与情報!F83))</f>
        <v/>
      </c>
      <c r="O83" s="8"/>
      <c r="P83" s="8"/>
    </row>
    <row r="84" spans="1:16">
      <c r="A84" s="119"/>
      <c r="B84" s="2"/>
      <c r="C84" s="369"/>
      <c r="D84" s="369"/>
      <c r="E84" s="369"/>
      <c r="F84" s="370"/>
      <c r="G84" s="248" t="str">
        <f t="shared" si="5"/>
        <v/>
      </c>
      <c r="H84" s="1" t="b">
        <f>IF(B84="",FALSE,COUNTIF('従業員情報(給与以外)'!$A$4:$A$1000000,$B84)=0)</f>
        <v>0</v>
      </c>
      <c r="I84" s="9" t="b">
        <f t="shared" si="6"/>
        <v>1</v>
      </c>
      <c r="J84" s="9" t="b">
        <f t="shared" si="7"/>
        <v>1</v>
      </c>
      <c r="K84" s="9" t="b">
        <f t="shared" si="8"/>
        <v>1</v>
      </c>
      <c r="L84" s="9" t="b">
        <f t="shared" si="9"/>
        <v>1</v>
      </c>
      <c r="M84" s="1" t="b">
        <f>IF(OR(入力シート!$C$5&lt;&gt;入力リスト!$N$4,入力シート!$J$22&lt;&gt;入力リスト!$K$4),TRUE,IF($F$2=入力リスト!$Q$4,IF(F84-INT(F84)&lt;0.6,TRUE,FALSE),TRUE))</f>
        <v>1</v>
      </c>
      <c r="N84" s="9" t="str">
        <f>IF(F84="","",IF($F$2=入力リスト!$Q$4,ROUNDDOWN(INT(F84)+ROUNDDOWN((F84-INT(F84))*100,0)/60,2),従業員の給与情報!F84))</f>
        <v/>
      </c>
      <c r="O84" s="8"/>
      <c r="P84" s="8"/>
    </row>
    <row r="85" spans="1:16">
      <c r="A85" s="119"/>
      <c r="B85" s="2"/>
      <c r="C85" s="369"/>
      <c r="D85" s="369"/>
      <c r="E85" s="369"/>
      <c r="F85" s="370"/>
      <c r="G85" s="248" t="str">
        <f t="shared" si="5"/>
        <v/>
      </c>
      <c r="H85" s="1" t="b">
        <f>IF(B85="",FALSE,COUNTIF('従業員情報(給与以外)'!$A$4:$A$1000000,$B85)=0)</f>
        <v>0</v>
      </c>
      <c r="I85" s="9" t="b">
        <f t="shared" si="6"/>
        <v>1</v>
      </c>
      <c r="J85" s="9" t="b">
        <f t="shared" si="7"/>
        <v>1</v>
      </c>
      <c r="K85" s="9" t="b">
        <f t="shared" si="8"/>
        <v>1</v>
      </c>
      <c r="L85" s="9" t="b">
        <f t="shared" si="9"/>
        <v>1</v>
      </c>
      <c r="M85" s="1" t="b">
        <f>IF(OR(入力シート!$C$5&lt;&gt;入力リスト!$N$4,入力シート!$J$22&lt;&gt;入力リスト!$K$4),TRUE,IF($F$2=入力リスト!$Q$4,IF(F85-INT(F85)&lt;0.6,TRUE,FALSE),TRUE))</f>
        <v>1</v>
      </c>
      <c r="N85" s="9" t="str">
        <f>IF(F85="","",IF($F$2=入力リスト!$Q$4,ROUNDDOWN(INT(F85)+ROUNDDOWN((F85-INT(F85))*100,0)/60,2),従業員の給与情報!F85))</f>
        <v/>
      </c>
      <c r="O85" s="8"/>
      <c r="P85" s="8"/>
    </row>
    <row r="86" spans="1:16">
      <c r="A86" s="119"/>
      <c r="B86" s="2"/>
      <c r="C86" s="369"/>
      <c r="D86" s="369"/>
      <c r="E86" s="369"/>
      <c r="F86" s="370"/>
      <c r="G86" s="248" t="str">
        <f t="shared" si="5"/>
        <v/>
      </c>
      <c r="H86" s="1" t="b">
        <f>IF(B86="",FALSE,COUNTIF('従業員情報(給与以外)'!$A$4:$A$1000000,$B86)=0)</f>
        <v>0</v>
      </c>
      <c r="I86" s="9" t="b">
        <f t="shared" si="6"/>
        <v>1</v>
      </c>
      <c r="J86" s="9" t="b">
        <f t="shared" si="7"/>
        <v>1</v>
      </c>
      <c r="K86" s="9" t="b">
        <f t="shared" si="8"/>
        <v>1</v>
      </c>
      <c r="L86" s="9" t="b">
        <f t="shared" si="9"/>
        <v>1</v>
      </c>
      <c r="M86" s="1" t="b">
        <f>IF(OR(入力シート!$C$5&lt;&gt;入力リスト!$N$4,入力シート!$J$22&lt;&gt;入力リスト!$K$4),TRUE,IF($F$2=入力リスト!$Q$4,IF(F86-INT(F86)&lt;0.6,TRUE,FALSE),TRUE))</f>
        <v>1</v>
      </c>
      <c r="N86" s="9" t="str">
        <f>IF(F86="","",IF($F$2=入力リスト!$Q$4,ROUNDDOWN(INT(F86)+ROUNDDOWN((F86-INT(F86))*100,0)/60,2),従業員の給与情報!F86))</f>
        <v/>
      </c>
      <c r="O86" s="8"/>
      <c r="P86" s="8"/>
    </row>
    <row r="87" spans="1:16">
      <c r="A87" s="119"/>
      <c r="B87" s="2"/>
      <c r="C87" s="369"/>
      <c r="D87" s="369"/>
      <c r="E87" s="369"/>
      <c r="F87" s="370"/>
      <c r="G87" s="248" t="str">
        <f t="shared" si="5"/>
        <v/>
      </c>
      <c r="H87" s="1" t="b">
        <f>IF(B87="",FALSE,COUNTIF('従業員情報(給与以外)'!$A$4:$A$1000000,$B87)=0)</f>
        <v>0</v>
      </c>
      <c r="I87" s="9" t="b">
        <f t="shared" si="6"/>
        <v>1</v>
      </c>
      <c r="J87" s="9" t="b">
        <f t="shared" si="7"/>
        <v>1</v>
      </c>
      <c r="K87" s="9" t="b">
        <f t="shared" si="8"/>
        <v>1</v>
      </c>
      <c r="L87" s="9" t="b">
        <f t="shared" si="9"/>
        <v>1</v>
      </c>
      <c r="M87" s="1" t="b">
        <f>IF(OR(入力シート!$C$5&lt;&gt;入力リスト!$N$4,入力シート!$J$22&lt;&gt;入力リスト!$K$4),TRUE,IF($F$2=入力リスト!$Q$4,IF(F87-INT(F87)&lt;0.6,TRUE,FALSE),TRUE))</f>
        <v>1</v>
      </c>
      <c r="N87" s="9" t="str">
        <f>IF(F87="","",IF($F$2=入力リスト!$Q$4,ROUNDDOWN(INT(F87)+ROUNDDOWN((F87-INT(F87))*100,0)/60,2),従業員の給与情報!F87))</f>
        <v/>
      </c>
      <c r="O87" s="8"/>
      <c r="P87" s="8"/>
    </row>
    <row r="88" spans="1:16">
      <c r="A88" s="119"/>
      <c r="B88" s="2"/>
      <c r="C88" s="369"/>
      <c r="D88" s="369"/>
      <c r="E88" s="369"/>
      <c r="F88" s="370"/>
      <c r="G88" s="248" t="str">
        <f t="shared" si="5"/>
        <v/>
      </c>
      <c r="H88" s="1" t="b">
        <f>IF(B88="",FALSE,COUNTIF('従業員情報(給与以外)'!$A$4:$A$1000000,$B88)=0)</f>
        <v>0</v>
      </c>
      <c r="I88" s="9" t="b">
        <f t="shared" si="6"/>
        <v>1</v>
      </c>
      <c r="J88" s="9" t="b">
        <f t="shared" si="7"/>
        <v>1</v>
      </c>
      <c r="K88" s="9" t="b">
        <f t="shared" si="8"/>
        <v>1</v>
      </c>
      <c r="L88" s="9" t="b">
        <f t="shared" si="9"/>
        <v>1</v>
      </c>
      <c r="M88" s="1" t="b">
        <f>IF(OR(入力シート!$C$5&lt;&gt;入力リスト!$N$4,入力シート!$J$22&lt;&gt;入力リスト!$K$4),TRUE,IF($F$2=入力リスト!$Q$4,IF(F88-INT(F88)&lt;0.6,TRUE,FALSE),TRUE))</f>
        <v>1</v>
      </c>
      <c r="N88" s="9" t="str">
        <f>IF(F88="","",IF($F$2=入力リスト!$Q$4,ROUNDDOWN(INT(F88)+ROUNDDOWN((F88-INT(F88))*100,0)/60,2),従業員の給与情報!F88))</f>
        <v/>
      </c>
      <c r="O88" s="8"/>
      <c r="P88" s="8"/>
    </row>
    <row r="89" spans="1:16">
      <c r="A89" s="119"/>
      <c r="B89" s="2"/>
      <c r="C89" s="369"/>
      <c r="D89" s="369"/>
      <c r="E89" s="369"/>
      <c r="F89" s="370"/>
      <c r="G89" s="248" t="str">
        <f t="shared" si="5"/>
        <v/>
      </c>
      <c r="H89" s="1" t="b">
        <f>IF(B89="",FALSE,COUNTIF('従業員情報(給与以外)'!$A$4:$A$1000000,$B89)=0)</f>
        <v>0</v>
      </c>
      <c r="I89" s="9" t="b">
        <f t="shared" si="6"/>
        <v>1</v>
      </c>
      <c r="J89" s="9" t="b">
        <f t="shared" si="7"/>
        <v>1</v>
      </c>
      <c r="K89" s="9" t="b">
        <f t="shared" si="8"/>
        <v>1</v>
      </c>
      <c r="L89" s="9" t="b">
        <f t="shared" si="9"/>
        <v>1</v>
      </c>
      <c r="M89" s="1" t="b">
        <f>IF(OR(入力シート!$C$5&lt;&gt;入力リスト!$N$4,入力シート!$J$22&lt;&gt;入力リスト!$K$4),TRUE,IF($F$2=入力リスト!$Q$4,IF(F89-INT(F89)&lt;0.6,TRUE,FALSE),TRUE))</f>
        <v>1</v>
      </c>
      <c r="N89" s="9" t="str">
        <f>IF(F89="","",IF($F$2=入力リスト!$Q$4,ROUNDDOWN(INT(F89)+ROUNDDOWN((F89-INT(F89))*100,0)/60,2),従業員の給与情報!F89))</f>
        <v/>
      </c>
      <c r="O89" s="8"/>
      <c r="P89" s="8"/>
    </row>
    <row r="90" spans="1:16">
      <c r="A90" s="119"/>
      <c r="B90" s="2"/>
      <c r="C90" s="369"/>
      <c r="D90" s="369"/>
      <c r="E90" s="369"/>
      <c r="F90" s="370"/>
      <c r="G90" s="248" t="str">
        <f t="shared" si="5"/>
        <v/>
      </c>
      <c r="H90" s="1" t="b">
        <f>IF(B90="",FALSE,COUNTIF('従業員情報(給与以外)'!$A$4:$A$1000000,$B90)=0)</f>
        <v>0</v>
      </c>
      <c r="I90" s="9" t="b">
        <f t="shared" si="6"/>
        <v>1</v>
      </c>
      <c r="J90" s="9" t="b">
        <f t="shared" si="7"/>
        <v>1</v>
      </c>
      <c r="K90" s="9" t="b">
        <f t="shared" si="8"/>
        <v>1</v>
      </c>
      <c r="L90" s="9" t="b">
        <f t="shared" si="9"/>
        <v>1</v>
      </c>
      <c r="M90" s="1" t="b">
        <f>IF(OR(入力シート!$C$5&lt;&gt;入力リスト!$N$4,入力シート!$J$22&lt;&gt;入力リスト!$K$4),TRUE,IF($F$2=入力リスト!$Q$4,IF(F90-INT(F90)&lt;0.6,TRUE,FALSE),TRUE))</f>
        <v>1</v>
      </c>
      <c r="N90" s="9" t="str">
        <f>IF(F90="","",IF($F$2=入力リスト!$Q$4,ROUNDDOWN(INT(F90)+ROUNDDOWN((F90-INT(F90))*100,0)/60,2),従業員の給与情報!F90))</f>
        <v/>
      </c>
      <c r="O90" s="8"/>
      <c r="P90" s="8"/>
    </row>
    <row r="91" spans="1:16">
      <c r="A91" s="119"/>
      <c r="B91" s="2"/>
      <c r="C91" s="369"/>
      <c r="D91" s="369"/>
      <c r="E91" s="369"/>
      <c r="F91" s="370"/>
      <c r="G91" s="248" t="str">
        <f t="shared" si="5"/>
        <v/>
      </c>
      <c r="H91" s="1" t="b">
        <f>IF(B91="",FALSE,COUNTIF('従業員情報(給与以外)'!$A$4:$A$1000000,$B91)=0)</f>
        <v>0</v>
      </c>
      <c r="I91" s="9" t="b">
        <f t="shared" si="6"/>
        <v>1</v>
      </c>
      <c r="J91" s="9" t="b">
        <f t="shared" si="7"/>
        <v>1</v>
      </c>
      <c r="K91" s="9" t="b">
        <f t="shared" si="8"/>
        <v>1</v>
      </c>
      <c r="L91" s="9" t="b">
        <f t="shared" si="9"/>
        <v>1</v>
      </c>
      <c r="M91" s="1" t="b">
        <f>IF(OR(入力シート!$C$5&lt;&gt;入力リスト!$N$4,入力シート!$J$22&lt;&gt;入力リスト!$K$4),TRUE,IF($F$2=入力リスト!$Q$4,IF(F91-INT(F91)&lt;0.6,TRUE,FALSE),TRUE))</f>
        <v>1</v>
      </c>
      <c r="N91" s="9" t="str">
        <f>IF(F91="","",IF($F$2=入力リスト!$Q$4,ROUNDDOWN(INT(F91)+ROUNDDOWN((F91-INT(F91))*100,0)/60,2),従業員の給与情報!F91))</f>
        <v/>
      </c>
      <c r="O91" s="8"/>
      <c r="P91" s="8"/>
    </row>
    <row r="92" spans="1:16">
      <c r="A92" s="119"/>
      <c r="B92" s="2"/>
      <c r="C92" s="369"/>
      <c r="D92" s="369"/>
      <c r="E92" s="369"/>
      <c r="F92" s="370"/>
      <c r="G92" s="248" t="str">
        <f t="shared" si="5"/>
        <v/>
      </c>
      <c r="H92" s="1" t="b">
        <f>IF(B92="",FALSE,COUNTIF('従業員情報(給与以外)'!$A$4:$A$1000000,$B92)=0)</f>
        <v>0</v>
      </c>
      <c r="I92" s="9" t="b">
        <f t="shared" si="6"/>
        <v>1</v>
      </c>
      <c r="J92" s="9" t="b">
        <f t="shared" si="7"/>
        <v>1</v>
      </c>
      <c r="K92" s="9" t="b">
        <f t="shared" si="8"/>
        <v>1</v>
      </c>
      <c r="L92" s="9" t="b">
        <f t="shared" si="9"/>
        <v>1</v>
      </c>
      <c r="M92" s="1" t="b">
        <f>IF(OR(入力シート!$C$5&lt;&gt;入力リスト!$N$4,入力シート!$J$22&lt;&gt;入力リスト!$K$4),TRUE,IF($F$2=入力リスト!$Q$4,IF(F92-INT(F92)&lt;0.6,TRUE,FALSE),TRUE))</f>
        <v>1</v>
      </c>
      <c r="N92" s="9" t="str">
        <f>IF(F92="","",IF($F$2=入力リスト!$Q$4,ROUNDDOWN(INT(F92)+ROUNDDOWN((F92-INT(F92))*100,0)/60,2),従業員の給与情報!F92))</f>
        <v/>
      </c>
      <c r="O92" s="8"/>
      <c r="P92" s="8"/>
    </row>
    <row r="93" spans="1:16">
      <c r="A93" s="119"/>
      <c r="B93" s="2"/>
      <c r="C93" s="369"/>
      <c r="D93" s="369"/>
      <c r="E93" s="369"/>
      <c r="F93" s="370"/>
      <c r="G93" s="248" t="str">
        <f t="shared" si="5"/>
        <v/>
      </c>
      <c r="H93" s="1" t="b">
        <f>IF(B93="",FALSE,COUNTIF('従業員情報(給与以外)'!$A$4:$A$1000000,$B93)=0)</f>
        <v>0</v>
      </c>
      <c r="I93" s="9" t="b">
        <f t="shared" si="6"/>
        <v>1</v>
      </c>
      <c r="J93" s="9" t="b">
        <f t="shared" si="7"/>
        <v>1</v>
      </c>
      <c r="K93" s="9" t="b">
        <f t="shared" si="8"/>
        <v>1</v>
      </c>
      <c r="L93" s="9" t="b">
        <f t="shared" si="9"/>
        <v>1</v>
      </c>
      <c r="M93" s="1" t="b">
        <f>IF(OR(入力シート!$C$5&lt;&gt;入力リスト!$N$4,入力シート!$J$22&lt;&gt;入力リスト!$K$4),TRUE,IF($F$2=入力リスト!$Q$4,IF(F93-INT(F93)&lt;0.6,TRUE,FALSE),TRUE))</f>
        <v>1</v>
      </c>
      <c r="N93" s="9" t="str">
        <f>IF(F93="","",IF($F$2=入力リスト!$Q$4,ROUNDDOWN(INT(F93)+ROUNDDOWN((F93-INT(F93))*100,0)/60,2),従業員の給与情報!F93))</f>
        <v/>
      </c>
      <c r="O93" s="8"/>
      <c r="P93" s="8"/>
    </row>
    <row r="94" spans="1:16">
      <c r="A94" s="119"/>
      <c r="B94" s="2"/>
      <c r="C94" s="369"/>
      <c r="D94" s="369"/>
      <c r="E94" s="369"/>
      <c r="F94" s="370"/>
      <c r="G94" s="248" t="str">
        <f t="shared" si="5"/>
        <v/>
      </c>
      <c r="H94" s="1" t="b">
        <f>IF(B94="",FALSE,COUNTIF('従業員情報(給与以外)'!$A$4:$A$1000000,$B94)=0)</f>
        <v>0</v>
      </c>
      <c r="I94" s="9" t="b">
        <f t="shared" si="6"/>
        <v>1</v>
      </c>
      <c r="J94" s="9" t="b">
        <f t="shared" si="7"/>
        <v>1</v>
      </c>
      <c r="K94" s="9" t="b">
        <f t="shared" si="8"/>
        <v>1</v>
      </c>
      <c r="L94" s="9" t="b">
        <f t="shared" si="9"/>
        <v>1</v>
      </c>
      <c r="M94" s="1" t="b">
        <f>IF(OR(入力シート!$C$5&lt;&gt;入力リスト!$N$4,入力シート!$J$22&lt;&gt;入力リスト!$K$4),TRUE,IF($F$2=入力リスト!$Q$4,IF(F94-INT(F94)&lt;0.6,TRUE,FALSE),TRUE))</f>
        <v>1</v>
      </c>
      <c r="N94" s="9" t="str">
        <f>IF(F94="","",IF($F$2=入力リスト!$Q$4,ROUNDDOWN(INT(F94)+ROUNDDOWN((F94-INT(F94))*100,0)/60,2),従業員の給与情報!F94))</f>
        <v/>
      </c>
      <c r="O94" s="8"/>
      <c r="P94" s="8"/>
    </row>
    <row r="95" spans="1:16">
      <c r="A95" s="119"/>
      <c r="B95" s="2"/>
      <c r="C95" s="369"/>
      <c r="D95" s="369"/>
      <c r="E95" s="369"/>
      <c r="F95" s="370"/>
      <c r="G95" s="248" t="str">
        <f t="shared" si="5"/>
        <v/>
      </c>
      <c r="H95" s="1" t="b">
        <f>IF(B95="",FALSE,COUNTIF('従業員情報(給与以外)'!$A$4:$A$1000000,$B95)=0)</f>
        <v>0</v>
      </c>
      <c r="I95" s="9" t="b">
        <f t="shared" si="6"/>
        <v>1</v>
      </c>
      <c r="J95" s="9" t="b">
        <f t="shared" si="7"/>
        <v>1</v>
      </c>
      <c r="K95" s="9" t="b">
        <f t="shared" si="8"/>
        <v>1</v>
      </c>
      <c r="L95" s="9" t="b">
        <f t="shared" si="9"/>
        <v>1</v>
      </c>
      <c r="M95" s="1" t="b">
        <f>IF(OR(入力シート!$C$5&lt;&gt;入力リスト!$N$4,入力シート!$J$22&lt;&gt;入力リスト!$K$4),TRUE,IF($F$2=入力リスト!$Q$4,IF(F95-INT(F95)&lt;0.6,TRUE,FALSE),TRUE))</f>
        <v>1</v>
      </c>
      <c r="N95" s="9" t="str">
        <f>IF(F95="","",IF($F$2=入力リスト!$Q$4,ROUNDDOWN(INT(F95)+ROUNDDOWN((F95-INT(F95))*100,0)/60,2),従業員の給与情報!F95))</f>
        <v/>
      </c>
      <c r="O95" s="8"/>
      <c r="P95" s="8"/>
    </row>
    <row r="96" spans="1:16">
      <c r="A96" s="119"/>
      <c r="B96" s="2"/>
      <c r="C96" s="369"/>
      <c r="D96" s="369"/>
      <c r="E96" s="369"/>
      <c r="F96" s="370"/>
      <c r="G96" s="248" t="str">
        <f t="shared" si="5"/>
        <v/>
      </c>
      <c r="H96" s="1" t="b">
        <f>IF(B96="",FALSE,COUNTIF('従業員情報(給与以外)'!$A$4:$A$1000000,$B96)=0)</f>
        <v>0</v>
      </c>
      <c r="I96" s="9" t="b">
        <f t="shared" si="6"/>
        <v>1</v>
      </c>
      <c r="J96" s="9" t="b">
        <f t="shared" si="7"/>
        <v>1</v>
      </c>
      <c r="K96" s="9" t="b">
        <f t="shared" si="8"/>
        <v>1</v>
      </c>
      <c r="L96" s="9" t="b">
        <f t="shared" si="9"/>
        <v>1</v>
      </c>
      <c r="M96" s="1" t="b">
        <f>IF(OR(入力シート!$C$5&lt;&gt;入力リスト!$N$4,入力シート!$J$22&lt;&gt;入力リスト!$K$4),TRUE,IF($F$2=入力リスト!$Q$4,IF(F96-INT(F96)&lt;0.6,TRUE,FALSE),TRUE))</f>
        <v>1</v>
      </c>
      <c r="N96" s="9" t="str">
        <f>IF(F96="","",IF($F$2=入力リスト!$Q$4,ROUNDDOWN(INT(F96)+ROUNDDOWN((F96-INT(F96))*100,0)/60,2),従業員の給与情報!F96))</f>
        <v/>
      </c>
      <c r="O96" s="8"/>
      <c r="P96" s="8"/>
    </row>
    <row r="97" spans="1:16">
      <c r="A97" s="119"/>
      <c r="B97" s="2"/>
      <c r="C97" s="369"/>
      <c r="D97" s="369"/>
      <c r="E97" s="369"/>
      <c r="F97" s="370"/>
      <c r="G97" s="248" t="str">
        <f t="shared" si="5"/>
        <v/>
      </c>
      <c r="H97" s="1" t="b">
        <f>IF(B97="",FALSE,COUNTIF('従業員情報(給与以外)'!$A$4:$A$1000000,$B97)=0)</f>
        <v>0</v>
      </c>
      <c r="I97" s="9" t="b">
        <f t="shared" si="6"/>
        <v>1</v>
      </c>
      <c r="J97" s="9" t="b">
        <f t="shared" si="7"/>
        <v>1</v>
      </c>
      <c r="K97" s="9" t="b">
        <f t="shared" si="8"/>
        <v>1</v>
      </c>
      <c r="L97" s="9" t="b">
        <f t="shared" si="9"/>
        <v>1</v>
      </c>
      <c r="M97" s="1" t="b">
        <f>IF(OR(入力シート!$C$5&lt;&gt;入力リスト!$N$4,入力シート!$J$22&lt;&gt;入力リスト!$K$4),TRUE,IF($F$2=入力リスト!$Q$4,IF(F97-INT(F97)&lt;0.6,TRUE,FALSE),TRUE))</f>
        <v>1</v>
      </c>
      <c r="N97" s="9" t="str">
        <f>IF(F97="","",IF($F$2=入力リスト!$Q$4,ROUNDDOWN(INT(F97)+ROUNDDOWN((F97-INT(F97))*100,0)/60,2),従業員の給与情報!F97))</f>
        <v/>
      </c>
      <c r="O97" s="8"/>
      <c r="P97" s="8"/>
    </row>
    <row r="98" spans="1:16">
      <c r="A98" s="119"/>
      <c r="B98" s="2"/>
      <c r="C98" s="369"/>
      <c r="D98" s="369"/>
      <c r="E98" s="369"/>
      <c r="F98" s="370"/>
      <c r="G98" s="248" t="str">
        <f t="shared" si="5"/>
        <v/>
      </c>
      <c r="H98" s="1" t="b">
        <f>IF(B98="",FALSE,COUNTIF('従業員情報(給与以外)'!$A$4:$A$1000000,$B98)=0)</f>
        <v>0</v>
      </c>
      <c r="I98" s="9" t="b">
        <f t="shared" si="6"/>
        <v>1</v>
      </c>
      <c r="J98" s="9" t="b">
        <f t="shared" si="7"/>
        <v>1</v>
      </c>
      <c r="K98" s="9" t="b">
        <f t="shared" si="8"/>
        <v>1</v>
      </c>
      <c r="L98" s="9" t="b">
        <f t="shared" si="9"/>
        <v>1</v>
      </c>
      <c r="M98" s="1" t="b">
        <f>IF(OR(入力シート!$C$5&lt;&gt;入力リスト!$N$4,入力シート!$J$22&lt;&gt;入力リスト!$K$4),TRUE,IF($F$2=入力リスト!$Q$4,IF(F98-INT(F98)&lt;0.6,TRUE,FALSE),TRUE))</f>
        <v>1</v>
      </c>
      <c r="N98" s="9" t="str">
        <f>IF(F98="","",IF($F$2=入力リスト!$Q$4,ROUNDDOWN(INT(F98)+ROUNDDOWN((F98-INT(F98))*100,0)/60,2),従業員の給与情報!F98))</f>
        <v/>
      </c>
      <c r="O98" s="8"/>
      <c r="P98" s="8"/>
    </row>
    <row r="99" spans="1:16">
      <c r="A99" s="119"/>
      <c r="B99" s="2"/>
      <c r="C99" s="369"/>
      <c r="D99" s="369"/>
      <c r="E99" s="369"/>
      <c r="F99" s="370"/>
      <c r="G99" s="248" t="str">
        <f t="shared" si="5"/>
        <v/>
      </c>
      <c r="H99" s="1" t="b">
        <f>IF(B99="",FALSE,COUNTIF('従業員情報(給与以外)'!$A$4:$A$1000000,$B99)=0)</f>
        <v>0</v>
      </c>
      <c r="I99" s="9" t="b">
        <f t="shared" si="6"/>
        <v>1</v>
      </c>
      <c r="J99" s="9" t="b">
        <f t="shared" si="7"/>
        <v>1</v>
      </c>
      <c r="K99" s="9" t="b">
        <f t="shared" si="8"/>
        <v>1</v>
      </c>
      <c r="L99" s="9" t="b">
        <f t="shared" si="9"/>
        <v>1</v>
      </c>
      <c r="M99" s="1" t="b">
        <f>IF(OR(入力シート!$C$5&lt;&gt;入力リスト!$N$4,入力シート!$J$22&lt;&gt;入力リスト!$K$4),TRUE,IF($F$2=入力リスト!$Q$4,IF(F99-INT(F99)&lt;0.6,TRUE,FALSE),TRUE))</f>
        <v>1</v>
      </c>
      <c r="N99" s="9" t="str">
        <f>IF(F99="","",IF($F$2=入力リスト!$Q$4,ROUNDDOWN(INT(F99)+ROUNDDOWN((F99-INT(F99))*100,0)/60,2),従業員の給与情報!F99))</f>
        <v/>
      </c>
      <c r="O99" s="8"/>
      <c r="P99" s="8"/>
    </row>
    <row r="100" spans="1:16">
      <c r="A100" s="119"/>
      <c r="B100" s="2"/>
      <c r="C100" s="369"/>
      <c r="D100" s="369"/>
      <c r="E100" s="369"/>
      <c r="F100" s="370"/>
      <c r="G100" s="248" t="str">
        <f t="shared" si="5"/>
        <v/>
      </c>
      <c r="H100" s="1" t="b">
        <f>IF(B100="",FALSE,COUNTIF('従業員情報(給与以外)'!$A$4:$A$1000000,$B100)=0)</f>
        <v>0</v>
      </c>
      <c r="I100" s="9" t="b">
        <f t="shared" si="6"/>
        <v>1</v>
      </c>
      <c r="J100" s="9" t="b">
        <f t="shared" si="7"/>
        <v>1</v>
      </c>
      <c r="K100" s="9" t="b">
        <f t="shared" si="8"/>
        <v>1</v>
      </c>
      <c r="L100" s="9" t="b">
        <f t="shared" si="9"/>
        <v>1</v>
      </c>
      <c r="M100" s="1" t="b">
        <f>IF(OR(入力シート!$C$5&lt;&gt;入力リスト!$N$4,入力シート!$J$22&lt;&gt;入力リスト!$K$4),TRUE,IF($F$2=入力リスト!$Q$4,IF(F100-INT(F100)&lt;0.6,TRUE,FALSE),TRUE))</f>
        <v>1</v>
      </c>
      <c r="N100" s="9" t="str">
        <f>IF(F100="","",IF($F$2=入力リスト!$Q$4,ROUNDDOWN(INT(F100)+ROUNDDOWN((F100-INT(F100))*100,0)/60,2),従業員の給与情報!F100))</f>
        <v/>
      </c>
      <c r="O100" s="8"/>
      <c r="P100" s="8"/>
    </row>
    <row r="101" spans="1:16">
      <c r="A101" s="119"/>
      <c r="B101" s="2"/>
      <c r="C101" s="369"/>
      <c r="D101" s="369"/>
      <c r="E101" s="369"/>
      <c r="F101" s="370"/>
      <c r="G101" s="248" t="str">
        <f t="shared" si="5"/>
        <v/>
      </c>
      <c r="H101" s="1" t="b">
        <f>IF(B101="",FALSE,COUNTIF('従業員情報(給与以外)'!$A$4:$A$1000000,$B101)=0)</f>
        <v>0</v>
      </c>
      <c r="I101" s="9" t="b">
        <f t="shared" si="6"/>
        <v>1</v>
      </c>
      <c r="J101" s="9" t="b">
        <f t="shared" si="7"/>
        <v>1</v>
      </c>
      <c r="K101" s="9" t="b">
        <f t="shared" si="8"/>
        <v>1</v>
      </c>
      <c r="L101" s="9" t="b">
        <f t="shared" si="9"/>
        <v>1</v>
      </c>
      <c r="M101" s="1" t="b">
        <f>IF(OR(入力シート!$C$5&lt;&gt;入力リスト!$N$4,入力シート!$J$22&lt;&gt;入力リスト!$K$4),TRUE,IF($F$2=入力リスト!$Q$4,IF(F101-INT(F101)&lt;0.6,TRUE,FALSE),TRUE))</f>
        <v>1</v>
      </c>
      <c r="N101" s="9" t="str">
        <f>IF(F101="","",IF($F$2=入力リスト!$Q$4,ROUNDDOWN(INT(F101)+ROUNDDOWN((F101-INT(F101))*100,0)/60,2),従業員の給与情報!F101))</f>
        <v/>
      </c>
      <c r="O101" s="8"/>
      <c r="P101" s="8"/>
    </row>
    <row r="102" spans="1:16">
      <c r="A102" s="119"/>
      <c r="B102" s="2"/>
      <c r="C102" s="369"/>
      <c r="D102" s="369"/>
      <c r="E102" s="369"/>
      <c r="F102" s="370"/>
      <c r="G102" s="248" t="str">
        <f t="shared" si="5"/>
        <v/>
      </c>
      <c r="H102" s="1" t="b">
        <f>IF(B102="",FALSE,COUNTIF('従業員情報(給与以外)'!$A$4:$A$1000000,$B102)=0)</f>
        <v>0</v>
      </c>
      <c r="I102" s="9" t="b">
        <f t="shared" si="6"/>
        <v>1</v>
      </c>
      <c r="J102" s="9" t="b">
        <f t="shared" si="7"/>
        <v>1</v>
      </c>
      <c r="K102" s="9" t="b">
        <f t="shared" si="8"/>
        <v>1</v>
      </c>
      <c r="L102" s="9" t="b">
        <f t="shared" si="9"/>
        <v>1</v>
      </c>
      <c r="M102" s="1" t="b">
        <f>IF(OR(入力シート!$C$5&lt;&gt;入力リスト!$N$4,入力シート!$J$22&lt;&gt;入力リスト!$K$4),TRUE,IF($F$2=入力リスト!$Q$4,IF(F102-INT(F102)&lt;0.6,TRUE,FALSE),TRUE))</f>
        <v>1</v>
      </c>
      <c r="N102" s="9" t="str">
        <f>IF(F102="","",IF($F$2=入力リスト!$Q$4,ROUNDDOWN(INT(F102)+ROUNDDOWN((F102-INT(F102))*100,0)/60,2),従業員の給与情報!F102))</f>
        <v/>
      </c>
      <c r="O102" s="8"/>
      <c r="P102" s="8"/>
    </row>
    <row r="103" spans="1:16">
      <c r="A103" s="119"/>
      <c r="B103" s="2"/>
      <c r="C103" s="369"/>
      <c r="D103" s="369"/>
      <c r="E103" s="369"/>
      <c r="F103" s="370"/>
      <c r="G103" s="248" t="str">
        <f t="shared" si="5"/>
        <v/>
      </c>
      <c r="H103" s="1" t="b">
        <f>IF(B103="",FALSE,COUNTIF('従業員情報(給与以外)'!$A$4:$A$1000000,$B103)=0)</f>
        <v>0</v>
      </c>
      <c r="I103" s="9" t="b">
        <f t="shared" si="6"/>
        <v>1</v>
      </c>
      <c r="J103" s="9" t="b">
        <f t="shared" si="7"/>
        <v>1</v>
      </c>
      <c r="K103" s="9" t="b">
        <f t="shared" si="8"/>
        <v>1</v>
      </c>
      <c r="L103" s="9" t="b">
        <f t="shared" si="9"/>
        <v>1</v>
      </c>
      <c r="M103" s="1" t="b">
        <f>IF(OR(入力シート!$C$5&lt;&gt;入力リスト!$N$4,入力シート!$J$22&lt;&gt;入力リスト!$K$4),TRUE,IF($F$2=入力リスト!$Q$4,IF(F103-INT(F103)&lt;0.6,TRUE,FALSE),TRUE))</f>
        <v>1</v>
      </c>
      <c r="N103" s="9" t="str">
        <f>IF(F103="","",IF($F$2=入力リスト!$Q$4,ROUNDDOWN(INT(F103)+ROUNDDOWN((F103-INT(F103))*100,0)/60,2),従業員の給与情報!F103))</f>
        <v/>
      </c>
      <c r="O103" s="8"/>
      <c r="P103" s="8"/>
    </row>
    <row r="104" spans="1:16">
      <c r="A104" s="119"/>
      <c r="B104" s="2"/>
      <c r="C104" s="369"/>
      <c r="D104" s="369"/>
      <c r="E104" s="369"/>
      <c r="F104" s="370"/>
      <c r="G104" s="248" t="str">
        <f t="shared" si="5"/>
        <v/>
      </c>
      <c r="H104" s="1" t="b">
        <f>IF(B104="",FALSE,COUNTIF('従業員情報(給与以外)'!$A$4:$A$1000000,$B104)=0)</f>
        <v>0</v>
      </c>
      <c r="I104" s="9" t="b">
        <f t="shared" si="6"/>
        <v>1</v>
      </c>
      <c r="J104" s="9" t="b">
        <f t="shared" si="7"/>
        <v>1</v>
      </c>
      <c r="K104" s="9" t="b">
        <f t="shared" si="8"/>
        <v>1</v>
      </c>
      <c r="L104" s="9" t="b">
        <f t="shared" si="9"/>
        <v>1</v>
      </c>
      <c r="M104" s="1" t="b">
        <f>IF(OR(入力シート!$C$5&lt;&gt;入力リスト!$N$4,入力シート!$J$22&lt;&gt;入力リスト!$K$4),TRUE,IF($F$2=入力リスト!$Q$4,IF(F104-INT(F104)&lt;0.6,TRUE,FALSE),TRUE))</f>
        <v>1</v>
      </c>
      <c r="N104" s="9" t="str">
        <f>IF(F104="","",IF($F$2=入力リスト!$Q$4,ROUNDDOWN(INT(F104)+ROUNDDOWN((F104-INT(F104))*100,0)/60,2),従業員の給与情報!F104))</f>
        <v/>
      </c>
      <c r="O104" s="8"/>
      <c r="P104" s="8"/>
    </row>
    <row r="105" spans="1:16">
      <c r="A105" s="119"/>
      <c r="B105" s="2"/>
      <c r="C105" s="369"/>
      <c r="D105" s="369"/>
      <c r="E105" s="369"/>
      <c r="F105" s="370"/>
      <c r="G105" s="248" t="str">
        <f t="shared" si="5"/>
        <v/>
      </c>
      <c r="H105" s="1" t="b">
        <f>IF(B105="",FALSE,COUNTIF('従業員情報(給与以外)'!$A$4:$A$1000000,$B105)=0)</f>
        <v>0</v>
      </c>
      <c r="I105" s="9" t="b">
        <f t="shared" si="6"/>
        <v>1</v>
      </c>
      <c r="J105" s="9" t="b">
        <f t="shared" si="7"/>
        <v>1</v>
      </c>
      <c r="K105" s="9" t="b">
        <f t="shared" si="8"/>
        <v>1</v>
      </c>
      <c r="L105" s="9" t="b">
        <f t="shared" si="9"/>
        <v>1</v>
      </c>
      <c r="M105" s="1" t="b">
        <f>IF(OR(入力シート!$C$5&lt;&gt;入力リスト!$N$4,入力シート!$J$22&lt;&gt;入力リスト!$K$4),TRUE,IF($F$2=入力リスト!$Q$4,IF(F105-INT(F105)&lt;0.6,TRUE,FALSE),TRUE))</f>
        <v>1</v>
      </c>
      <c r="N105" s="9" t="str">
        <f>IF(F105="","",IF($F$2=入力リスト!$Q$4,ROUNDDOWN(INT(F105)+ROUNDDOWN((F105-INT(F105))*100,0)/60,2),従業員の給与情報!F105))</f>
        <v/>
      </c>
      <c r="O105" s="8"/>
      <c r="P105" s="8"/>
    </row>
    <row r="106" spans="1:16">
      <c r="A106" s="119"/>
      <c r="B106" s="2"/>
      <c r="C106" s="369"/>
      <c r="D106" s="369"/>
      <c r="E106" s="369"/>
      <c r="F106" s="370"/>
      <c r="G106" s="248" t="str">
        <f t="shared" si="5"/>
        <v/>
      </c>
      <c r="H106" s="1" t="b">
        <f>IF(B106="",FALSE,COUNTIF('従業員情報(給与以外)'!$A$4:$A$1000000,$B106)=0)</f>
        <v>0</v>
      </c>
      <c r="I106" s="9" t="b">
        <f t="shared" si="6"/>
        <v>1</v>
      </c>
      <c r="J106" s="9" t="b">
        <f t="shared" si="7"/>
        <v>1</v>
      </c>
      <c r="K106" s="9" t="b">
        <f t="shared" si="8"/>
        <v>1</v>
      </c>
      <c r="L106" s="9" t="b">
        <f t="shared" si="9"/>
        <v>1</v>
      </c>
      <c r="M106" s="1" t="b">
        <f>IF(OR(入力シート!$C$5&lt;&gt;入力リスト!$N$4,入力シート!$J$22&lt;&gt;入力リスト!$K$4),TRUE,IF($F$2=入力リスト!$Q$4,IF(F106-INT(F106)&lt;0.6,TRUE,FALSE),TRUE))</f>
        <v>1</v>
      </c>
      <c r="N106" s="9" t="str">
        <f>IF(F106="","",IF($F$2=入力リスト!$Q$4,ROUNDDOWN(INT(F106)+ROUNDDOWN((F106-INT(F106))*100,0)/60,2),従業員の給与情報!F106))</f>
        <v/>
      </c>
      <c r="O106" s="8"/>
      <c r="P106" s="8"/>
    </row>
    <row r="107" spans="1:16">
      <c r="A107" s="119"/>
      <c r="B107" s="2"/>
      <c r="C107" s="369"/>
      <c r="D107" s="369"/>
      <c r="E107" s="369"/>
      <c r="F107" s="370"/>
      <c r="G107" s="248" t="str">
        <f t="shared" si="5"/>
        <v/>
      </c>
      <c r="H107" s="1" t="b">
        <f>IF(B107="",FALSE,COUNTIF('従業員情報(給与以外)'!$A$4:$A$1000000,$B107)=0)</f>
        <v>0</v>
      </c>
      <c r="I107" s="9" t="b">
        <f t="shared" si="6"/>
        <v>1</v>
      </c>
      <c r="J107" s="9" t="b">
        <f t="shared" si="7"/>
        <v>1</v>
      </c>
      <c r="K107" s="9" t="b">
        <f t="shared" si="8"/>
        <v>1</v>
      </c>
      <c r="L107" s="9" t="b">
        <f t="shared" si="9"/>
        <v>1</v>
      </c>
      <c r="M107" s="1" t="b">
        <f>IF(OR(入力シート!$C$5&lt;&gt;入力リスト!$N$4,入力シート!$J$22&lt;&gt;入力リスト!$K$4),TRUE,IF($F$2=入力リスト!$Q$4,IF(F107-INT(F107)&lt;0.6,TRUE,FALSE),TRUE))</f>
        <v>1</v>
      </c>
      <c r="N107" s="9" t="str">
        <f>IF(F107="","",IF($F$2=入力リスト!$Q$4,ROUNDDOWN(INT(F107)+ROUNDDOWN((F107-INT(F107))*100,0)/60,2),従業員の給与情報!F107))</f>
        <v/>
      </c>
      <c r="O107" s="8"/>
      <c r="P107" s="8"/>
    </row>
    <row r="108" spans="1:16">
      <c r="A108" s="119"/>
      <c r="B108" s="2"/>
      <c r="C108" s="369"/>
      <c r="D108" s="369"/>
      <c r="E108" s="369"/>
      <c r="F108" s="370"/>
      <c r="G108" s="248" t="str">
        <f t="shared" si="5"/>
        <v/>
      </c>
      <c r="H108" s="1" t="b">
        <f>IF(B108="",FALSE,COUNTIF('従業員情報(給与以外)'!$A$4:$A$1000000,$B108)=0)</f>
        <v>0</v>
      </c>
      <c r="I108" s="9" t="b">
        <f t="shared" si="6"/>
        <v>1</v>
      </c>
      <c r="J108" s="9" t="b">
        <f t="shared" si="7"/>
        <v>1</v>
      </c>
      <c r="K108" s="9" t="b">
        <f t="shared" si="8"/>
        <v>1</v>
      </c>
      <c r="L108" s="9" t="b">
        <f t="shared" si="9"/>
        <v>1</v>
      </c>
      <c r="M108" s="1" t="b">
        <f>IF(OR(入力シート!$C$5&lt;&gt;入力リスト!$N$4,入力シート!$J$22&lt;&gt;入力リスト!$K$4),TRUE,IF($F$2=入力リスト!$Q$4,IF(F108-INT(F108)&lt;0.6,TRUE,FALSE),TRUE))</f>
        <v>1</v>
      </c>
      <c r="N108" s="9" t="str">
        <f>IF(F108="","",IF($F$2=入力リスト!$Q$4,ROUNDDOWN(INT(F108)+ROUNDDOWN((F108-INT(F108))*100,0)/60,2),従業員の給与情報!F108))</f>
        <v/>
      </c>
      <c r="O108" s="8"/>
      <c r="P108" s="8"/>
    </row>
    <row r="109" spans="1:16">
      <c r="A109" s="119"/>
      <c r="B109" s="2"/>
      <c r="C109" s="369"/>
      <c r="D109" s="369"/>
      <c r="E109" s="369"/>
      <c r="F109" s="370"/>
      <c r="G109" s="248" t="str">
        <f t="shared" si="5"/>
        <v/>
      </c>
      <c r="H109" s="1" t="b">
        <f>IF(B109="",FALSE,COUNTIF('従業員情報(給与以外)'!$A$4:$A$1000000,$B109)=0)</f>
        <v>0</v>
      </c>
      <c r="I109" s="9" t="b">
        <f t="shared" si="6"/>
        <v>1</v>
      </c>
      <c r="J109" s="9" t="b">
        <f t="shared" si="7"/>
        <v>1</v>
      </c>
      <c r="K109" s="9" t="b">
        <f t="shared" si="8"/>
        <v>1</v>
      </c>
      <c r="L109" s="9" t="b">
        <f t="shared" si="9"/>
        <v>1</v>
      </c>
      <c r="M109" s="1" t="b">
        <f>IF(OR(入力シート!$C$5&lt;&gt;入力リスト!$N$4,入力シート!$J$22&lt;&gt;入力リスト!$K$4),TRUE,IF($F$2=入力リスト!$Q$4,IF(F109-INT(F109)&lt;0.6,TRUE,FALSE),TRUE))</f>
        <v>1</v>
      </c>
      <c r="N109" s="9" t="str">
        <f>IF(F109="","",IF($F$2=入力リスト!$Q$4,ROUNDDOWN(INT(F109)+ROUNDDOWN((F109-INT(F109))*100,0)/60,2),従業員の給与情報!F109))</f>
        <v/>
      </c>
      <c r="O109" s="8"/>
      <c r="P109" s="8"/>
    </row>
    <row r="110" spans="1:16">
      <c r="A110" s="119"/>
      <c r="B110" s="2"/>
      <c r="C110" s="369"/>
      <c r="D110" s="369"/>
      <c r="E110" s="369"/>
      <c r="F110" s="370"/>
      <c r="G110" s="248" t="str">
        <f t="shared" si="5"/>
        <v/>
      </c>
      <c r="H110" s="1" t="b">
        <f>IF(B110="",FALSE,COUNTIF('従業員情報(給与以外)'!$A$4:$A$1000000,$B110)=0)</f>
        <v>0</v>
      </c>
      <c r="I110" s="9" t="b">
        <f t="shared" si="6"/>
        <v>1</v>
      </c>
      <c r="J110" s="9" t="b">
        <f t="shared" si="7"/>
        <v>1</v>
      </c>
      <c r="K110" s="9" t="b">
        <f t="shared" si="8"/>
        <v>1</v>
      </c>
      <c r="L110" s="9" t="b">
        <f t="shared" si="9"/>
        <v>1</v>
      </c>
      <c r="M110" s="1" t="b">
        <f>IF(OR(入力シート!$C$5&lt;&gt;入力リスト!$N$4,入力シート!$J$22&lt;&gt;入力リスト!$K$4),TRUE,IF($F$2=入力リスト!$Q$4,IF(F110-INT(F110)&lt;0.6,TRUE,FALSE),TRUE))</f>
        <v>1</v>
      </c>
      <c r="N110" s="9" t="str">
        <f>IF(F110="","",IF($F$2=入力リスト!$Q$4,ROUNDDOWN(INT(F110)+ROUNDDOWN((F110-INT(F110))*100,0)/60,2),従業員の給与情報!F110))</f>
        <v/>
      </c>
      <c r="O110" s="8"/>
      <c r="P110" s="8"/>
    </row>
    <row r="111" spans="1:16">
      <c r="A111" s="119"/>
      <c r="B111" s="2"/>
      <c r="C111" s="369"/>
      <c r="D111" s="369"/>
      <c r="E111" s="369"/>
      <c r="F111" s="370"/>
      <c r="G111" s="248" t="str">
        <f t="shared" si="5"/>
        <v/>
      </c>
      <c r="H111" s="1" t="b">
        <f>IF(B111="",FALSE,COUNTIF('従業員情報(給与以外)'!$A$4:$A$1000000,$B111)=0)</f>
        <v>0</v>
      </c>
      <c r="I111" s="9" t="b">
        <f t="shared" si="6"/>
        <v>1</v>
      </c>
      <c r="J111" s="9" t="b">
        <f t="shared" si="7"/>
        <v>1</v>
      </c>
      <c r="K111" s="9" t="b">
        <f t="shared" si="8"/>
        <v>1</v>
      </c>
      <c r="L111" s="9" t="b">
        <f t="shared" si="9"/>
        <v>1</v>
      </c>
      <c r="M111" s="1" t="b">
        <f>IF(OR(入力シート!$C$5&lt;&gt;入力リスト!$N$4,入力シート!$J$22&lt;&gt;入力リスト!$K$4),TRUE,IF($F$2=入力リスト!$Q$4,IF(F111-INT(F111)&lt;0.6,TRUE,FALSE),TRUE))</f>
        <v>1</v>
      </c>
      <c r="N111" s="9" t="str">
        <f>IF(F111="","",IF($F$2=入力リスト!$Q$4,ROUNDDOWN(INT(F111)+ROUNDDOWN((F111-INT(F111))*100,0)/60,2),従業員の給与情報!F111))</f>
        <v/>
      </c>
      <c r="O111" s="8"/>
      <c r="P111" s="8"/>
    </row>
    <row r="112" spans="1:16">
      <c r="A112" s="119"/>
      <c r="B112" s="2"/>
      <c r="C112" s="369"/>
      <c r="D112" s="369"/>
      <c r="E112" s="369"/>
      <c r="F112" s="370"/>
      <c r="G112" s="248" t="str">
        <f t="shared" si="5"/>
        <v/>
      </c>
      <c r="H112" s="1" t="b">
        <f>IF(B112="",FALSE,COUNTIF('従業員情報(給与以外)'!$A$4:$A$1000000,$B112)=0)</f>
        <v>0</v>
      </c>
      <c r="I112" s="9" t="b">
        <f t="shared" si="6"/>
        <v>1</v>
      </c>
      <c r="J112" s="9" t="b">
        <f t="shared" si="7"/>
        <v>1</v>
      </c>
      <c r="K112" s="9" t="b">
        <f t="shared" si="8"/>
        <v>1</v>
      </c>
      <c r="L112" s="9" t="b">
        <f t="shared" si="9"/>
        <v>1</v>
      </c>
      <c r="M112" s="1" t="b">
        <f>IF(OR(入力シート!$C$5&lt;&gt;入力リスト!$N$4,入力シート!$J$22&lt;&gt;入力リスト!$K$4),TRUE,IF($F$2=入力リスト!$Q$4,IF(F112-INT(F112)&lt;0.6,TRUE,FALSE),TRUE))</f>
        <v>1</v>
      </c>
      <c r="N112" s="9" t="str">
        <f>IF(F112="","",IF($F$2=入力リスト!$Q$4,ROUNDDOWN(INT(F112)+ROUNDDOWN((F112-INT(F112))*100,0)/60,2),従業員の給与情報!F112))</f>
        <v/>
      </c>
      <c r="O112" s="8"/>
      <c r="P112" s="8"/>
    </row>
    <row r="113" spans="1:16">
      <c r="A113" s="119"/>
      <c r="B113" s="2"/>
      <c r="C113" s="369"/>
      <c r="D113" s="369"/>
      <c r="E113" s="369"/>
      <c r="F113" s="370"/>
      <c r="G113" s="248" t="str">
        <f t="shared" si="5"/>
        <v/>
      </c>
      <c r="H113" s="1" t="b">
        <f>IF(B113="",FALSE,COUNTIF('従業員情報(給与以外)'!$A$4:$A$1000000,$B113)=0)</f>
        <v>0</v>
      </c>
      <c r="I113" s="9" t="b">
        <f t="shared" si="6"/>
        <v>1</v>
      </c>
      <c r="J113" s="9" t="b">
        <f t="shared" si="7"/>
        <v>1</v>
      </c>
      <c r="K113" s="9" t="b">
        <f t="shared" si="8"/>
        <v>1</v>
      </c>
      <c r="L113" s="9" t="b">
        <f t="shared" si="9"/>
        <v>1</v>
      </c>
      <c r="M113" s="1" t="b">
        <f>IF(OR(入力シート!$C$5&lt;&gt;入力リスト!$N$4,入力シート!$J$22&lt;&gt;入力リスト!$K$4),TRUE,IF($F$2=入力リスト!$Q$4,IF(F113-INT(F113)&lt;0.6,TRUE,FALSE),TRUE))</f>
        <v>1</v>
      </c>
      <c r="N113" s="9" t="str">
        <f>IF(F113="","",IF($F$2=入力リスト!$Q$4,ROUNDDOWN(INT(F113)+ROUNDDOWN((F113-INT(F113))*100,0)/60,2),従業員の給与情報!F113))</f>
        <v/>
      </c>
      <c r="O113" s="8"/>
      <c r="P113" s="8"/>
    </row>
    <row r="114" spans="1:16">
      <c r="A114" s="119"/>
      <c r="B114" s="2"/>
      <c r="C114" s="369"/>
      <c r="D114" s="369"/>
      <c r="E114" s="369"/>
      <c r="F114" s="370"/>
      <c r="G114" s="248" t="str">
        <f t="shared" si="5"/>
        <v/>
      </c>
      <c r="H114" s="1" t="b">
        <f>IF(B114="",FALSE,COUNTIF('従業員情報(給与以外)'!$A$4:$A$1000000,$B114)=0)</f>
        <v>0</v>
      </c>
      <c r="I114" s="9" t="b">
        <f t="shared" si="6"/>
        <v>1</v>
      </c>
      <c r="J114" s="9" t="b">
        <f t="shared" si="7"/>
        <v>1</v>
      </c>
      <c r="K114" s="9" t="b">
        <f t="shared" si="8"/>
        <v>1</v>
      </c>
      <c r="L114" s="9" t="b">
        <f t="shared" si="9"/>
        <v>1</v>
      </c>
      <c r="M114" s="1" t="b">
        <f>IF(OR(入力シート!$C$5&lt;&gt;入力リスト!$N$4,入力シート!$J$22&lt;&gt;入力リスト!$K$4),TRUE,IF($F$2=入力リスト!$Q$4,IF(F114-INT(F114)&lt;0.6,TRUE,FALSE),TRUE))</f>
        <v>1</v>
      </c>
      <c r="N114" s="9" t="str">
        <f>IF(F114="","",IF($F$2=入力リスト!$Q$4,ROUNDDOWN(INT(F114)+ROUNDDOWN((F114-INT(F114))*100,0)/60,2),従業員の給与情報!F114))</f>
        <v/>
      </c>
      <c r="O114" s="8"/>
      <c r="P114" s="8"/>
    </row>
    <row r="115" spans="1:16">
      <c r="A115" s="119"/>
      <c r="B115" s="2"/>
      <c r="C115" s="369"/>
      <c r="D115" s="369"/>
      <c r="E115" s="369"/>
      <c r="F115" s="370"/>
      <c r="G115" s="248" t="str">
        <f t="shared" si="5"/>
        <v/>
      </c>
      <c r="H115" s="1" t="b">
        <f>IF(B115="",FALSE,COUNTIF('従業員情報(給与以外)'!$A$4:$A$1000000,$B115)=0)</f>
        <v>0</v>
      </c>
      <c r="I115" s="9" t="b">
        <f t="shared" si="6"/>
        <v>1</v>
      </c>
      <c r="J115" s="9" t="b">
        <f t="shared" si="7"/>
        <v>1</v>
      </c>
      <c r="K115" s="9" t="b">
        <f t="shared" si="8"/>
        <v>1</v>
      </c>
      <c r="L115" s="9" t="b">
        <f t="shared" si="9"/>
        <v>1</v>
      </c>
      <c r="M115" s="1" t="b">
        <f>IF(OR(入力シート!$C$5&lt;&gt;入力リスト!$N$4,入力シート!$J$22&lt;&gt;入力リスト!$K$4),TRUE,IF($F$2=入力リスト!$Q$4,IF(F115-INT(F115)&lt;0.6,TRUE,FALSE),TRUE))</f>
        <v>1</v>
      </c>
      <c r="N115" s="9" t="str">
        <f>IF(F115="","",IF($F$2=入力リスト!$Q$4,ROUNDDOWN(INT(F115)+ROUNDDOWN((F115-INT(F115))*100,0)/60,2),従業員の給与情報!F115))</f>
        <v/>
      </c>
      <c r="O115" s="8"/>
      <c r="P115" s="8"/>
    </row>
    <row r="116" spans="1:16">
      <c r="A116" s="119"/>
      <c r="B116" s="2"/>
      <c r="C116" s="369"/>
      <c r="D116" s="369"/>
      <c r="E116" s="369"/>
      <c r="F116" s="370"/>
      <c r="G116" s="248" t="str">
        <f t="shared" si="5"/>
        <v/>
      </c>
      <c r="H116" s="1" t="b">
        <f>IF(B116="",FALSE,COUNTIF('従業員情報(給与以外)'!$A$4:$A$1000000,$B116)=0)</f>
        <v>0</v>
      </c>
      <c r="I116" s="9" t="b">
        <f t="shared" si="6"/>
        <v>1</v>
      </c>
      <c r="J116" s="9" t="b">
        <f t="shared" si="7"/>
        <v>1</v>
      </c>
      <c r="K116" s="9" t="b">
        <f t="shared" si="8"/>
        <v>1</v>
      </c>
      <c r="L116" s="9" t="b">
        <f t="shared" si="9"/>
        <v>1</v>
      </c>
      <c r="M116" s="1" t="b">
        <f>IF(OR(入力シート!$C$5&lt;&gt;入力リスト!$N$4,入力シート!$J$22&lt;&gt;入力リスト!$K$4),TRUE,IF($F$2=入力リスト!$Q$4,IF(F116-INT(F116)&lt;0.6,TRUE,FALSE),TRUE))</f>
        <v>1</v>
      </c>
      <c r="N116" s="9" t="str">
        <f>IF(F116="","",IF($F$2=入力リスト!$Q$4,ROUNDDOWN(INT(F116)+ROUNDDOWN((F116-INT(F116))*100,0)/60,2),従業員の給与情報!F116))</f>
        <v/>
      </c>
      <c r="O116" s="8"/>
      <c r="P116" s="8"/>
    </row>
    <row r="117" spans="1:16">
      <c r="A117" s="119"/>
      <c r="B117" s="2"/>
      <c r="C117" s="369"/>
      <c r="D117" s="369"/>
      <c r="E117" s="369"/>
      <c r="F117" s="370"/>
      <c r="G117" s="248" t="str">
        <f t="shared" si="5"/>
        <v/>
      </c>
      <c r="H117" s="1" t="b">
        <f>IF(B117="",FALSE,COUNTIF('従業員情報(給与以外)'!$A$4:$A$1000000,$B117)=0)</f>
        <v>0</v>
      </c>
      <c r="I117" s="9" t="b">
        <f t="shared" si="6"/>
        <v>1</v>
      </c>
      <c r="J117" s="9" t="b">
        <f t="shared" si="7"/>
        <v>1</v>
      </c>
      <c r="K117" s="9" t="b">
        <f t="shared" si="8"/>
        <v>1</v>
      </c>
      <c r="L117" s="9" t="b">
        <f t="shared" si="9"/>
        <v>1</v>
      </c>
      <c r="M117" s="1" t="b">
        <f>IF(OR(入力シート!$C$5&lt;&gt;入力リスト!$N$4,入力シート!$J$22&lt;&gt;入力リスト!$K$4),TRUE,IF($F$2=入力リスト!$Q$4,IF(F117-INT(F117)&lt;0.6,TRUE,FALSE),TRUE))</f>
        <v>1</v>
      </c>
      <c r="N117" s="9" t="str">
        <f>IF(F117="","",IF($F$2=入力リスト!$Q$4,ROUNDDOWN(INT(F117)+ROUNDDOWN((F117-INT(F117))*100,0)/60,2),従業員の給与情報!F117))</f>
        <v/>
      </c>
      <c r="O117" s="8"/>
      <c r="P117" s="8"/>
    </row>
    <row r="118" spans="1:16">
      <c r="A118" s="119"/>
      <c r="B118" s="2"/>
      <c r="C118" s="369"/>
      <c r="D118" s="369"/>
      <c r="E118" s="369"/>
      <c r="F118" s="370"/>
      <c r="G118" s="248" t="str">
        <f t="shared" si="5"/>
        <v/>
      </c>
      <c r="H118" s="1" t="b">
        <f>IF(B118="",FALSE,COUNTIF('従業員情報(給与以外)'!$A$4:$A$1000000,$B118)=0)</f>
        <v>0</v>
      </c>
      <c r="I118" s="9" t="b">
        <f t="shared" si="6"/>
        <v>1</v>
      </c>
      <c r="J118" s="9" t="b">
        <f t="shared" si="7"/>
        <v>1</v>
      </c>
      <c r="K118" s="9" t="b">
        <f t="shared" si="8"/>
        <v>1</v>
      </c>
      <c r="L118" s="9" t="b">
        <f t="shared" si="9"/>
        <v>1</v>
      </c>
      <c r="M118" s="1" t="b">
        <f>IF(OR(入力シート!$C$5&lt;&gt;入力リスト!$N$4,入力シート!$J$22&lt;&gt;入力リスト!$K$4),TRUE,IF($F$2=入力リスト!$Q$4,IF(F118-INT(F118)&lt;0.6,TRUE,FALSE),TRUE))</f>
        <v>1</v>
      </c>
      <c r="N118" s="9" t="str">
        <f>IF(F118="","",IF($F$2=入力リスト!$Q$4,ROUNDDOWN(INT(F118)+ROUNDDOWN((F118-INT(F118))*100,0)/60,2),従業員の給与情報!F118))</f>
        <v/>
      </c>
      <c r="O118" s="8"/>
      <c r="P118" s="8"/>
    </row>
    <row r="119" spans="1:16">
      <c r="A119" s="119"/>
      <c r="B119" s="2"/>
      <c r="C119" s="369"/>
      <c r="D119" s="369"/>
      <c r="E119" s="369"/>
      <c r="F119" s="370"/>
      <c r="G119" s="248" t="str">
        <f t="shared" si="5"/>
        <v/>
      </c>
      <c r="H119" s="1" t="b">
        <f>IF(B119="",FALSE,COUNTIF('従業員情報(給与以外)'!$A$4:$A$1000000,$B119)=0)</f>
        <v>0</v>
      </c>
      <c r="I119" s="9" t="b">
        <f t="shared" si="6"/>
        <v>1</v>
      </c>
      <c r="J119" s="9" t="b">
        <f t="shared" si="7"/>
        <v>1</v>
      </c>
      <c r="K119" s="9" t="b">
        <f t="shared" si="8"/>
        <v>1</v>
      </c>
      <c r="L119" s="9" t="b">
        <f t="shared" si="9"/>
        <v>1</v>
      </c>
      <c r="M119" s="1" t="b">
        <f>IF(OR(入力シート!$C$5&lt;&gt;入力リスト!$N$4,入力シート!$J$22&lt;&gt;入力リスト!$K$4),TRUE,IF($F$2=入力リスト!$Q$4,IF(F119-INT(F119)&lt;0.6,TRUE,FALSE),TRUE))</f>
        <v>1</v>
      </c>
      <c r="N119" s="9" t="str">
        <f>IF(F119="","",IF($F$2=入力リスト!$Q$4,ROUNDDOWN(INT(F119)+ROUNDDOWN((F119-INT(F119))*100,0)/60,2),従業員の給与情報!F119))</f>
        <v/>
      </c>
      <c r="O119" s="8"/>
      <c r="P119" s="8"/>
    </row>
    <row r="120" spans="1:16">
      <c r="A120" s="119"/>
      <c r="B120" s="2"/>
      <c r="C120" s="369"/>
      <c r="D120" s="369"/>
      <c r="E120" s="369"/>
      <c r="F120" s="370"/>
      <c r="G120" s="248" t="str">
        <f t="shared" si="5"/>
        <v/>
      </c>
      <c r="H120" s="1" t="b">
        <f>IF(B120="",FALSE,COUNTIF('従業員情報(給与以外)'!$A$4:$A$1000000,$B120)=0)</f>
        <v>0</v>
      </c>
      <c r="I120" s="9" t="b">
        <f t="shared" si="6"/>
        <v>1</v>
      </c>
      <c r="J120" s="9" t="b">
        <f t="shared" si="7"/>
        <v>1</v>
      </c>
      <c r="K120" s="9" t="b">
        <f t="shared" si="8"/>
        <v>1</v>
      </c>
      <c r="L120" s="9" t="b">
        <f t="shared" si="9"/>
        <v>1</v>
      </c>
      <c r="M120" s="1" t="b">
        <f>IF(OR(入力シート!$C$5&lt;&gt;入力リスト!$N$4,入力シート!$J$22&lt;&gt;入力リスト!$K$4),TRUE,IF($F$2=入力リスト!$Q$4,IF(F120-INT(F120)&lt;0.6,TRUE,FALSE),TRUE))</f>
        <v>1</v>
      </c>
      <c r="N120" s="9" t="str">
        <f>IF(F120="","",IF($F$2=入力リスト!$Q$4,ROUNDDOWN(INT(F120)+ROUNDDOWN((F120-INT(F120))*100,0)/60,2),従業員の給与情報!F120))</f>
        <v/>
      </c>
      <c r="O120" s="8"/>
      <c r="P120" s="8"/>
    </row>
    <row r="121" spans="1:16">
      <c r="A121" s="119"/>
      <c r="B121" s="2"/>
      <c r="C121" s="369"/>
      <c r="D121" s="369"/>
      <c r="E121" s="369"/>
      <c r="F121" s="370"/>
      <c r="G121" s="248" t="str">
        <f t="shared" si="5"/>
        <v/>
      </c>
      <c r="H121" s="1" t="b">
        <f>IF(B121="",FALSE,COUNTIF('従業員情報(給与以外)'!$A$4:$A$1000000,$B121)=0)</f>
        <v>0</v>
      </c>
      <c r="I121" s="9" t="b">
        <f t="shared" si="6"/>
        <v>1</v>
      </c>
      <c r="J121" s="9" t="b">
        <f t="shared" si="7"/>
        <v>1</v>
      </c>
      <c r="K121" s="9" t="b">
        <f t="shared" si="8"/>
        <v>1</v>
      </c>
      <c r="L121" s="9" t="b">
        <f t="shared" si="9"/>
        <v>1</v>
      </c>
      <c r="M121" s="1" t="b">
        <f>IF(OR(入力シート!$C$5&lt;&gt;入力リスト!$N$4,入力シート!$J$22&lt;&gt;入力リスト!$K$4),TRUE,IF($F$2=入力リスト!$Q$4,IF(F121-INT(F121)&lt;0.6,TRUE,FALSE),TRUE))</f>
        <v>1</v>
      </c>
      <c r="N121" s="9" t="str">
        <f>IF(F121="","",IF($F$2=入力リスト!$Q$4,ROUNDDOWN(INT(F121)+ROUNDDOWN((F121-INT(F121))*100,0)/60,2),従業員の給与情報!F121))</f>
        <v/>
      </c>
      <c r="O121" s="8"/>
      <c r="P121" s="8"/>
    </row>
    <row r="122" spans="1:16">
      <c r="A122" s="119"/>
      <c r="B122" s="2"/>
      <c r="C122" s="369"/>
      <c r="D122" s="369"/>
      <c r="E122" s="369"/>
      <c r="F122" s="370"/>
      <c r="G122" s="248" t="str">
        <f t="shared" si="5"/>
        <v/>
      </c>
      <c r="H122" s="1" t="b">
        <f>IF(B122="",FALSE,COUNTIF('従業員情報(給与以外)'!$A$4:$A$1000000,$B122)=0)</f>
        <v>0</v>
      </c>
      <c r="I122" s="9" t="b">
        <f t="shared" si="6"/>
        <v>1</v>
      </c>
      <c r="J122" s="9" t="b">
        <f t="shared" si="7"/>
        <v>1</v>
      </c>
      <c r="K122" s="9" t="b">
        <f t="shared" si="8"/>
        <v>1</v>
      </c>
      <c r="L122" s="9" t="b">
        <f t="shared" si="9"/>
        <v>1</v>
      </c>
      <c r="M122" s="1" t="b">
        <f>IF(OR(入力シート!$C$5&lt;&gt;入力リスト!$N$4,入力シート!$J$22&lt;&gt;入力リスト!$K$4),TRUE,IF($F$2=入力リスト!$Q$4,IF(F122-INT(F122)&lt;0.6,TRUE,FALSE),TRUE))</f>
        <v>1</v>
      </c>
      <c r="N122" s="9" t="str">
        <f>IF(F122="","",IF($F$2=入力リスト!$Q$4,ROUNDDOWN(INT(F122)+ROUNDDOWN((F122-INT(F122))*100,0)/60,2),従業員の給与情報!F122))</f>
        <v/>
      </c>
      <c r="O122" s="8"/>
      <c r="P122" s="8"/>
    </row>
    <row r="123" spans="1:16">
      <c r="A123" s="119"/>
      <c r="B123" s="2"/>
      <c r="C123" s="369"/>
      <c r="D123" s="369"/>
      <c r="E123" s="369"/>
      <c r="F123" s="370"/>
      <c r="G123" s="248" t="str">
        <f t="shared" si="5"/>
        <v/>
      </c>
      <c r="H123" s="1" t="b">
        <f>IF(B123="",FALSE,COUNTIF('従業員情報(給与以外)'!$A$4:$A$1000000,$B123)=0)</f>
        <v>0</v>
      </c>
      <c r="I123" s="9" t="b">
        <f t="shared" si="6"/>
        <v>1</v>
      </c>
      <c r="J123" s="9" t="b">
        <f t="shared" si="7"/>
        <v>1</v>
      </c>
      <c r="K123" s="9" t="b">
        <f t="shared" si="8"/>
        <v>1</v>
      </c>
      <c r="L123" s="9" t="b">
        <f t="shared" si="9"/>
        <v>1</v>
      </c>
      <c r="M123" s="1" t="b">
        <f>IF(OR(入力シート!$C$5&lt;&gt;入力リスト!$N$4,入力シート!$J$22&lt;&gt;入力リスト!$K$4),TRUE,IF($F$2=入力リスト!$Q$4,IF(F123-INT(F123)&lt;0.6,TRUE,FALSE),TRUE))</f>
        <v>1</v>
      </c>
      <c r="N123" s="9" t="str">
        <f>IF(F123="","",IF($F$2=入力リスト!$Q$4,ROUNDDOWN(INT(F123)+ROUNDDOWN((F123-INT(F123))*100,0)/60,2),従業員の給与情報!F123))</f>
        <v/>
      </c>
      <c r="O123" s="8"/>
      <c r="P123" s="8"/>
    </row>
    <row r="124" spans="1:16">
      <c r="A124" s="119"/>
      <c r="B124" s="2"/>
      <c r="C124" s="369"/>
      <c r="D124" s="369"/>
      <c r="E124" s="369"/>
      <c r="F124" s="370"/>
      <c r="G124" s="248" t="str">
        <f t="shared" si="5"/>
        <v/>
      </c>
      <c r="H124" s="1" t="b">
        <f>IF(B124="",FALSE,COUNTIF('従業員情報(給与以外)'!$A$4:$A$1000000,$B124)=0)</f>
        <v>0</v>
      </c>
      <c r="I124" s="9" t="b">
        <f t="shared" si="6"/>
        <v>1</v>
      </c>
      <c r="J124" s="9" t="b">
        <f t="shared" si="7"/>
        <v>1</v>
      </c>
      <c r="K124" s="9" t="b">
        <f t="shared" si="8"/>
        <v>1</v>
      </c>
      <c r="L124" s="9" t="b">
        <f t="shared" si="9"/>
        <v>1</v>
      </c>
      <c r="M124" s="1" t="b">
        <f>IF(OR(入力シート!$C$5&lt;&gt;入力リスト!$N$4,入力シート!$J$22&lt;&gt;入力リスト!$K$4),TRUE,IF($F$2=入力リスト!$Q$4,IF(F124-INT(F124)&lt;0.6,TRUE,FALSE),TRUE))</f>
        <v>1</v>
      </c>
      <c r="N124" s="9" t="str">
        <f>IF(F124="","",IF($F$2=入力リスト!$Q$4,ROUNDDOWN(INT(F124)+ROUNDDOWN((F124-INT(F124))*100,0)/60,2),従業員の給与情報!F124))</f>
        <v/>
      </c>
      <c r="O124" s="8"/>
      <c r="P124" s="8"/>
    </row>
    <row r="125" spans="1:16">
      <c r="A125" s="119"/>
      <c r="B125" s="2"/>
      <c r="C125" s="369"/>
      <c r="D125" s="369"/>
      <c r="E125" s="369"/>
      <c r="F125" s="370"/>
      <c r="G125" s="248" t="str">
        <f t="shared" si="5"/>
        <v/>
      </c>
      <c r="H125" s="1" t="b">
        <f>IF(B125="",FALSE,COUNTIF('従業員情報(給与以外)'!$A$4:$A$1000000,$B125)=0)</f>
        <v>0</v>
      </c>
      <c r="I125" s="9" t="b">
        <f t="shared" si="6"/>
        <v>1</v>
      </c>
      <c r="J125" s="9" t="b">
        <f t="shared" si="7"/>
        <v>1</v>
      </c>
      <c r="K125" s="9" t="b">
        <f t="shared" si="8"/>
        <v>1</v>
      </c>
      <c r="L125" s="9" t="b">
        <f t="shared" si="9"/>
        <v>1</v>
      </c>
      <c r="M125" s="1" t="b">
        <f>IF(OR(入力シート!$C$5&lt;&gt;入力リスト!$N$4,入力シート!$J$22&lt;&gt;入力リスト!$K$4),TRUE,IF($F$2=入力リスト!$Q$4,IF(F125-INT(F125)&lt;0.6,TRUE,FALSE),TRUE))</f>
        <v>1</v>
      </c>
      <c r="N125" s="9" t="str">
        <f>IF(F125="","",IF($F$2=入力リスト!$Q$4,ROUNDDOWN(INT(F125)+ROUNDDOWN((F125-INT(F125))*100,0)/60,2),従業員の給与情報!F125))</f>
        <v/>
      </c>
      <c r="O125" s="8"/>
      <c r="P125" s="8"/>
    </row>
    <row r="126" spans="1:16">
      <c r="A126" s="119"/>
      <c r="B126" s="2"/>
      <c r="C126" s="369"/>
      <c r="D126" s="369"/>
      <c r="E126" s="369"/>
      <c r="F126" s="370"/>
      <c r="G126" s="248" t="str">
        <f t="shared" si="5"/>
        <v/>
      </c>
      <c r="H126" s="1" t="b">
        <f>IF(B126="",FALSE,COUNTIF('従業員情報(給与以外)'!$A$4:$A$1000000,$B126)=0)</f>
        <v>0</v>
      </c>
      <c r="I126" s="9" t="b">
        <f t="shared" si="6"/>
        <v>1</v>
      </c>
      <c r="J126" s="9" t="b">
        <f t="shared" si="7"/>
        <v>1</v>
      </c>
      <c r="K126" s="9" t="b">
        <f t="shared" si="8"/>
        <v>1</v>
      </c>
      <c r="L126" s="9" t="b">
        <f t="shared" si="9"/>
        <v>1</v>
      </c>
      <c r="M126" s="1" t="b">
        <f>IF(OR(入力シート!$C$5&lt;&gt;入力リスト!$N$4,入力シート!$J$22&lt;&gt;入力リスト!$K$4),TRUE,IF($F$2=入力リスト!$Q$4,IF(F126-INT(F126)&lt;0.6,TRUE,FALSE),TRUE))</f>
        <v>1</v>
      </c>
      <c r="N126" s="9" t="str">
        <f>IF(F126="","",IF($F$2=入力リスト!$Q$4,ROUNDDOWN(INT(F126)+ROUNDDOWN((F126-INT(F126))*100,0)/60,2),従業員の給与情報!F126))</f>
        <v/>
      </c>
      <c r="O126" s="8"/>
      <c r="P126" s="8"/>
    </row>
    <row r="127" spans="1:16">
      <c r="A127" s="119"/>
      <c r="B127" s="2"/>
      <c r="C127" s="369"/>
      <c r="D127" s="369"/>
      <c r="E127" s="369"/>
      <c r="F127" s="370"/>
      <c r="G127" s="248" t="str">
        <f t="shared" si="5"/>
        <v/>
      </c>
      <c r="H127" s="1" t="b">
        <f>IF(B127="",FALSE,COUNTIF('従業員情報(給与以外)'!$A$4:$A$1000000,$B127)=0)</f>
        <v>0</v>
      </c>
      <c r="I127" s="9" t="b">
        <f t="shared" si="6"/>
        <v>1</v>
      </c>
      <c r="J127" s="9" t="b">
        <f t="shared" si="7"/>
        <v>1</v>
      </c>
      <c r="K127" s="9" t="b">
        <f t="shared" si="8"/>
        <v>1</v>
      </c>
      <c r="L127" s="9" t="b">
        <f t="shared" si="9"/>
        <v>1</v>
      </c>
      <c r="M127" s="1" t="b">
        <f>IF(OR(入力シート!$C$5&lt;&gt;入力リスト!$N$4,入力シート!$J$22&lt;&gt;入力リスト!$K$4),TRUE,IF($F$2=入力リスト!$Q$4,IF(F127-INT(F127)&lt;0.6,TRUE,FALSE),TRUE))</f>
        <v>1</v>
      </c>
      <c r="N127" s="9" t="str">
        <f>IF(F127="","",IF($F$2=入力リスト!$Q$4,ROUNDDOWN(INT(F127)+ROUNDDOWN((F127-INT(F127))*100,0)/60,2),従業員の給与情報!F127))</f>
        <v/>
      </c>
      <c r="O127" s="8"/>
      <c r="P127" s="8"/>
    </row>
    <row r="128" spans="1:16">
      <c r="A128" s="119"/>
      <c r="B128" s="2"/>
      <c r="C128" s="369"/>
      <c r="D128" s="369"/>
      <c r="E128" s="369"/>
      <c r="F128" s="370"/>
      <c r="G128" s="248" t="str">
        <f t="shared" si="5"/>
        <v/>
      </c>
      <c r="H128" s="1" t="b">
        <f>IF(B128="",FALSE,COUNTIF('従業員情報(給与以外)'!$A$4:$A$1000000,$B128)=0)</f>
        <v>0</v>
      </c>
      <c r="I128" s="9" t="b">
        <f t="shared" si="6"/>
        <v>1</v>
      </c>
      <c r="J128" s="9" t="b">
        <f t="shared" si="7"/>
        <v>1</v>
      </c>
      <c r="K128" s="9" t="b">
        <f t="shared" si="8"/>
        <v>1</v>
      </c>
      <c r="L128" s="9" t="b">
        <f t="shared" si="9"/>
        <v>1</v>
      </c>
      <c r="M128" s="1" t="b">
        <f>IF(OR(入力シート!$C$5&lt;&gt;入力リスト!$N$4,入力シート!$J$22&lt;&gt;入力リスト!$K$4),TRUE,IF($F$2=入力リスト!$Q$4,IF(F128-INT(F128)&lt;0.6,TRUE,FALSE),TRUE))</f>
        <v>1</v>
      </c>
      <c r="N128" s="9" t="str">
        <f>IF(F128="","",IF($F$2=入力リスト!$Q$4,ROUNDDOWN(INT(F128)+ROUNDDOWN((F128-INT(F128))*100,0)/60,2),従業員の給与情報!F128))</f>
        <v/>
      </c>
      <c r="O128" s="8"/>
      <c r="P128" s="8"/>
    </row>
    <row r="129" spans="1:16">
      <c r="A129" s="119"/>
      <c r="B129" s="2"/>
      <c r="C129" s="369"/>
      <c r="D129" s="369"/>
      <c r="E129" s="369"/>
      <c r="F129" s="370"/>
      <c r="G129" s="248" t="str">
        <f t="shared" si="5"/>
        <v/>
      </c>
      <c r="H129" s="1" t="b">
        <f>IF(B129="",FALSE,COUNTIF('従業員情報(給与以外)'!$A$4:$A$1000000,$B129)=0)</f>
        <v>0</v>
      </c>
      <c r="I129" s="9" t="b">
        <f t="shared" si="6"/>
        <v>1</v>
      </c>
      <c r="J129" s="9" t="b">
        <f t="shared" si="7"/>
        <v>1</v>
      </c>
      <c r="K129" s="9" t="b">
        <f t="shared" si="8"/>
        <v>1</v>
      </c>
      <c r="L129" s="9" t="b">
        <f t="shared" si="9"/>
        <v>1</v>
      </c>
      <c r="M129" s="1" t="b">
        <f>IF(OR(入力シート!$C$5&lt;&gt;入力リスト!$N$4,入力シート!$J$22&lt;&gt;入力リスト!$K$4),TRUE,IF($F$2=入力リスト!$Q$4,IF(F129-INT(F129)&lt;0.6,TRUE,FALSE),TRUE))</f>
        <v>1</v>
      </c>
      <c r="N129" s="9" t="str">
        <f>IF(F129="","",IF($F$2=入力リスト!$Q$4,ROUNDDOWN(INT(F129)+ROUNDDOWN((F129-INT(F129))*100,0)/60,2),従業員の給与情報!F129))</f>
        <v/>
      </c>
      <c r="O129" s="8"/>
      <c r="P129" s="8"/>
    </row>
    <row r="130" spans="1:16">
      <c r="A130" s="119"/>
      <c r="B130" s="2"/>
      <c r="C130" s="369"/>
      <c r="D130" s="369"/>
      <c r="E130" s="369"/>
      <c r="F130" s="370"/>
      <c r="G130" s="248" t="str">
        <f t="shared" si="5"/>
        <v/>
      </c>
      <c r="H130" s="1" t="b">
        <f>IF(B130="",FALSE,COUNTIF('従業員情報(給与以外)'!$A$4:$A$1000000,$B130)=0)</f>
        <v>0</v>
      </c>
      <c r="I130" s="9" t="b">
        <f t="shared" si="6"/>
        <v>1</v>
      </c>
      <c r="J130" s="9" t="b">
        <f t="shared" si="7"/>
        <v>1</v>
      </c>
      <c r="K130" s="9" t="b">
        <f t="shared" si="8"/>
        <v>1</v>
      </c>
      <c r="L130" s="9" t="b">
        <f t="shared" si="9"/>
        <v>1</v>
      </c>
      <c r="M130" s="1" t="b">
        <f>IF(OR(入力シート!$C$5&lt;&gt;入力リスト!$N$4,入力シート!$J$22&lt;&gt;入力リスト!$K$4),TRUE,IF($F$2=入力リスト!$Q$4,IF(F130-INT(F130)&lt;0.6,TRUE,FALSE),TRUE))</f>
        <v>1</v>
      </c>
      <c r="N130" s="9" t="str">
        <f>IF(F130="","",IF($F$2=入力リスト!$Q$4,ROUNDDOWN(INT(F130)+ROUNDDOWN((F130-INT(F130))*100,0)/60,2),従業員の給与情報!F130))</f>
        <v/>
      </c>
      <c r="O130" s="8"/>
      <c r="P130" s="8"/>
    </row>
    <row r="131" spans="1:16">
      <c r="A131" s="119"/>
      <c r="B131" s="2"/>
      <c r="C131" s="369"/>
      <c r="D131" s="369"/>
      <c r="E131" s="369"/>
      <c r="F131" s="370"/>
      <c r="G131" s="248" t="str">
        <f t="shared" si="5"/>
        <v/>
      </c>
      <c r="H131" s="1" t="b">
        <f>IF(B131="",FALSE,COUNTIF('従業員情報(給与以外)'!$A$4:$A$1000000,$B131)=0)</f>
        <v>0</v>
      </c>
      <c r="I131" s="9" t="b">
        <f t="shared" si="6"/>
        <v>1</v>
      </c>
      <c r="J131" s="9" t="b">
        <f t="shared" si="7"/>
        <v>1</v>
      </c>
      <c r="K131" s="9" t="b">
        <f t="shared" si="8"/>
        <v>1</v>
      </c>
      <c r="L131" s="9" t="b">
        <f t="shared" si="9"/>
        <v>1</v>
      </c>
      <c r="M131" s="1" t="b">
        <f>IF(OR(入力シート!$C$5&lt;&gt;入力リスト!$N$4,入力シート!$J$22&lt;&gt;入力リスト!$K$4),TRUE,IF($F$2=入力リスト!$Q$4,IF(F131-INT(F131)&lt;0.6,TRUE,FALSE),TRUE))</f>
        <v>1</v>
      </c>
      <c r="N131" s="9" t="str">
        <f>IF(F131="","",IF($F$2=入力リスト!$Q$4,ROUNDDOWN(INT(F131)+ROUNDDOWN((F131-INT(F131))*100,0)/60,2),従業員の給与情報!F131))</f>
        <v/>
      </c>
      <c r="O131" s="8"/>
      <c r="P131" s="8"/>
    </row>
    <row r="132" spans="1:16">
      <c r="A132" s="119"/>
      <c r="B132" s="2"/>
      <c r="C132" s="369"/>
      <c r="D132" s="369"/>
      <c r="E132" s="369"/>
      <c r="F132" s="370"/>
      <c r="G132" s="248" t="str">
        <f t="shared" si="5"/>
        <v/>
      </c>
      <c r="H132" s="1" t="b">
        <f>IF(B132="",FALSE,COUNTIF('従業員情報(給与以外)'!$A$4:$A$1000000,$B132)=0)</f>
        <v>0</v>
      </c>
      <c r="I132" s="9" t="b">
        <f t="shared" si="6"/>
        <v>1</v>
      </c>
      <c r="J132" s="9" t="b">
        <f t="shared" si="7"/>
        <v>1</v>
      </c>
      <c r="K132" s="9" t="b">
        <f t="shared" si="8"/>
        <v>1</v>
      </c>
      <c r="L132" s="9" t="b">
        <f t="shared" si="9"/>
        <v>1</v>
      </c>
      <c r="M132" s="1" t="b">
        <f>IF(OR(入力シート!$C$5&lt;&gt;入力リスト!$N$4,入力シート!$J$22&lt;&gt;入力リスト!$K$4),TRUE,IF($F$2=入力リスト!$Q$4,IF(F132-INT(F132)&lt;0.6,TRUE,FALSE),TRUE))</f>
        <v>1</v>
      </c>
      <c r="N132" s="9" t="str">
        <f>IF(F132="","",IF($F$2=入力リスト!$Q$4,ROUNDDOWN(INT(F132)+ROUNDDOWN((F132-INT(F132))*100,0)/60,2),従業員の給与情報!F132))</f>
        <v/>
      </c>
      <c r="O132" s="8"/>
      <c r="P132" s="8"/>
    </row>
    <row r="133" spans="1:16">
      <c r="A133" s="119"/>
      <c r="B133" s="2"/>
      <c r="C133" s="369"/>
      <c r="D133" s="369"/>
      <c r="E133" s="369"/>
      <c r="F133" s="370"/>
      <c r="G133" s="248" t="str">
        <f t="shared" ref="G133:G196" si="10">IF(AND($B133="",OR(B133&lt;&gt;"",C133&lt;&gt;"",D133&lt;&gt;"",E133&lt;&gt;"",F133&lt;&gt;"")),"従業員番号が空白です。",IF($H133=TRUE,"この従業員番号は、シート［従業員情報（給与以外）］に存在しません。",IF(I133=FALSE,"「毎月の固定給与額」","")&amp;IF(AND(I133=FALSE,OR(J133=FALSE,K133=FALSE,L133=FALSE)),",","")&amp;IF(J133=FALSE,"「賞与額等」","")&amp;IF(AND(J133=FALSE,OR(K133=FALSE,L133=FALSE)),",","")&amp;IF(K133=FALSE,"「残業手当」","")&amp;IF(AND(K133=FALSE,L133=FALSE),",","")&amp;IF(L133=FALSE,"「残業時間」","")&amp;IF(OR(I133=FALSE,J133=FALSE,K133=FALSE,L133=FALSE),"に数値以外が入力されています。","")&amp;IF(M133,"","「残業時間」を分単位で入力した場合、小数点以下の値は0.6未満にしてください。")))</f>
        <v/>
      </c>
      <c r="H133" s="1" t="b">
        <f>IF(B133="",FALSE,COUNTIF('従業員情報(給与以外)'!$A$4:$A$1000000,$B133)=0)</f>
        <v>0</v>
      </c>
      <c r="I133" s="9" t="b">
        <f t="shared" ref="I133:I196" si="11">OR(C133="",ISNUMBER(C133))</f>
        <v>1</v>
      </c>
      <c r="J133" s="9" t="b">
        <f t="shared" ref="J133:J196" si="12">OR(D133="",ISNUMBER(D133))</f>
        <v>1</v>
      </c>
      <c r="K133" s="9" t="b">
        <f t="shared" ref="K133:K196" si="13">OR(E133="",ISNUMBER(E133))</f>
        <v>1</v>
      </c>
      <c r="L133" s="9" t="b">
        <f t="shared" ref="L133:L196" si="14">OR(F133="",ISNUMBER(F133))</f>
        <v>1</v>
      </c>
      <c r="M133" s="1" t="b">
        <f>IF(OR(入力シート!$C$5&lt;&gt;入力リスト!$N$4,入力シート!$J$22&lt;&gt;入力リスト!$K$4),TRUE,IF($F$2=入力リスト!$Q$4,IF(F133-INT(F133)&lt;0.6,TRUE,FALSE),TRUE))</f>
        <v>1</v>
      </c>
      <c r="N133" s="9" t="str">
        <f>IF(F133="","",IF($F$2=入力リスト!$Q$4,ROUNDDOWN(INT(F133)+ROUNDDOWN((F133-INT(F133))*100,0)/60,2),従業員の給与情報!F133))</f>
        <v/>
      </c>
      <c r="O133" s="8"/>
      <c r="P133" s="8"/>
    </row>
    <row r="134" spans="1:16">
      <c r="A134" s="119"/>
      <c r="B134" s="2"/>
      <c r="C134" s="369"/>
      <c r="D134" s="369"/>
      <c r="E134" s="369"/>
      <c r="F134" s="370"/>
      <c r="G134" s="248" t="str">
        <f t="shared" si="10"/>
        <v/>
      </c>
      <c r="H134" s="1" t="b">
        <f>IF(B134="",FALSE,COUNTIF('従業員情報(給与以外)'!$A$4:$A$1000000,$B134)=0)</f>
        <v>0</v>
      </c>
      <c r="I134" s="9" t="b">
        <f t="shared" si="11"/>
        <v>1</v>
      </c>
      <c r="J134" s="9" t="b">
        <f t="shared" si="12"/>
        <v>1</v>
      </c>
      <c r="K134" s="9" t="b">
        <f t="shared" si="13"/>
        <v>1</v>
      </c>
      <c r="L134" s="9" t="b">
        <f t="shared" si="14"/>
        <v>1</v>
      </c>
      <c r="M134" s="1" t="b">
        <f>IF(OR(入力シート!$C$5&lt;&gt;入力リスト!$N$4,入力シート!$J$22&lt;&gt;入力リスト!$K$4),TRUE,IF($F$2=入力リスト!$Q$4,IF(F134-INT(F134)&lt;0.6,TRUE,FALSE),TRUE))</f>
        <v>1</v>
      </c>
      <c r="N134" s="9" t="str">
        <f>IF(F134="","",IF($F$2=入力リスト!$Q$4,ROUNDDOWN(INT(F134)+ROUNDDOWN((F134-INT(F134))*100,0)/60,2),従業員の給与情報!F134))</f>
        <v/>
      </c>
      <c r="O134" s="8"/>
      <c r="P134" s="8"/>
    </row>
    <row r="135" spans="1:16">
      <c r="A135" s="119"/>
      <c r="B135" s="2"/>
      <c r="C135" s="369"/>
      <c r="D135" s="369"/>
      <c r="E135" s="369"/>
      <c r="F135" s="370"/>
      <c r="G135" s="248" t="str">
        <f t="shared" si="10"/>
        <v/>
      </c>
      <c r="H135" s="1" t="b">
        <f>IF(B135="",FALSE,COUNTIF('従業員情報(給与以外)'!$A$4:$A$1000000,$B135)=0)</f>
        <v>0</v>
      </c>
      <c r="I135" s="9" t="b">
        <f t="shared" si="11"/>
        <v>1</v>
      </c>
      <c r="J135" s="9" t="b">
        <f t="shared" si="12"/>
        <v>1</v>
      </c>
      <c r="K135" s="9" t="b">
        <f t="shared" si="13"/>
        <v>1</v>
      </c>
      <c r="L135" s="9" t="b">
        <f t="shared" si="14"/>
        <v>1</v>
      </c>
      <c r="M135" s="1" t="b">
        <f>IF(OR(入力シート!$C$5&lt;&gt;入力リスト!$N$4,入力シート!$J$22&lt;&gt;入力リスト!$K$4),TRUE,IF($F$2=入力リスト!$Q$4,IF(F135-INT(F135)&lt;0.6,TRUE,FALSE),TRUE))</f>
        <v>1</v>
      </c>
      <c r="N135" s="9" t="str">
        <f>IF(F135="","",IF($F$2=入力リスト!$Q$4,ROUNDDOWN(INT(F135)+ROUNDDOWN((F135-INT(F135))*100,0)/60,2),従業員の給与情報!F135))</f>
        <v/>
      </c>
      <c r="O135" s="8"/>
      <c r="P135" s="8"/>
    </row>
    <row r="136" spans="1:16">
      <c r="A136" s="119"/>
      <c r="B136" s="2"/>
      <c r="C136" s="369"/>
      <c r="D136" s="369"/>
      <c r="E136" s="369"/>
      <c r="F136" s="370"/>
      <c r="G136" s="248" t="str">
        <f t="shared" si="10"/>
        <v/>
      </c>
      <c r="H136" s="1" t="b">
        <f>IF(B136="",FALSE,COUNTIF('従業員情報(給与以外)'!$A$4:$A$1000000,$B136)=0)</f>
        <v>0</v>
      </c>
      <c r="I136" s="9" t="b">
        <f t="shared" si="11"/>
        <v>1</v>
      </c>
      <c r="J136" s="9" t="b">
        <f t="shared" si="12"/>
        <v>1</v>
      </c>
      <c r="K136" s="9" t="b">
        <f t="shared" si="13"/>
        <v>1</v>
      </c>
      <c r="L136" s="9" t="b">
        <f t="shared" si="14"/>
        <v>1</v>
      </c>
      <c r="M136" s="1" t="b">
        <f>IF(OR(入力シート!$C$5&lt;&gt;入力リスト!$N$4,入力シート!$J$22&lt;&gt;入力リスト!$K$4),TRUE,IF($F$2=入力リスト!$Q$4,IF(F136-INT(F136)&lt;0.6,TRUE,FALSE),TRUE))</f>
        <v>1</v>
      </c>
      <c r="N136" s="9" t="str">
        <f>IF(F136="","",IF($F$2=入力リスト!$Q$4,ROUNDDOWN(INT(F136)+ROUNDDOWN((F136-INT(F136))*100,0)/60,2),従業員の給与情報!F136))</f>
        <v/>
      </c>
      <c r="O136" s="8"/>
      <c r="P136" s="8"/>
    </row>
    <row r="137" spans="1:16">
      <c r="A137" s="119"/>
      <c r="B137" s="2"/>
      <c r="C137" s="369"/>
      <c r="D137" s="369"/>
      <c r="E137" s="369"/>
      <c r="F137" s="370"/>
      <c r="G137" s="248" t="str">
        <f t="shared" si="10"/>
        <v/>
      </c>
      <c r="H137" s="1" t="b">
        <f>IF(B137="",FALSE,COUNTIF('従業員情報(給与以外)'!$A$4:$A$1000000,$B137)=0)</f>
        <v>0</v>
      </c>
      <c r="I137" s="9" t="b">
        <f t="shared" si="11"/>
        <v>1</v>
      </c>
      <c r="J137" s="9" t="b">
        <f t="shared" si="12"/>
        <v>1</v>
      </c>
      <c r="K137" s="9" t="b">
        <f t="shared" si="13"/>
        <v>1</v>
      </c>
      <c r="L137" s="9" t="b">
        <f t="shared" si="14"/>
        <v>1</v>
      </c>
      <c r="M137" s="1" t="b">
        <f>IF(OR(入力シート!$C$5&lt;&gt;入力リスト!$N$4,入力シート!$J$22&lt;&gt;入力リスト!$K$4),TRUE,IF($F$2=入力リスト!$Q$4,IF(F137-INT(F137)&lt;0.6,TRUE,FALSE),TRUE))</f>
        <v>1</v>
      </c>
      <c r="N137" s="9" t="str">
        <f>IF(F137="","",IF($F$2=入力リスト!$Q$4,ROUNDDOWN(INT(F137)+ROUNDDOWN((F137-INT(F137))*100,0)/60,2),従業員の給与情報!F137))</f>
        <v/>
      </c>
      <c r="O137" s="8"/>
      <c r="P137" s="8"/>
    </row>
    <row r="138" spans="1:16">
      <c r="A138" s="119"/>
      <c r="B138" s="2"/>
      <c r="C138" s="369"/>
      <c r="D138" s="369"/>
      <c r="E138" s="369"/>
      <c r="F138" s="370"/>
      <c r="G138" s="248" t="str">
        <f t="shared" si="10"/>
        <v/>
      </c>
      <c r="H138" s="1" t="b">
        <f>IF(B138="",FALSE,COUNTIF('従業員情報(給与以外)'!$A$4:$A$1000000,$B138)=0)</f>
        <v>0</v>
      </c>
      <c r="I138" s="9" t="b">
        <f t="shared" si="11"/>
        <v>1</v>
      </c>
      <c r="J138" s="9" t="b">
        <f t="shared" si="12"/>
        <v>1</v>
      </c>
      <c r="K138" s="9" t="b">
        <f t="shared" si="13"/>
        <v>1</v>
      </c>
      <c r="L138" s="9" t="b">
        <f t="shared" si="14"/>
        <v>1</v>
      </c>
      <c r="M138" s="1" t="b">
        <f>IF(OR(入力シート!$C$5&lt;&gt;入力リスト!$N$4,入力シート!$J$22&lt;&gt;入力リスト!$K$4),TRUE,IF($F$2=入力リスト!$Q$4,IF(F138-INT(F138)&lt;0.6,TRUE,FALSE),TRUE))</f>
        <v>1</v>
      </c>
      <c r="N138" s="9" t="str">
        <f>IF(F138="","",IF($F$2=入力リスト!$Q$4,ROUNDDOWN(INT(F138)+ROUNDDOWN((F138-INT(F138))*100,0)/60,2),従業員の給与情報!F138))</f>
        <v/>
      </c>
      <c r="O138" s="8"/>
      <c r="P138" s="8"/>
    </row>
    <row r="139" spans="1:16">
      <c r="A139" s="119"/>
      <c r="B139" s="2"/>
      <c r="C139" s="369"/>
      <c r="D139" s="369"/>
      <c r="E139" s="369"/>
      <c r="F139" s="370"/>
      <c r="G139" s="248" t="str">
        <f t="shared" si="10"/>
        <v/>
      </c>
      <c r="H139" s="1" t="b">
        <f>IF(B139="",FALSE,COUNTIF('従業員情報(給与以外)'!$A$4:$A$1000000,$B139)=0)</f>
        <v>0</v>
      </c>
      <c r="I139" s="9" t="b">
        <f t="shared" si="11"/>
        <v>1</v>
      </c>
      <c r="J139" s="9" t="b">
        <f t="shared" si="12"/>
        <v>1</v>
      </c>
      <c r="K139" s="9" t="b">
        <f t="shared" si="13"/>
        <v>1</v>
      </c>
      <c r="L139" s="9" t="b">
        <f t="shared" si="14"/>
        <v>1</v>
      </c>
      <c r="M139" s="1" t="b">
        <f>IF(OR(入力シート!$C$5&lt;&gt;入力リスト!$N$4,入力シート!$J$22&lt;&gt;入力リスト!$K$4),TRUE,IF($F$2=入力リスト!$Q$4,IF(F139-INT(F139)&lt;0.6,TRUE,FALSE),TRUE))</f>
        <v>1</v>
      </c>
      <c r="N139" s="9" t="str">
        <f>IF(F139="","",IF($F$2=入力リスト!$Q$4,ROUNDDOWN(INT(F139)+ROUNDDOWN((F139-INT(F139))*100,0)/60,2),従業員の給与情報!F139))</f>
        <v/>
      </c>
      <c r="O139" s="8"/>
      <c r="P139" s="8"/>
    </row>
    <row r="140" spans="1:16">
      <c r="A140" s="119"/>
      <c r="B140" s="2"/>
      <c r="C140" s="369"/>
      <c r="D140" s="369"/>
      <c r="E140" s="369"/>
      <c r="F140" s="370"/>
      <c r="G140" s="248" t="str">
        <f t="shared" si="10"/>
        <v/>
      </c>
      <c r="H140" s="1" t="b">
        <f>IF(B140="",FALSE,COUNTIF('従業員情報(給与以外)'!$A$4:$A$1000000,$B140)=0)</f>
        <v>0</v>
      </c>
      <c r="I140" s="9" t="b">
        <f t="shared" si="11"/>
        <v>1</v>
      </c>
      <c r="J140" s="9" t="b">
        <f t="shared" si="12"/>
        <v>1</v>
      </c>
      <c r="K140" s="9" t="b">
        <f t="shared" si="13"/>
        <v>1</v>
      </c>
      <c r="L140" s="9" t="b">
        <f t="shared" si="14"/>
        <v>1</v>
      </c>
      <c r="M140" s="1" t="b">
        <f>IF(OR(入力シート!$C$5&lt;&gt;入力リスト!$N$4,入力シート!$J$22&lt;&gt;入力リスト!$K$4),TRUE,IF($F$2=入力リスト!$Q$4,IF(F140-INT(F140)&lt;0.6,TRUE,FALSE),TRUE))</f>
        <v>1</v>
      </c>
      <c r="N140" s="9" t="str">
        <f>IF(F140="","",IF($F$2=入力リスト!$Q$4,ROUNDDOWN(INT(F140)+ROUNDDOWN((F140-INT(F140))*100,0)/60,2),従業員の給与情報!F140))</f>
        <v/>
      </c>
      <c r="O140" s="8"/>
      <c r="P140" s="8"/>
    </row>
    <row r="141" spans="1:16">
      <c r="A141" s="119"/>
      <c r="B141" s="2"/>
      <c r="C141" s="369"/>
      <c r="D141" s="369"/>
      <c r="E141" s="369"/>
      <c r="F141" s="370"/>
      <c r="G141" s="248" t="str">
        <f t="shared" si="10"/>
        <v/>
      </c>
      <c r="H141" s="1" t="b">
        <f>IF(B141="",FALSE,COUNTIF('従業員情報(給与以外)'!$A$4:$A$1000000,$B141)=0)</f>
        <v>0</v>
      </c>
      <c r="I141" s="9" t="b">
        <f t="shared" si="11"/>
        <v>1</v>
      </c>
      <c r="J141" s="9" t="b">
        <f t="shared" si="12"/>
        <v>1</v>
      </c>
      <c r="K141" s="9" t="b">
        <f t="shared" si="13"/>
        <v>1</v>
      </c>
      <c r="L141" s="9" t="b">
        <f t="shared" si="14"/>
        <v>1</v>
      </c>
      <c r="M141" s="1" t="b">
        <f>IF(OR(入力シート!$C$5&lt;&gt;入力リスト!$N$4,入力シート!$J$22&lt;&gt;入力リスト!$K$4),TRUE,IF($F$2=入力リスト!$Q$4,IF(F141-INT(F141)&lt;0.6,TRUE,FALSE),TRUE))</f>
        <v>1</v>
      </c>
      <c r="N141" s="9" t="str">
        <f>IF(F141="","",IF($F$2=入力リスト!$Q$4,ROUNDDOWN(INT(F141)+ROUNDDOWN((F141-INT(F141))*100,0)/60,2),従業員の給与情報!F141))</f>
        <v/>
      </c>
      <c r="O141" s="8"/>
      <c r="P141" s="8"/>
    </row>
    <row r="142" spans="1:16">
      <c r="A142" s="119"/>
      <c r="B142" s="2"/>
      <c r="C142" s="369"/>
      <c r="D142" s="369"/>
      <c r="E142" s="369"/>
      <c r="F142" s="370"/>
      <c r="G142" s="248" t="str">
        <f t="shared" si="10"/>
        <v/>
      </c>
      <c r="H142" s="1" t="b">
        <f>IF(B142="",FALSE,COUNTIF('従業員情報(給与以外)'!$A$4:$A$1000000,$B142)=0)</f>
        <v>0</v>
      </c>
      <c r="I142" s="9" t="b">
        <f t="shared" si="11"/>
        <v>1</v>
      </c>
      <c r="J142" s="9" t="b">
        <f t="shared" si="12"/>
        <v>1</v>
      </c>
      <c r="K142" s="9" t="b">
        <f t="shared" si="13"/>
        <v>1</v>
      </c>
      <c r="L142" s="9" t="b">
        <f t="shared" si="14"/>
        <v>1</v>
      </c>
      <c r="M142" s="1" t="b">
        <f>IF(OR(入力シート!$C$5&lt;&gt;入力リスト!$N$4,入力シート!$J$22&lt;&gt;入力リスト!$K$4),TRUE,IF($F$2=入力リスト!$Q$4,IF(F142-INT(F142)&lt;0.6,TRUE,FALSE),TRUE))</f>
        <v>1</v>
      </c>
      <c r="N142" s="9" t="str">
        <f>IF(F142="","",IF($F$2=入力リスト!$Q$4,ROUNDDOWN(INT(F142)+ROUNDDOWN((F142-INT(F142))*100,0)/60,2),従業員の給与情報!F142))</f>
        <v/>
      </c>
      <c r="O142" s="8"/>
      <c r="P142" s="8"/>
    </row>
    <row r="143" spans="1:16">
      <c r="A143" s="119"/>
      <c r="B143" s="2"/>
      <c r="C143" s="369"/>
      <c r="D143" s="369"/>
      <c r="E143" s="369"/>
      <c r="F143" s="370"/>
      <c r="G143" s="248" t="str">
        <f t="shared" si="10"/>
        <v/>
      </c>
      <c r="H143" s="1" t="b">
        <f>IF(B143="",FALSE,COUNTIF('従業員情報(給与以外)'!$A$4:$A$1000000,$B143)=0)</f>
        <v>0</v>
      </c>
      <c r="I143" s="9" t="b">
        <f t="shared" si="11"/>
        <v>1</v>
      </c>
      <c r="J143" s="9" t="b">
        <f t="shared" si="12"/>
        <v>1</v>
      </c>
      <c r="K143" s="9" t="b">
        <f t="shared" si="13"/>
        <v>1</v>
      </c>
      <c r="L143" s="9" t="b">
        <f t="shared" si="14"/>
        <v>1</v>
      </c>
      <c r="M143" s="1" t="b">
        <f>IF(OR(入力シート!$C$5&lt;&gt;入力リスト!$N$4,入力シート!$J$22&lt;&gt;入力リスト!$K$4),TRUE,IF($F$2=入力リスト!$Q$4,IF(F143-INT(F143)&lt;0.6,TRUE,FALSE),TRUE))</f>
        <v>1</v>
      </c>
      <c r="N143" s="9" t="str">
        <f>IF(F143="","",IF($F$2=入力リスト!$Q$4,ROUNDDOWN(INT(F143)+ROUNDDOWN((F143-INT(F143))*100,0)/60,2),従業員の給与情報!F143))</f>
        <v/>
      </c>
      <c r="O143" s="8"/>
      <c r="P143" s="8"/>
    </row>
    <row r="144" spans="1:16">
      <c r="A144" s="119"/>
      <c r="B144" s="2"/>
      <c r="C144" s="369"/>
      <c r="D144" s="369"/>
      <c r="E144" s="369"/>
      <c r="F144" s="370"/>
      <c r="G144" s="248" t="str">
        <f t="shared" si="10"/>
        <v/>
      </c>
      <c r="H144" s="1" t="b">
        <f>IF(B144="",FALSE,COUNTIF('従業員情報(給与以外)'!$A$4:$A$1000000,$B144)=0)</f>
        <v>0</v>
      </c>
      <c r="I144" s="9" t="b">
        <f t="shared" si="11"/>
        <v>1</v>
      </c>
      <c r="J144" s="9" t="b">
        <f t="shared" si="12"/>
        <v>1</v>
      </c>
      <c r="K144" s="9" t="b">
        <f t="shared" si="13"/>
        <v>1</v>
      </c>
      <c r="L144" s="9" t="b">
        <f t="shared" si="14"/>
        <v>1</v>
      </c>
      <c r="M144" s="1" t="b">
        <f>IF(OR(入力シート!$C$5&lt;&gt;入力リスト!$N$4,入力シート!$J$22&lt;&gt;入力リスト!$K$4),TRUE,IF($F$2=入力リスト!$Q$4,IF(F144-INT(F144)&lt;0.6,TRUE,FALSE),TRUE))</f>
        <v>1</v>
      </c>
      <c r="N144" s="9" t="str">
        <f>IF(F144="","",IF($F$2=入力リスト!$Q$4,ROUNDDOWN(INT(F144)+ROUNDDOWN((F144-INT(F144))*100,0)/60,2),従業員の給与情報!F144))</f>
        <v/>
      </c>
      <c r="O144" s="8"/>
      <c r="P144" s="8"/>
    </row>
    <row r="145" spans="1:16">
      <c r="A145" s="119"/>
      <c r="B145" s="2"/>
      <c r="C145" s="369"/>
      <c r="D145" s="369"/>
      <c r="E145" s="369"/>
      <c r="F145" s="370"/>
      <c r="G145" s="248" t="str">
        <f t="shared" si="10"/>
        <v/>
      </c>
      <c r="H145" s="1" t="b">
        <f>IF(B145="",FALSE,COUNTIF('従業員情報(給与以外)'!$A$4:$A$1000000,$B145)=0)</f>
        <v>0</v>
      </c>
      <c r="I145" s="9" t="b">
        <f t="shared" si="11"/>
        <v>1</v>
      </c>
      <c r="J145" s="9" t="b">
        <f t="shared" si="12"/>
        <v>1</v>
      </c>
      <c r="K145" s="9" t="b">
        <f t="shared" si="13"/>
        <v>1</v>
      </c>
      <c r="L145" s="9" t="b">
        <f t="shared" si="14"/>
        <v>1</v>
      </c>
      <c r="M145" s="1" t="b">
        <f>IF(OR(入力シート!$C$5&lt;&gt;入力リスト!$N$4,入力シート!$J$22&lt;&gt;入力リスト!$K$4),TRUE,IF($F$2=入力リスト!$Q$4,IF(F145-INT(F145)&lt;0.6,TRUE,FALSE),TRUE))</f>
        <v>1</v>
      </c>
      <c r="N145" s="9" t="str">
        <f>IF(F145="","",IF($F$2=入力リスト!$Q$4,ROUNDDOWN(INT(F145)+ROUNDDOWN((F145-INT(F145))*100,0)/60,2),従業員の給与情報!F145))</f>
        <v/>
      </c>
      <c r="O145" s="8"/>
      <c r="P145" s="8"/>
    </row>
    <row r="146" spans="1:16">
      <c r="A146" s="119"/>
      <c r="B146" s="2"/>
      <c r="C146" s="369"/>
      <c r="D146" s="369"/>
      <c r="E146" s="369"/>
      <c r="F146" s="370"/>
      <c r="G146" s="248" t="str">
        <f t="shared" si="10"/>
        <v/>
      </c>
      <c r="H146" s="1" t="b">
        <f>IF(B146="",FALSE,COUNTIF('従業員情報(給与以外)'!$A$4:$A$1000000,$B146)=0)</f>
        <v>0</v>
      </c>
      <c r="I146" s="9" t="b">
        <f t="shared" si="11"/>
        <v>1</v>
      </c>
      <c r="J146" s="9" t="b">
        <f t="shared" si="12"/>
        <v>1</v>
      </c>
      <c r="K146" s="9" t="b">
        <f t="shared" si="13"/>
        <v>1</v>
      </c>
      <c r="L146" s="9" t="b">
        <f t="shared" si="14"/>
        <v>1</v>
      </c>
      <c r="M146" s="1" t="b">
        <f>IF(OR(入力シート!$C$5&lt;&gt;入力リスト!$N$4,入力シート!$J$22&lt;&gt;入力リスト!$K$4),TRUE,IF($F$2=入力リスト!$Q$4,IF(F146-INT(F146)&lt;0.6,TRUE,FALSE),TRUE))</f>
        <v>1</v>
      </c>
      <c r="N146" s="9" t="str">
        <f>IF(F146="","",IF($F$2=入力リスト!$Q$4,ROUNDDOWN(INT(F146)+ROUNDDOWN((F146-INT(F146))*100,0)/60,2),従業員の給与情報!F146))</f>
        <v/>
      </c>
      <c r="O146" s="8"/>
      <c r="P146" s="8"/>
    </row>
    <row r="147" spans="1:16">
      <c r="A147" s="119"/>
      <c r="B147" s="2"/>
      <c r="C147" s="369"/>
      <c r="D147" s="369"/>
      <c r="E147" s="369"/>
      <c r="F147" s="370"/>
      <c r="G147" s="248" t="str">
        <f t="shared" si="10"/>
        <v/>
      </c>
      <c r="H147" s="1" t="b">
        <f>IF(B147="",FALSE,COUNTIF('従業員情報(給与以外)'!$A$4:$A$1000000,$B147)=0)</f>
        <v>0</v>
      </c>
      <c r="I147" s="9" t="b">
        <f t="shared" si="11"/>
        <v>1</v>
      </c>
      <c r="J147" s="9" t="b">
        <f t="shared" si="12"/>
        <v>1</v>
      </c>
      <c r="K147" s="9" t="b">
        <f t="shared" si="13"/>
        <v>1</v>
      </c>
      <c r="L147" s="9" t="b">
        <f t="shared" si="14"/>
        <v>1</v>
      </c>
      <c r="M147" s="1" t="b">
        <f>IF(OR(入力シート!$C$5&lt;&gt;入力リスト!$N$4,入力シート!$J$22&lt;&gt;入力リスト!$K$4),TRUE,IF($F$2=入力リスト!$Q$4,IF(F147-INT(F147)&lt;0.6,TRUE,FALSE),TRUE))</f>
        <v>1</v>
      </c>
      <c r="N147" s="9" t="str">
        <f>IF(F147="","",IF($F$2=入力リスト!$Q$4,ROUNDDOWN(INT(F147)+ROUNDDOWN((F147-INT(F147))*100,0)/60,2),従業員の給与情報!F147))</f>
        <v/>
      </c>
      <c r="O147" s="8"/>
      <c r="P147" s="8"/>
    </row>
    <row r="148" spans="1:16">
      <c r="A148" s="119"/>
      <c r="B148" s="2"/>
      <c r="C148" s="369"/>
      <c r="D148" s="369"/>
      <c r="E148" s="369"/>
      <c r="F148" s="370"/>
      <c r="G148" s="248" t="str">
        <f t="shared" si="10"/>
        <v/>
      </c>
      <c r="H148" s="1" t="b">
        <f>IF(B148="",FALSE,COUNTIF('従業員情報(給与以外)'!$A$4:$A$1000000,$B148)=0)</f>
        <v>0</v>
      </c>
      <c r="I148" s="9" t="b">
        <f t="shared" si="11"/>
        <v>1</v>
      </c>
      <c r="J148" s="9" t="b">
        <f t="shared" si="12"/>
        <v>1</v>
      </c>
      <c r="K148" s="9" t="b">
        <f t="shared" si="13"/>
        <v>1</v>
      </c>
      <c r="L148" s="9" t="b">
        <f t="shared" si="14"/>
        <v>1</v>
      </c>
      <c r="M148" s="1" t="b">
        <f>IF(OR(入力シート!$C$5&lt;&gt;入力リスト!$N$4,入力シート!$J$22&lt;&gt;入力リスト!$K$4),TRUE,IF($F$2=入力リスト!$Q$4,IF(F148-INT(F148)&lt;0.6,TRUE,FALSE),TRUE))</f>
        <v>1</v>
      </c>
      <c r="N148" s="9" t="str">
        <f>IF(F148="","",IF($F$2=入力リスト!$Q$4,ROUNDDOWN(INT(F148)+ROUNDDOWN((F148-INT(F148))*100,0)/60,2),従業員の給与情報!F148))</f>
        <v/>
      </c>
      <c r="O148" s="8"/>
      <c r="P148" s="8"/>
    </row>
    <row r="149" spans="1:16">
      <c r="A149" s="119"/>
      <c r="B149" s="2"/>
      <c r="C149" s="369"/>
      <c r="D149" s="369"/>
      <c r="E149" s="369"/>
      <c r="F149" s="370"/>
      <c r="G149" s="248" t="str">
        <f t="shared" si="10"/>
        <v/>
      </c>
      <c r="H149" s="1" t="b">
        <f>IF(B149="",FALSE,COUNTIF('従業員情報(給与以外)'!$A$4:$A$1000000,$B149)=0)</f>
        <v>0</v>
      </c>
      <c r="I149" s="9" t="b">
        <f t="shared" si="11"/>
        <v>1</v>
      </c>
      <c r="J149" s="9" t="b">
        <f t="shared" si="12"/>
        <v>1</v>
      </c>
      <c r="K149" s="9" t="b">
        <f t="shared" si="13"/>
        <v>1</v>
      </c>
      <c r="L149" s="9" t="b">
        <f t="shared" si="14"/>
        <v>1</v>
      </c>
      <c r="M149" s="1" t="b">
        <f>IF(OR(入力シート!$C$5&lt;&gt;入力リスト!$N$4,入力シート!$J$22&lt;&gt;入力リスト!$K$4),TRUE,IF($F$2=入力リスト!$Q$4,IF(F149-INT(F149)&lt;0.6,TRUE,FALSE),TRUE))</f>
        <v>1</v>
      </c>
      <c r="N149" s="9" t="str">
        <f>IF(F149="","",IF($F$2=入力リスト!$Q$4,ROUNDDOWN(INT(F149)+ROUNDDOWN((F149-INT(F149))*100,0)/60,2),従業員の給与情報!F149))</f>
        <v/>
      </c>
      <c r="O149" s="8"/>
      <c r="P149" s="8"/>
    </row>
    <row r="150" spans="1:16">
      <c r="A150" s="119"/>
      <c r="B150" s="2"/>
      <c r="C150" s="369"/>
      <c r="D150" s="369"/>
      <c r="E150" s="369"/>
      <c r="F150" s="370"/>
      <c r="G150" s="248" t="str">
        <f t="shared" si="10"/>
        <v/>
      </c>
      <c r="H150" s="1" t="b">
        <f>IF(B150="",FALSE,COUNTIF('従業員情報(給与以外)'!$A$4:$A$1000000,$B150)=0)</f>
        <v>0</v>
      </c>
      <c r="I150" s="9" t="b">
        <f t="shared" si="11"/>
        <v>1</v>
      </c>
      <c r="J150" s="9" t="b">
        <f t="shared" si="12"/>
        <v>1</v>
      </c>
      <c r="K150" s="9" t="b">
        <f t="shared" si="13"/>
        <v>1</v>
      </c>
      <c r="L150" s="9" t="b">
        <f t="shared" si="14"/>
        <v>1</v>
      </c>
      <c r="M150" s="1" t="b">
        <f>IF(OR(入力シート!$C$5&lt;&gt;入力リスト!$N$4,入力シート!$J$22&lt;&gt;入力リスト!$K$4),TRUE,IF($F$2=入力リスト!$Q$4,IF(F150-INT(F150)&lt;0.6,TRUE,FALSE),TRUE))</f>
        <v>1</v>
      </c>
      <c r="N150" s="9" t="str">
        <f>IF(F150="","",IF($F$2=入力リスト!$Q$4,ROUNDDOWN(INT(F150)+ROUNDDOWN((F150-INT(F150))*100,0)/60,2),従業員の給与情報!F150))</f>
        <v/>
      </c>
      <c r="O150" s="8"/>
      <c r="P150" s="8"/>
    </row>
    <row r="151" spans="1:16">
      <c r="A151" s="119"/>
      <c r="B151" s="2"/>
      <c r="C151" s="369"/>
      <c r="D151" s="369"/>
      <c r="E151" s="369"/>
      <c r="F151" s="370"/>
      <c r="G151" s="248" t="str">
        <f t="shared" si="10"/>
        <v/>
      </c>
      <c r="H151" s="1" t="b">
        <f>IF(B151="",FALSE,COUNTIF('従業員情報(給与以外)'!$A$4:$A$1000000,$B151)=0)</f>
        <v>0</v>
      </c>
      <c r="I151" s="9" t="b">
        <f t="shared" si="11"/>
        <v>1</v>
      </c>
      <c r="J151" s="9" t="b">
        <f t="shared" si="12"/>
        <v>1</v>
      </c>
      <c r="K151" s="9" t="b">
        <f t="shared" si="13"/>
        <v>1</v>
      </c>
      <c r="L151" s="9" t="b">
        <f t="shared" si="14"/>
        <v>1</v>
      </c>
      <c r="M151" s="1" t="b">
        <f>IF(OR(入力シート!$C$5&lt;&gt;入力リスト!$N$4,入力シート!$J$22&lt;&gt;入力リスト!$K$4),TRUE,IF($F$2=入力リスト!$Q$4,IF(F151-INT(F151)&lt;0.6,TRUE,FALSE),TRUE))</f>
        <v>1</v>
      </c>
      <c r="N151" s="9" t="str">
        <f>IF(F151="","",IF($F$2=入力リスト!$Q$4,ROUNDDOWN(INT(F151)+ROUNDDOWN((F151-INT(F151))*100,0)/60,2),従業員の給与情報!F151))</f>
        <v/>
      </c>
      <c r="O151" s="8"/>
      <c r="P151" s="8"/>
    </row>
    <row r="152" spans="1:16">
      <c r="A152" s="119"/>
      <c r="B152" s="2"/>
      <c r="C152" s="369"/>
      <c r="D152" s="369"/>
      <c r="E152" s="369"/>
      <c r="F152" s="370"/>
      <c r="G152" s="248" t="str">
        <f t="shared" si="10"/>
        <v/>
      </c>
      <c r="H152" s="1" t="b">
        <f>IF(B152="",FALSE,COUNTIF('従業員情報(給与以外)'!$A$4:$A$1000000,$B152)=0)</f>
        <v>0</v>
      </c>
      <c r="I152" s="9" t="b">
        <f t="shared" si="11"/>
        <v>1</v>
      </c>
      <c r="J152" s="9" t="b">
        <f t="shared" si="12"/>
        <v>1</v>
      </c>
      <c r="K152" s="9" t="b">
        <f t="shared" si="13"/>
        <v>1</v>
      </c>
      <c r="L152" s="9" t="b">
        <f t="shared" si="14"/>
        <v>1</v>
      </c>
      <c r="M152" s="1" t="b">
        <f>IF(OR(入力シート!$C$5&lt;&gt;入力リスト!$N$4,入力シート!$J$22&lt;&gt;入力リスト!$K$4),TRUE,IF($F$2=入力リスト!$Q$4,IF(F152-INT(F152)&lt;0.6,TRUE,FALSE),TRUE))</f>
        <v>1</v>
      </c>
      <c r="N152" s="9" t="str">
        <f>IF(F152="","",IF($F$2=入力リスト!$Q$4,ROUNDDOWN(INT(F152)+ROUNDDOWN((F152-INT(F152))*100,0)/60,2),従業員の給与情報!F152))</f>
        <v/>
      </c>
      <c r="O152" s="8"/>
      <c r="P152" s="8"/>
    </row>
    <row r="153" spans="1:16">
      <c r="A153" s="119"/>
      <c r="B153" s="2"/>
      <c r="C153" s="369"/>
      <c r="D153" s="369"/>
      <c r="E153" s="369"/>
      <c r="F153" s="370"/>
      <c r="G153" s="248" t="str">
        <f t="shared" si="10"/>
        <v/>
      </c>
      <c r="H153" s="1" t="b">
        <f>IF(B153="",FALSE,COUNTIF('従業員情報(給与以外)'!$A$4:$A$1000000,$B153)=0)</f>
        <v>0</v>
      </c>
      <c r="I153" s="9" t="b">
        <f t="shared" si="11"/>
        <v>1</v>
      </c>
      <c r="J153" s="9" t="b">
        <f t="shared" si="12"/>
        <v>1</v>
      </c>
      <c r="K153" s="9" t="b">
        <f t="shared" si="13"/>
        <v>1</v>
      </c>
      <c r="L153" s="9" t="b">
        <f t="shared" si="14"/>
        <v>1</v>
      </c>
      <c r="M153" s="1" t="b">
        <f>IF(OR(入力シート!$C$5&lt;&gt;入力リスト!$N$4,入力シート!$J$22&lt;&gt;入力リスト!$K$4),TRUE,IF($F$2=入力リスト!$Q$4,IF(F153-INT(F153)&lt;0.6,TRUE,FALSE),TRUE))</f>
        <v>1</v>
      </c>
      <c r="N153" s="9" t="str">
        <f>IF(F153="","",IF($F$2=入力リスト!$Q$4,ROUNDDOWN(INT(F153)+ROUNDDOWN((F153-INT(F153))*100,0)/60,2),従業員の給与情報!F153))</f>
        <v/>
      </c>
      <c r="O153" s="8"/>
      <c r="P153" s="8"/>
    </row>
    <row r="154" spans="1:16">
      <c r="A154" s="119"/>
      <c r="B154" s="2"/>
      <c r="C154" s="369"/>
      <c r="D154" s="369"/>
      <c r="E154" s="369"/>
      <c r="F154" s="370"/>
      <c r="G154" s="248" t="str">
        <f t="shared" si="10"/>
        <v/>
      </c>
      <c r="H154" s="1" t="b">
        <f>IF(B154="",FALSE,COUNTIF('従業員情報(給与以外)'!$A$4:$A$1000000,$B154)=0)</f>
        <v>0</v>
      </c>
      <c r="I154" s="9" t="b">
        <f t="shared" si="11"/>
        <v>1</v>
      </c>
      <c r="J154" s="9" t="b">
        <f t="shared" si="12"/>
        <v>1</v>
      </c>
      <c r="K154" s="9" t="b">
        <f t="shared" si="13"/>
        <v>1</v>
      </c>
      <c r="L154" s="9" t="b">
        <f t="shared" si="14"/>
        <v>1</v>
      </c>
      <c r="M154" s="1" t="b">
        <f>IF(OR(入力シート!$C$5&lt;&gt;入力リスト!$N$4,入力シート!$J$22&lt;&gt;入力リスト!$K$4),TRUE,IF($F$2=入力リスト!$Q$4,IF(F154-INT(F154)&lt;0.6,TRUE,FALSE),TRUE))</f>
        <v>1</v>
      </c>
      <c r="N154" s="9" t="str">
        <f>IF(F154="","",IF($F$2=入力リスト!$Q$4,ROUNDDOWN(INT(F154)+ROUNDDOWN((F154-INT(F154))*100,0)/60,2),従業員の給与情報!F154))</f>
        <v/>
      </c>
      <c r="O154" s="8"/>
      <c r="P154" s="8"/>
    </row>
    <row r="155" spans="1:16">
      <c r="A155" s="119"/>
      <c r="B155" s="2"/>
      <c r="C155" s="369"/>
      <c r="D155" s="369"/>
      <c r="E155" s="369"/>
      <c r="F155" s="370"/>
      <c r="G155" s="248" t="str">
        <f t="shared" si="10"/>
        <v/>
      </c>
      <c r="H155" s="1" t="b">
        <f>IF(B155="",FALSE,COUNTIF('従業員情報(給与以外)'!$A$4:$A$1000000,$B155)=0)</f>
        <v>0</v>
      </c>
      <c r="I155" s="9" t="b">
        <f t="shared" si="11"/>
        <v>1</v>
      </c>
      <c r="J155" s="9" t="b">
        <f t="shared" si="12"/>
        <v>1</v>
      </c>
      <c r="K155" s="9" t="b">
        <f t="shared" si="13"/>
        <v>1</v>
      </c>
      <c r="L155" s="9" t="b">
        <f t="shared" si="14"/>
        <v>1</v>
      </c>
      <c r="M155" s="1" t="b">
        <f>IF(OR(入力シート!$C$5&lt;&gt;入力リスト!$N$4,入力シート!$J$22&lt;&gt;入力リスト!$K$4),TRUE,IF($F$2=入力リスト!$Q$4,IF(F155-INT(F155)&lt;0.6,TRUE,FALSE),TRUE))</f>
        <v>1</v>
      </c>
      <c r="N155" s="9" t="str">
        <f>IF(F155="","",IF($F$2=入力リスト!$Q$4,ROUNDDOWN(INT(F155)+ROUNDDOWN((F155-INT(F155))*100,0)/60,2),従業員の給与情報!F155))</f>
        <v/>
      </c>
      <c r="O155" s="8"/>
      <c r="P155" s="8"/>
    </row>
    <row r="156" spans="1:16">
      <c r="A156" s="119"/>
      <c r="B156" s="2"/>
      <c r="C156" s="369"/>
      <c r="D156" s="369"/>
      <c r="E156" s="369"/>
      <c r="F156" s="370"/>
      <c r="G156" s="248" t="str">
        <f t="shared" si="10"/>
        <v/>
      </c>
      <c r="H156" s="1" t="b">
        <f>IF(B156="",FALSE,COUNTIF('従業員情報(給与以外)'!$A$4:$A$1000000,$B156)=0)</f>
        <v>0</v>
      </c>
      <c r="I156" s="9" t="b">
        <f t="shared" si="11"/>
        <v>1</v>
      </c>
      <c r="J156" s="9" t="b">
        <f t="shared" si="12"/>
        <v>1</v>
      </c>
      <c r="K156" s="9" t="b">
        <f t="shared" si="13"/>
        <v>1</v>
      </c>
      <c r="L156" s="9" t="b">
        <f t="shared" si="14"/>
        <v>1</v>
      </c>
      <c r="M156" s="1" t="b">
        <f>IF(OR(入力シート!$C$5&lt;&gt;入力リスト!$N$4,入力シート!$J$22&lt;&gt;入力リスト!$K$4),TRUE,IF($F$2=入力リスト!$Q$4,IF(F156-INT(F156)&lt;0.6,TRUE,FALSE),TRUE))</f>
        <v>1</v>
      </c>
      <c r="N156" s="9" t="str">
        <f>IF(F156="","",IF($F$2=入力リスト!$Q$4,ROUNDDOWN(INT(F156)+ROUNDDOWN((F156-INT(F156))*100,0)/60,2),従業員の給与情報!F156))</f>
        <v/>
      </c>
      <c r="O156" s="8"/>
      <c r="P156" s="8"/>
    </row>
    <row r="157" spans="1:16">
      <c r="A157" s="119"/>
      <c r="B157" s="2"/>
      <c r="C157" s="369"/>
      <c r="D157" s="369"/>
      <c r="E157" s="369"/>
      <c r="F157" s="370"/>
      <c r="G157" s="248" t="str">
        <f t="shared" si="10"/>
        <v/>
      </c>
      <c r="H157" s="1" t="b">
        <f>IF(B157="",FALSE,COUNTIF('従業員情報(給与以外)'!$A$4:$A$1000000,$B157)=0)</f>
        <v>0</v>
      </c>
      <c r="I157" s="9" t="b">
        <f t="shared" si="11"/>
        <v>1</v>
      </c>
      <c r="J157" s="9" t="b">
        <f t="shared" si="12"/>
        <v>1</v>
      </c>
      <c r="K157" s="9" t="b">
        <f t="shared" si="13"/>
        <v>1</v>
      </c>
      <c r="L157" s="9" t="b">
        <f t="shared" si="14"/>
        <v>1</v>
      </c>
      <c r="M157" s="1" t="b">
        <f>IF(OR(入力シート!$C$5&lt;&gt;入力リスト!$N$4,入力シート!$J$22&lt;&gt;入力リスト!$K$4),TRUE,IF($F$2=入力リスト!$Q$4,IF(F157-INT(F157)&lt;0.6,TRUE,FALSE),TRUE))</f>
        <v>1</v>
      </c>
      <c r="N157" s="9" t="str">
        <f>IF(F157="","",IF($F$2=入力リスト!$Q$4,ROUNDDOWN(INT(F157)+ROUNDDOWN((F157-INT(F157))*100,0)/60,2),従業員の給与情報!F157))</f>
        <v/>
      </c>
      <c r="O157" s="8"/>
      <c r="P157" s="8"/>
    </row>
    <row r="158" spans="1:16">
      <c r="A158" s="119"/>
      <c r="B158" s="2"/>
      <c r="C158" s="369"/>
      <c r="D158" s="369"/>
      <c r="E158" s="369"/>
      <c r="F158" s="370"/>
      <c r="G158" s="248" t="str">
        <f t="shared" si="10"/>
        <v/>
      </c>
      <c r="H158" s="1" t="b">
        <f>IF(B158="",FALSE,COUNTIF('従業員情報(給与以外)'!$A$4:$A$1000000,$B158)=0)</f>
        <v>0</v>
      </c>
      <c r="I158" s="9" t="b">
        <f t="shared" si="11"/>
        <v>1</v>
      </c>
      <c r="J158" s="9" t="b">
        <f t="shared" si="12"/>
        <v>1</v>
      </c>
      <c r="K158" s="9" t="b">
        <f t="shared" si="13"/>
        <v>1</v>
      </c>
      <c r="L158" s="9" t="b">
        <f t="shared" si="14"/>
        <v>1</v>
      </c>
      <c r="M158" s="1" t="b">
        <f>IF(OR(入力シート!$C$5&lt;&gt;入力リスト!$N$4,入力シート!$J$22&lt;&gt;入力リスト!$K$4),TRUE,IF($F$2=入力リスト!$Q$4,IF(F158-INT(F158)&lt;0.6,TRUE,FALSE),TRUE))</f>
        <v>1</v>
      </c>
      <c r="N158" s="9" t="str">
        <f>IF(F158="","",IF($F$2=入力リスト!$Q$4,ROUNDDOWN(INT(F158)+ROUNDDOWN((F158-INT(F158))*100,0)/60,2),従業員の給与情報!F158))</f>
        <v/>
      </c>
      <c r="O158" s="8"/>
      <c r="P158" s="8"/>
    </row>
    <row r="159" spans="1:16">
      <c r="A159" s="119"/>
      <c r="B159" s="2"/>
      <c r="C159" s="369"/>
      <c r="D159" s="369"/>
      <c r="E159" s="369"/>
      <c r="F159" s="370"/>
      <c r="G159" s="248" t="str">
        <f t="shared" si="10"/>
        <v/>
      </c>
      <c r="H159" s="1" t="b">
        <f>IF(B159="",FALSE,COUNTIF('従業員情報(給与以外)'!$A$4:$A$1000000,$B159)=0)</f>
        <v>0</v>
      </c>
      <c r="I159" s="9" t="b">
        <f t="shared" si="11"/>
        <v>1</v>
      </c>
      <c r="J159" s="9" t="b">
        <f t="shared" si="12"/>
        <v>1</v>
      </c>
      <c r="K159" s="9" t="b">
        <f t="shared" si="13"/>
        <v>1</v>
      </c>
      <c r="L159" s="9" t="b">
        <f t="shared" si="14"/>
        <v>1</v>
      </c>
      <c r="M159" s="1" t="b">
        <f>IF(OR(入力シート!$C$5&lt;&gt;入力リスト!$N$4,入力シート!$J$22&lt;&gt;入力リスト!$K$4),TRUE,IF($F$2=入力リスト!$Q$4,IF(F159-INT(F159)&lt;0.6,TRUE,FALSE),TRUE))</f>
        <v>1</v>
      </c>
      <c r="N159" s="9" t="str">
        <f>IF(F159="","",IF($F$2=入力リスト!$Q$4,ROUNDDOWN(INT(F159)+ROUNDDOWN((F159-INT(F159))*100,0)/60,2),従業員の給与情報!F159))</f>
        <v/>
      </c>
      <c r="O159" s="8"/>
      <c r="P159" s="8"/>
    </row>
    <row r="160" spans="1:16">
      <c r="A160" s="119"/>
      <c r="B160" s="2"/>
      <c r="C160" s="369"/>
      <c r="D160" s="369"/>
      <c r="E160" s="369"/>
      <c r="F160" s="370"/>
      <c r="G160" s="248" t="str">
        <f t="shared" si="10"/>
        <v/>
      </c>
      <c r="H160" s="1" t="b">
        <f>IF(B160="",FALSE,COUNTIF('従業員情報(給与以外)'!$A$4:$A$1000000,$B160)=0)</f>
        <v>0</v>
      </c>
      <c r="I160" s="9" t="b">
        <f t="shared" si="11"/>
        <v>1</v>
      </c>
      <c r="J160" s="9" t="b">
        <f t="shared" si="12"/>
        <v>1</v>
      </c>
      <c r="K160" s="9" t="b">
        <f t="shared" si="13"/>
        <v>1</v>
      </c>
      <c r="L160" s="9" t="b">
        <f t="shared" si="14"/>
        <v>1</v>
      </c>
      <c r="M160" s="1" t="b">
        <f>IF(OR(入力シート!$C$5&lt;&gt;入力リスト!$N$4,入力シート!$J$22&lt;&gt;入力リスト!$K$4),TRUE,IF($F$2=入力リスト!$Q$4,IF(F160-INT(F160)&lt;0.6,TRUE,FALSE),TRUE))</f>
        <v>1</v>
      </c>
      <c r="N160" s="9" t="str">
        <f>IF(F160="","",IF($F$2=入力リスト!$Q$4,ROUNDDOWN(INT(F160)+ROUNDDOWN((F160-INT(F160))*100,0)/60,2),従業員の給与情報!F160))</f>
        <v/>
      </c>
      <c r="O160" s="8"/>
      <c r="P160" s="8"/>
    </row>
    <row r="161" spans="1:16">
      <c r="A161" s="119"/>
      <c r="B161" s="2"/>
      <c r="C161" s="369"/>
      <c r="D161" s="369"/>
      <c r="E161" s="369"/>
      <c r="F161" s="370"/>
      <c r="G161" s="248" t="str">
        <f t="shared" si="10"/>
        <v/>
      </c>
      <c r="H161" s="1" t="b">
        <f>IF(B161="",FALSE,COUNTIF('従業員情報(給与以外)'!$A$4:$A$1000000,$B161)=0)</f>
        <v>0</v>
      </c>
      <c r="I161" s="9" t="b">
        <f t="shared" si="11"/>
        <v>1</v>
      </c>
      <c r="J161" s="9" t="b">
        <f t="shared" si="12"/>
        <v>1</v>
      </c>
      <c r="K161" s="9" t="b">
        <f t="shared" si="13"/>
        <v>1</v>
      </c>
      <c r="L161" s="9" t="b">
        <f t="shared" si="14"/>
        <v>1</v>
      </c>
      <c r="M161" s="1" t="b">
        <f>IF(OR(入力シート!$C$5&lt;&gt;入力リスト!$N$4,入力シート!$J$22&lt;&gt;入力リスト!$K$4),TRUE,IF($F$2=入力リスト!$Q$4,IF(F161-INT(F161)&lt;0.6,TRUE,FALSE),TRUE))</f>
        <v>1</v>
      </c>
      <c r="N161" s="9" t="str">
        <f>IF(F161="","",IF($F$2=入力リスト!$Q$4,ROUNDDOWN(INT(F161)+ROUNDDOWN((F161-INT(F161))*100,0)/60,2),従業員の給与情報!F161))</f>
        <v/>
      </c>
      <c r="O161" s="8"/>
      <c r="P161" s="8"/>
    </row>
    <row r="162" spans="1:16">
      <c r="A162" s="119"/>
      <c r="B162" s="2"/>
      <c r="C162" s="369"/>
      <c r="D162" s="369"/>
      <c r="E162" s="369"/>
      <c r="F162" s="370"/>
      <c r="G162" s="248" t="str">
        <f t="shared" si="10"/>
        <v/>
      </c>
      <c r="H162" s="1" t="b">
        <f>IF(B162="",FALSE,COUNTIF('従業員情報(給与以外)'!$A$4:$A$1000000,$B162)=0)</f>
        <v>0</v>
      </c>
      <c r="I162" s="9" t="b">
        <f t="shared" si="11"/>
        <v>1</v>
      </c>
      <c r="J162" s="9" t="b">
        <f t="shared" si="12"/>
        <v>1</v>
      </c>
      <c r="K162" s="9" t="b">
        <f t="shared" si="13"/>
        <v>1</v>
      </c>
      <c r="L162" s="9" t="b">
        <f t="shared" si="14"/>
        <v>1</v>
      </c>
      <c r="M162" s="1" t="b">
        <f>IF(OR(入力シート!$C$5&lt;&gt;入力リスト!$N$4,入力シート!$J$22&lt;&gt;入力リスト!$K$4),TRUE,IF($F$2=入力リスト!$Q$4,IF(F162-INT(F162)&lt;0.6,TRUE,FALSE),TRUE))</f>
        <v>1</v>
      </c>
      <c r="N162" s="9" t="str">
        <f>IF(F162="","",IF($F$2=入力リスト!$Q$4,ROUNDDOWN(INT(F162)+ROUNDDOWN((F162-INT(F162))*100,0)/60,2),従業員の給与情報!F162))</f>
        <v/>
      </c>
      <c r="O162" s="8"/>
      <c r="P162" s="8"/>
    </row>
    <row r="163" spans="1:16">
      <c r="A163" s="119"/>
      <c r="B163" s="2"/>
      <c r="C163" s="369"/>
      <c r="D163" s="369"/>
      <c r="E163" s="369"/>
      <c r="F163" s="370"/>
      <c r="G163" s="248" t="str">
        <f t="shared" si="10"/>
        <v/>
      </c>
      <c r="H163" s="1" t="b">
        <f>IF(B163="",FALSE,COUNTIF('従業員情報(給与以外)'!$A$4:$A$1000000,$B163)=0)</f>
        <v>0</v>
      </c>
      <c r="I163" s="9" t="b">
        <f t="shared" si="11"/>
        <v>1</v>
      </c>
      <c r="J163" s="9" t="b">
        <f t="shared" si="12"/>
        <v>1</v>
      </c>
      <c r="K163" s="9" t="b">
        <f t="shared" si="13"/>
        <v>1</v>
      </c>
      <c r="L163" s="9" t="b">
        <f t="shared" si="14"/>
        <v>1</v>
      </c>
      <c r="M163" s="1" t="b">
        <f>IF(OR(入力シート!$C$5&lt;&gt;入力リスト!$N$4,入力シート!$J$22&lt;&gt;入力リスト!$K$4),TRUE,IF($F$2=入力リスト!$Q$4,IF(F163-INT(F163)&lt;0.6,TRUE,FALSE),TRUE))</f>
        <v>1</v>
      </c>
      <c r="N163" s="9" t="str">
        <f>IF(F163="","",IF($F$2=入力リスト!$Q$4,ROUNDDOWN(INT(F163)+ROUNDDOWN((F163-INT(F163))*100,0)/60,2),従業員の給与情報!F163))</f>
        <v/>
      </c>
      <c r="O163" s="8"/>
      <c r="P163" s="8"/>
    </row>
    <row r="164" spans="1:16">
      <c r="A164" s="119"/>
      <c r="B164" s="2"/>
      <c r="C164" s="369"/>
      <c r="D164" s="369"/>
      <c r="E164" s="369"/>
      <c r="F164" s="370"/>
      <c r="G164" s="248" t="str">
        <f t="shared" si="10"/>
        <v/>
      </c>
      <c r="H164" s="1" t="b">
        <f>IF(B164="",FALSE,COUNTIF('従業員情報(給与以外)'!$A$4:$A$1000000,$B164)=0)</f>
        <v>0</v>
      </c>
      <c r="I164" s="9" t="b">
        <f t="shared" si="11"/>
        <v>1</v>
      </c>
      <c r="J164" s="9" t="b">
        <f t="shared" si="12"/>
        <v>1</v>
      </c>
      <c r="K164" s="9" t="b">
        <f t="shared" si="13"/>
        <v>1</v>
      </c>
      <c r="L164" s="9" t="b">
        <f t="shared" si="14"/>
        <v>1</v>
      </c>
      <c r="M164" s="1" t="b">
        <f>IF(OR(入力シート!$C$5&lt;&gt;入力リスト!$N$4,入力シート!$J$22&lt;&gt;入力リスト!$K$4),TRUE,IF($F$2=入力リスト!$Q$4,IF(F164-INT(F164)&lt;0.6,TRUE,FALSE),TRUE))</f>
        <v>1</v>
      </c>
      <c r="N164" s="9" t="str">
        <f>IF(F164="","",IF($F$2=入力リスト!$Q$4,ROUNDDOWN(INT(F164)+ROUNDDOWN((F164-INT(F164))*100,0)/60,2),従業員の給与情報!F164))</f>
        <v/>
      </c>
      <c r="O164" s="8"/>
      <c r="P164" s="8"/>
    </row>
    <row r="165" spans="1:16">
      <c r="A165" s="119"/>
      <c r="B165" s="2"/>
      <c r="C165" s="369"/>
      <c r="D165" s="369"/>
      <c r="E165" s="369"/>
      <c r="F165" s="370"/>
      <c r="G165" s="248" t="str">
        <f t="shared" si="10"/>
        <v/>
      </c>
      <c r="H165" s="1" t="b">
        <f>IF(B165="",FALSE,COUNTIF('従業員情報(給与以外)'!$A$4:$A$1000000,$B165)=0)</f>
        <v>0</v>
      </c>
      <c r="I165" s="9" t="b">
        <f t="shared" si="11"/>
        <v>1</v>
      </c>
      <c r="J165" s="9" t="b">
        <f t="shared" si="12"/>
        <v>1</v>
      </c>
      <c r="K165" s="9" t="b">
        <f t="shared" si="13"/>
        <v>1</v>
      </c>
      <c r="L165" s="9" t="b">
        <f t="shared" si="14"/>
        <v>1</v>
      </c>
      <c r="M165" s="1" t="b">
        <f>IF(OR(入力シート!$C$5&lt;&gt;入力リスト!$N$4,入力シート!$J$22&lt;&gt;入力リスト!$K$4),TRUE,IF($F$2=入力リスト!$Q$4,IF(F165-INT(F165)&lt;0.6,TRUE,FALSE),TRUE))</f>
        <v>1</v>
      </c>
      <c r="N165" s="9" t="str">
        <f>IF(F165="","",IF($F$2=入力リスト!$Q$4,ROUNDDOWN(INT(F165)+ROUNDDOWN((F165-INT(F165))*100,0)/60,2),従業員の給与情報!F165))</f>
        <v/>
      </c>
      <c r="O165" s="8"/>
      <c r="P165" s="8"/>
    </row>
    <row r="166" spans="1:16">
      <c r="A166" s="119"/>
      <c r="B166" s="2"/>
      <c r="C166" s="369"/>
      <c r="D166" s="369"/>
      <c r="E166" s="369"/>
      <c r="F166" s="370"/>
      <c r="G166" s="248" t="str">
        <f t="shared" si="10"/>
        <v/>
      </c>
      <c r="H166" s="1" t="b">
        <f>IF(B166="",FALSE,COUNTIF('従業員情報(給与以外)'!$A$4:$A$1000000,$B166)=0)</f>
        <v>0</v>
      </c>
      <c r="I166" s="9" t="b">
        <f t="shared" si="11"/>
        <v>1</v>
      </c>
      <c r="J166" s="9" t="b">
        <f t="shared" si="12"/>
        <v>1</v>
      </c>
      <c r="K166" s="9" t="b">
        <f t="shared" si="13"/>
        <v>1</v>
      </c>
      <c r="L166" s="9" t="b">
        <f t="shared" si="14"/>
        <v>1</v>
      </c>
      <c r="M166" s="1" t="b">
        <f>IF(OR(入力シート!$C$5&lt;&gt;入力リスト!$N$4,入力シート!$J$22&lt;&gt;入力リスト!$K$4),TRUE,IF($F$2=入力リスト!$Q$4,IF(F166-INT(F166)&lt;0.6,TRUE,FALSE),TRUE))</f>
        <v>1</v>
      </c>
      <c r="N166" s="9" t="str">
        <f>IF(F166="","",IF($F$2=入力リスト!$Q$4,ROUNDDOWN(INT(F166)+ROUNDDOWN((F166-INT(F166))*100,0)/60,2),従業員の給与情報!F166))</f>
        <v/>
      </c>
      <c r="O166" s="8"/>
      <c r="P166" s="8"/>
    </row>
    <row r="167" spans="1:16">
      <c r="A167" s="119"/>
      <c r="B167" s="2"/>
      <c r="C167" s="369"/>
      <c r="D167" s="369"/>
      <c r="E167" s="369"/>
      <c r="F167" s="370"/>
      <c r="G167" s="248" t="str">
        <f t="shared" si="10"/>
        <v/>
      </c>
      <c r="H167" s="1" t="b">
        <f>IF(B167="",FALSE,COUNTIF('従業員情報(給与以外)'!$A$4:$A$1000000,$B167)=0)</f>
        <v>0</v>
      </c>
      <c r="I167" s="9" t="b">
        <f t="shared" si="11"/>
        <v>1</v>
      </c>
      <c r="J167" s="9" t="b">
        <f t="shared" si="12"/>
        <v>1</v>
      </c>
      <c r="K167" s="9" t="b">
        <f t="shared" si="13"/>
        <v>1</v>
      </c>
      <c r="L167" s="9" t="b">
        <f t="shared" si="14"/>
        <v>1</v>
      </c>
      <c r="M167" s="1" t="b">
        <f>IF(OR(入力シート!$C$5&lt;&gt;入力リスト!$N$4,入力シート!$J$22&lt;&gt;入力リスト!$K$4),TRUE,IF($F$2=入力リスト!$Q$4,IF(F167-INT(F167)&lt;0.6,TRUE,FALSE),TRUE))</f>
        <v>1</v>
      </c>
      <c r="N167" s="9" t="str">
        <f>IF(F167="","",IF($F$2=入力リスト!$Q$4,ROUNDDOWN(INT(F167)+ROUNDDOWN((F167-INT(F167))*100,0)/60,2),従業員の給与情報!F167))</f>
        <v/>
      </c>
      <c r="O167" s="8"/>
      <c r="P167" s="8"/>
    </row>
    <row r="168" spans="1:16">
      <c r="A168" s="119"/>
      <c r="B168" s="2"/>
      <c r="C168" s="369"/>
      <c r="D168" s="369"/>
      <c r="E168" s="369"/>
      <c r="F168" s="370"/>
      <c r="G168" s="248" t="str">
        <f t="shared" si="10"/>
        <v/>
      </c>
      <c r="H168" s="1" t="b">
        <f>IF(B168="",FALSE,COUNTIF('従業員情報(給与以外)'!$A$4:$A$1000000,$B168)=0)</f>
        <v>0</v>
      </c>
      <c r="I168" s="9" t="b">
        <f t="shared" si="11"/>
        <v>1</v>
      </c>
      <c r="J168" s="9" t="b">
        <f t="shared" si="12"/>
        <v>1</v>
      </c>
      <c r="K168" s="9" t="b">
        <f t="shared" si="13"/>
        <v>1</v>
      </c>
      <c r="L168" s="9" t="b">
        <f t="shared" si="14"/>
        <v>1</v>
      </c>
      <c r="M168" s="1" t="b">
        <f>IF(OR(入力シート!$C$5&lt;&gt;入力リスト!$N$4,入力シート!$J$22&lt;&gt;入力リスト!$K$4),TRUE,IF($F$2=入力リスト!$Q$4,IF(F168-INT(F168)&lt;0.6,TRUE,FALSE),TRUE))</f>
        <v>1</v>
      </c>
      <c r="N168" s="9" t="str">
        <f>IF(F168="","",IF($F$2=入力リスト!$Q$4,ROUNDDOWN(INT(F168)+ROUNDDOWN((F168-INT(F168))*100,0)/60,2),従業員の給与情報!F168))</f>
        <v/>
      </c>
      <c r="O168" s="8"/>
      <c r="P168" s="8"/>
    </row>
    <row r="169" spans="1:16">
      <c r="A169" s="119"/>
      <c r="B169" s="2"/>
      <c r="C169" s="369"/>
      <c r="D169" s="369"/>
      <c r="E169" s="369"/>
      <c r="F169" s="370"/>
      <c r="G169" s="248" t="str">
        <f t="shared" si="10"/>
        <v/>
      </c>
      <c r="H169" s="1" t="b">
        <f>IF(B169="",FALSE,COUNTIF('従業員情報(給与以外)'!$A$4:$A$1000000,$B169)=0)</f>
        <v>0</v>
      </c>
      <c r="I169" s="9" t="b">
        <f t="shared" si="11"/>
        <v>1</v>
      </c>
      <c r="J169" s="9" t="b">
        <f t="shared" si="12"/>
        <v>1</v>
      </c>
      <c r="K169" s="9" t="b">
        <f t="shared" si="13"/>
        <v>1</v>
      </c>
      <c r="L169" s="9" t="b">
        <f t="shared" si="14"/>
        <v>1</v>
      </c>
      <c r="M169" s="1" t="b">
        <f>IF(OR(入力シート!$C$5&lt;&gt;入力リスト!$N$4,入力シート!$J$22&lt;&gt;入力リスト!$K$4),TRUE,IF($F$2=入力リスト!$Q$4,IF(F169-INT(F169)&lt;0.6,TRUE,FALSE),TRUE))</f>
        <v>1</v>
      </c>
      <c r="N169" s="9" t="str">
        <f>IF(F169="","",IF($F$2=入力リスト!$Q$4,ROUNDDOWN(INT(F169)+ROUNDDOWN((F169-INT(F169))*100,0)/60,2),従業員の給与情報!F169))</f>
        <v/>
      </c>
      <c r="O169" s="8"/>
      <c r="P169" s="8"/>
    </row>
    <row r="170" spans="1:16">
      <c r="A170" s="119"/>
      <c r="B170" s="2"/>
      <c r="C170" s="369"/>
      <c r="D170" s="369"/>
      <c r="E170" s="369"/>
      <c r="F170" s="370"/>
      <c r="G170" s="248" t="str">
        <f t="shared" si="10"/>
        <v/>
      </c>
      <c r="H170" s="1" t="b">
        <f>IF(B170="",FALSE,COUNTIF('従業員情報(給与以外)'!$A$4:$A$1000000,$B170)=0)</f>
        <v>0</v>
      </c>
      <c r="I170" s="9" t="b">
        <f t="shared" si="11"/>
        <v>1</v>
      </c>
      <c r="J170" s="9" t="b">
        <f t="shared" si="12"/>
        <v>1</v>
      </c>
      <c r="K170" s="9" t="b">
        <f t="shared" si="13"/>
        <v>1</v>
      </c>
      <c r="L170" s="9" t="b">
        <f t="shared" si="14"/>
        <v>1</v>
      </c>
      <c r="M170" s="1" t="b">
        <f>IF(OR(入力シート!$C$5&lt;&gt;入力リスト!$N$4,入力シート!$J$22&lt;&gt;入力リスト!$K$4),TRUE,IF($F$2=入力リスト!$Q$4,IF(F170-INT(F170)&lt;0.6,TRUE,FALSE),TRUE))</f>
        <v>1</v>
      </c>
      <c r="N170" s="9" t="str">
        <f>IF(F170="","",IF($F$2=入力リスト!$Q$4,ROUNDDOWN(INT(F170)+ROUNDDOWN((F170-INT(F170))*100,0)/60,2),従業員の給与情報!F170))</f>
        <v/>
      </c>
      <c r="O170" s="8"/>
      <c r="P170" s="8"/>
    </row>
    <row r="171" spans="1:16">
      <c r="A171" s="119"/>
      <c r="B171" s="2"/>
      <c r="C171" s="369"/>
      <c r="D171" s="369"/>
      <c r="E171" s="369"/>
      <c r="F171" s="370"/>
      <c r="G171" s="248" t="str">
        <f t="shared" si="10"/>
        <v/>
      </c>
      <c r="H171" s="1" t="b">
        <f>IF(B171="",FALSE,COUNTIF('従業員情報(給与以外)'!$A$4:$A$1000000,$B171)=0)</f>
        <v>0</v>
      </c>
      <c r="I171" s="9" t="b">
        <f t="shared" si="11"/>
        <v>1</v>
      </c>
      <c r="J171" s="9" t="b">
        <f t="shared" si="12"/>
        <v>1</v>
      </c>
      <c r="K171" s="9" t="b">
        <f t="shared" si="13"/>
        <v>1</v>
      </c>
      <c r="L171" s="9" t="b">
        <f t="shared" si="14"/>
        <v>1</v>
      </c>
      <c r="M171" s="1" t="b">
        <f>IF(OR(入力シート!$C$5&lt;&gt;入力リスト!$N$4,入力シート!$J$22&lt;&gt;入力リスト!$K$4),TRUE,IF($F$2=入力リスト!$Q$4,IF(F171-INT(F171)&lt;0.6,TRUE,FALSE),TRUE))</f>
        <v>1</v>
      </c>
      <c r="N171" s="9" t="str">
        <f>IF(F171="","",IF($F$2=入力リスト!$Q$4,ROUNDDOWN(INT(F171)+ROUNDDOWN((F171-INT(F171))*100,0)/60,2),従業員の給与情報!F171))</f>
        <v/>
      </c>
      <c r="O171" s="8"/>
      <c r="P171" s="8"/>
    </row>
    <row r="172" spans="1:16">
      <c r="A172" s="119"/>
      <c r="B172" s="2"/>
      <c r="C172" s="369"/>
      <c r="D172" s="369"/>
      <c r="E172" s="369"/>
      <c r="F172" s="370"/>
      <c r="G172" s="248" t="str">
        <f t="shared" si="10"/>
        <v/>
      </c>
      <c r="H172" s="1" t="b">
        <f>IF(B172="",FALSE,COUNTIF('従業員情報(給与以外)'!$A$4:$A$1000000,$B172)=0)</f>
        <v>0</v>
      </c>
      <c r="I172" s="9" t="b">
        <f t="shared" si="11"/>
        <v>1</v>
      </c>
      <c r="J172" s="9" t="b">
        <f t="shared" si="12"/>
        <v>1</v>
      </c>
      <c r="K172" s="9" t="b">
        <f t="shared" si="13"/>
        <v>1</v>
      </c>
      <c r="L172" s="9" t="b">
        <f t="shared" si="14"/>
        <v>1</v>
      </c>
      <c r="M172" s="1" t="b">
        <f>IF(OR(入力シート!$C$5&lt;&gt;入力リスト!$N$4,入力シート!$J$22&lt;&gt;入力リスト!$K$4),TRUE,IF($F$2=入力リスト!$Q$4,IF(F172-INT(F172)&lt;0.6,TRUE,FALSE),TRUE))</f>
        <v>1</v>
      </c>
      <c r="N172" s="9" t="str">
        <f>IF(F172="","",IF($F$2=入力リスト!$Q$4,ROUNDDOWN(INT(F172)+ROUNDDOWN((F172-INT(F172))*100,0)/60,2),従業員の給与情報!F172))</f>
        <v/>
      </c>
      <c r="O172" s="8"/>
      <c r="P172" s="8"/>
    </row>
    <row r="173" spans="1:16">
      <c r="A173" s="119"/>
      <c r="B173" s="2"/>
      <c r="C173" s="369"/>
      <c r="D173" s="369"/>
      <c r="E173" s="369"/>
      <c r="F173" s="370"/>
      <c r="G173" s="248" t="str">
        <f t="shared" si="10"/>
        <v/>
      </c>
      <c r="H173" s="1" t="b">
        <f>IF(B173="",FALSE,COUNTIF('従業員情報(給与以外)'!$A$4:$A$1000000,$B173)=0)</f>
        <v>0</v>
      </c>
      <c r="I173" s="9" t="b">
        <f t="shared" si="11"/>
        <v>1</v>
      </c>
      <c r="J173" s="9" t="b">
        <f t="shared" si="12"/>
        <v>1</v>
      </c>
      <c r="K173" s="9" t="b">
        <f t="shared" si="13"/>
        <v>1</v>
      </c>
      <c r="L173" s="9" t="b">
        <f t="shared" si="14"/>
        <v>1</v>
      </c>
      <c r="M173" s="1" t="b">
        <f>IF(OR(入力シート!$C$5&lt;&gt;入力リスト!$N$4,入力シート!$J$22&lt;&gt;入力リスト!$K$4),TRUE,IF($F$2=入力リスト!$Q$4,IF(F173-INT(F173)&lt;0.6,TRUE,FALSE),TRUE))</f>
        <v>1</v>
      </c>
      <c r="N173" s="9" t="str">
        <f>IF(F173="","",IF($F$2=入力リスト!$Q$4,ROUNDDOWN(INT(F173)+ROUNDDOWN((F173-INT(F173))*100,0)/60,2),従業員の給与情報!F173))</f>
        <v/>
      </c>
      <c r="O173" s="8"/>
      <c r="P173" s="8"/>
    </row>
    <row r="174" spans="1:16">
      <c r="A174" s="119"/>
      <c r="B174" s="2"/>
      <c r="C174" s="369"/>
      <c r="D174" s="369"/>
      <c r="E174" s="369"/>
      <c r="F174" s="370"/>
      <c r="G174" s="248" t="str">
        <f t="shared" si="10"/>
        <v/>
      </c>
      <c r="H174" s="1" t="b">
        <f>IF(B174="",FALSE,COUNTIF('従業員情報(給与以外)'!$A$4:$A$1000000,$B174)=0)</f>
        <v>0</v>
      </c>
      <c r="I174" s="9" t="b">
        <f t="shared" si="11"/>
        <v>1</v>
      </c>
      <c r="J174" s="9" t="b">
        <f t="shared" si="12"/>
        <v>1</v>
      </c>
      <c r="K174" s="9" t="b">
        <f t="shared" si="13"/>
        <v>1</v>
      </c>
      <c r="L174" s="9" t="b">
        <f t="shared" si="14"/>
        <v>1</v>
      </c>
      <c r="M174" s="1" t="b">
        <f>IF(OR(入力シート!$C$5&lt;&gt;入力リスト!$N$4,入力シート!$J$22&lt;&gt;入力リスト!$K$4),TRUE,IF($F$2=入力リスト!$Q$4,IF(F174-INT(F174)&lt;0.6,TRUE,FALSE),TRUE))</f>
        <v>1</v>
      </c>
      <c r="N174" s="9" t="str">
        <f>IF(F174="","",IF($F$2=入力リスト!$Q$4,ROUNDDOWN(INT(F174)+ROUNDDOWN((F174-INT(F174))*100,0)/60,2),従業員の給与情報!F174))</f>
        <v/>
      </c>
      <c r="O174" s="8"/>
      <c r="P174" s="8"/>
    </row>
    <row r="175" spans="1:16">
      <c r="A175" s="119"/>
      <c r="B175" s="2"/>
      <c r="C175" s="369"/>
      <c r="D175" s="369"/>
      <c r="E175" s="369"/>
      <c r="F175" s="370"/>
      <c r="G175" s="248" t="str">
        <f t="shared" si="10"/>
        <v/>
      </c>
      <c r="H175" s="1" t="b">
        <f>IF(B175="",FALSE,COUNTIF('従業員情報(給与以外)'!$A$4:$A$1000000,$B175)=0)</f>
        <v>0</v>
      </c>
      <c r="I175" s="9" t="b">
        <f t="shared" si="11"/>
        <v>1</v>
      </c>
      <c r="J175" s="9" t="b">
        <f t="shared" si="12"/>
        <v>1</v>
      </c>
      <c r="K175" s="9" t="b">
        <f t="shared" si="13"/>
        <v>1</v>
      </c>
      <c r="L175" s="9" t="b">
        <f t="shared" si="14"/>
        <v>1</v>
      </c>
      <c r="M175" s="1" t="b">
        <f>IF(OR(入力シート!$C$5&lt;&gt;入力リスト!$N$4,入力シート!$J$22&lt;&gt;入力リスト!$K$4),TRUE,IF($F$2=入力リスト!$Q$4,IF(F175-INT(F175)&lt;0.6,TRUE,FALSE),TRUE))</f>
        <v>1</v>
      </c>
      <c r="N175" s="9" t="str">
        <f>IF(F175="","",IF($F$2=入力リスト!$Q$4,ROUNDDOWN(INT(F175)+ROUNDDOWN((F175-INT(F175))*100,0)/60,2),従業員の給与情報!F175))</f>
        <v/>
      </c>
      <c r="O175" s="8"/>
      <c r="P175" s="8"/>
    </row>
    <row r="176" spans="1:16">
      <c r="A176" s="119"/>
      <c r="B176" s="2"/>
      <c r="C176" s="369"/>
      <c r="D176" s="369"/>
      <c r="E176" s="369"/>
      <c r="F176" s="370"/>
      <c r="G176" s="248" t="str">
        <f t="shared" si="10"/>
        <v/>
      </c>
      <c r="H176" s="1" t="b">
        <f>IF(B176="",FALSE,COUNTIF('従業員情報(給与以外)'!$A$4:$A$1000000,$B176)=0)</f>
        <v>0</v>
      </c>
      <c r="I176" s="9" t="b">
        <f t="shared" si="11"/>
        <v>1</v>
      </c>
      <c r="J176" s="9" t="b">
        <f t="shared" si="12"/>
        <v>1</v>
      </c>
      <c r="K176" s="9" t="b">
        <f t="shared" si="13"/>
        <v>1</v>
      </c>
      <c r="L176" s="9" t="b">
        <f t="shared" si="14"/>
        <v>1</v>
      </c>
      <c r="M176" s="1" t="b">
        <f>IF(OR(入力シート!$C$5&lt;&gt;入力リスト!$N$4,入力シート!$J$22&lt;&gt;入力リスト!$K$4),TRUE,IF($F$2=入力リスト!$Q$4,IF(F176-INT(F176)&lt;0.6,TRUE,FALSE),TRUE))</f>
        <v>1</v>
      </c>
      <c r="N176" s="9" t="str">
        <f>IF(F176="","",IF($F$2=入力リスト!$Q$4,ROUNDDOWN(INT(F176)+ROUNDDOWN((F176-INT(F176))*100,0)/60,2),従業員の給与情報!F176))</f>
        <v/>
      </c>
      <c r="O176" s="8"/>
      <c r="P176" s="8"/>
    </row>
    <row r="177" spans="1:16">
      <c r="A177" s="119"/>
      <c r="B177" s="2"/>
      <c r="C177" s="369"/>
      <c r="D177" s="369"/>
      <c r="E177" s="369"/>
      <c r="F177" s="370"/>
      <c r="G177" s="248" t="str">
        <f t="shared" si="10"/>
        <v/>
      </c>
      <c r="H177" s="1" t="b">
        <f>IF(B177="",FALSE,COUNTIF('従業員情報(給与以外)'!$A$4:$A$1000000,$B177)=0)</f>
        <v>0</v>
      </c>
      <c r="I177" s="9" t="b">
        <f t="shared" si="11"/>
        <v>1</v>
      </c>
      <c r="J177" s="9" t="b">
        <f t="shared" si="12"/>
        <v>1</v>
      </c>
      <c r="K177" s="9" t="b">
        <f t="shared" si="13"/>
        <v>1</v>
      </c>
      <c r="L177" s="9" t="b">
        <f t="shared" si="14"/>
        <v>1</v>
      </c>
      <c r="M177" s="1" t="b">
        <f>IF(OR(入力シート!$C$5&lt;&gt;入力リスト!$N$4,入力シート!$J$22&lt;&gt;入力リスト!$K$4),TRUE,IF($F$2=入力リスト!$Q$4,IF(F177-INT(F177)&lt;0.6,TRUE,FALSE),TRUE))</f>
        <v>1</v>
      </c>
      <c r="N177" s="9" t="str">
        <f>IF(F177="","",IF($F$2=入力リスト!$Q$4,ROUNDDOWN(INT(F177)+ROUNDDOWN((F177-INT(F177))*100,0)/60,2),従業員の給与情報!F177))</f>
        <v/>
      </c>
      <c r="O177" s="8"/>
      <c r="P177" s="8"/>
    </row>
    <row r="178" spans="1:16">
      <c r="A178" s="119"/>
      <c r="B178" s="2"/>
      <c r="C178" s="369"/>
      <c r="D178" s="369"/>
      <c r="E178" s="369"/>
      <c r="F178" s="370"/>
      <c r="G178" s="248" t="str">
        <f t="shared" si="10"/>
        <v/>
      </c>
      <c r="H178" s="1" t="b">
        <f>IF(B178="",FALSE,COUNTIF('従業員情報(給与以外)'!$A$4:$A$1000000,$B178)=0)</f>
        <v>0</v>
      </c>
      <c r="I178" s="9" t="b">
        <f t="shared" si="11"/>
        <v>1</v>
      </c>
      <c r="J178" s="9" t="b">
        <f t="shared" si="12"/>
        <v>1</v>
      </c>
      <c r="K178" s="9" t="b">
        <f t="shared" si="13"/>
        <v>1</v>
      </c>
      <c r="L178" s="9" t="b">
        <f t="shared" si="14"/>
        <v>1</v>
      </c>
      <c r="M178" s="1" t="b">
        <f>IF(OR(入力シート!$C$5&lt;&gt;入力リスト!$N$4,入力シート!$J$22&lt;&gt;入力リスト!$K$4),TRUE,IF($F$2=入力リスト!$Q$4,IF(F178-INT(F178)&lt;0.6,TRUE,FALSE),TRUE))</f>
        <v>1</v>
      </c>
      <c r="N178" s="9" t="str">
        <f>IF(F178="","",IF($F$2=入力リスト!$Q$4,ROUNDDOWN(INT(F178)+ROUNDDOWN((F178-INT(F178))*100,0)/60,2),従業員の給与情報!F178))</f>
        <v/>
      </c>
      <c r="O178" s="8"/>
      <c r="P178" s="8"/>
    </row>
    <row r="179" spans="1:16">
      <c r="A179" s="119"/>
      <c r="B179" s="2"/>
      <c r="C179" s="369"/>
      <c r="D179" s="369"/>
      <c r="E179" s="369"/>
      <c r="F179" s="370"/>
      <c r="G179" s="248" t="str">
        <f t="shared" si="10"/>
        <v/>
      </c>
      <c r="H179" s="1" t="b">
        <f>IF(B179="",FALSE,COUNTIF('従業員情報(給与以外)'!$A$4:$A$1000000,$B179)=0)</f>
        <v>0</v>
      </c>
      <c r="I179" s="9" t="b">
        <f t="shared" si="11"/>
        <v>1</v>
      </c>
      <c r="J179" s="9" t="b">
        <f t="shared" si="12"/>
        <v>1</v>
      </c>
      <c r="K179" s="9" t="b">
        <f t="shared" si="13"/>
        <v>1</v>
      </c>
      <c r="L179" s="9" t="b">
        <f t="shared" si="14"/>
        <v>1</v>
      </c>
      <c r="M179" s="1" t="b">
        <f>IF(OR(入力シート!$C$5&lt;&gt;入力リスト!$N$4,入力シート!$J$22&lt;&gt;入力リスト!$K$4),TRUE,IF($F$2=入力リスト!$Q$4,IF(F179-INT(F179)&lt;0.6,TRUE,FALSE),TRUE))</f>
        <v>1</v>
      </c>
      <c r="N179" s="9" t="str">
        <f>IF(F179="","",IF($F$2=入力リスト!$Q$4,ROUNDDOWN(INT(F179)+ROUNDDOWN((F179-INT(F179))*100,0)/60,2),従業員の給与情報!F179))</f>
        <v/>
      </c>
      <c r="O179" s="8"/>
      <c r="P179" s="8"/>
    </row>
    <row r="180" spans="1:16">
      <c r="A180" s="119"/>
      <c r="B180" s="2"/>
      <c r="C180" s="369"/>
      <c r="D180" s="369"/>
      <c r="E180" s="369"/>
      <c r="F180" s="370"/>
      <c r="G180" s="248" t="str">
        <f t="shared" si="10"/>
        <v/>
      </c>
      <c r="H180" s="1" t="b">
        <f>IF(B180="",FALSE,COUNTIF('従業員情報(給与以外)'!$A$4:$A$1000000,$B180)=0)</f>
        <v>0</v>
      </c>
      <c r="I180" s="9" t="b">
        <f t="shared" si="11"/>
        <v>1</v>
      </c>
      <c r="J180" s="9" t="b">
        <f t="shared" si="12"/>
        <v>1</v>
      </c>
      <c r="K180" s="9" t="b">
        <f t="shared" si="13"/>
        <v>1</v>
      </c>
      <c r="L180" s="9" t="b">
        <f t="shared" si="14"/>
        <v>1</v>
      </c>
      <c r="M180" s="1" t="b">
        <f>IF(OR(入力シート!$C$5&lt;&gt;入力リスト!$N$4,入力シート!$J$22&lt;&gt;入力リスト!$K$4),TRUE,IF($F$2=入力リスト!$Q$4,IF(F180-INT(F180)&lt;0.6,TRUE,FALSE),TRUE))</f>
        <v>1</v>
      </c>
      <c r="N180" s="9" t="str">
        <f>IF(F180="","",IF($F$2=入力リスト!$Q$4,ROUNDDOWN(INT(F180)+ROUNDDOWN((F180-INT(F180))*100,0)/60,2),従業員の給与情報!F180))</f>
        <v/>
      </c>
      <c r="O180" s="8"/>
      <c r="P180" s="8"/>
    </row>
    <row r="181" spans="1:16">
      <c r="A181" s="119"/>
      <c r="B181" s="2"/>
      <c r="C181" s="369"/>
      <c r="D181" s="369"/>
      <c r="E181" s="369"/>
      <c r="F181" s="370"/>
      <c r="G181" s="248" t="str">
        <f t="shared" si="10"/>
        <v/>
      </c>
      <c r="H181" s="1" t="b">
        <f>IF(B181="",FALSE,COUNTIF('従業員情報(給与以外)'!$A$4:$A$1000000,$B181)=0)</f>
        <v>0</v>
      </c>
      <c r="I181" s="9" t="b">
        <f t="shared" si="11"/>
        <v>1</v>
      </c>
      <c r="J181" s="9" t="b">
        <f t="shared" si="12"/>
        <v>1</v>
      </c>
      <c r="K181" s="9" t="b">
        <f t="shared" si="13"/>
        <v>1</v>
      </c>
      <c r="L181" s="9" t="b">
        <f t="shared" si="14"/>
        <v>1</v>
      </c>
      <c r="M181" s="1" t="b">
        <f>IF(OR(入力シート!$C$5&lt;&gt;入力リスト!$N$4,入力シート!$J$22&lt;&gt;入力リスト!$K$4),TRUE,IF($F$2=入力リスト!$Q$4,IF(F181-INT(F181)&lt;0.6,TRUE,FALSE),TRUE))</f>
        <v>1</v>
      </c>
      <c r="N181" s="9" t="str">
        <f>IF(F181="","",IF($F$2=入力リスト!$Q$4,ROUNDDOWN(INT(F181)+ROUNDDOWN((F181-INT(F181))*100,0)/60,2),従業員の給与情報!F181))</f>
        <v/>
      </c>
      <c r="O181" s="8"/>
      <c r="P181" s="8"/>
    </row>
    <row r="182" spans="1:16">
      <c r="A182" s="119"/>
      <c r="B182" s="2"/>
      <c r="C182" s="369"/>
      <c r="D182" s="369"/>
      <c r="E182" s="369"/>
      <c r="F182" s="370"/>
      <c r="G182" s="248" t="str">
        <f t="shared" si="10"/>
        <v/>
      </c>
      <c r="H182" s="1" t="b">
        <f>IF(B182="",FALSE,COUNTIF('従業員情報(給与以外)'!$A$4:$A$1000000,$B182)=0)</f>
        <v>0</v>
      </c>
      <c r="I182" s="9" t="b">
        <f t="shared" si="11"/>
        <v>1</v>
      </c>
      <c r="J182" s="9" t="b">
        <f t="shared" si="12"/>
        <v>1</v>
      </c>
      <c r="K182" s="9" t="b">
        <f t="shared" si="13"/>
        <v>1</v>
      </c>
      <c r="L182" s="9" t="b">
        <f t="shared" si="14"/>
        <v>1</v>
      </c>
      <c r="M182" s="1" t="b">
        <f>IF(OR(入力シート!$C$5&lt;&gt;入力リスト!$N$4,入力シート!$J$22&lt;&gt;入力リスト!$K$4),TRUE,IF($F$2=入力リスト!$Q$4,IF(F182-INT(F182)&lt;0.6,TRUE,FALSE),TRUE))</f>
        <v>1</v>
      </c>
      <c r="N182" s="9" t="str">
        <f>IF(F182="","",IF($F$2=入力リスト!$Q$4,ROUNDDOWN(INT(F182)+ROUNDDOWN((F182-INT(F182))*100,0)/60,2),従業員の給与情報!F182))</f>
        <v/>
      </c>
      <c r="O182" s="8"/>
      <c r="P182" s="8"/>
    </row>
    <row r="183" spans="1:16">
      <c r="A183" s="119"/>
      <c r="B183" s="2"/>
      <c r="C183" s="369"/>
      <c r="D183" s="369"/>
      <c r="E183" s="369"/>
      <c r="F183" s="370"/>
      <c r="G183" s="248" t="str">
        <f t="shared" si="10"/>
        <v/>
      </c>
      <c r="H183" s="1" t="b">
        <f>IF(B183="",FALSE,COUNTIF('従業員情報(給与以外)'!$A$4:$A$1000000,$B183)=0)</f>
        <v>0</v>
      </c>
      <c r="I183" s="9" t="b">
        <f t="shared" si="11"/>
        <v>1</v>
      </c>
      <c r="J183" s="9" t="b">
        <f t="shared" si="12"/>
        <v>1</v>
      </c>
      <c r="K183" s="9" t="b">
        <f t="shared" si="13"/>
        <v>1</v>
      </c>
      <c r="L183" s="9" t="b">
        <f t="shared" si="14"/>
        <v>1</v>
      </c>
      <c r="M183" s="1" t="b">
        <f>IF(OR(入力シート!$C$5&lt;&gt;入力リスト!$N$4,入力シート!$J$22&lt;&gt;入力リスト!$K$4),TRUE,IF($F$2=入力リスト!$Q$4,IF(F183-INT(F183)&lt;0.6,TRUE,FALSE),TRUE))</f>
        <v>1</v>
      </c>
      <c r="N183" s="9" t="str">
        <f>IF(F183="","",IF($F$2=入力リスト!$Q$4,ROUNDDOWN(INT(F183)+ROUNDDOWN((F183-INT(F183))*100,0)/60,2),従業員の給与情報!F183))</f>
        <v/>
      </c>
      <c r="O183" s="8"/>
      <c r="P183" s="8"/>
    </row>
    <row r="184" spans="1:16">
      <c r="A184" s="119"/>
      <c r="B184" s="2"/>
      <c r="C184" s="369"/>
      <c r="D184" s="369"/>
      <c r="E184" s="369"/>
      <c r="F184" s="370"/>
      <c r="G184" s="248" t="str">
        <f t="shared" si="10"/>
        <v/>
      </c>
      <c r="H184" s="1" t="b">
        <f>IF(B184="",FALSE,COUNTIF('従業員情報(給与以外)'!$A$4:$A$1000000,$B184)=0)</f>
        <v>0</v>
      </c>
      <c r="I184" s="9" t="b">
        <f t="shared" si="11"/>
        <v>1</v>
      </c>
      <c r="J184" s="9" t="b">
        <f t="shared" si="12"/>
        <v>1</v>
      </c>
      <c r="K184" s="9" t="b">
        <f t="shared" si="13"/>
        <v>1</v>
      </c>
      <c r="L184" s="9" t="b">
        <f t="shared" si="14"/>
        <v>1</v>
      </c>
      <c r="M184" s="1" t="b">
        <f>IF(OR(入力シート!$C$5&lt;&gt;入力リスト!$N$4,入力シート!$J$22&lt;&gt;入力リスト!$K$4),TRUE,IF($F$2=入力リスト!$Q$4,IF(F184-INT(F184)&lt;0.6,TRUE,FALSE),TRUE))</f>
        <v>1</v>
      </c>
      <c r="N184" s="9" t="str">
        <f>IF(F184="","",IF($F$2=入力リスト!$Q$4,ROUNDDOWN(INT(F184)+ROUNDDOWN((F184-INT(F184))*100,0)/60,2),従業員の給与情報!F184))</f>
        <v/>
      </c>
      <c r="O184" s="8"/>
      <c r="P184" s="8"/>
    </row>
    <row r="185" spans="1:16">
      <c r="A185" s="119"/>
      <c r="B185" s="2"/>
      <c r="C185" s="369"/>
      <c r="D185" s="369"/>
      <c r="E185" s="369"/>
      <c r="F185" s="370"/>
      <c r="G185" s="248" t="str">
        <f t="shared" si="10"/>
        <v/>
      </c>
      <c r="H185" s="1" t="b">
        <f>IF(B185="",FALSE,COUNTIF('従業員情報(給与以外)'!$A$4:$A$1000000,$B185)=0)</f>
        <v>0</v>
      </c>
      <c r="I185" s="9" t="b">
        <f t="shared" si="11"/>
        <v>1</v>
      </c>
      <c r="J185" s="9" t="b">
        <f t="shared" si="12"/>
        <v>1</v>
      </c>
      <c r="K185" s="9" t="b">
        <f t="shared" si="13"/>
        <v>1</v>
      </c>
      <c r="L185" s="9" t="b">
        <f t="shared" si="14"/>
        <v>1</v>
      </c>
      <c r="M185" s="1" t="b">
        <f>IF(OR(入力シート!$C$5&lt;&gt;入力リスト!$N$4,入力シート!$J$22&lt;&gt;入力リスト!$K$4),TRUE,IF($F$2=入力リスト!$Q$4,IF(F185-INT(F185)&lt;0.6,TRUE,FALSE),TRUE))</f>
        <v>1</v>
      </c>
      <c r="N185" s="9" t="str">
        <f>IF(F185="","",IF($F$2=入力リスト!$Q$4,ROUNDDOWN(INT(F185)+ROUNDDOWN((F185-INT(F185))*100,0)/60,2),従業員の給与情報!F185))</f>
        <v/>
      </c>
      <c r="O185" s="8"/>
      <c r="P185" s="8"/>
    </row>
    <row r="186" spans="1:16">
      <c r="A186" s="119"/>
      <c r="B186" s="2"/>
      <c r="C186" s="369"/>
      <c r="D186" s="369"/>
      <c r="E186" s="369"/>
      <c r="F186" s="370"/>
      <c r="G186" s="248" t="str">
        <f t="shared" si="10"/>
        <v/>
      </c>
      <c r="H186" s="1" t="b">
        <f>IF(B186="",FALSE,COUNTIF('従業員情報(給与以外)'!$A$4:$A$1000000,$B186)=0)</f>
        <v>0</v>
      </c>
      <c r="I186" s="9" t="b">
        <f t="shared" si="11"/>
        <v>1</v>
      </c>
      <c r="J186" s="9" t="b">
        <f t="shared" si="12"/>
        <v>1</v>
      </c>
      <c r="K186" s="9" t="b">
        <f t="shared" si="13"/>
        <v>1</v>
      </c>
      <c r="L186" s="9" t="b">
        <f t="shared" si="14"/>
        <v>1</v>
      </c>
      <c r="M186" s="1" t="b">
        <f>IF(OR(入力シート!$C$5&lt;&gt;入力リスト!$N$4,入力シート!$J$22&lt;&gt;入力リスト!$K$4),TRUE,IF($F$2=入力リスト!$Q$4,IF(F186-INT(F186)&lt;0.6,TRUE,FALSE),TRUE))</f>
        <v>1</v>
      </c>
      <c r="N186" s="9" t="str">
        <f>IF(F186="","",IF($F$2=入力リスト!$Q$4,ROUNDDOWN(INT(F186)+ROUNDDOWN((F186-INT(F186))*100,0)/60,2),従業員の給与情報!F186))</f>
        <v/>
      </c>
      <c r="O186" s="8"/>
      <c r="P186" s="8"/>
    </row>
    <row r="187" spans="1:16">
      <c r="A187" s="119"/>
      <c r="B187" s="2"/>
      <c r="C187" s="369"/>
      <c r="D187" s="369"/>
      <c r="E187" s="369"/>
      <c r="F187" s="370"/>
      <c r="G187" s="248" t="str">
        <f t="shared" si="10"/>
        <v/>
      </c>
      <c r="H187" s="1" t="b">
        <f>IF(B187="",FALSE,COUNTIF('従業員情報(給与以外)'!$A$4:$A$1000000,$B187)=0)</f>
        <v>0</v>
      </c>
      <c r="I187" s="9" t="b">
        <f t="shared" si="11"/>
        <v>1</v>
      </c>
      <c r="J187" s="9" t="b">
        <f t="shared" si="12"/>
        <v>1</v>
      </c>
      <c r="K187" s="9" t="b">
        <f t="shared" si="13"/>
        <v>1</v>
      </c>
      <c r="L187" s="9" t="b">
        <f t="shared" si="14"/>
        <v>1</v>
      </c>
      <c r="M187" s="1" t="b">
        <f>IF(OR(入力シート!$C$5&lt;&gt;入力リスト!$N$4,入力シート!$J$22&lt;&gt;入力リスト!$K$4),TRUE,IF($F$2=入力リスト!$Q$4,IF(F187-INT(F187)&lt;0.6,TRUE,FALSE),TRUE))</f>
        <v>1</v>
      </c>
      <c r="N187" s="9" t="str">
        <f>IF(F187="","",IF($F$2=入力リスト!$Q$4,ROUNDDOWN(INT(F187)+ROUNDDOWN((F187-INT(F187))*100,0)/60,2),従業員の給与情報!F187))</f>
        <v/>
      </c>
      <c r="O187" s="8"/>
      <c r="P187" s="8"/>
    </row>
    <row r="188" spans="1:16">
      <c r="A188" s="119"/>
      <c r="B188" s="2"/>
      <c r="C188" s="369"/>
      <c r="D188" s="369"/>
      <c r="E188" s="369"/>
      <c r="F188" s="370"/>
      <c r="G188" s="248" t="str">
        <f t="shared" si="10"/>
        <v/>
      </c>
      <c r="H188" s="1" t="b">
        <f>IF(B188="",FALSE,COUNTIF('従業員情報(給与以外)'!$A$4:$A$1000000,$B188)=0)</f>
        <v>0</v>
      </c>
      <c r="I188" s="9" t="b">
        <f t="shared" si="11"/>
        <v>1</v>
      </c>
      <c r="J188" s="9" t="b">
        <f t="shared" si="12"/>
        <v>1</v>
      </c>
      <c r="K188" s="9" t="b">
        <f t="shared" si="13"/>
        <v>1</v>
      </c>
      <c r="L188" s="9" t="b">
        <f t="shared" si="14"/>
        <v>1</v>
      </c>
      <c r="M188" s="1" t="b">
        <f>IF(OR(入力シート!$C$5&lt;&gt;入力リスト!$N$4,入力シート!$J$22&lt;&gt;入力リスト!$K$4),TRUE,IF($F$2=入力リスト!$Q$4,IF(F188-INT(F188)&lt;0.6,TRUE,FALSE),TRUE))</f>
        <v>1</v>
      </c>
      <c r="N188" s="9" t="str">
        <f>IF(F188="","",IF($F$2=入力リスト!$Q$4,ROUNDDOWN(INT(F188)+ROUNDDOWN((F188-INT(F188))*100,0)/60,2),従業員の給与情報!F188))</f>
        <v/>
      </c>
      <c r="O188" s="8"/>
      <c r="P188" s="8"/>
    </row>
    <row r="189" spans="1:16">
      <c r="A189" s="119"/>
      <c r="B189" s="2"/>
      <c r="C189" s="369"/>
      <c r="D189" s="369"/>
      <c r="E189" s="369"/>
      <c r="F189" s="370"/>
      <c r="G189" s="248" t="str">
        <f t="shared" si="10"/>
        <v/>
      </c>
      <c r="H189" s="1" t="b">
        <f>IF(B189="",FALSE,COUNTIF('従業員情報(給与以外)'!$A$4:$A$1000000,$B189)=0)</f>
        <v>0</v>
      </c>
      <c r="I189" s="9" t="b">
        <f t="shared" si="11"/>
        <v>1</v>
      </c>
      <c r="J189" s="9" t="b">
        <f t="shared" si="12"/>
        <v>1</v>
      </c>
      <c r="K189" s="9" t="b">
        <f t="shared" si="13"/>
        <v>1</v>
      </c>
      <c r="L189" s="9" t="b">
        <f t="shared" si="14"/>
        <v>1</v>
      </c>
      <c r="M189" s="1" t="b">
        <f>IF(OR(入力シート!$C$5&lt;&gt;入力リスト!$N$4,入力シート!$J$22&lt;&gt;入力リスト!$K$4),TRUE,IF($F$2=入力リスト!$Q$4,IF(F189-INT(F189)&lt;0.6,TRUE,FALSE),TRUE))</f>
        <v>1</v>
      </c>
      <c r="N189" s="9" t="str">
        <f>IF(F189="","",IF($F$2=入力リスト!$Q$4,ROUNDDOWN(INT(F189)+ROUNDDOWN((F189-INT(F189))*100,0)/60,2),従業員の給与情報!F189))</f>
        <v/>
      </c>
      <c r="O189" s="8"/>
      <c r="P189" s="8"/>
    </row>
    <row r="190" spans="1:16">
      <c r="A190" s="119"/>
      <c r="B190" s="2"/>
      <c r="C190" s="369"/>
      <c r="D190" s="369"/>
      <c r="E190" s="369"/>
      <c r="F190" s="370"/>
      <c r="G190" s="248" t="str">
        <f t="shared" si="10"/>
        <v/>
      </c>
      <c r="H190" s="1" t="b">
        <f>IF(B190="",FALSE,COUNTIF('従業員情報(給与以外)'!$A$4:$A$1000000,$B190)=0)</f>
        <v>0</v>
      </c>
      <c r="I190" s="9" t="b">
        <f t="shared" si="11"/>
        <v>1</v>
      </c>
      <c r="J190" s="9" t="b">
        <f t="shared" si="12"/>
        <v>1</v>
      </c>
      <c r="K190" s="9" t="b">
        <f t="shared" si="13"/>
        <v>1</v>
      </c>
      <c r="L190" s="9" t="b">
        <f t="shared" si="14"/>
        <v>1</v>
      </c>
      <c r="M190" s="1" t="b">
        <f>IF(OR(入力シート!$C$5&lt;&gt;入力リスト!$N$4,入力シート!$J$22&lt;&gt;入力リスト!$K$4),TRUE,IF($F$2=入力リスト!$Q$4,IF(F190-INT(F190)&lt;0.6,TRUE,FALSE),TRUE))</f>
        <v>1</v>
      </c>
      <c r="N190" s="9" t="str">
        <f>IF(F190="","",IF($F$2=入力リスト!$Q$4,ROUNDDOWN(INT(F190)+ROUNDDOWN((F190-INT(F190))*100,0)/60,2),従業員の給与情報!F190))</f>
        <v/>
      </c>
      <c r="O190" s="8"/>
      <c r="P190" s="8"/>
    </row>
    <row r="191" spans="1:16">
      <c r="A191" s="119"/>
      <c r="B191" s="2"/>
      <c r="C191" s="369"/>
      <c r="D191" s="369"/>
      <c r="E191" s="369"/>
      <c r="F191" s="370"/>
      <c r="G191" s="248" t="str">
        <f t="shared" si="10"/>
        <v/>
      </c>
      <c r="H191" s="1" t="b">
        <f>IF(B191="",FALSE,COUNTIF('従業員情報(給与以外)'!$A$4:$A$1000000,$B191)=0)</f>
        <v>0</v>
      </c>
      <c r="I191" s="9" t="b">
        <f t="shared" si="11"/>
        <v>1</v>
      </c>
      <c r="J191" s="9" t="b">
        <f t="shared" si="12"/>
        <v>1</v>
      </c>
      <c r="K191" s="9" t="b">
        <f t="shared" si="13"/>
        <v>1</v>
      </c>
      <c r="L191" s="9" t="b">
        <f t="shared" si="14"/>
        <v>1</v>
      </c>
      <c r="M191" s="1" t="b">
        <f>IF(OR(入力シート!$C$5&lt;&gt;入力リスト!$N$4,入力シート!$J$22&lt;&gt;入力リスト!$K$4),TRUE,IF($F$2=入力リスト!$Q$4,IF(F191-INT(F191)&lt;0.6,TRUE,FALSE),TRUE))</f>
        <v>1</v>
      </c>
      <c r="N191" s="9" t="str">
        <f>IF(F191="","",IF($F$2=入力リスト!$Q$4,ROUNDDOWN(INT(F191)+ROUNDDOWN((F191-INT(F191))*100,0)/60,2),従業員の給与情報!F191))</f>
        <v/>
      </c>
      <c r="O191" s="8"/>
      <c r="P191" s="8"/>
    </row>
    <row r="192" spans="1:16">
      <c r="A192" s="119"/>
      <c r="B192" s="2"/>
      <c r="C192" s="369"/>
      <c r="D192" s="369"/>
      <c r="E192" s="369"/>
      <c r="F192" s="370"/>
      <c r="G192" s="248" t="str">
        <f t="shared" si="10"/>
        <v/>
      </c>
      <c r="H192" s="1" t="b">
        <f>IF(B192="",FALSE,COUNTIF('従業員情報(給与以外)'!$A$4:$A$1000000,$B192)=0)</f>
        <v>0</v>
      </c>
      <c r="I192" s="9" t="b">
        <f t="shared" si="11"/>
        <v>1</v>
      </c>
      <c r="J192" s="9" t="b">
        <f t="shared" si="12"/>
        <v>1</v>
      </c>
      <c r="K192" s="9" t="b">
        <f t="shared" si="13"/>
        <v>1</v>
      </c>
      <c r="L192" s="9" t="b">
        <f t="shared" si="14"/>
        <v>1</v>
      </c>
      <c r="M192" s="1" t="b">
        <f>IF(OR(入力シート!$C$5&lt;&gt;入力リスト!$N$4,入力シート!$J$22&lt;&gt;入力リスト!$K$4),TRUE,IF($F$2=入力リスト!$Q$4,IF(F192-INT(F192)&lt;0.6,TRUE,FALSE),TRUE))</f>
        <v>1</v>
      </c>
      <c r="N192" s="9" t="str">
        <f>IF(F192="","",IF($F$2=入力リスト!$Q$4,ROUNDDOWN(INT(F192)+ROUNDDOWN((F192-INT(F192))*100,0)/60,2),従業員の給与情報!F192))</f>
        <v/>
      </c>
      <c r="O192" s="8"/>
      <c r="P192" s="8"/>
    </row>
    <row r="193" spans="1:16">
      <c r="A193" s="119"/>
      <c r="B193" s="2"/>
      <c r="C193" s="369"/>
      <c r="D193" s="369"/>
      <c r="E193" s="369"/>
      <c r="F193" s="370"/>
      <c r="G193" s="248" t="str">
        <f t="shared" si="10"/>
        <v/>
      </c>
      <c r="H193" s="1" t="b">
        <f>IF(B193="",FALSE,COUNTIF('従業員情報(給与以外)'!$A$4:$A$1000000,$B193)=0)</f>
        <v>0</v>
      </c>
      <c r="I193" s="9" t="b">
        <f t="shared" si="11"/>
        <v>1</v>
      </c>
      <c r="J193" s="9" t="b">
        <f t="shared" si="12"/>
        <v>1</v>
      </c>
      <c r="K193" s="9" t="b">
        <f t="shared" si="13"/>
        <v>1</v>
      </c>
      <c r="L193" s="9" t="b">
        <f t="shared" si="14"/>
        <v>1</v>
      </c>
      <c r="M193" s="1" t="b">
        <f>IF(OR(入力シート!$C$5&lt;&gt;入力リスト!$N$4,入力シート!$J$22&lt;&gt;入力リスト!$K$4),TRUE,IF($F$2=入力リスト!$Q$4,IF(F193-INT(F193)&lt;0.6,TRUE,FALSE),TRUE))</f>
        <v>1</v>
      </c>
      <c r="N193" s="9" t="str">
        <f>IF(F193="","",IF($F$2=入力リスト!$Q$4,ROUNDDOWN(INT(F193)+ROUNDDOWN((F193-INT(F193))*100,0)/60,2),従業員の給与情報!F193))</f>
        <v/>
      </c>
      <c r="O193" s="8"/>
      <c r="P193" s="8"/>
    </row>
    <row r="194" spans="1:16">
      <c r="A194" s="119"/>
      <c r="B194" s="2"/>
      <c r="C194" s="369"/>
      <c r="D194" s="369"/>
      <c r="E194" s="369"/>
      <c r="F194" s="370"/>
      <c r="G194" s="248" t="str">
        <f t="shared" si="10"/>
        <v/>
      </c>
      <c r="H194" s="1" t="b">
        <f>IF(B194="",FALSE,COUNTIF('従業員情報(給与以外)'!$A$4:$A$1000000,$B194)=0)</f>
        <v>0</v>
      </c>
      <c r="I194" s="9" t="b">
        <f t="shared" si="11"/>
        <v>1</v>
      </c>
      <c r="J194" s="9" t="b">
        <f t="shared" si="12"/>
        <v>1</v>
      </c>
      <c r="K194" s="9" t="b">
        <f t="shared" si="13"/>
        <v>1</v>
      </c>
      <c r="L194" s="9" t="b">
        <f t="shared" si="14"/>
        <v>1</v>
      </c>
      <c r="M194" s="1" t="b">
        <f>IF(OR(入力シート!$C$5&lt;&gt;入力リスト!$N$4,入力シート!$J$22&lt;&gt;入力リスト!$K$4),TRUE,IF($F$2=入力リスト!$Q$4,IF(F194-INT(F194)&lt;0.6,TRUE,FALSE),TRUE))</f>
        <v>1</v>
      </c>
      <c r="N194" s="9" t="str">
        <f>IF(F194="","",IF($F$2=入力リスト!$Q$4,ROUNDDOWN(INT(F194)+ROUNDDOWN((F194-INT(F194))*100,0)/60,2),従業員の給与情報!F194))</f>
        <v/>
      </c>
      <c r="O194" s="8"/>
      <c r="P194" s="8"/>
    </row>
    <row r="195" spans="1:16">
      <c r="A195" s="119"/>
      <c r="B195" s="2"/>
      <c r="C195" s="369"/>
      <c r="D195" s="369"/>
      <c r="E195" s="369"/>
      <c r="F195" s="370"/>
      <c r="G195" s="248" t="str">
        <f t="shared" si="10"/>
        <v/>
      </c>
      <c r="H195" s="1" t="b">
        <f>IF(B195="",FALSE,COUNTIF('従業員情報(給与以外)'!$A$4:$A$1000000,$B195)=0)</f>
        <v>0</v>
      </c>
      <c r="I195" s="9" t="b">
        <f t="shared" si="11"/>
        <v>1</v>
      </c>
      <c r="J195" s="9" t="b">
        <f t="shared" si="12"/>
        <v>1</v>
      </c>
      <c r="K195" s="9" t="b">
        <f t="shared" si="13"/>
        <v>1</v>
      </c>
      <c r="L195" s="9" t="b">
        <f t="shared" si="14"/>
        <v>1</v>
      </c>
      <c r="M195" s="1" t="b">
        <f>IF(OR(入力シート!$C$5&lt;&gt;入力リスト!$N$4,入力シート!$J$22&lt;&gt;入力リスト!$K$4),TRUE,IF($F$2=入力リスト!$Q$4,IF(F195-INT(F195)&lt;0.6,TRUE,FALSE),TRUE))</f>
        <v>1</v>
      </c>
      <c r="N195" s="9" t="str">
        <f>IF(F195="","",IF($F$2=入力リスト!$Q$4,ROUNDDOWN(INT(F195)+ROUNDDOWN((F195-INT(F195))*100,0)/60,2),従業員の給与情報!F195))</f>
        <v/>
      </c>
      <c r="O195" s="8"/>
      <c r="P195" s="8"/>
    </row>
    <row r="196" spans="1:16">
      <c r="A196" s="119"/>
      <c r="B196" s="2"/>
      <c r="C196" s="369"/>
      <c r="D196" s="369"/>
      <c r="E196" s="369"/>
      <c r="F196" s="370"/>
      <c r="G196" s="248" t="str">
        <f t="shared" si="10"/>
        <v/>
      </c>
      <c r="H196" s="1" t="b">
        <f>IF(B196="",FALSE,COUNTIF('従業員情報(給与以外)'!$A$4:$A$1000000,$B196)=0)</f>
        <v>0</v>
      </c>
      <c r="I196" s="9" t="b">
        <f t="shared" si="11"/>
        <v>1</v>
      </c>
      <c r="J196" s="9" t="b">
        <f t="shared" si="12"/>
        <v>1</v>
      </c>
      <c r="K196" s="9" t="b">
        <f t="shared" si="13"/>
        <v>1</v>
      </c>
      <c r="L196" s="9" t="b">
        <f t="shared" si="14"/>
        <v>1</v>
      </c>
      <c r="M196" s="1" t="b">
        <f>IF(OR(入力シート!$C$5&lt;&gt;入力リスト!$N$4,入力シート!$J$22&lt;&gt;入力リスト!$K$4),TRUE,IF($F$2=入力リスト!$Q$4,IF(F196-INT(F196)&lt;0.6,TRUE,FALSE),TRUE))</f>
        <v>1</v>
      </c>
      <c r="N196" s="9" t="str">
        <f>IF(F196="","",IF($F$2=入力リスト!$Q$4,ROUNDDOWN(INT(F196)+ROUNDDOWN((F196-INT(F196))*100,0)/60,2),従業員の給与情報!F196))</f>
        <v/>
      </c>
      <c r="O196" s="8"/>
      <c r="P196" s="8"/>
    </row>
    <row r="197" spans="1:16">
      <c r="A197" s="119"/>
      <c r="B197" s="2"/>
      <c r="C197" s="369"/>
      <c r="D197" s="369"/>
      <c r="E197" s="369"/>
      <c r="F197" s="370"/>
      <c r="G197" s="248" t="str">
        <f t="shared" ref="G197:G260" si="15">IF(AND($B197="",OR(B197&lt;&gt;"",C197&lt;&gt;"",D197&lt;&gt;"",E197&lt;&gt;"",F197&lt;&gt;"")),"従業員番号が空白です。",IF($H197=TRUE,"この従業員番号は、シート［従業員情報（給与以外）］に存在しません。",IF(I197=FALSE,"「毎月の固定給与額」","")&amp;IF(AND(I197=FALSE,OR(J197=FALSE,K197=FALSE,L197=FALSE)),",","")&amp;IF(J197=FALSE,"「賞与額等」","")&amp;IF(AND(J197=FALSE,OR(K197=FALSE,L197=FALSE)),",","")&amp;IF(K197=FALSE,"「残業手当」","")&amp;IF(AND(K197=FALSE,L197=FALSE),",","")&amp;IF(L197=FALSE,"「残業時間」","")&amp;IF(OR(I197=FALSE,J197=FALSE,K197=FALSE,L197=FALSE),"に数値以外が入力されています。","")&amp;IF(M197,"","「残業時間」を分単位で入力した場合、小数点以下の値は0.6未満にしてください。")))</f>
        <v/>
      </c>
      <c r="H197" s="1" t="b">
        <f>IF(B197="",FALSE,COUNTIF('従業員情報(給与以外)'!$A$4:$A$1000000,$B197)=0)</f>
        <v>0</v>
      </c>
      <c r="I197" s="9" t="b">
        <f t="shared" ref="I197:I260" si="16">OR(C197="",ISNUMBER(C197))</f>
        <v>1</v>
      </c>
      <c r="J197" s="9" t="b">
        <f t="shared" ref="J197:J260" si="17">OR(D197="",ISNUMBER(D197))</f>
        <v>1</v>
      </c>
      <c r="K197" s="9" t="b">
        <f t="shared" ref="K197:K260" si="18">OR(E197="",ISNUMBER(E197))</f>
        <v>1</v>
      </c>
      <c r="L197" s="9" t="b">
        <f t="shared" ref="L197:L260" si="19">OR(F197="",ISNUMBER(F197))</f>
        <v>1</v>
      </c>
      <c r="M197" s="1" t="b">
        <f>IF(OR(入力シート!$C$5&lt;&gt;入力リスト!$N$4,入力シート!$J$22&lt;&gt;入力リスト!$K$4),TRUE,IF($F$2=入力リスト!$Q$4,IF(F197-INT(F197)&lt;0.6,TRUE,FALSE),TRUE))</f>
        <v>1</v>
      </c>
      <c r="N197" s="9" t="str">
        <f>IF(F197="","",IF($F$2=入力リスト!$Q$4,ROUNDDOWN(INT(F197)+ROUNDDOWN((F197-INT(F197))*100,0)/60,2),従業員の給与情報!F197))</f>
        <v/>
      </c>
      <c r="O197" s="8"/>
      <c r="P197" s="8"/>
    </row>
    <row r="198" spans="1:16">
      <c r="A198" s="119"/>
      <c r="B198" s="2"/>
      <c r="C198" s="369"/>
      <c r="D198" s="369"/>
      <c r="E198" s="369"/>
      <c r="F198" s="370"/>
      <c r="G198" s="248" t="str">
        <f t="shared" si="15"/>
        <v/>
      </c>
      <c r="H198" s="1" t="b">
        <f>IF(B198="",FALSE,COUNTIF('従業員情報(給与以外)'!$A$4:$A$1000000,$B198)=0)</f>
        <v>0</v>
      </c>
      <c r="I198" s="9" t="b">
        <f t="shared" si="16"/>
        <v>1</v>
      </c>
      <c r="J198" s="9" t="b">
        <f t="shared" si="17"/>
        <v>1</v>
      </c>
      <c r="K198" s="9" t="b">
        <f t="shared" si="18"/>
        <v>1</v>
      </c>
      <c r="L198" s="9" t="b">
        <f t="shared" si="19"/>
        <v>1</v>
      </c>
      <c r="M198" s="1" t="b">
        <f>IF(OR(入力シート!$C$5&lt;&gt;入力リスト!$N$4,入力シート!$J$22&lt;&gt;入力リスト!$K$4),TRUE,IF($F$2=入力リスト!$Q$4,IF(F198-INT(F198)&lt;0.6,TRUE,FALSE),TRUE))</f>
        <v>1</v>
      </c>
      <c r="N198" s="9" t="str">
        <f>IF(F198="","",IF($F$2=入力リスト!$Q$4,ROUNDDOWN(INT(F198)+ROUNDDOWN((F198-INT(F198))*100,0)/60,2),従業員の給与情報!F198))</f>
        <v/>
      </c>
      <c r="O198" s="8"/>
      <c r="P198" s="8"/>
    </row>
    <row r="199" spans="1:16">
      <c r="A199" s="119"/>
      <c r="B199" s="2"/>
      <c r="C199" s="369"/>
      <c r="D199" s="369"/>
      <c r="E199" s="369"/>
      <c r="F199" s="370"/>
      <c r="G199" s="248" t="str">
        <f t="shared" si="15"/>
        <v/>
      </c>
      <c r="H199" s="1" t="b">
        <f>IF(B199="",FALSE,COUNTIF('従業員情報(給与以外)'!$A$4:$A$1000000,$B199)=0)</f>
        <v>0</v>
      </c>
      <c r="I199" s="9" t="b">
        <f t="shared" si="16"/>
        <v>1</v>
      </c>
      <c r="J199" s="9" t="b">
        <f t="shared" si="17"/>
        <v>1</v>
      </c>
      <c r="K199" s="9" t="b">
        <f t="shared" si="18"/>
        <v>1</v>
      </c>
      <c r="L199" s="9" t="b">
        <f t="shared" si="19"/>
        <v>1</v>
      </c>
      <c r="M199" s="1" t="b">
        <f>IF(OR(入力シート!$C$5&lt;&gt;入力リスト!$N$4,入力シート!$J$22&lt;&gt;入力リスト!$K$4),TRUE,IF($F$2=入力リスト!$Q$4,IF(F199-INT(F199)&lt;0.6,TRUE,FALSE),TRUE))</f>
        <v>1</v>
      </c>
      <c r="N199" s="9" t="str">
        <f>IF(F199="","",IF($F$2=入力リスト!$Q$4,ROUNDDOWN(INT(F199)+ROUNDDOWN((F199-INT(F199))*100,0)/60,2),従業員の給与情報!F199))</f>
        <v/>
      </c>
      <c r="O199" s="8"/>
      <c r="P199" s="8"/>
    </row>
    <row r="200" spans="1:16">
      <c r="A200" s="119"/>
      <c r="B200" s="2"/>
      <c r="C200" s="369"/>
      <c r="D200" s="369"/>
      <c r="E200" s="369"/>
      <c r="F200" s="370"/>
      <c r="G200" s="248" t="str">
        <f t="shared" si="15"/>
        <v/>
      </c>
      <c r="H200" s="1" t="b">
        <f>IF(B200="",FALSE,COUNTIF('従業員情報(給与以外)'!$A$4:$A$1000000,$B200)=0)</f>
        <v>0</v>
      </c>
      <c r="I200" s="9" t="b">
        <f t="shared" si="16"/>
        <v>1</v>
      </c>
      <c r="J200" s="9" t="b">
        <f t="shared" si="17"/>
        <v>1</v>
      </c>
      <c r="K200" s="9" t="b">
        <f t="shared" si="18"/>
        <v>1</v>
      </c>
      <c r="L200" s="9" t="b">
        <f t="shared" si="19"/>
        <v>1</v>
      </c>
      <c r="M200" s="1" t="b">
        <f>IF(OR(入力シート!$C$5&lt;&gt;入力リスト!$N$4,入力シート!$J$22&lt;&gt;入力リスト!$K$4),TRUE,IF($F$2=入力リスト!$Q$4,IF(F200-INT(F200)&lt;0.6,TRUE,FALSE),TRUE))</f>
        <v>1</v>
      </c>
      <c r="N200" s="9" t="str">
        <f>IF(F200="","",IF($F$2=入力リスト!$Q$4,ROUNDDOWN(INT(F200)+ROUNDDOWN((F200-INT(F200))*100,0)/60,2),従業員の給与情報!F200))</f>
        <v/>
      </c>
      <c r="O200" s="8"/>
      <c r="P200" s="8"/>
    </row>
    <row r="201" spans="1:16">
      <c r="A201" s="119"/>
      <c r="B201" s="2"/>
      <c r="C201" s="369"/>
      <c r="D201" s="369"/>
      <c r="E201" s="369"/>
      <c r="F201" s="370"/>
      <c r="G201" s="248" t="str">
        <f t="shared" si="15"/>
        <v/>
      </c>
      <c r="H201" s="1" t="b">
        <f>IF(B201="",FALSE,COUNTIF('従業員情報(給与以外)'!$A$4:$A$1000000,$B201)=0)</f>
        <v>0</v>
      </c>
      <c r="I201" s="9" t="b">
        <f t="shared" si="16"/>
        <v>1</v>
      </c>
      <c r="J201" s="9" t="b">
        <f t="shared" si="17"/>
        <v>1</v>
      </c>
      <c r="K201" s="9" t="b">
        <f t="shared" si="18"/>
        <v>1</v>
      </c>
      <c r="L201" s="9" t="b">
        <f t="shared" si="19"/>
        <v>1</v>
      </c>
      <c r="M201" s="1" t="b">
        <f>IF(OR(入力シート!$C$5&lt;&gt;入力リスト!$N$4,入力シート!$J$22&lt;&gt;入力リスト!$K$4),TRUE,IF($F$2=入力リスト!$Q$4,IF(F201-INT(F201)&lt;0.6,TRUE,FALSE),TRUE))</f>
        <v>1</v>
      </c>
      <c r="N201" s="9" t="str">
        <f>IF(F201="","",IF($F$2=入力リスト!$Q$4,ROUNDDOWN(INT(F201)+ROUNDDOWN((F201-INT(F201))*100,0)/60,2),従業員の給与情報!F201))</f>
        <v/>
      </c>
      <c r="O201" s="8"/>
      <c r="P201" s="8"/>
    </row>
    <row r="202" spans="1:16">
      <c r="A202" s="119"/>
      <c r="B202" s="2"/>
      <c r="C202" s="369"/>
      <c r="D202" s="369"/>
      <c r="E202" s="369"/>
      <c r="F202" s="370"/>
      <c r="G202" s="248" t="str">
        <f t="shared" si="15"/>
        <v/>
      </c>
      <c r="H202" s="1" t="b">
        <f>IF(B202="",FALSE,COUNTIF('従業員情報(給与以外)'!$A$4:$A$1000000,$B202)=0)</f>
        <v>0</v>
      </c>
      <c r="I202" s="9" t="b">
        <f t="shared" si="16"/>
        <v>1</v>
      </c>
      <c r="J202" s="9" t="b">
        <f t="shared" si="17"/>
        <v>1</v>
      </c>
      <c r="K202" s="9" t="b">
        <f t="shared" si="18"/>
        <v>1</v>
      </c>
      <c r="L202" s="9" t="b">
        <f t="shared" si="19"/>
        <v>1</v>
      </c>
      <c r="M202" s="1" t="b">
        <f>IF(OR(入力シート!$C$5&lt;&gt;入力リスト!$N$4,入力シート!$J$22&lt;&gt;入力リスト!$K$4),TRUE,IF($F$2=入力リスト!$Q$4,IF(F202-INT(F202)&lt;0.6,TRUE,FALSE),TRUE))</f>
        <v>1</v>
      </c>
      <c r="N202" s="9" t="str">
        <f>IF(F202="","",IF($F$2=入力リスト!$Q$4,ROUNDDOWN(INT(F202)+ROUNDDOWN((F202-INT(F202))*100,0)/60,2),従業員の給与情報!F202))</f>
        <v/>
      </c>
      <c r="O202" s="8"/>
      <c r="P202" s="8"/>
    </row>
    <row r="203" spans="1:16">
      <c r="A203" s="119"/>
      <c r="B203" s="2"/>
      <c r="C203" s="369"/>
      <c r="D203" s="369"/>
      <c r="E203" s="369"/>
      <c r="F203" s="370"/>
      <c r="G203" s="248" t="str">
        <f t="shared" si="15"/>
        <v/>
      </c>
      <c r="H203" s="1" t="b">
        <f>IF(B203="",FALSE,COUNTIF('従業員情報(給与以外)'!$A$4:$A$1000000,$B203)=0)</f>
        <v>0</v>
      </c>
      <c r="I203" s="9" t="b">
        <f t="shared" si="16"/>
        <v>1</v>
      </c>
      <c r="J203" s="9" t="b">
        <f t="shared" si="17"/>
        <v>1</v>
      </c>
      <c r="K203" s="9" t="b">
        <f t="shared" si="18"/>
        <v>1</v>
      </c>
      <c r="L203" s="9" t="b">
        <f t="shared" si="19"/>
        <v>1</v>
      </c>
      <c r="M203" s="1" t="b">
        <f>IF(OR(入力シート!$C$5&lt;&gt;入力リスト!$N$4,入力シート!$J$22&lt;&gt;入力リスト!$K$4),TRUE,IF($F$2=入力リスト!$Q$4,IF(F203-INT(F203)&lt;0.6,TRUE,FALSE),TRUE))</f>
        <v>1</v>
      </c>
      <c r="N203" s="9" t="str">
        <f>IF(F203="","",IF($F$2=入力リスト!$Q$4,ROUNDDOWN(INT(F203)+ROUNDDOWN((F203-INT(F203))*100,0)/60,2),従業員の給与情報!F203))</f>
        <v/>
      </c>
      <c r="O203" s="8"/>
      <c r="P203" s="8"/>
    </row>
    <row r="204" spans="1:16">
      <c r="A204" s="119"/>
      <c r="B204" s="2"/>
      <c r="C204" s="369"/>
      <c r="D204" s="369"/>
      <c r="E204" s="369"/>
      <c r="F204" s="370"/>
      <c r="G204" s="248" t="str">
        <f t="shared" si="15"/>
        <v/>
      </c>
      <c r="H204" s="1" t="b">
        <f>IF(B204="",FALSE,COUNTIF('従業員情報(給与以外)'!$A$4:$A$1000000,$B204)=0)</f>
        <v>0</v>
      </c>
      <c r="I204" s="9" t="b">
        <f t="shared" si="16"/>
        <v>1</v>
      </c>
      <c r="J204" s="9" t="b">
        <f t="shared" si="17"/>
        <v>1</v>
      </c>
      <c r="K204" s="9" t="b">
        <f t="shared" si="18"/>
        <v>1</v>
      </c>
      <c r="L204" s="9" t="b">
        <f t="shared" si="19"/>
        <v>1</v>
      </c>
      <c r="M204" s="1" t="b">
        <f>IF(OR(入力シート!$C$5&lt;&gt;入力リスト!$N$4,入力シート!$J$22&lt;&gt;入力リスト!$K$4),TRUE,IF($F$2=入力リスト!$Q$4,IF(F204-INT(F204)&lt;0.6,TRUE,FALSE),TRUE))</f>
        <v>1</v>
      </c>
      <c r="N204" s="9" t="str">
        <f>IF(F204="","",IF($F$2=入力リスト!$Q$4,ROUNDDOWN(INT(F204)+ROUNDDOWN((F204-INT(F204))*100,0)/60,2),従業員の給与情報!F204))</f>
        <v/>
      </c>
      <c r="O204" s="8"/>
      <c r="P204" s="8"/>
    </row>
    <row r="205" spans="1:16">
      <c r="A205" s="119"/>
      <c r="B205" s="2"/>
      <c r="C205" s="369"/>
      <c r="D205" s="369"/>
      <c r="E205" s="369"/>
      <c r="F205" s="370"/>
      <c r="G205" s="248" t="str">
        <f t="shared" si="15"/>
        <v/>
      </c>
      <c r="H205" s="1" t="b">
        <f>IF(B205="",FALSE,COUNTIF('従業員情報(給与以外)'!$A$4:$A$1000000,$B205)=0)</f>
        <v>0</v>
      </c>
      <c r="I205" s="9" t="b">
        <f t="shared" si="16"/>
        <v>1</v>
      </c>
      <c r="J205" s="9" t="b">
        <f t="shared" si="17"/>
        <v>1</v>
      </c>
      <c r="K205" s="9" t="b">
        <f t="shared" si="18"/>
        <v>1</v>
      </c>
      <c r="L205" s="9" t="b">
        <f t="shared" si="19"/>
        <v>1</v>
      </c>
      <c r="M205" s="1" t="b">
        <f>IF(OR(入力シート!$C$5&lt;&gt;入力リスト!$N$4,入力シート!$J$22&lt;&gt;入力リスト!$K$4),TRUE,IF($F$2=入力リスト!$Q$4,IF(F205-INT(F205)&lt;0.6,TRUE,FALSE),TRUE))</f>
        <v>1</v>
      </c>
      <c r="N205" s="9" t="str">
        <f>IF(F205="","",IF($F$2=入力リスト!$Q$4,ROUNDDOWN(INT(F205)+ROUNDDOWN((F205-INT(F205))*100,0)/60,2),従業員の給与情報!F205))</f>
        <v/>
      </c>
      <c r="O205" s="8"/>
      <c r="P205" s="8"/>
    </row>
    <row r="206" spans="1:16">
      <c r="A206" s="119"/>
      <c r="B206" s="2"/>
      <c r="C206" s="369"/>
      <c r="D206" s="369"/>
      <c r="E206" s="369"/>
      <c r="F206" s="370"/>
      <c r="G206" s="248" t="str">
        <f t="shared" si="15"/>
        <v/>
      </c>
      <c r="H206" s="1" t="b">
        <f>IF(B206="",FALSE,COUNTIF('従業員情報(給与以外)'!$A$4:$A$1000000,$B206)=0)</f>
        <v>0</v>
      </c>
      <c r="I206" s="9" t="b">
        <f t="shared" si="16"/>
        <v>1</v>
      </c>
      <c r="J206" s="9" t="b">
        <f t="shared" si="17"/>
        <v>1</v>
      </c>
      <c r="K206" s="9" t="b">
        <f t="shared" si="18"/>
        <v>1</v>
      </c>
      <c r="L206" s="9" t="b">
        <f t="shared" si="19"/>
        <v>1</v>
      </c>
      <c r="M206" s="1" t="b">
        <f>IF(OR(入力シート!$C$5&lt;&gt;入力リスト!$N$4,入力シート!$J$22&lt;&gt;入力リスト!$K$4),TRUE,IF($F$2=入力リスト!$Q$4,IF(F206-INT(F206)&lt;0.6,TRUE,FALSE),TRUE))</f>
        <v>1</v>
      </c>
      <c r="N206" s="9" t="str">
        <f>IF(F206="","",IF($F$2=入力リスト!$Q$4,ROUNDDOWN(INT(F206)+ROUNDDOWN((F206-INT(F206))*100,0)/60,2),従業員の給与情報!F206))</f>
        <v/>
      </c>
      <c r="O206" s="8"/>
      <c r="P206" s="8"/>
    </row>
    <row r="207" spans="1:16">
      <c r="A207" s="119"/>
      <c r="B207" s="2"/>
      <c r="C207" s="369"/>
      <c r="D207" s="369"/>
      <c r="E207" s="369"/>
      <c r="F207" s="370"/>
      <c r="G207" s="248" t="str">
        <f t="shared" si="15"/>
        <v/>
      </c>
      <c r="H207" s="1" t="b">
        <f>IF(B207="",FALSE,COUNTIF('従業員情報(給与以外)'!$A$4:$A$1000000,$B207)=0)</f>
        <v>0</v>
      </c>
      <c r="I207" s="9" t="b">
        <f t="shared" si="16"/>
        <v>1</v>
      </c>
      <c r="J207" s="9" t="b">
        <f t="shared" si="17"/>
        <v>1</v>
      </c>
      <c r="K207" s="9" t="b">
        <f t="shared" si="18"/>
        <v>1</v>
      </c>
      <c r="L207" s="9" t="b">
        <f t="shared" si="19"/>
        <v>1</v>
      </c>
      <c r="M207" s="1" t="b">
        <f>IF(OR(入力シート!$C$5&lt;&gt;入力リスト!$N$4,入力シート!$J$22&lt;&gt;入力リスト!$K$4),TRUE,IF($F$2=入力リスト!$Q$4,IF(F207-INT(F207)&lt;0.6,TRUE,FALSE),TRUE))</f>
        <v>1</v>
      </c>
      <c r="N207" s="9" t="str">
        <f>IF(F207="","",IF($F$2=入力リスト!$Q$4,ROUNDDOWN(INT(F207)+ROUNDDOWN((F207-INT(F207))*100,0)/60,2),従業員の給与情報!F207))</f>
        <v/>
      </c>
      <c r="O207" s="8"/>
      <c r="P207" s="8"/>
    </row>
    <row r="208" spans="1:16">
      <c r="A208" s="119"/>
      <c r="B208" s="2"/>
      <c r="C208" s="369"/>
      <c r="D208" s="369"/>
      <c r="E208" s="369"/>
      <c r="F208" s="370"/>
      <c r="G208" s="248" t="str">
        <f t="shared" si="15"/>
        <v/>
      </c>
      <c r="H208" s="1" t="b">
        <f>IF(B208="",FALSE,COUNTIF('従業員情報(給与以外)'!$A$4:$A$1000000,$B208)=0)</f>
        <v>0</v>
      </c>
      <c r="I208" s="9" t="b">
        <f t="shared" si="16"/>
        <v>1</v>
      </c>
      <c r="J208" s="9" t="b">
        <f t="shared" si="17"/>
        <v>1</v>
      </c>
      <c r="K208" s="9" t="b">
        <f t="shared" si="18"/>
        <v>1</v>
      </c>
      <c r="L208" s="9" t="b">
        <f t="shared" si="19"/>
        <v>1</v>
      </c>
      <c r="M208" s="1" t="b">
        <f>IF(OR(入力シート!$C$5&lt;&gt;入力リスト!$N$4,入力シート!$J$22&lt;&gt;入力リスト!$K$4),TRUE,IF($F$2=入力リスト!$Q$4,IF(F208-INT(F208)&lt;0.6,TRUE,FALSE),TRUE))</f>
        <v>1</v>
      </c>
      <c r="N208" s="9" t="str">
        <f>IF(F208="","",IF($F$2=入力リスト!$Q$4,ROUNDDOWN(INT(F208)+ROUNDDOWN((F208-INT(F208))*100,0)/60,2),従業員の給与情報!F208))</f>
        <v/>
      </c>
      <c r="O208" s="8"/>
      <c r="P208" s="8"/>
    </row>
    <row r="209" spans="1:16">
      <c r="A209" s="119"/>
      <c r="B209" s="2"/>
      <c r="C209" s="369"/>
      <c r="D209" s="369"/>
      <c r="E209" s="369"/>
      <c r="F209" s="370"/>
      <c r="G209" s="248" t="str">
        <f t="shared" si="15"/>
        <v/>
      </c>
      <c r="H209" s="1" t="b">
        <f>IF(B209="",FALSE,COUNTIF('従業員情報(給与以外)'!$A$4:$A$1000000,$B209)=0)</f>
        <v>0</v>
      </c>
      <c r="I209" s="9" t="b">
        <f t="shared" si="16"/>
        <v>1</v>
      </c>
      <c r="J209" s="9" t="b">
        <f t="shared" si="17"/>
        <v>1</v>
      </c>
      <c r="K209" s="9" t="b">
        <f t="shared" si="18"/>
        <v>1</v>
      </c>
      <c r="L209" s="9" t="b">
        <f t="shared" si="19"/>
        <v>1</v>
      </c>
      <c r="M209" s="1" t="b">
        <f>IF(OR(入力シート!$C$5&lt;&gt;入力リスト!$N$4,入力シート!$J$22&lt;&gt;入力リスト!$K$4),TRUE,IF($F$2=入力リスト!$Q$4,IF(F209-INT(F209)&lt;0.6,TRUE,FALSE),TRUE))</f>
        <v>1</v>
      </c>
      <c r="N209" s="9" t="str">
        <f>IF(F209="","",IF($F$2=入力リスト!$Q$4,ROUNDDOWN(INT(F209)+ROUNDDOWN((F209-INT(F209))*100,0)/60,2),従業員の給与情報!F209))</f>
        <v/>
      </c>
      <c r="O209" s="8"/>
      <c r="P209" s="8"/>
    </row>
    <row r="210" spans="1:16">
      <c r="A210" s="119"/>
      <c r="B210" s="2"/>
      <c r="C210" s="369"/>
      <c r="D210" s="369"/>
      <c r="E210" s="369"/>
      <c r="F210" s="370"/>
      <c r="G210" s="248" t="str">
        <f t="shared" si="15"/>
        <v/>
      </c>
      <c r="H210" s="1" t="b">
        <f>IF(B210="",FALSE,COUNTIF('従業員情報(給与以外)'!$A$4:$A$1000000,$B210)=0)</f>
        <v>0</v>
      </c>
      <c r="I210" s="9" t="b">
        <f t="shared" si="16"/>
        <v>1</v>
      </c>
      <c r="J210" s="9" t="b">
        <f t="shared" si="17"/>
        <v>1</v>
      </c>
      <c r="K210" s="9" t="b">
        <f t="shared" si="18"/>
        <v>1</v>
      </c>
      <c r="L210" s="9" t="b">
        <f t="shared" si="19"/>
        <v>1</v>
      </c>
      <c r="M210" s="1" t="b">
        <f>IF(OR(入力シート!$C$5&lt;&gt;入力リスト!$N$4,入力シート!$J$22&lt;&gt;入力リスト!$K$4),TRUE,IF($F$2=入力リスト!$Q$4,IF(F210-INT(F210)&lt;0.6,TRUE,FALSE),TRUE))</f>
        <v>1</v>
      </c>
      <c r="N210" s="9" t="str">
        <f>IF(F210="","",IF($F$2=入力リスト!$Q$4,ROUNDDOWN(INT(F210)+ROUNDDOWN((F210-INT(F210))*100,0)/60,2),従業員の給与情報!F210))</f>
        <v/>
      </c>
      <c r="O210" s="8"/>
      <c r="P210" s="8"/>
    </row>
    <row r="211" spans="1:16">
      <c r="A211" s="119"/>
      <c r="B211" s="2"/>
      <c r="C211" s="369"/>
      <c r="D211" s="369"/>
      <c r="E211" s="369"/>
      <c r="F211" s="370"/>
      <c r="G211" s="248" t="str">
        <f t="shared" si="15"/>
        <v/>
      </c>
      <c r="H211" s="1" t="b">
        <f>IF(B211="",FALSE,COUNTIF('従業員情報(給与以外)'!$A$4:$A$1000000,$B211)=0)</f>
        <v>0</v>
      </c>
      <c r="I211" s="9" t="b">
        <f t="shared" si="16"/>
        <v>1</v>
      </c>
      <c r="J211" s="9" t="b">
        <f t="shared" si="17"/>
        <v>1</v>
      </c>
      <c r="K211" s="9" t="b">
        <f t="shared" si="18"/>
        <v>1</v>
      </c>
      <c r="L211" s="9" t="b">
        <f t="shared" si="19"/>
        <v>1</v>
      </c>
      <c r="M211" s="1" t="b">
        <f>IF(OR(入力シート!$C$5&lt;&gt;入力リスト!$N$4,入力シート!$J$22&lt;&gt;入力リスト!$K$4),TRUE,IF($F$2=入力リスト!$Q$4,IF(F211-INT(F211)&lt;0.6,TRUE,FALSE),TRUE))</f>
        <v>1</v>
      </c>
      <c r="N211" s="9" t="str">
        <f>IF(F211="","",IF($F$2=入力リスト!$Q$4,ROUNDDOWN(INT(F211)+ROUNDDOWN((F211-INT(F211))*100,0)/60,2),従業員の給与情報!F211))</f>
        <v/>
      </c>
      <c r="O211" s="8"/>
      <c r="P211" s="8"/>
    </row>
    <row r="212" spans="1:16">
      <c r="A212" s="119"/>
      <c r="B212" s="2"/>
      <c r="C212" s="369"/>
      <c r="D212" s="369"/>
      <c r="E212" s="369"/>
      <c r="F212" s="370"/>
      <c r="G212" s="248" t="str">
        <f t="shared" si="15"/>
        <v/>
      </c>
      <c r="H212" s="1" t="b">
        <f>IF(B212="",FALSE,COUNTIF('従業員情報(給与以外)'!$A$4:$A$1000000,$B212)=0)</f>
        <v>0</v>
      </c>
      <c r="I212" s="9" t="b">
        <f t="shared" si="16"/>
        <v>1</v>
      </c>
      <c r="J212" s="9" t="b">
        <f t="shared" si="17"/>
        <v>1</v>
      </c>
      <c r="K212" s="9" t="b">
        <f t="shared" si="18"/>
        <v>1</v>
      </c>
      <c r="L212" s="9" t="b">
        <f t="shared" si="19"/>
        <v>1</v>
      </c>
      <c r="M212" s="1" t="b">
        <f>IF(OR(入力シート!$C$5&lt;&gt;入力リスト!$N$4,入力シート!$J$22&lt;&gt;入力リスト!$K$4),TRUE,IF($F$2=入力リスト!$Q$4,IF(F212-INT(F212)&lt;0.6,TRUE,FALSE),TRUE))</f>
        <v>1</v>
      </c>
      <c r="N212" s="9" t="str">
        <f>IF(F212="","",IF($F$2=入力リスト!$Q$4,ROUNDDOWN(INT(F212)+ROUNDDOWN((F212-INT(F212))*100,0)/60,2),従業員の給与情報!F212))</f>
        <v/>
      </c>
      <c r="O212" s="8"/>
      <c r="P212" s="8"/>
    </row>
    <row r="213" spans="1:16">
      <c r="A213" s="119"/>
      <c r="B213" s="2"/>
      <c r="C213" s="369"/>
      <c r="D213" s="369"/>
      <c r="E213" s="369"/>
      <c r="F213" s="370"/>
      <c r="G213" s="248" t="str">
        <f t="shared" si="15"/>
        <v/>
      </c>
      <c r="H213" s="1" t="b">
        <f>IF(B213="",FALSE,COUNTIF('従業員情報(給与以外)'!$A$4:$A$1000000,$B213)=0)</f>
        <v>0</v>
      </c>
      <c r="I213" s="9" t="b">
        <f t="shared" si="16"/>
        <v>1</v>
      </c>
      <c r="J213" s="9" t="b">
        <f t="shared" si="17"/>
        <v>1</v>
      </c>
      <c r="K213" s="9" t="b">
        <f t="shared" si="18"/>
        <v>1</v>
      </c>
      <c r="L213" s="9" t="b">
        <f t="shared" si="19"/>
        <v>1</v>
      </c>
      <c r="M213" s="1" t="b">
        <f>IF(OR(入力シート!$C$5&lt;&gt;入力リスト!$N$4,入力シート!$J$22&lt;&gt;入力リスト!$K$4),TRUE,IF($F$2=入力リスト!$Q$4,IF(F213-INT(F213)&lt;0.6,TRUE,FALSE),TRUE))</f>
        <v>1</v>
      </c>
      <c r="N213" s="9" t="str">
        <f>IF(F213="","",IF($F$2=入力リスト!$Q$4,ROUNDDOWN(INT(F213)+ROUNDDOWN((F213-INT(F213))*100,0)/60,2),従業員の給与情報!F213))</f>
        <v/>
      </c>
      <c r="O213" s="8"/>
      <c r="P213" s="8"/>
    </row>
    <row r="214" spans="1:16">
      <c r="A214" s="119"/>
      <c r="B214" s="2"/>
      <c r="C214" s="369"/>
      <c r="D214" s="369"/>
      <c r="E214" s="369"/>
      <c r="F214" s="370"/>
      <c r="G214" s="248" t="str">
        <f t="shared" si="15"/>
        <v/>
      </c>
      <c r="H214" s="1" t="b">
        <f>IF(B214="",FALSE,COUNTIF('従業員情報(給与以外)'!$A$4:$A$1000000,$B214)=0)</f>
        <v>0</v>
      </c>
      <c r="I214" s="9" t="b">
        <f t="shared" si="16"/>
        <v>1</v>
      </c>
      <c r="J214" s="9" t="b">
        <f t="shared" si="17"/>
        <v>1</v>
      </c>
      <c r="K214" s="9" t="b">
        <f t="shared" si="18"/>
        <v>1</v>
      </c>
      <c r="L214" s="9" t="b">
        <f t="shared" si="19"/>
        <v>1</v>
      </c>
      <c r="M214" s="1" t="b">
        <f>IF(OR(入力シート!$C$5&lt;&gt;入力リスト!$N$4,入力シート!$J$22&lt;&gt;入力リスト!$K$4),TRUE,IF($F$2=入力リスト!$Q$4,IF(F214-INT(F214)&lt;0.6,TRUE,FALSE),TRUE))</f>
        <v>1</v>
      </c>
      <c r="N214" s="9" t="str">
        <f>IF(F214="","",IF($F$2=入力リスト!$Q$4,ROUNDDOWN(INT(F214)+ROUNDDOWN((F214-INT(F214))*100,0)/60,2),従業員の給与情報!F214))</f>
        <v/>
      </c>
      <c r="O214" s="8"/>
      <c r="P214" s="8"/>
    </row>
    <row r="215" spans="1:16">
      <c r="A215" s="119"/>
      <c r="B215" s="2"/>
      <c r="C215" s="369"/>
      <c r="D215" s="369"/>
      <c r="E215" s="369"/>
      <c r="F215" s="370"/>
      <c r="G215" s="248" t="str">
        <f t="shared" si="15"/>
        <v/>
      </c>
      <c r="H215" s="1" t="b">
        <f>IF(B215="",FALSE,COUNTIF('従業員情報(給与以外)'!$A$4:$A$1000000,$B215)=0)</f>
        <v>0</v>
      </c>
      <c r="I215" s="9" t="b">
        <f t="shared" si="16"/>
        <v>1</v>
      </c>
      <c r="J215" s="9" t="b">
        <f t="shared" si="17"/>
        <v>1</v>
      </c>
      <c r="K215" s="9" t="b">
        <f t="shared" si="18"/>
        <v>1</v>
      </c>
      <c r="L215" s="9" t="b">
        <f t="shared" si="19"/>
        <v>1</v>
      </c>
      <c r="M215" s="1" t="b">
        <f>IF(OR(入力シート!$C$5&lt;&gt;入力リスト!$N$4,入力シート!$J$22&lt;&gt;入力リスト!$K$4),TRUE,IF($F$2=入力リスト!$Q$4,IF(F215-INT(F215)&lt;0.6,TRUE,FALSE),TRUE))</f>
        <v>1</v>
      </c>
      <c r="N215" s="9" t="str">
        <f>IF(F215="","",IF($F$2=入力リスト!$Q$4,ROUNDDOWN(INT(F215)+ROUNDDOWN((F215-INT(F215))*100,0)/60,2),従業員の給与情報!F215))</f>
        <v/>
      </c>
      <c r="O215" s="8"/>
      <c r="P215" s="8"/>
    </row>
    <row r="216" spans="1:16">
      <c r="A216" s="119"/>
      <c r="B216" s="2"/>
      <c r="C216" s="369"/>
      <c r="D216" s="369"/>
      <c r="E216" s="369"/>
      <c r="F216" s="370"/>
      <c r="G216" s="248" t="str">
        <f t="shared" si="15"/>
        <v/>
      </c>
      <c r="H216" s="1" t="b">
        <f>IF(B216="",FALSE,COUNTIF('従業員情報(給与以外)'!$A$4:$A$1000000,$B216)=0)</f>
        <v>0</v>
      </c>
      <c r="I216" s="9" t="b">
        <f t="shared" si="16"/>
        <v>1</v>
      </c>
      <c r="J216" s="9" t="b">
        <f t="shared" si="17"/>
        <v>1</v>
      </c>
      <c r="K216" s="9" t="b">
        <f t="shared" si="18"/>
        <v>1</v>
      </c>
      <c r="L216" s="9" t="b">
        <f t="shared" si="19"/>
        <v>1</v>
      </c>
      <c r="M216" s="1" t="b">
        <f>IF(OR(入力シート!$C$5&lt;&gt;入力リスト!$N$4,入力シート!$J$22&lt;&gt;入力リスト!$K$4),TRUE,IF($F$2=入力リスト!$Q$4,IF(F216-INT(F216)&lt;0.6,TRUE,FALSE),TRUE))</f>
        <v>1</v>
      </c>
      <c r="N216" s="9" t="str">
        <f>IF(F216="","",IF($F$2=入力リスト!$Q$4,ROUNDDOWN(INT(F216)+ROUNDDOWN((F216-INT(F216))*100,0)/60,2),従業員の給与情報!F216))</f>
        <v/>
      </c>
      <c r="O216" s="8"/>
      <c r="P216" s="8"/>
    </row>
    <row r="217" spans="1:16">
      <c r="A217" s="119"/>
      <c r="B217" s="2"/>
      <c r="C217" s="369"/>
      <c r="D217" s="369"/>
      <c r="E217" s="369"/>
      <c r="F217" s="370"/>
      <c r="G217" s="248" t="str">
        <f t="shared" si="15"/>
        <v/>
      </c>
      <c r="H217" s="1" t="b">
        <f>IF(B217="",FALSE,COUNTIF('従業員情報(給与以外)'!$A$4:$A$1000000,$B217)=0)</f>
        <v>0</v>
      </c>
      <c r="I217" s="9" t="b">
        <f t="shared" si="16"/>
        <v>1</v>
      </c>
      <c r="J217" s="9" t="b">
        <f t="shared" si="17"/>
        <v>1</v>
      </c>
      <c r="K217" s="9" t="b">
        <f t="shared" si="18"/>
        <v>1</v>
      </c>
      <c r="L217" s="9" t="b">
        <f t="shared" si="19"/>
        <v>1</v>
      </c>
      <c r="M217" s="1" t="b">
        <f>IF(OR(入力シート!$C$5&lt;&gt;入力リスト!$N$4,入力シート!$J$22&lt;&gt;入力リスト!$K$4),TRUE,IF($F$2=入力リスト!$Q$4,IF(F217-INT(F217)&lt;0.6,TRUE,FALSE),TRUE))</f>
        <v>1</v>
      </c>
      <c r="N217" s="9" t="str">
        <f>IF(F217="","",IF($F$2=入力リスト!$Q$4,ROUNDDOWN(INT(F217)+ROUNDDOWN((F217-INT(F217))*100,0)/60,2),従業員の給与情報!F217))</f>
        <v/>
      </c>
      <c r="O217" s="8"/>
      <c r="P217" s="8"/>
    </row>
    <row r="218" spans="1:16">
      <c r="A218" s="119"/>
      <c r="B218" s="2"/>
      <c r="C218" s="369"/>
      <c r="D218" s="369"/>
      <c r="E218" s="369"/>
      <c r="F218" s="370"/>
      <c r="G218" s="248" t="str">
        <f t="shared" si="15"/>
        <v/>
      </c>
      <c r="H218" s="1" t="b">
        <f>IF(B218="",FALSE,COUNTIF('従業員情報(給与以外)'!$A$4:$A$1000000,$B218)=0)</f>
        <v>0</v>
      </c>
      <c r="I218" s="9" t="b">
        <f t="shared" si="16"/>
        <v>1</v>
      </c>
      <c r="J218" s="9" t="b">
        <f t="shared" si="17"/>
        <v>1</v>
      </c>
      <c r="K218" s="9" t="b">
        <f t="shared" si="18"/>
        <v>1</v>
      </c>
      <c r="L218" s="9" t="b">
        <f t="shared" si="19"/>
        <v>1</v>
      </c>
      <c r="M218" s="1" t="b">
        <f>IF(OR(入力シート!$C$5&lt;&gt;入力リスト!$N$4,入力シート!$J$22&lt;&gt;入力リスト!$K$4),TRUE,IF($F$2=入力リスト!$Q$4,IF(F218-INT(F218)&lt;0.6,TRUE,FALSE),TRUE))</f>
        <v>1</v>
      </c>
      <c r="N218" s="9" t="str">
        <f>IF(F218="","",IF($F$2=入力リスト!$Q$4,ROUNDDOWN(INT(F218)+ROUNDDOWN((F218-INT(F218))*100,0)/60,2),従業員の給与情報!F218))</f>
        <v/>
      </c>
      <c r="O218" s="8"/>
      <c r="P218" s="8"/>
    </row>
    <row r="219" spans="1:16">
      <c r="A219" s="119"/>
      <c r="B219" s="2"/>
      <c r="C219" s="369"/>
      <c r="D219" s="369"/>
      <c r="E219" s="369"/>
      <c r="F219" s="370"/>
      <c r="G219" s="248" t="str">
        <f t="shared" si="15"/>
        <v/>
      </c>
      <c r="H219" s="1" t="b">
        <f>IF(B219="",FALSE,COUNTIF('従業員情報(給与以外)'!$A$4:$A$1000000,$B219)=0)</f>
        <v>0</v>
      </c>
      <c r="I219" s="9" t="b">
        <f t="shared" si="16"/>
        <v>1</v>
      </c>
      <c r="J219" s="9" t="b">
        <f t="shared" si="17"/>
        <v>1</v>
      </c>
      <c r="K219" s="9" t="b">
        <f t="shared" si="18"/>
        <v>1</v>
      </c>
      <c r="L219" s="9" t="b">
        <f t="shared" si="19"/>
        <v>1</v>
      </c>
      <c r="M219" s="1" t="b">
        <f>IF(OR(入力シート!$C$5&lt;&gt;入力リスト!$N$4,入力シート!$J$22&lt;&gt;入力リスト!$K$4),TRUE,IF($F$2=入力リスト!$Q$4,IF(F219-INT(F219)&lt;0.6,TRUE,FALSE),TRUE))</f>
        <v>1</v>
      </c>
      <c r="N219" s="9" t="str">
        <f>IF(F219="","",IF($F$2=入力リスト!$Q$4,ROUNDDOWN(INT(F219)+ROUNDDOWN((F219-INT(F219))*100,0)/60,2),従業員の給与情報!F219))</f>
        <v/>
      </c>
      <c r="O219" s="8"/>
      <c r="P219" s="8"/>
    </row>
    <row r="220" spans="1:16">
      <c r="A220" s="119"/>
      <c r="B220" s="2"/>
      <c r="C220" s="369"/>
      <c r="D220" s="369"/>
      <c r="E220" s="369"/>
      <c r="F220" s="370"/>
      <c r="G220" s="248" t="str">
        <f t="shared" si="15"/>
        <v/>
      </c>
      <c r="H220" s="1" t="b">
        <f>IF(B220="",FALSE,COUNTIF('従業員情報(給与以外)'!$A$4:$A$1000000,$B220)=0)</f>
        <v>0</v>
      </c>
      <c r="I220" s="9" t="b">
        <f t="shared" si="16"/>
        <v>1</v>
      </c>
      <c r="J220" s="9" t="b">
        <f t="shared" si="17"/>
        <v>1</v>
      </c>
      <c r="K220" s="9" t="b">
        <f t="shared" si="18"/>
        <v>1</v>
      </c>
      <c r="L220" s="9" t="b">
        <f t="shared" si="19"/>
        <v>1</v>
      </c>
      <c r="M220" s="1" t="b">
        <f>IF(OR(入力シート!$C$5&lt;&gt;入力リスト!$N$4,入力シート!$J$22&lt;&gt;入力リスト!$K$4),TRUE,IF($F$2=入力リスト!$Q$4,IF(F220-INT(F220)&lt;0.6,TRUE,FALSE),TRUE))</f>
        <v>1</v>
      </c>
      <c r="N220" s="9" t="str">
        <f>IF(F220="","",IF($F$2=入力リスト!$Q$4,ROUNDDOWN(INT(F220)+ROUNDDOWN((F220-INT(F220))*100,0)/60,2),従業員の給与情報!F220))</f>
        <v/>
      </c>
      <c r="O220" s="8"/>
      <c r="P220" s="8"/>
    </row>
    <row r="221" spans="1:16">
      <c r="A221" s="119"/>
      <c r="B221" s="2"/>
      <c r="C221" s="369"/>
      <c r="D221" s="369"/>
      <c r="E221" s="369"/>
      <c r="F221" s="370"/>
      <c r="G221" s="248" t="str">
        <f t="shared" si="15"/>
        <v/>
      </c>
      <c r="H221" s="1" t="b">
        <f>IF(B221="",FALSE,COUNTIF('従業員情報(給与以外)'!$A$4:$A$1000000,$B221)=0)</f>
        <v>0</v>
      </c>
      <c r="I221" s="9" t="b">
        <f t="shared" si="16"/>
        <v>1</v>
      </c>
      <c r="J221" s="9" t="b">
        <f t="shared" si="17"/>
        <v>1</v>
      </c>
      <c r="K221" s="9" t="b">
        <f t="shared" si="18"/>
        <v>1</v>
      </c>
      <c r="L221" s="9" t="b">
        <f t="shared" si="19"/>
        <v>1</v>
      </c>
      <c r="M221" s="1" t="b">
        <f>IF(OR(入力シート!$C$5&lt;&gt;入力リスト!$N$4,入力シート!$J$22&lt;&gt;入力リスト!$K$4),TRUE,IF($F$2=入力リスト!$Q$4,IF(F221-INT(F221)&lt;0.6,TRUE,FALSE),TRUE))</f>
        <v>1</v>
      </c>
      <c r="N221" s="9" t="str">
        <f>IF(F221="","",IF($F$2=入力リスト!$Q$4,ROUNDDOWN(INT(F221)+ROUNDDOWN((F221-INT(F221))*100,0)/60,2),従業員の給与情報!F221))</f>
        <v/>
      </c>
      <c r="O221" s="8"/>
      <c r="P221" s="8"/>
    </row>
    <row r="222" spans="1:16">
      <c r="A222" s="119"/>
      <c r="B222" s="2"/>
      <c r="C222" s="369"/>
      <c r="D222" s="369"/>
      <c r="E222" s="369"/>
      <c r="F222" s="370"/>
      <c r="G222" s="248" t="str">
        <f t="shared" si="15"/>
        <v/>
      </c>
      <c r="H222" s="1" t="b">
        <f>IF(B222="",FALSE,COUNTIF('従業員情報(給与以外)'!$A$4:$A$1000000,$B222)=0)</f>
        <v>0</v>
      </c>
      <c r="I222" s="9" t="b">
        <f t="shared" si="16"/>
        <v>1</v>
      </c>
      <c r="J222" s="9" t="b">
        <f t="shared" si="17"/>
        <v>1</v>
      </c>
      <c r="K222" s="9" t="b">
        <f t="shared" si="18"/>
        <v>1</v>
      </c>
      <c r="L222" s="9" t="b">
        <f t="shared" si="19"/>
        <v>1</v>
      </c>
      <c r="M222" s="1" t="b">
        <f>IF(OR(入力シート!$C$5&lt;&gt;入力リスト!$N$4,入力シート!$J$22&lt;&gt;入力リスト!$K$4),TRUE,IF($F$2=入力リスト!$Q$4,IF(F222-INT(F222)&lt;0.6,TRUE,FALSE),TRUE))</f>
        <v>1</v>
      </c>
      <c r="N222" s="9" t="str">
        <f>IF(F222="","",IF($F$2=入力リスト!$Q$4,ROUNDDOWN(INT(F222)+ROUNDDOWN((F222-INT(F222))*100,0)/60,2),従業員の給与情報!F222))</f>
        <v/>
      </c>
      <c r="O222" s="8"/>
      <c r="P222" s="8"/>
    </row>
    <row r="223" spans="1:16">
      <c r="A223" s="119"/>
      <c r="B223" s="2"/>
      <c r="C223" s="369"/>
      <c r="D223" s="369"/>
      <c r="E223" s="369"/>
      <c r="F223" s="370"/>
      <c r="G223" s="248" t="str">
        <f t="shared" si="15"/>
        <v/>
      </c>
      <c r="H223" s="1" t="b">
        <f>IF(B223="",FALSE,COUNTIF('従業員情報(給与以外)'!$A$4:$A$1000000,$B223)=0)</f>
        <v>0</v>
      </c>
      <c r="I223" s="9" t="b">
        <f t="shared" si="16"/>
        <v>1</v>
      </c>
      <c r="J223" s="9" t="b">
        <f t="shared" si="17"/>
        <v>1</v>
      </c>
      <c r="K223" s="9" t="b">
        <f t="shared" si="18"/>
        <v>1</v>
      </c>
      <c r="L223" s="9" t="b">
        <f t="shared" si="19"/>
        <v>1</v>
      </c>
      <c r="M223" s="1" t="b">
        <f>IF(OR(入力シート!$C$5&lt;&gt;入力リスト!$N$4,入力シート!$J$22&lt;&gt;入力リスト!$K$4),TRUE,IF($F$2=入力リスト!$Q$4,IF(F223-INT(F223)&lt;0.6,TRUE,FALSE),TRUE))</f>
        <v>1</v>
      </c>
      <c r="N223" s="9" t="str">
        <f>IF(F223="","",IF($F$2=入力リスト!$Q$4,ROUNDDOWN(INT(F223)+ROUNDDOWN((F223-INT(F223))*100,0)/60,2),従業員の給与情報!F223))</f>
        <v/>
      </c>
      <c r="O223" s="8"/>
      <c r="P223" s="8"/>
    </row>
    <row r="224" spans="1:16">
      <c r="A224" s="119"/>
      <c r="B224" s="2"/>
      <c r="C224" s="369"/>
      <c r="D224" s="369"/>
      <c r="E224" s="369"/>
      <c r="F224" s="370"/>
      <c r="G224" s="248" t="str">
        <f t="shared" si="15"/>
        <v/>
      </c>
      <c r="H224" s="1" t="b">
        <f>IF(B224="",FALSE,COUNTIF('従業員情報(給与以外)'!$A$4:$A$1000000,$B224)=0)</f>
        <v>0</v>
      </c>
      <c r="I224" s="9" t="b">
        <f t="shared" si="16"/>
        <v>1</v>
      </c>
      <c r="J224" s="9" t="b">
        <f t="shared" si="17"/>
        <v>1</v>
      </c>
      <c r="K224" s="9" t="b">
        <f t="shared" si="18"/>
        <v>1</v>
      </c>
      <c r="L224" s="9" t="b">
        <f t="shared" si="19"/>
        <v>1</v>
      </c>
      <c r="M224" s="1" t="b">
        <f>IF(OR(入力シート!$C$5&lt;&gt;入力リスト!$N$4,入力シート!$J$22&lt;&gt;入力リスト!$K$4),TRUE,IF($F$2=入力リスト!$Q$4,IF(F224-INT(F224)&lt;0.6,TRUE,FALSE),TRUE))</f>
        <v>1</v>
      </c>
      <c r="N224" s="9" t="str">
        <f>IF(F224="","",IF($F$2=入力リスト!$Q$4,ROUNDDOWN(INT(F224)+ROUNDDOWN((F224-INT(F224))*100,0)/60,2),従業員の給与情報!F224))</f>
        <v/>
      </c>
      <c r="O224" s="8"/>
      <c r="P224" s="8"/>
    </row>
    <row r="225" spans="1:16">
      <c r="A225" s="119"/>
      <c r="B225" s="2"/>
      <c r="C225" s="369"/>
      <c r="D225" s="369"/>
      <c r="E225" s="369"/>
      <c r="F225" s="370"/>
      <c r="G225" s="248" t="str">
        <f t="shared" si="15"/>
        <v/>
      </c>
      <c r="H225" s="1" t="b">
        <f>IF(B225="",FALSE,COUNTIF('従業員情報(給与以外)'!$A$4:$A$1000000,$B225)=0)</f>
        <v>0</v>
      </c>
      <c r="I225" s="9" t="b">
        <f t="shared" si="16"/>
        <v>1</v>
      </c>
      <c r="J225" s="9" t="b">
        <f t="shared" si="17"/>
        <v>1</v>
      </c>
      <c r="K225" s="9" t="b">
        <f t="shared" si="18"/>
        <v>1</v>
      </c>
      <c r="L225" s="9" t="b">
        <f t="shared" si="19"/>
        <v>1</v>
      </c>
      <c r="M225" s="1" t="b">
        <f>IF(OR(入力シート!$C$5&lt;&gt;入力リスト!$N$4,入力シート!$J$22&lt;&gt;入力リスト!$K$4),TRUE,IF($F$2=入力リスト!$Q$4,IF(F225-INT(F225)&lt;0.6,TRUE,FALSE),TRUE))</f>
        <v>1</v>
      </c>
      <c r="N225" s="9" t="str">
        <f>IF(F225="","",IF($F$2=入力リスト!$Q$4,ROUNDDOWN(INT(F225)+ROUNDDOWN((F225-INT(F225))*100,0)/60,2),従業員の給与情報!F225))</f>
        <v/>
      </c>
      <c r="O225" s="8"/>
      <c r="P225" s="8"/>
    </row>
    <row r="226" spans="1:16">
      <c r="A226" s="119"/>
      <c r="B226" s="2"/>
      <c r="C226" s="369"/>
      <c r="D226" s="369"/>
      <c r="E226" s="369"/>
      <c r="F226" s="370"/>
      <c r="G226" s="248" t="str">
        <f t="shared" si="15"/>
        <v/>
      </c>
      <c r="H226" s="1" t="b">
        <f>IF(B226="",FALSE,COUNTIF('従業員情報(給与以外)'!$A$4:$A$1000000,$B226)=0)</f>
        <v>0</v>
      </c>
      <c r="I226" s="9" t="b">
        <f t="shared" si="16"/>
        <v>1</v>
      </c>
      <c r="J226" s="9" t="b">
        <f t="shared" si="17"/>
        <v>1</v>
      </c>
      <c r="K226" s="9" t="b">
        <f t="shared" si="18"/>
        <v>1</v>
      </c>
      <c r="L226" s="9" t="b">
        <f t="shared" si="19"/>
        <v>1</v>
      </c>
      <c r="M226" s="1" t="b">
        <f>IF(OR(入力シート!$C$5&lt;&gt;入力リスト!$N$4,入力シート!$J$22&lt;&gt;入力リスト!$K$4),TRUE,IF($F$2=入力リスト!$Q$4,IF(F226-INT(F226)&lt;0.6,TRUE,FALSE),TRUE))</f>
        <v>1</v>
      </c>
      <c r="N226" s="9" t="str">
        <f>IF(F226="","",IF($F$2=入力リスト!$Q$4,ROUNDDOWN(INT(F226)+ROUNDDOWN((F226-INT(F226))*100,0)/60,2),従業員の給与情報!F226))</f>
        <v/>
      </c>
      <c r="O226" s="8"/>
      <c r="P226" s="8"/>
    </row>
    <row r="227" spans="1:16">
      <c r="A227" s="119"/>
      <c r="B227" s="2"/>
      <c r="C227" s="369"/>
      <c r="D227" s="369"/>
      <c r="E227" s="369"/>
      <c r="F227" s="370"/>
      <c r="G227" s="248" t="str">
        <f t="shared" si="15"/>
        <v/>
      </c>
      <c r="H227" s="1" t="b">
        <f>IF(B227="",FALSE,COUNTIF('従業員情報(給与以外)'!$A$4:$A$1000000,$B227)=0)</f>
        <v>0</v>
      </c>
      <c r="I227" s="9" t="b">
        <f t="shared" si="16"/>
        <v>1</v>
      </c>
      <c r="J227" s="9" t="b">
        <f t="shared" si="17"/>
        <v>1</v>
      </c>
      <c r="K227" s="9" t="b">
        <f t="shared" si="18"/>
        <v>1</v>
      </c>
      <c r="L227" s="9" t="b">
        <f t="shared" si="19"/>
        <v>1</v>
      </c>
      <c r="M227" s="1" t="b">
        <f>IF(OR(入力シート!$C$5&lt;&gt;入力リスト!$N$4,入力シート!$J$22&lt;&gt;入力リスト!$K$4),TRUE,IF($F$2=入力リスト!$Q$4,IF(F227-INT(F227)&lt;0.6,TRUE,FALSE),TRUE))</f>
        <v>1</v>
      </c>
      <c r="N227" s="9" t="str">
        <f>IF(F227="","",IF($F$2=入力リスト!$Q$4,ROUNDDOWN(INT(F227)+ROUNDDOWN((F227-INT(F227))*100,0)/60,2),従業員の給与情報!F227))</f>
        <v/>
      </c>
      <c r="O227" s="8"/>
      <c r="P227" s="8"/>
    </row>
    <row r="228" spans="1:16">
      <c r="A228" s="119"/>
      <c r="B228" s="2"/>
      <c r="C228" s="369"/>
      <c r="D228" s="369"/>
      <c r="E228" s="369"/>
      <c r="F228" s="370"/>
      <c r="G228" s="248" t="str">
        <f t="shared" si="15"/>
        <v/>
      </c>
      <c r="H228" s="1" t="b">
        <f>IF(B228="",FALSE,COUNTIF('従業員情報(給与以外)'!$A$4:$A$1000000,$B228)=0)</f>
        <v>0</v>
      </c>
      <c r="I228" s="9" t="b">
        <f t="shared" si="16"/>
        <v>1</v>
      </c>
      <c r="J228" s="9" t="b">
        <f t="shared" si="17"/>
        <v>1</v>
      </c>
      <c r="K228" s="9" t="b">
        <f t="shared" si="18"/>
        <v>1</v>
      </c>
      <c r="L228" s="9" t="b">
        <f t="shared" si="19"/>
        <v>1</v>
      </c>
      <c r="M228" s="1" t="b">
        <f>IF(OR(入力シート!$C$5&lt;&gt;入力リスト!$N$4,入力シート!$J$22&lt;&gt;入力リスト!$K$4),TRUE,IF($F$2=入力リスト!$Q$4,IF(F228-INT(F228)&lt;0.6,TRUE,FALSE),TRUE))</f>
        <v>1</v>
      </c>
      <c r="N228" s="9" t="str">
        <f>IF(F228="","",IF($F$2=入力リスト!$Q$4,ROUNDDOWN(INT(F228)+ROUNDDOWN((F228-INT(F228))*100,0)/60,2),従業員の給与情報!F228))</f>
        <v/>
      </c>
      <c r="O228" s="8"/>
      <c r="P228" s="8"/>
    </row>
    <row r="229" spans="1:16">
      <c r="A229" s="119"/>
      <c r="B229" s="2"/>
      <c r="C229" s="369"/>
      <c r="D229" s="369"/>
      <c r="E229" s="369"/>
      <c r="F229" s="370"/>
      <c r="G229" s="248" t="str">
        <f t="shared" si="15"/>
        <v/>
      </c>
      <c r="H229" s="1" t="b">
        <f>IF(B229="",FALSE,COUNTIF('従業員情報(給与以外)'!$A$4:$A$1000000,$B229)=0)</f>
        <v>0</v>
      </c>
      <c r="I229" s="9" t="b">
        <f t="shared" si="16"/>
        <v>1</v>
      </c>
      <c r="J229" s="9" t="b">
        <f t="shared" si="17"/>
        <v>1</v>
      </c>
      <c r="K229" s="9" t="b">
        <f t="shared" si="18"/>
        <v>1</v>
      </c>
      <c r="L229" s="9" t="b">
        <f t="shared" si="19"/>
        <v>1</v>
      </c>
      <c r="M229" s="1" t="b">
        <f>IF(OR(入力シート!$C$5&lt;&gt;入力リスト!$N$4,入力シート!$J$22&lt;&gt;入力リスト!$K$4),TRUE,IF($F$2=入力リスト!$Q$4,IF(F229-INT(F229)&lt;0.6,TRUE,FALSE),TRUE))</f>
        <v>1</v>
      </c>
      <c r="N229" s="9" t="str">
        <f>IF(F229="","",IF($F$2=入力リスト!$Q$4,ROUNDDOWN(INT(F229)+ROUNDDOWN((F229-INT(F229))*100,0)/60,2),従業員の給与情報!F229))</f>
        <v/>
      </c>
      <c r="O229" s="8"/>
      <c r="P229" s="8"/>
    </row>
    <row r="230" spans="1:16">
      <c r="A230" s="119"/>
      <c r="B230" s="2"/>
      <c r="C230" s="369"/>
      <c r="D230" s="369"/>
      <c r="E230" s="369"/>
      <c r="F230" s="370"/>
      <c r="G230" s="248" t="str">
        <f t="shared" si="15"/>
        <v/>
      </c>
      <c r="H230" s="1" t="b">
        <f>IF(B230="",FALSE,COUNTIF('従業員情報(給与以外)'!$A$4:$A$1000000,$B230)=0)</f>
        <v>0</v>
      </c>
      <c r="I230" s="9" t="b">
        <f t="shared" si="16"/>
        <v>1</v>
      </c>
      <c r="J230" s="9" t="b">
        <f t="shared" si="17"/>
        <v>1</v>
      </c>
      <c r="K230" s="9" t="b">
        <f t="shared" si="18"/>
        <v>1</v>
      </c>
      <c r="L230" s="9" t="b">
        <f t="shared" si="19"/>
        <v>1</v>
      </c>
      <c r="M230" s="1" t="b">
        <f>IF(OR(入力シート!$C$5&lt;&gt;入力リスト!$N$4,入力シート!$J$22&lt;&gt;入力リスト!$K$4),TRUE,IF($F$2=入力リスト!$Q$4,IF(F230-INT(F230)&lt;0.6,TRUE,FALSE),TRUE))</f>
        <v>1</v>
      </c>
      <c r="N230" s="9" t="str">
        <f>IF(F230="","",IF($F$2=入力リスト!$Q$4,ROUNDDOWN(INT(F230)+ROUNDDOWN((F230-INT(F230))*100,0)/60,2),従業員の給与情報!F230))</f>
        <v/>
      </c>
      <c r="O230" s="8"/>
      <c r="P230" s="8"/>
    </row>
    <row r="231" spans="1:16">
      <c r="A231" s="119"/>
      <c r="B231" s="2"/>
      <c r="C231" s="369"/>
      <c r="D231" s="369"/>
      <c r="E231" s="369"/>
      <c r="F231" s="370"/>
      <c r="G231" s="248" t="str">
        <f t="shared" si="15"/>
        <v/>
      </c>
      <c r="H231" s="1" t="b">
        <f>IF(B231="",FALSE,COUNTIF('従業員情報(給与以外)'!$A$4:$A$1000000,$B231)=0)</f>
        <v>0</v>
      </c>
      <c r="I231" s="9" t="b">
        <f t="shared" si="16"/>
        <v>1</v>
      </c>
      <c r="J231" s="9" t="b">
        <f t="shared" si="17"/>
        <v>1</v>
      </c>
      <c r="K231" s="9" t="b">
        <f t="shared" si="18"/>
        <v>1</v>
      </c>
      <c r="L231" s="9" t="b">
        <f t="shared" si="19"/>
        <v>1</v>
      </c>
      <c r="M231" s="1" t="b">
        <f>IF(OR(入力シート!$C$5&lt;&gt;入力リスト!$N$4,入力シート!$J$22&lt;&gt;入力リスト!$K$4),TRUE,IF($F$2=入力リスト!$Q$4,IF(F231-INT(F231)&lt;0.6,TRUE,FALSE),TRUE))</f>
        <v>1</v>
      </c>
      <c r="N231" s="9" t="str">
        <f>IF(F231="","",IF($F$2=入力リスト!$Q$4,ROUNDDOWN(INT(F231)+ROUNDDOWN((F231-INT(F231))*100,0)/60,2),従業員の給与情報!F231))</f>
        <v/>
      </c>
      <c r="O231" s="8"/>
      <c r="P231" s="8"/>
    </row>
    <row r="232" spans="1:16">
      <c r="A232" s="119"/>
      <c r="B232" s="2"/>
      <c r="C232" s="369"/>
      <c r="D232" s="369"/>
      <c r="E232" s="369"/>
      <c r="F232" s="370"/>
      <c r="G232" s="248" t="str">
        <f t="shared" si="15"/>
        <v/>
      </c>
      <c r="H232" s="1" t="b">
        <f>IF(B232="",FALSE,COUNTIF('従業員情報(給与以外)'!$A$4:$A$1000000,$B232)=0)</f>
        <v>0</v>
      </c>
      <c r="I232" s="9" t="b">
        <f t="shared" si="16"/>
        <v>1</v>
      </c>
      <c r="J232" s="9" t="b">
        <f t="shared" si="17"/>
        <v>1</v>
      </c>
      <c r="K232" s="9" t="b">
        <f t="shared" si="18"/>
        <v>1</v>
      </c>
      <c r="L232" s="9" t="b">
        <f t="shared" si="19"/>
        <v>1</v>
      </c>
      <c r="M232" s="1" t="b">
        <f>IF(OR(入力シート!$C$5&lt;&gt;入力リスト!$N$4,入力シート!$J$22&lt;&gt;入力リスト!$K$4),TRUE,IF($F$2=入力リスト!$Q$4,IF(F232-INT(F232)&lt;0.6,TRUE,FALSE),TRUE))</f>
        <v>1</v>
      </c>
      <c r="N232" s="9" t="str">
        <f>IF(F232="","",IF($F$2=入力リスト!$Q$4,ROUNDDOWN(INT(F232)+ROUNDDOWN((F232-INT(F232))*100,0)/60,2),従業員の給与情報!F232))</f>
        <v/>
      </c>
      <c r="O232" s="8"/>
      <c r="P232" s="8"/>
    </row>
    <row r="233" spans="1:16">
      <c r="A233" s="119"/>
      <c r="B233" s="2"/>
      <c r="C233" s="369"/>
      <c r="D233" s="369"/>
      <c r="E233" s="369"/>
      <c r="F233" s="370"/>
      <c r="G233" s="248" t="str">
        <f t="shared" si="15"/>
        <v/>
      </c>
      <c r="H233" s="1" t="b">
        <f>IF(B233="",FALSE,COUNTIF('従業員情報(給与以外)'!$A$4:$A$1000000,$B233)=0)</f>
        <v>0</v>
      </c>
      <c r="I233" s="9" t="b">
        <f t="shared" si="16"/>
        <v>1</v>
      </c>
      <c r="J233" s="9" t="b">
        <f t="shared" si="17"/>
        <v>1</v>
      </c>
      <c r="K233" s="9" t="b">
        <f t="shared" si="18"/>
        <v>1</v>
      </c>
      <c r="L233" s="9" t="b">
        <f t="shared" si="19"/>
        <v>1</v>
      </c>
      <c r="M233" s="1" t="b">
        <f>IF(OR(入力シート!$C$5&lt;&gt;入力リスト!$N$4,入力シート!$J$22&lt;&gt;入力リスト!$K$4),TRUE,IF($F$2=入力リスト!$Q$4,IF(F233-INT(F233)&lt;0.6,TRUE,FALSE),TRUE))</f>
        <v>1</v>
      </c>
      <c r="N233" s="9" t="str">
        <f>IF(F233="","",IF($F$2=入力リスト!$Q$4,ROUNDDOWN(INT(F233)+ROUNDDOWN((F233-INT(F233))*100,0)/60,2),従業員の給与情報!F233))</f>
        <v/>
      </c>
      <c r="O233" s="8"/>
      <c r="P233" s="8"/>
    </row>
    <row r="234" spans="1:16">
      <c r="A234" s="119"/>
      <c r="B234" s="2"/>
      <c r="C234" s="369"/>
      <c r="D234" s="369"/>
      <c r="E234" s="369"/>
      <c r="F234" s="370"/>
      <c r="G234" s="248" t="str">
        <f t="shared" si="15"/>
        <v/>
      </c>
      <c r="H234" s="1" t="b">
        <f>IF(B234="",FALSE,COUNTIF('従業員情報(給与以外)'!$A$4:$A$1000000,$B234)=0)</f>
        <v>0</v>
      </c>
      <c r="I234" s="9" t="b">
        <f t="shared" si="16"/>
        <v>1</v>
      </c>
      <c r="J234" s="9" t="b">
        <f t="shared" si="17"/>
        <v>1</v>
      </c>
      <c r="K234" s="9" t="b">
        <f t="shared" si="18"/>
        <v>1</v>
      </c>
      <c r="L234" s="9" t="b">
        <f t="shared" si="19"/>
        <v>1</v>
      </c>
      <c r="M234" s="1" t="b">
        <f>IF(OR(入力シート!$C$5&lt;&gt;入力リスト!$N$4,入力シート!$J$22&lt;&gt;入力リスト!$K$4),TRUE,IF($F$2=入力リスト!$Q$4,IF(F234-INT(F234)&lt;0.6,TRUE,FALSE),TRUE))</f>
        <v>1</v>
      </c>
      <c r="N234" s="9" t="str">
        <f>IF(F234="","",IF($F$2=入力リスト!$Q$4,ROUNDDOWN(INT(F234)+ROUNDDOWN((F234-INT(F234))*100,0)/60,2),従業員の給与情報!F234))</f>
        <v/>
      </c>
      <c r="O234" s="8"/>
      <c r="P234" s="8"/>
    </row>
    <row r="235" spans="1:16">
      <c r="A235" s="119"/>
      <c r="B235" s="2"/>
      <c r="C235" s="369"/>
      <c r="D235" s="369"/>
      <c r="E235" s="369"/>
      <c r="F235" s="370"/>
      <c r="G235" s="248" t="str">
        <f t="shared" si="15"/>
        <v/>
      </c>
      <c r="H235" s="1" t="b">
        <f>IF(B235="",FALSE,COUNTIF('従業員情報(給与以外)'!$A$4:$A$1000000,$B235)=0)</f>
        <v>0</v>
      </c>
      <c r="I235" s="9" t="b">
        <f t="shared" si="16"/>
        <v>1</v>
      </c>
      <c r="J235" s="9" t="b">
        <f t="shared" si="17"/>
        <v>1</v>
      </c>
      <c r="K235" s="9" t="b">
        <f t="shared" si="18"/>
        <v>1</v>
      </c>
      <c r="L235" s="9" t="b">
        <f t="shared" si="19"/>
        <v>1</v>
      </c>
      <c r="M235" s="1" t="b">
        <f>IF(OR(入力シート!$C$5&lt;&gt;入力リスト!$N$4,入力シート!$J$22&lt;&gt;入力リスト!$K$4),TRUE,IF($F$2=入力リスト!$Q$4,IF(F235-INT(F235)&lt;0.6,TRUE,FALSE),TRUE))</f>
        <v>1</v>
      </c>
      <c r="N235" s="9" t="str">
        <f>IF(F235="","",IF($F$2=入力リスト!$Q$4,ROUNDDOWN(INT(F235)+ROUNDDOWN((F235-INT(F235))*100,0)/60,2),従業員の給与情報!F235))</f>
        <v/>
      </c>
      <c r="O235" s="8"/>
      <c r="P235" s="8"/>
    </row>
    <row r="236" spans="1:16">
      <c r="A236" s="119"/>
      <c r="B236" s="2"/>
      <c r="C236" s="369"/>
      <c r="D236" s="369"/>
      <c r="E236" s="369"/>
      <c r="F236" s="370"/>
      <c r="G236" s="248" t="str">
        <f t="shared" si="15"/>
        <v/>
      </c>
      <c r="H236" s="1" t="b">
        <f>IF(B236="",FALSE,COUNTIF('従業員情報(給与以外)'!$A$4:$A$1000000,$B236)=0)</f>
        <v>0</v>
      </c>
      <c r="I236" s="9" t="b">
        <f t="shared" si="16"/>
        <v>1</v>
      </c>
      <c r="J236" s="9" t="b">
        <f t="shared" si="17"/>
        <v>1</v>
      </c>
      <c r="K236" s="9" t="b">
        <f t="shared" si="18"/>
        <v>1</v>
      </c>
      <c r="L236" s="9" t="b">
        <f t="shared" si="19"/>
        <v>1</v>
      </c>
      <c r="M236" s="1" t="b">
        <f>IF(OR(入力シート!$C$5&lt;&gt;入力リスト!$N$4,入力シート!$J$22&lt;&gt;入力リスト!$K$4),TRUE,IF($F$2=入力リスト!$Q$4,IF(F236-INT(F236)&lt;0.6,TRUE,FALSE),TRUE))</f>
        <v>1</v>
      </c>
      <c r="N236" s="9" t="str">
        <f>IF(F236="","",IF($F$2=入力リスト!$Q$4,ROUNDDOWN(INT(F236)+ROUNDDOWN((F236-INT(F236))*100,0)/60,2),従業員の給与情報!F236))</f>
        <v/>
      </c>
      <c r="O236" s="8"/>
      <c r="P236" s="8"/>
    </row>
    <row r="237" spans="1:16">
      <c r="A237" s="119"/>
      <c r="B237" s="2"/>
      <c r="C237" s="369"/>
      <c r="D237" s="369"/>
      <c r="E237" s="369"/>
      <c r="F237" s="370"/>
      <c r="G237" s="248" t="str">
        <f t="shared" si="15"/>
        <v/>
      </c>
      <c r="H237" s="1" t="b">
        <f>IF(B237="",FALSE,COUNTIF('従業員情報(給与以外)'!$A$4:$A$1000000,$B237)=0)</f>
        <v>0</v>
      </c>
      <c r="I237" s="9" t="b">
        <f t="shared" si="16"/>
        <v>1</v>
      </c>
      <c r="J237" s="9" t="b">
        <f t="shared" si="17"/>
        <v>1</v>
      </c>
      <c r="K237" s="9" t="b">
        <f t="shared" si="18"/>
        <v>1</v>
      </c>
      <c r="L237" s="9" t="b">
        <f t="shared" si="19"/>
        <v>1</v>
      </c>
      <c r="M237" s="1" t="b">
        <f>IF(OR(入力シート!$C$5&lt;&gt;入力リスト!$N$4,入力シート!$J$22&lt;&gt;入力リスト!$K$4),TRUE,IF($F$2=入力リスト!$Q$4,IF(F237-INT(F237)&lt;0.6,TRUE,FALSE),TRUE))</f>
        <v>1</v>
      </c>
      <c r="N237" s="9" t="str">
        <f>IF(F237="","",IF($F$2=入力リスト!$Q$4,ROUNDDOWN(INT(F237)+ROUNDDOWN((F237-INT(F237))*100,0)/60,2),従業員の給与情報!F237))</f>
        <v/>
      </c>
      <c r="O237" s="8"/>
      <c r="P237" s="8"/>
    </row>
    <row r="238" spans="1:16">
      <c r="A238" s="119"/>
      <c r="B238" s="2"/>
      <c r="C238" s="369"/>
      <c r="D238" s="369"/>
      <c r="E238" s="369"/>
      <c r="F238" s="370"/>
      <c r="G238" s="248" t="str">
        <f t="shared" si="15"/>
        <v/>
      </c>
      <c r="H238" s="1" t="b">
        <f>IF(B238="",FALSE,COUNTIF('従業員情報(給与以外)'!$A$4:$A$1000000,$B238)=0)</f>
        <v>0</v>
      </c>
      <c r="I238" s="9" t="b">
        <f t="shared" si="16"/>
        <v>1</v>
      </c>
      <c r="J238" s="9" t="b">
        <f t="shared" si="17"/>
        <v>1</v>
      </c>
      <c r="K238" s="9" t="b">
        <f t="shared" si="18"/>
        <v>1</v>
      </c>
      <c r="L238" s="9" t="b">
        <f t="shared" si="19"/>
        <v>1</v>
      </c>
      <c r="M238" s="1" t="b">
        <f>IF(OR(入力シート!$C$5&lt;&gt;入力リスト!$N$4,入力シート!$J$22&lt;&gt;入力リスト!$K$4),TRUE,IF($F$2=入力リスト!$Q$4,IF(F238-INT(F238)&lt;0.6,TRUE,FALSE),TRUE))</f>
        <v>1</v>
      </c>
      <c r="N238" s="9" t="str">
        <f>IF(F238="","",IF($F$2=入力リスト!$Q$4,ROUNDDOWN(INT(F238)+ROUNDDOWN((F238-INT(F238))*100,0)/60,2),従業員の給与情報!F238))</f>
        <v/>
      </c>
      <c r="O238" s="8"/>
      <c r="P238" s="8"/>
    </row>
    <row r="239" spans="1:16">
      <c r="A239" s="119"/>
      <c r="B239" s="2"/>
      <c r="C239" s="369"/>
      <c r="D239" s="369"/>
      <c r="E239" s="369"/>
      <c r="F239" s="370"/>
      <c r="G239" s="248" t="str">
        <f t="shared" si="15"/>
        <v/>
      </c>
      <c r="H239" s="1" t="b">
        <f>IF(B239="",FALSE,COUNTIF('従業員情報(給与以外)'!$A$4:$A$1000000,$B239)=0)</f>
        <v>0</v>
      </c>
      <c r="I239" s="9" t="b">
        <f t="shared" si="16"/>
        <v>1</v>
      </c>
      <c r="J239" s="9" t="b">
        <f t="shared" si="17"/>
        <v>1</v>
      </c>
      <c r="K239" s="9" t="b">
        <f t="shared" si="18"/>
        <v>1</v>
      </c>
      <c r="L239" s="9" t="b">
        <f t="shared" si="19"/>
        <v>1</v>
      </c>
      <c r="M239" s="1" t="b">
        <f>IF(OR(入力シート!$C$5&lt;&gt;入力リスト!$N$4,入力シート!$J$22&lt;&gt;入力リスト!$K$4),TRUE,IF($F$2=入力リスト!$Q$4,IF(F239-INT(F239)&lt;0.6,TRUE,FALSE),TRUE))</f>
        <v>1</v>
      </c>
      <c r="N239" s="9" t="str">
        <f>IF(F239="","",IF($F$2=入力リスト!$Q$4,ROUNDDOWN(INT(F239)+ROUNDDOWN((F239-INT(F239))*100,0)/60,2),従業員の給与情報!F239))</f>
        <v/>
      </c>
      <c r="O239" s="8"/>
      <c r="P239" s="8"/>
    </row>
    <row r="240" spans="1:16">
      <c r="A240" s="119"/>
      <c r="B240" s="2"/>
      <c r="C240" s="369"/>
      <c r="D240" s="369"/>
      <c r="E240" s="369"/>
      <c r="F240" s="370"/>
      <c r="G240" s="248" t="str">
        <f t="shared" si="15"/>
        <v/>
      </c>
      <c r="H240" s="1" t="b">
        <f>IF(B240="",FALSE,COUNTIF('従業員情報(給与以外)'!$A$4:$A$1000000,$B240)=0)</f>
        <v>0</v>
      </c>
      <c r="I240" s="9" t="b">
        <f t="shared" si="16"/>
        <v>1</v>
      </c>
      <c r="J240" s="9" t="b">
        <f t="shared" si="17"/>
        <v>1</v>
      </c>
      <c r="K240" s="9" t="b">
        <f t="shared" si="18"/>
        <v>1</v>
      </c>
      <c r="L240" s="9" t="b">
        <f t="shared" si="19"/>
        <v>1</v>
      </c>
      <c r="M240" s="1" t="b">
        <f>IF(OR(入力シート!$C$5&lt;&gt;入力リスト!$N$4,入力シート!$J$22&lt;&gt;入力リスト!$K$4),TRUE,IF($F$2=入力リスト!$Q$4,IF(F240-INT(F240)&lt;0.6,TRUE,FALSE),TRUE))</f>
        <v>1</v>
      </c>
      <c r="N240" s="9" t="str">
        <f>IF(F240="","",IF($F$2=入力リスト!$Q$4,ROUNDDOWN(INT(F240)+ROUNDDOWN((F240-INT(F240))*100,0)/60,2),従業員の給与情報!F240))</f>
        <v/>
      </c>
      <c r="O240" s="8"/>
      <c r="P240" s="8"/>
    </row>
    <row r="241" spans="1:16">
      <c r="A241" s="119"/>
      <c r="B241" s="2"/>
      <c r="C241" s="369"/>
      <c r="D241" s="369"/>
      <c r="E241" s="369"/>
      <c r="F241" s="370"/>
      <c r="G241" s="248" t="str">
        <f t="shared" si="15"/>
        <v/>
      </c>
      <c r="H241" s="1" t="b">
        <f>IF(B241="",FALSE,COUNTIF('従業員情報(給与以外)'!$A$4:$A$1000000,$B241)=0)</f>
        <v>0</v>
      </c>
      <c r="I241" s="9" t="b">
        <f t="shared" si="16"/>
        <v>1</v>
      </c>
      <c r="J241" s="9" t="b">
        <f t="shared" si="17"/>
        <v>1</v>
      </c>
      <c r="K241" s="9" t="b">
        <f t="shared" si="18"/>
        <v>1</v>
      </c>
      <c r="L241" s="9" t="b">
        <f t="shared" si="19"/>
        <v>1</v>
      </c>
      <c r="M241" s="1" t="b">
        <f>IF(OR(入力シート!$C$5&lt;&gt;入力リスト!$N$4,入力シート!$J$22&lt;&gt;入力リスト!$K$4),TRUE,IF($F$2=入力リスト!$Q$4,IF(F241-INT(F241)&lt;0.6,TRUE,FALSE),TRUE))</f>
        <v>1</v>
      </c>
      <c r="N241" s="9" t="str">
        <f>IF(F241="","",IF($F$2=入力リスト!$Q$4,ROUNDDOWN(INT(F241)+ROUNDDOWN((F241-INT(F241))*100,0)/60,2),従業員の給与情報!F241))</f>
        <v/>
      </c>
      <c r="O241" s="8"/>
      <c r="P241" s="8"/>
    </row>
    <row r="242" spans="1:16">
      <c r="A242" s="119"/>
      <c r="B242" s="2"/>
      <c r="C242" s="369"/>
      <c r="D242" s="369"/>
      <c r="E242" s="369"/>
      <c r="F242" s="370"/>
      <c r="G242" s="248" t="str">
        <f t="shared" si="15"/>
        <v/>
      </c>
      <c r="H242" s="1" t="b">
        <f>IF(B242="",FALSE,COUNTIF('従業員情報(給与以外)'!$A$4:$A$1000000,$B242)=0)</f>
        <v>0</v>
      </c>
      <c r="I242" s="9" t="b">
        <f t="shared" si="16"/>
        <v>1</v>
      </c>
      <c r="J242" s="9" t="b">
        <f t="shared" si="17"/>
        <v>1</v>
      </c>
      <c r="K242" s="9" t="b">
        <f t="shared" si="18"/>
        <v>1</v>
      </c>
      <c r="L242" s="9" t="b">
        <f t="shared" si="19"/>
        <v>1</v>
      </c>
      <c r="M242" s="1" t="b">
        <f>IF(OR(入力シート!$C$5&lt;&gt;入力リスト!$N$4,入力シート!$J$22&lt;&gt;入力リスト!$K$4),TRUE,IF($F$2=入力リスト!$Q$4,IF(F242-INT(F242)&lt;0.6,TRUE,FALSE),TRUE))</f>
        <v>1</v>
      </c>
      <c r="N242" s="9" t="str">
        <f>IF(F242="","",IF($F$2=入力リスト!$Q$4,ROUNDDOWN(INT(F242)+ROUNDDOWN((F242-INT(F242))*100,0)/60,2),従業員の給与情報!F242))</f>
        <v/>
      </c>
      <c r="O242" s="8"/>
      <c r="P242" s="8"/>
    </row>
    <row r="243" spans="1:16">
      <c r="A243" s="119"/>
      <c r="B243" s="2"/>
      <c r="C243" s="369"/>
      <c r="D243" s="369"/>
      <c r="E243" s="369"/>
      <c r="F243" s="370"/>
      <c r="G243" s="248" t="str">
        <f t="shared" si="15"/>
        <v/>
      </c>
      <c r="H243" s="1" t="b">
        <f>IF(B243="",FALSE,COUNTIF('従業員情報(給与以外)'!$A$4:$A$1000000,$B243)=0)</f>
        <v>0</v>
      </c>
      <c r="I243" s="9" t="b">
        <f t="shared" si="16"/>
        <v>1</v>
      </c>
      <c r="J243" s="9" t="b">
        <f t="shared" si="17"/>
        <v>1</v>
      </c>
      <c r="K243" s="9" t="b">
        <f t="shared" si="18"/>
        <v>1</v>
      </c>
      <c r="L243" s="9" t="b">
        <f t="shared" si="19"/>
        <v>1</v>
      </c>
      <c r="M243" s="1" t="b">
        <f>IF(OR(入力シート!$C$5&lt;&gt;入力リスト!$N$4,入力シート!$J$22&lt;&gt;入力リスト!$K$4),TRUE,IF($F$2=入力リスト!$Q$4,IF(F243-INT(F243)&lt;0.6,TRUE,FALSE),TRUE))</f>
        <v>1</v>
      </c>
      <c r="N243" s="9" t="str">
        <f>IF(F243="","",IF($F$2=入力リスト!$Q$4,ROUNDDOWN(INT(F243)+ROUNDDOWN((F243-INT(F243))*100,0)/60,2),従業員の給与情報!F243))</f>
        <v/>
      </c>
      <c r="O243" s="8"/>
      <c r="P243" s="8"/>
    </row>
    <row r="244" spans="1:16">
      <c r="A244" s="119"/>
      <c r="B244" s="2"/>
      <c r="C244" s="369"/>
      <c r="D244" s="369"/>
      <c r="E244" s="369"/>
      <c r="F244" s="370"/>
      <c r="G244" s="248" t="str">
        <f t="shared" si="15"/>
        <v/>
      </c>
      <c r="H244" s="1" t="b">
        <f>IF(B244="",FALSE,COUNTIF('従業員情報(給与以外)'!$A$4:$A$1000000,$B244)=0)</f>
        <v>0</v>
      </c>
      <c r="I244" s="9" t="b">
        <f t="shared" si="16"/>
        <v>1</v>
      </c>
      <c r="J244" s="9" t="b">
        <f t="shared" si="17"/>
        <v>1</v>
      </c>
      <c r="K244" s="9" t="b">
        <f t="shared" si="18"/>
        <v>1</v>
      </c>
      <c r="L244" s="9" t="b">
        <f t="shared" si="19"/>
        <v>1</v>
      </c>
      <c r="M244" s="1" t="b">
        <f>IF(OR(入力シート!$C$5&lt;&gt;入力リスト!$N$4,入力シート!$J$22&lt;&gt;入力リスト!$K$4),TRUE,IF($F$2=入力リスト!$Q$4,IF(F244-INT(F244)&lt;0.6,TRUE,FALSE),TRUE))</f>
        <v>1</v>
      </c>
      <c r="N244" s="9" t="str">
        <f>IF(F244="","",IF($F$2=入力リスト!$Q$4,ROUNDDOWN(INT(F244)+ROUNDDOWN((F244-INT(F244))*100,0)/60,2),従業員の給与情報!F244))</f>
        <v/>
      </c>
      <c r="O244" s="8"/>
      <c r="P244" s="8"/>
    </row>
    <row r="245" spans="1:16">
      <c r="A245" s="119"/>
      <c r="B245" s="2"/>
      <c r="C245" s="369"/>
      <c r="D245" s="369"/>
      <c r="E245" s="369"/>
      <c r="F245" s="370"/>
      <c r="G245" s="248" t="str">
        <f t="shared" si="15"/>
        <v/>
      </c>
      <c r="H245" s="1" t="b">
        <f>IF(B245="",FALSE,COUNTIF('従業員情報(給与以外)'!$A$4:$A$1000000,$B245)=0)</f>
        <v>0</v>
      </c>
      <c r="I245" s="9" t="b">
        <f t="shared" si="16"/>
        <v>1</v>
      </c>
      <c r="J245" s="9" t="b">
        <f t="shared" si="17"/>
        <v>1</v>
      </c>
      <c r="K245" s="9" t="b">
        <f t="shared" si="18"/>
        <v>1</v>
      </c>
      <c r="L245" s="9" t="b">
        <f t="shared" si="19"/>
        <v>1</v>
      </c>
      <c r="M245" s="1" t="b">
        <f>IF(OR(入力シート!$C$5&lt;&gt;入力リスト!$N$4,入力シート!$J$22&lt;&gt;入力リスト!$K$4),TRUE,IF($F$2=入力リスト!$Q$4,IF(F245-INT(F245)&lt;0.6,TRUE,FALSE),TRUE))</f>
        <v>1</v>
      </c>
      <c r="N245" s="9" t="str">
        <f>IF(F245="","",IF($F$2=入力リスト!$Q$4,ROUNDDOWN(INT(F245)+ROUNDDOWN((F245-INT(F245))*100,0)/60,2),従業員の給与情報!F245))</f>
        <v/>
      </c>
      <c r="O245" s="8"/>
      <c r="P245" s="8"/>
    </row>
    <row r="246" spans="1:16">
      <c r="A246" s="119"/>
      <c r="B246" s="2"/>
      <c r="C246" s="369"/>
      <c r="D246" s="369"/>
      <c r="E246" s="369"/>
      <c r="F246" s="370"/>
      <c r="G246" s="248" t="str">
        <f t="shared" si="15"/>
        <v/>
      </c>
      <c r="H246" s="1" t="b">
        <f>IF(B246="",FALSE,COUNTIF('従業員情報(給与以外)'!$A$4:$A$1000000,$B246)=0)</f>
        <v>0</v>
      </c>
      <c r="I246" s="9" t="b">
        <f t="shared" si="16"/>
        <v>1</v>
      </c>
      <c r="J246" s="9" t="b">
        <f t="shared" si="17"/>
        <v>1</v>
      </c>
      <c r="K246" s="9" t="b">
        <f t="shared" si="18"/>
        <v>1</v>
      </c>
      <c r="L246" s="9" t="b">
        <f t="shared" si="19"/>
        <v>1</v>
      </c>
      <c r="M246" s="1" t="b">
        <f>IF(OR(入力シート!$C$5&lt;&gt;入力リスト!$N$4,入力シート!$J$22&lt;&gt;入力リスト!$K$4),TRUE,IF($F$2=入力リスト!$Q$4,IF(F246-INT(F246)&lt;0.6,TRUE,FALSE),TRUE))</f>
        <v>1</v>
      </c>
      <c r="N246" s="9" t="str">
        <f>IF(F246="","",IF($F$2=入力リスト!$Q$4,ROUNDDOWN(INT(F246)+ROUNDDOWN((F246-INT(F246))*100,0)/60,2),従業員の給与情報!F246))</f>
        <v/>
      </c>
      <c r="O246" s="8"/>
      <c r="P246" s="8"/>
    </row>
    <row r="247" spans="1:16">
      <c r="A247" s="119"/>
      <c r="B247" s="2"/>
      <c r="C247" s="369"/>
      <c r="D247" s="369"/>
      <c r="E247" s="369"/>
      <c r="F247" s="370"/>
      <c r="G247" s="248" t="str">
        <f t="shared" si="15"/>
        <v/>
      </c>
      <c r="H247" s="1" t="b">
        <f>IF(B247="",FALSE,COUNTIF('従業員情報(給与以外)'!$A$4:$A$1000000,$B247)=0)</f>
        <v>0</v>
      </c>
      <c r="I247" s="9" t="b">
        <f t="shared" si="16"/>
        <v>1</v>
      </c>
      <c r="J247" s="9" t="b">
        <f t="shared" si="17"/>
        <v>1</v>
      </c>
      <c r="K247" s="9" t="b">
        <f t="shared" si="18"/>
        <v>1</v>
      </c>
      <c r="L247" s="9" t="b">
        <f t="shared" si="19"/>
        <v>1</v>
      </c>
      <c r="M247" s="1" t="b">
        <f>IF(OR(入力シート!$C$5&lt;&gt;入力リスト!$N$4,入力シート!$J$22&lt;&gt;入力リスト!$K$4),TRUE,IF($F$2=入力リスト!$Q$4,IF(F247-INT(F247)&lt;0.6,TRUE,FALSE),TRUE))</f>
        <v>1</v>
      </c>
      <c r="N247" s="9" t="str">
        <f>IF(F247="","",IF($F$2=入力リスト!$Q$4,ROUNDDOWN(INT(F247)+ROUNDDOWN((F247-INT(F247))*100,0)/60,2),従業員の給与情報!F247))</f>
        <v/>
      </c>
      <c r="O247" s="8"/>
      <c r="P247" s="8"/>
    </row>
    <row r="248" spans="1:16">
      <c r="A248" s="119"/>
      <c r="B248" s="2"/>
      <c r="C248" s="369"/>
      <c r="D248" s="369"/>
      <c r="E248" s="369"/>
      <c r="F248" s="370"/>
      <c r="G248" s="248" t="str">
        <f t="shared" si="15"/>
        <v/>
      </c>
      <c r="H248" s="1" t="b">
        <f>IF(B248="",FALSE,COUNTIF('従業員情報(給与以外)'!$A$4:$A$1000000,$B248)=0)</f>
        <v>0</v>
      </c>
      <c r="I248" s="9" t="b">
        <f t="shared" si="16"/>
        <v>1</v>
      </c>
      <c r="J248" s="9" t="b">
        <f t="shared" si="17"/>
        <v>1</v>
      </c>
      <c r="K248" s="9" t="b">
        <f t="shared" si="18"/>
        <v>1</v>
      </c>
      <c r="L248" s="9" t="b">
        <f t="shared" si="19"/>
        <v>1</v>
      </c>
      <c r="M248" s="1" t="b">
        <f>IF(OR(入力シート!$C$5&lt;&gt;入力リスト!$N$4,入力シート!$J$22&lt;&gt;入力リスト!$K$4),TRUE,IF($F$2=入力リスト!$Q$4,IF(F248-INT(F248)&lt;0.6,TRUE,FALSE),TRUE))</f>
        <v>1</v>
      </c>
      <c r="N248" s="9" t="str">
        <f>IF(F248="","",IF($F$2=入力リスト!$Q$4,ROUNDDOWN(INT(F248)+ROUNDDOWN((F248-INT(F248))*100,0)/60,2),従業員の給与情報!F248))</f>
        <v/>
      </c>
      <c r="O248" s="8"/>
      <c r="P248" s="8"/>
    </row>
    <row r="249" spans="1:16">
      <c r="A249" s="119"/>
      <c r="B249" s="2"/>
      <c r="C249" s="369"/>
      <c r="D249" s="369"/>
      <c r="E249" s="369"/>
      <c r="F249" s="370"/>
      <c r="G249" s="248" t="str">
        <f t="shared" si="15"/>
        <v/>
      </c>
      <c r="H249" s="1" t="b">
        <f>IF(B249="",FALSE,COUNTIF('従業員情報(給与以外)'!$A$4:$A$1000000,$B249)=0)</f>
        <v>0</v>
      </c>
      <c r="I249" s="9" t="b">
        <f t="shared" si="16"/>
        <v>1</v>
      </c>
      <c r="J249" s="9" t="b">
        <f t="shared" si="17"/>
        <v>1</v>
      </c>
      <c r="K249" s="9" t="b">
        <f t="shared" si="18"/>
        <v>1</v>
      </c>
      <c r="L249" s="9" t="b">
        <f t="shared" si="19"/>
        <v>1</v>
      </c>
      <c r="M249" s="1" t="b">
        <f>IF(OR(入力シート!$C$5&lt;&gt;入力リスト!$N$4,入力シート!$J$22&lt;&gt;入力リスト!$K$4),TRUE,IF($F$2=入力リスト!$Q$4,IF(F249-INT(F249)&lt;0.6,TRUE,FALSE),TRUE))</f>
        <v>1</v>
      </c>
      <c r="N249" s="9" t="str">
        <f>IF(F249="","",IF($F$2=入力リスト!$Q$4,ROUNDDOWN(INT(F249)+ROUNDDOWN((F249-INT(F249))*100,0)/60,2),従業員の給与情報!F249))</f>
        <v/>
      </c>
      <c r="O249" s="8"/>
      <c r="P249" s="8"/>
    </row>
    <row r="250" spans="1:16">
      <c r="A250" s="119"/>
      <c r="B250" s="2"/>
      <c r="C250" s="369"/>
      <c r="D250" s="369"/>
      <c r="E250" s="369"/>
      <c r="F250" s="370"/>
      <c r="G250" s="248" t="str">
        <f t="shared" si="15"/>
        <v/>
      </c>
      <c r="H250" s="1" t="b">
        <f>IF(B250="",FALSE,COUNTIF('従業員情報(給与以外)'!$A$4:$A$1000000,$B250)=0)</f>
        <v>0</v>
      </c>
      <c r="I250" s="9" t="b">
        <f t="shared" si="16"/>
        <v>1</v>
      </c>
      <c r="J250" s="9" t="b">
        <f t="shared" si="17"/>
        <v>1</v>
      </c>
      <c r="K250" s="9" t="b">
        <f t="shared" si="18"/>
        <v>1</v>
      </c>
      <c r="L250" s="9" t="b">
        <f t="shared" si="19"/>
        <v>1</v>
      </c>
      <c r="M250" s="1" t="b">
        <f>IF(OR(入力シート!$C$5&lt;&gt;入力リスト!$N$4,入力シート!$J$22&lt;&gt;入力リスト!$K$4),TRUE,IF($F$2=入力リスト!$Q$4,IF(F250-INT(F250)&lt;0.6,TRUE,FALSE),TRUE))</f>
        <v>1</v>
      </c>
      <c r="N250" s="9" t="str">
        <f>IF(F250="","",IF($F$2=入力リスト!$Q$4,ROUNDDOWN(INT(F250)+ROUNDDOWN((F250-INT(F250))*100,0)/60,2),従業員の給与情報!F250))</f>
        <v/>
      </c>
      <c r="O250" s="8"/>
      <c r="P250" s="8"/>
    </row>
    <row r="251" spans="1:16">
      <c r="A251" s="119"/>
      <c r="B251" s="2"/>
      <c r="C251" s="369"/>
      <c r="D251" s="369"/>
      <c r="E251" s="369"/>
      <c r="F251" s="370"/>
      <c r="G251" s="248" t="str">
        <f t="shared" si="15"/>
        <v/>
      </c>
      <c r="H251" s="1" t="b">
        <f>IF(B251="",FALSE,COUNTIF('従業員情報(給与以外)'!$A$4:$A$1000000,$B251)=0)</f>
        <v>0</v>
      </c>
      <c r="I251" s="9" t="b">
        <f t="shared" si="16"/>
        <v>1</v>
      </c>
      <c r="J251" s="9" t="b">
        <f t="shared" si="17"/>
        <v>1</v>
      </c>
      <c r="K251" s="9" t="b">
        <f t="shared" si="18"/>
        <v>1</v>
      </c>
      <c r="L251" s="9" t="b">
        <f t="shared" si="19"/>
        <v>1</v>
      </c>
      <c r="M251" s="1" t="b">
        <f>IF(OR(入力シート!$C$5&lt;&gt;入力リスト!$N$4,入力シート!$J$22&lt;&gt;入力リスト!$K$4),TRUE,IF($F$2=入力リスト!$Q$4,IF(F251-INT(F251)&lt;0.6,TRUE,FALSE),TRUE))</f>
        <v>1</v>
      </c>
      <c r="N251" s="9" t="str">
        <f>IF(F251="","",IF($F$2=入力リスト!$Q$4,ROUNDDOWN(INT(F251)+ROUNDDOWN((F251-INT(F251))*100,0)/60,2),従業員の給与情報!F251))</f>
        <v/>
      </c>
      <c r="O251" s="8"/>
      <c r="P251" s="8"/>
    </row>
    <row r="252" spans="1:16">
      <c r="A252" s="119"/>
      <c r="B252" s="2"/>
      <c r="C252" s="369"/>
      <c r="D252" s="369"/>
      <c r="E252" s="369"/>
      <c r="F252" s="370"/>
      <c r="G252" s="248" t="str">
        <f t="shared" si="15"/>
        <v/>
      </c>
      <c r="H252" s="1" t="b">
        <f>IF(B252="",FALSE,COUNTIF('従業員情報(給与以外)'!$A$4:$A$1000000,$B252)=0)</f>
        <v>0</v>
      </c>
      <c r="I252" s="9" t="b">
        <f t="shared" si="16"/>
        <v>1</v>
      </c>
      <c r="J252" s="9" t="b">
        <f t="shared" si="17"/>
        <v>1</v>
      </c>
      <c r="K252" s="9" t="b">
        <f t="shared" si="18"/>
        <v>1</v>
      </c>
      <c r="L252" s="9" t="b">
        <f t="shared" si="19"/>
        <v>1</v>
      </c>
      <c r="M252" s="1" t="b">
        <f>IF(OR(入力シート!$C$5&lt;&gt;入力リスト!$N$4,入力シート!$J$22&lt;&gt;入力リスト!$K$4),TRUE,IF($F$2=入力リスト!$Q$4,IF(F252-INT(F252)&lt;0.6,TRUE,FALSE),TRUE))</f>
        <v>1</v>
      </c>
      <c r="N252" s="9" t="str">
        <f>IF(F252="","",IF($F$2=入力リスト!$Q$4,ROUNDDOWN(INT(F252)+ROUNDDOWN((F252-INT(F252))*100,0)/60,2),従業員の給与情報!F252))</f>
        <v/>
      </c>
      <c r="O252" s="8"/>
      <c r="P252" s="8"/>
    </row>
    <row r="253" spans="1:16">
      <c r="A253" s="119"/>
      <c r="B253" s="2"/>
      <c r="C253" s="369"/>
      <c r="D253" s="369"/>
      <c r="E253" s="369"/>
      <c r="F253" s="370"/>
      <c r="G253" s="248" t="str">
        <f t="shared" si="15"/>
        <v/>
      </c>
      <c r="H253" s="1" t="b">
        <f>IF(B253="",FALSE,COUNTIF('従業員情報(給与以外)'!$A$4:$A$1000000,$B253)=0)</f>
        <v>0</v>
      </c>
      <c r="I253" s="9" t="b">
        <f t="shared" si="16"/>
        <v>1</v>
      </c>
      <c r="J253" s="9" t="b">
        <f t="shared" si="17"/>
        <v>1</v>
      </c>
      <c r="K253" s="9" t="b">
        <f t="shared" si="18"/>
        <v>1</v>
      </c>
      <c r="L253" s="9" t="b">
        <f t="shared" si="19"/>
        <v>1</v>
      </c>
      <c r="M253" s="1" t="b">
        <f>IF(OR(入力シート!$C$5&lt;&gt;入力リスト!$N$4,入力シート!$J$22&lt;&gt;入力リスト!$K$4),TRUE,IF($F$2=入力リスト!$Q$4,IF(F253-INT(F253)&lt;0.6,TRUE,FALSE),TRUE))</f>
        <v>1</v>
      </c>
      <c r="N253" s="9" t="str">
        <f>IF(F253="","",IF($F$2=入力リスト!$Q$4,ROUNDDOWN(INT(F253)+ROUNDDOWN((F253-INT(F253))*100,0)/60,2),従業員の給与情報!F253))</f>
        <v/>
      </c>
      <c r="O253" s="8"/>
      <c r="P253" s="8"/>
    </row>
    <row r="254" spans="1:16">
      <c r="A254" s="119"/>
      <c r="B254" s="2"/>
      <c r="C254" s="369"/>
      <c r="D254" s="369"/>
      <c r="E254" s="369"/>
      <c r="F254" s="370"/>
      <c r="G254" s="248" t="str">
        <f t="shared" si="15"/>
        <v/>
      </c>
      <c r="H254" s="1" t="b">
        <f>IF(B254="",FALSE,COUNTIF('従業員情報(給与以外)'!$A$4:$A$1000000,$B254)=0)</f>
        <v>0</v>
      </c>
      <c r="I254" s="9" t="b">
        <f t="shared" si="16"/>
        <v>1</v>
      </c>
      <c r="J254" s="9" t="b">
        <f t="shared" si="17"/>
        <v>1</v>
      </c>
      <c r="K254" s="9" t="b">
        <f t="shared" si="18"/>
        <v>1</v>
      </c>
      <c r="L254" s="9" t="b">
        <f t="shared" si="19"/>
        <v>1</v>
      </c>
      <c r="M254" s="1" t="b">
        <f>IF(OR(入力シート!$C$5&lt;&gt;入力リスト!$N$4,入力シート!$J$22&lt;&gt;入力リスト!$K$4),TRUE,IF($F$2=入力リスト!$Q$4,IF(F254-INT(F254)&lt;0.6,TRUE,FALSE),TRUE))</f>
        <v>1</v>
      </c>
      <c r="N254" s="9" t="str">
        <f>IF(F254="","",IF($F$2=入力リスト!$Q$4,ROUNDDOWN(INT(F254)+ROUNDDOWN((F254-INT(F254))*100,0)/60,2),従業員の給与情報!F254))</f>
        <v/>
      </c>
      <c r="O254" s="8"/>
      <c r="P254" s="8"/>
    </row>
    <row r="255" spans="1:16">
      <c r="A255" s="119"/>
      <c r="B255" s="2"/>
      <c r="C255" s="369"/>
      <c r="D255" s="369"/>
      <c r="E255" s="369"/>
      <c r="F255" s="370"/>
      <c r="G255" s="248" t="str">
        <f t="shared" si="15"/>
        <v/>
      </c>
      <c r="H255" s="1" t="b">
        <f>IF(B255="",FALSE,COUNTIF('従業員情報(給与以外)'!$A$4:$A$1000000,$B255)=0)</f>
        <v>0</v>
      </c>
      <c r="I255" s="9" t="b">
        <f t="shared" si="16"/>
        <v>1</v>
      </c>
      <c r="J255" s="9" t="b">
        <f t="shared" si="17"/>
        <v>1</v>
      </c>
      <c r="K255" s="9" t="b">
        <f t="shared" si="18"/>
        <v>1</v>
      </c>
      <c r="L255" s="9" t="b">
        <f t="shared" si="19"/>
        <v>1</v>
      </c>
      <c r="M255" s="1" t="b">
        <f>IF(OR(入力シート!$C$5&lt;&gt;入力リスト!$N$4,入力シート!$J$22&lt;&gt;入力リスト!$K$4),TRUE,IF($F$2=入力リスト!$Q$4,IF(F255-INT(F255)&lt;0.6,TRUE,FALSE),TRUE))</f>
        <v>1</v>
      </c>
      <c r="N255" s="9" t="str">
        <f>IF(F255="","",IF($F$2=入力リスト!$Q$4,ROUNDDOWN(INT(F255)+ROUNDDOWN((F255-INT(F255))*100,0)/60,2),従業員の給与情報!F255))</f>
        <v/>
      </c>
      <c r="O255" s="8"/>
      <c r="P255" s="8"/>
    </row>
    <row r="256" spans="1:16">
      <c r="A256" s="119"/>
      <c r="B256" s="2"/>
      <c r="C256" s="369"/>
      <c r="D256" s="369"/>
      <c r="E256" s="369"/>
      <c r="F256" s="370"/>
      <c r="G256" s="248" t="str">
        <f t="shared" si="15"/>
        <v/>
      </c>
      <c r="H256" s="1" t="b">
        <f>IF(B256="",FALSE,COUNTIF('従業員情報(給与以外)'!$A$4:$A$1000000,$B256)=0)</f>
        <v>0</v>
      </c>
      <c r="I256" s="9" t="b">
        <f t="shared" si="16"/>
        <v>1</v>
      </c>
      <c r="J256" s="9" t="b">
        <f t="shared" si="17"/>
        <v>1</v>
      </c>
      <c r="K256" s="9" t="b">
        <f t="shared" si="18"/>
        <v>1</v>
      </c>
      <c r="L256" s="9" t="b">
        <f t="shared" si="19"/>
        <v>1</v>
      </c>
      <c r="M256" s="1" t="b">
        <f>IF(OR(入力シート!$C$5&lt;&gt;入力リスト!$N$4,入力シート!$J$22&lt;&gt;入力リスト!$K$4),TRUE,IF($F$2=入力リスト!$Q$4,IF(F256-INT(F256)&lt;0.6,TRUE,FALSE),TRUE))</f>
        <v>1</v>
      </c>
      <c r="N256" s="9" t="str">
        <f>IF(F256="","",IF($F$2=入力リスト!$Q$4,ROUNDDOWN(INT(F256)+ROUNDDOWN((F256-INT(F256))*100,0)/60,2),従業員の給与情報!F256))</f>
        <v/>
      </c>
      <c r="O256" s="8"/>
      <c r="P256" s="8"/>
    </row>
    <row r="257" spans="1:16">
      <c r="A257" s="119"/>
      <c r="B257" s="2"/>
      <c r="C257" s="369"/>
      <c r="D257" s="369"/>
      <c r="E257" s="369"/>
      <c r="F257" s="370"/>
      <c r="G257" s="248" t="str">
        <f t="shared" si="15"/>
        <v/>
      </c>
      <c r="H257" s="1" t="b">
        <f>IF(B257="",FALSE,COUNTIF('従業員情報(給与以外)'!$A$4:$A$1000000,$B257)=0)</f>
        <v>0</v>
      </c>
      <c r="I257" s="9" t="b">
        <f t="shared" si="16"/>
        <v>1</v>
      </c>
      <c r="J257" s="9" t="b">
        <f t="shared" si="17"/>
        <v>1</v>
      </c>
      <c r="K257" s="9" t="b">
        <f t="shared" si="18"/>
        <v>1</v>
      </c>
      <c r="L257" s="9" t="b">
        <f t="shared" si="19"/>
        <v>1</v>
      </c>
      <c r="M257" s="1" t="b">
        <f>IF(OR(入力シート!$C$5&lt;&gt;入力リスト!$N$4,入力シート!$J$22&lt;&gt;入力リスト!$K$4),TRUE,IF($F$2=入力リスト!$Q$4,IF(F257-INT(F257)&lt;0.6,TRUE,FALSE),TRUE))</f>
        <v>1</v>
      </c>
      <c r="N257" s="9" t="str">
        <f>IF(F257="","",IF($F$2=入力リスト!$Q$4,ROUNDDOWN(INT(F257)+ROUNDDOWN((F257-INT(F257))*100,0)/60,2),従業員の給与情報!F257))</f>
        <v/>
      </c>
      <c r="O257" s="8"/>
      <c r="P257" s="8"/>
    </row>
    <row r="258" spans="1:16">
      <c r="A258" s="119"/>
      <c r="B258" s="2"/>
      <c r="C258" s="369"/>
      <c r="D258" s="369"/>
      <c r="E258" s="369"/>
      <c r="F258" s="370"/>
      <c r="G258" s="248" t="str">
        <f t="shared" si="15"/>
        <v/>
      </c>
      <c r="H258" s="1" t="b">
        <f>IF(B258="",FALSE,COUNTIF('従業員情報(給与以外)'!$A$4:$A$1000000,$B258)=0)</f>
        <v>0</v>
      </c>
      <c r="I258" s="9" t="b">
        <f t="shared" si="16"/>
        <v>1</v>
      </c>
      <c r="J258" s="9" t="b">
        <f t="shared" si="17"/>
        <v>1</v>
      </c>
      <c r="K258" s="9" t="b">
        <f t="shared" si="18"/>
        <v>1</v>
      </c>
      <c r="L258" s="9" t="b">
        <f t="shared" si="19"/>
        <v>1</v>
      </c>
      <c r="M258" s="1" t="b">
        <f>IF(OR(入力シート!$C$5&lt;&gt;入力リスト!$N$4,入力シート!$J$22&lt;&gt;入力リスト!$K$4),TRUE,IF($F$2=入力リスト!$Q$4,IF(F258-INT(F258)&lt;0.6,TRUE,FALSE),TRUE))</f>
        <v>1</v>
      </c>
      <c r="N258" s="9" t="str">
        <f>IF(F258="","",IF($F$2=入力リスト!$Q$4,ROUNDDOWN(INT(F258)+ROUNDDOWN((F258-INT(F258))*100,0)/60,2),従業員の給与情報!F258))</f>
        <v/>
      </c>
      <c r="O258" s="8"/>
      <c r="P258" s="8"/>
    </row>
    <row r="259" spans="1:16">
      <c r="A259" s="119"/>
      <c r="B259" s="2"/>
      <c r="C259" s="369"/>
      <c r="D259" s="369"/>
      <c r="E259" s="369"/>
      <c r="F259" s="370"/>
      <c r="G259" s="248" t="str">
        <f t="shared" si="15"/>
        <v/>
      </c>
      <c r="H259" s="1" t="b">
        <f>IF(B259="",FALSE,COUNTIF('従業員情報(給与以外)'!$A$4:$A$1000000,$B259)=0)</f>
        <v>0</v>
      </c>
      <c r="I259" s="9" t="b">
        <f t="shared" si="16"/>
        <v>1</v>
      </c>
      <c r="J259" s="9" t="b">
        <f t="shared" si="17"/>
        <v>1</v>
      </c>
      <c r="K259" s="9" t="b">
        <f t="shared" si="18"/>
        <v>1</v>
      </c>
      <c r="L259" s="9" t="b">
        <f t="shared" si="19"/>
        <v>1</v>
      </c>
      <c r="M259" s="1" t="b">
        <f>IF(OR(入力シート!$C$5&lt;&gt;入力リスト!$N$4,入力シート!$J$22&lt;&gt;入力リスト!$K$4),TRUE,IF($F$2=入力リスト!$Q$4,IF(F259-INT(F259)&lt;0.6,TRUE,FALSE),TRUE))</f>
        <v>1</v>
      </c>
      <c r="N259" s="9" t="str">
        <f>IF(F259="","",IF($F$2=入力リスト!$Q$4,ROUNDDOWN(INT(F259)+ROUNDDOWN((F259-INT(F259))*100,0)/60,2),従業員の給与情報!F259))</f>
        <v/>
      </c>
      <c r="O259" s="8"/>
      <c r="P259" s="8"/>
    </row>
    <row r="260" spans="1:16">
      <c r="A260" s="119"/>
      <c r="B260" s="2"/>
      <c r="C260" s="369"/>
      <c r="D260" s="369"/>
      <c r="E260" s="369"/>
      <c r="F260" s="370"/>
      <c r="G260" s="248" t="str">
        <f t="shared" si="15"/>
        <v/>
      </c>
      <c r="H260" s="1" t="b">
        <f>IF(B260="",FALSE,COUNTIF('従業員情報(給与以外)'!$A$4:$A$1000000,$B260)=0)</f>
        <v>0</v>
      </c>
      <c r="I260" s="9" t="b">
        <f t="shared" si="16"/>
        <v>1</v>
      </c>
      <c r="J260" s="9" t="b">
        <f t="shared" si="17"/>
        <v>1</v>
      </c>
      <c r="K260" s="9" t="b">
        <f t="shared" si="18"/>
        <v>1</v>
      </c>
      <c r="L260" s="9" t="b">
        <f t="shared" si="19"/>
        <v>1</v>
      </c>
      <c r="M260" s="1" t="b">
        <f>IF(OR(入力シート!$C$5&lt;&gt;入力リスト!$N$4,入力シート!$J$22&lt;&gt;入力リスト!$K$4),TRUE,IF($F$2=入力リスト!$Q$4,IF(F260-INT(F260)&lt;0.6,TRUE,FALSE),TRUE))</f>
        <v>1</v>
      </c>
      <c r="N260" s="9" t="str">
        <f>IF(F260="","",IF($F$2=入力リスト!$Q$4,ROUNDDOWN(INT(F260)+ROUNDDOWN((F260-INT(F260))*100,0)/60,2),従業員の給与情報!F260))</f>
        <v/>
      </c>
      <c r="O260" s="8"/>
      <c r="P260" s="8"/>
    </row>
    <row r="261" spans="1:16">
      <c r="A261" s="119"/>
      <c r="B261" s="2"/>
      <c r="C261" s="369"/>
      <c r="D261" s="369"/>
      <c r="E261" s="369"/>
      <c r="F261" s="370"/>
      <c r="G261" s="248" t="str">
        <f t="shared" ref="G261:G324" si="20">IF(AND($B261="",OR(B261&lt;&gt;"",C261&lt;&gt;"",D261&lt;&gt;"",E261&lt;&gt;"",F261&lt;&gt;"")),"従業員番号が空白です。",IF($H261=TRUE,"この従業員番号は、シート［従業員情報（給与以外）］に存在しません。",IF(I261=FALSE,"「毎月の固定給与額」","")&amp;IF(AND(I261=FALSE,OR(J261=FALSE,K261=FALSE,L261=FALSE)),",","")&amp;IF(J261=FALSE,"「賞与額等」","")&amp;IF(AND(J261=FALSE,OR(K261=FALSE,L261=FALSE)),",","")&amp;IF(K261=FALSE,"「残業手当」","")&amp;IF(AND(K261=FALSE,L261=FALSE),",","")&amp;IF(L261=FALSE,"「残業時間」","")&amp;IF(OR(I261=FALSE,J261=FALSE,K261=FALSE,L261=FALSE),"に数値以外が入力されています。","")&amp;IF(M261,"","「残業時間」を分単位で入力した場合、小数点以下の値は0.6未満にしてください。")))</f>
        <v/>
      </c>
      <c r="H261" s="1" t="b">
        <f>IF(B261="",FALSE,COUNTIF('従業員情報(給与以外)'!$A$4:$A$1000000,$B261)=0)</f>
        <v>0</v>
      </c>
      <c r="I261" s="9" t="b">
        <f t="shared" ref="I261:I324" si="21">OR(C261="",ISNUMBER(C261))</f>
        <v>1</v>
      </c>
      <c r="J261" s="9" t="b">
        <f t="shared" ref="J261:J324" si="22">OR(D261="",ISNUMBER(D261))</f>
        <v>1</v>
      </c>
      <c r="K261" s="9" t="b">
        <f t="shared" ref="K261:K324" si="23">OR(E261="",ISNUMBER(E261))</f>
        <v>1</v>
      </c>
      <c r="L261" s="9" t="b">
        <f t="shared" ref="L261:L324" si="24">OR(F261="",ISNUMBER(F261))</f>
        <v>1</v>
      </c>
      <c r="M261" s="1" t="b">
        <f>IF(OR(入力シート!$C$5&lt;&gt;入力リスト!$N$4,入力シート!$J$22&lt;&gt;入力リスト!$K$4),TRUE,IF($F$2=入力リスト!$Q$4,IF(F261-INT(F261)&lt;0.6,TRUE,FALSE),TRUE))</f>
        <v>1</v>
      </c>
      <c r="N261" s="9" t="str">
        <f>IF(F261="","",IF($F$2=入力リスト!$Q$4,ROUNDDOWN(INT(F261)+ROUNDDOWN((F261-INT(F261))*100,0)/60,2),従業員の給与情報!F261))</f>
        <v/>
      </c>
      <c r="O261" s="8"/>
      <c r="P261" s="8"/>
    </row>
    <row r="262" spans="1:16">
      <c r="A262" s="119"/>
      <c r="B262" s="2"/>
      <c r="C262" s="369"/>
      <c r="D262" s="369"/>
      <c r="E262" s="369"/>
      <c r="F262" s="370"/>
      <c r="G262" s="248" t="str">
        <f t="shared" si="20"/>
        <v/>
      </c>
      <c r="H262" s="1" t="b">
        <f>IF(B262="",FALSE,COUNTIF('従業員情報(給与以外)'!$A$4:$A$1000000,$B262)=0)</f>
        <v>0</v>
      </c>
      <c r="I262" s="9" t="b">
        <f t="shared" si="21"/>
        <v>1</v>
      </c>
      <c r="J262" s="9" t="b">
        <f t="shared" si="22"/>
        <v>1</v>
      </c>
      <c r="K262" s="9" t="b">
        <f t="shared" si="23"/>
        <v>1</v>
      </c>
      <c r="L262" s="9" t="b">
        <f t="shared" si="24"/>
        <v>1</v>
      </c>
      <c r="M262" s="1" t="b">
        <f>IF(OR(入力シート!$C$5&lt;&gt;入力リスト!$N$4,入力シート!$J$22&lt;&gt;入力リスト!$K$4),TRUE,IF($F$2=入力リスト!$Q$4,IF(F262-INT(F262)&lt;0.6,TRUE,FALSE),TRUE))</f>
        <v>1</v>
      </c>
      <c r="N262" s="9" t="str">
        <f>IF(F262="","",IF($F$2=入力リスト!$Q$4,ROUNDDOWN(INT(F262)+ROUNDDOWN((F262-INT(F262))*100,0)/60,2),従業員の給与情報!F262))</f>
        <v/>
      </c>
      <c r="O262" s="8"/>
      <c r="P262" s="8"/>
    </row>
    <row r="263" spans="1:16">
      <c r="A263" s="119"/>
      <c r="B263" s="2"/>
      <c r="C263" s="369"/>
      <c r="D263" s="369"/>
      <c r="E263" s="369"/>
      <c r="F263" s="370"/>
      <c r="G263" s="248" t="str">
        <f t="shared" si="20"/>
        <v/>
      </c>
      <c r="H263" s="1" t="b">
        <f>IF(B263="",FALSE,COUNTIF('従業員情報(給与以外)'!$A$4:$A$1000000,$B263)=0)</f>
        <v>0</v>
      </c>
      <c r="I263" s="9" t="b">
        <f t="shared" si="21"/>
        <v>1</v>
      </c>
      <c r="J263" s="9" t="b">
        <f t="shared" si="22"/>
        <v>1</v>
      </c>
      <c r="K263" s="9" t="b">
        <f t="shared" si="23"/>
        <v>1</v>
      </c>
      <c r="L263" s="9" t="b">
        <f t="shared" si="24"/>
        <v>1</v>
      </c>
      <c r="M263" s="1" t="b">
        <f>IF(OR(入力シート!$C$5&lt;&gt;入力リスト!$N$4,入力シート!$J$22&lt;&gt;入力リスト!$K$4),TRUE,IF($F$2=入力リスト!$Q$4,IF(F263-INT(F263)&lt;0.6,TRUE,FALSE),TRUE))</f>
        <v>1</v>
      </c>
      <c r="N263" s="9" t="str">
        <f>IF(F263="","",IF($F$2=入力リスト!$Q$4,ROUNDDOWN(INT(F263)+ROUNDDOWN((F263-INT(F263))*100,0)/60,2),従業員の給与情報!F263))</f>
        <v/>
      </c>
      <c r="O263" s="8"/>
      <c r="P263" s="8"/>
    </row>
    <row r="264" spans="1:16">
      <c r="A264" s="119"/>
      <c r="B264" s="2"/>
      <c r="C264" s="369"/>
      <c r="D264" s="369"/>
      <c r="E264" s="369"/>
      <c r="F264" s="370"/>
      <c r="G264" s="248" t="str">
        <f t="shared" si="20"/>
        <v/>
      </c>
      <c r="H264" s="1" t="b">
        <f>IF(B264="",FALSE,COUNTIF('従業員情報(給与以外)'!$A$4:$A$1000000,$B264)=0)</f>
        <v>0</v>
      </c>
      <c r="I264" s="9" t="b">
        <f t="shared" si="21"/>
        <v>1</v>
      </c>
      <c r="J264" s="9" t="b">
        <f t="shared" si="22"/>
        <v>1</v>
      </c>
      <c r="K264" s="9" t="b">
        <f t="shared" si="23"/>
        <v>1</v>
      </c>
      <c r="L264" s="9" t="b">
        <f t="shared" si="24"/>
        <v>1</v>
      </c>
      <c r="M264" s="1" t="b">
        <f>IF(OR(入力シート!$C$5&lt;&gt;入力リスト!$N$4,入力シート!$J$22&lt;&gt;入力リスト!$K$4),TRUE,IF($F$2=入力リスト!$Q$4,IF(F264-INT(F264)&lt;0.6,TRUE,FALSE),TRUE))</f>
        <v>1</v>
      </c>
      <c r="N264" s="9" t="str">
        <f>IF(F264="","",IF($F$2=入力リスト!$Q$4,ROUNDDOWN(INT(F264)+ROUNDDOWN((F264-INT(F264))*100,0)/60,2),従業員の給与情報!F264))</f>
        <v/>
      </c>
      <c r="O264" s="8"/>
      <c r="P264" s="8"/>
    </row>
    <row r="265" spans="1:16">
      <c r="A265" s="119"/>
      <c r="B265" s="2"/>
      <c r="C265" s="369"/>
      <c r="D265" s="369"/>
      <c r="E265" s="369"/>
      <c r="F265" s="370"/>
      <c r="G265" s="248" t="str">
        <f t="shared" si="20"/>
        <v/>
      </c>
      <c r="H265" s="1" t="b">
        <f>IF(B265="",FALSE,COUNTIF('従業員情報(給与以外)'!$A$4:$A$1000000,$B265)=0)</f>
        <v>0</v>
      </c>
      <c r="I265" s="9" t="b">
        <f t="shared" si="21"/>
        <v>1</v>
      </c>
      <c r="J265" s="9" t="b">
        <f t="shared" si="22"/>
        <v>1</v>
      </c>
      <c r="K265" s="9" t="b">
        <f t="shared" si="23"/>
        <v>1</v>
      </c>
      <c r="L265" s="9" t="b">
        <f t="shared" si="24"/>
        <v>1</v>
      </c>
      <c r="M265" s="1" t="b">
        <f>IF(OR(入力シート!$C$5&lt;&gt;入力リスト!$N$4,入力シート!$J$22&lt;&gt;入力リスト!$K$4),TRUE,IF($F$2=入力リスト!$Q$4,IF(F265-INT(F265)&lt;0.6,TRUE,FALSE),TRUE))</f>
        <v>1</v>
      </c>
      <c r="N265" s="9" t="str">
        <f>IF(F265="","",IF($F$2=入力リスト!$Q$4,ROUNDDOWN(INT(F265)+ROUNDDOWN((F265-INT(F265))*100,0)/60,2),従業員の給与情報!F265))</f>
        <v/>
      </c>
      <c r="O265" s="8"/>
      <c r="P265" s="8"/>
    </row>
    <row r="266" spans="1:16">
      <c r="A266" s="119"/>
      <c r="B266" s="2"/>
      <c r="C266" s="369"/>
      <c r="D266" s="369"/>
      <c r="E266" s="369"/>
      <c r="F266" s="370"/>
      <c r="G266" s="248" t="str">
        <f t="shared" si="20"/>
        <v/>
      </c>
      <c r="H266" s="1" t="b">
        <f>IF(B266="",FALSE,COUNTIF('従業員情報(給与以外)'!$A$4:$A$1000000,$B266)=0)</f>
        <v>0</v>
      </c>
      <c r="I266" s="9" t="b">
        <f t="shared" si="21"/>
        <v>1</v>
      </c>
      <c r="J266" s="9" t="b">
        <f t="shared" si="22"/>
        <v>1</v>
      </c>
      <c r="K266" s="9" t="b">
        <f t="shared" si="23"/>
        <v>1</v>
      </c>
      <c r="L266" s="9" t="b">
        <f t="shared" si="24"/>
        <v>1</v>
      </c>
      <c r="M266" s="1" t="b">
        <f>IF(OR(入力シート!$C$5&lt;&gt;入力リスト!$N$4,入力シート!$J$22&lt;&gt;入力リスト!$K$4),TRUE,IF($F$2=入力リスト!$Q$4,IF(F266-INT(F266)&lt;0.6,TRUE,FALSE),TRUE))</f>
        <v>1</v>
      </c>
      <c r="N266" s="9" t="str">
        <f>IF(F266="","",IF($F$2=入力リスト!$Q$4,ROUNDDOWN(INT(F266)+ROUNDDOWN((F266-INT(F266))*100,0)/60,2),従業員の給与情報!F266))</f>
        <v/>
      </c>
      <c r="O266" s="8"/>
      <c r="P266" s="8"/>
    </row>
    <row r="267" spans="1:16">
      <c r="A267" s="119"/>
      <c r="B267" s="2"/>
      <c r="C267" s="369"/>
      <c r="D267" s="369"/>
      <c r="E267" s="369"/>
      <c r="F267" s="370"/>
      <c r="G267" s="248" t="str">
        <f t="shared" si="20"/>
        <v/>
      </c>
      <c r="H267" s="1" t="b">
        <f>IF(B267="",FALSE,COUNTIF('従業員情報(給与以外)'!$A$4:$A$1000000,$B267)=0)</f>
        <v>0</v>
      </c>
      <c r="I267" s="9" t="b">
        <f t="shared" si="21"/>
        <v>1</v>
      </c>
      <c r="J267" s="9" t="b">
        <f t="shared" si="22"/>
        <v>1</v>
      </c>
      <c r="K267" s="9" t="b">
        <f t="shared" si="23"/>
        <v>1</v>
      </c>
      <c r="L267" s="9" t="b">
        <f t="shared" si="24"/>
        <v>1</v>
      </c>
      <c r="M267" s="1" t="b">
        <f>IF(OR(入力シート!$C$5&lt;&gt;入力リスト!$N$4,入力シート!$J$22&lt;&gt;入力リスト!$K$4),TRUE,IF($F$2=入力リスト!$Q$4,IF(F267-INT(F267)&lt;0.6,TRUE,FALSE),TRUE))</f>
        <v>1</v>
      </c>
      <c r="N267" s="9" t="str">
        <f>IF(F267="","",IF($F$2=入力リスト!$Q$4,ROUNDDOWN(INT(F267)+ROUNDDOWN((F267-INT(F267))*100,0)/60,2),従業員の給与情報!F267))</f>
        <v/>
      </c>
      <c r="O267" s="8"/>
      <c r="P267" s="8"/>
    </row>
    <row r="268" spans="1:16">
      <c r="A268" s="119"/>
      <c r="B268" s="2"/>
      <c r="C268" s="369"/>
      <c r="D268" s="369"/>
      <c r="E268" s="369"/>
      <c r="F268" s="370"/>
      <c r="G268" s="248" t="str">
        <f t="shared" si="20"/>
        <v/>
      </c>
      <c r="H268" s="1" t="b">
        <f>IF(B268="",FALSE,COUNTIF('従業員情報(給与以外)'!$A$4:$A$1000000,$B268)=0)</f>
        <v>0</v>
      </c>
      <c r="I268" s="9" t="b">
        <f t="shared" si="21"/>
        <v>1</v>
      </c>
      <c r="J268" s="9" t="b">
        <f t="shared" si="22"/>
        <v>1</v>
      </c>
      <c r="K268" s="9" t="b">
        <f t="shared" si="23"/>
        <v>1</v>
      </c>
      <c r="L268" s="9" t="b">
        <f t="shared" si="24"/>
        <v>1</v>
      </c>
      <c r="M268" s="1" t="b">
        <f>IF(OR(入力シート!$C$5&lt;&gt;入力リスト!$N$4,入力シート!$J$22&lt;&gt;入力リスト!$K$4),TRUE,IF($F$2=入力リスト!$Q$4,IF(F268-INT(F268)&lt;0.6,TRUE,FALSE),TRUE))</f>
        <v>1</v>
      </c>
      <c r="N268" s="9" t="str">
        <f>IF(F268="","",IF($F$2=入力リスト!$Q$4,ROUNDDOWN(INT(F268)+ROUNDDOWN((F268-INT(F268))*100,0)/60,2),従業員の給与情報!F268))</f>
        <v/>
      </c>
      <c r="O268" s="8"/>
      <c r="P268" s="8"/>
    </row>
    <row r="269" spans="1:16">
      <c r="A269" s="119"/>
      <c r="B269" s="2"/>
      <c r="C269" s="369"/>
      <c r="D269" s="369"/>
      <c r="E269" s="369"/>
      <c r="F269" s="370"/>
      <c r="G269" s="248" t="str">
        <f t="shared" si="20"/>
        <v/>
      </c>
      <c r="H269" s="1" t="b">
        <f>IF(B269="",FALSE,COUNTIF('従業員情報(給与以外)'!$A$4:$A$1000000,$B269)=0)</f>
        <v>0</v>
      </c>
      <c r="I269" s="9" t="b">
        <f t="shared" si="21"/>
        <v>1</v>
      </c>
      <c r="J269" s="9" t="b">
        <f t="shared" si="22"/>
        <v>1</v>
      </c>
      <c r="K269" s="9" t="b">
        <f t="shared" si="23"/>
        <v>1</v>
      </c>
      <c r="L269" s="9" t="b">
        <f t="shared" si="24"/>
        <v>1</v>
      </c>
      <c r="M269" s="1" t="b">
        <f>IF(OR(入力シート!$C$5&lt;&gt;入力リスト!$N$4,入力シート!$J$22&lt;&gt;入力リスト!$K$4),TRUE,IF($F$2=入力リスト!$Q$4,IF(F269-INT(F269)&lt;0.6,TRUE,FALSE),TRUE))</f>
        <v>1</v>
      </c>
      <c r="N269" s="9" t="str">
        <f>IF(F269="","",IF($F$2=入力リスト!$Q$4,ROUNDDOWN(INT(F269)+ROUNDDOWN((F269-INT(F269))*100,0)/60,2),従業員の給与情報!F269))</f>
        <v/>
      </c>
      <c r="O269" s="8"/>
      <c r="P269" s="8"/>
    </row>
    <row r="270" spans="1:16">
      <c r="A270" s="119"/>
      <c r="B270" s="2"/>
      <c r="C270" s="369"/>
      <c r="D270" s="369"/>
      <c r="E270" s="369"/>
      <c r="F270" s="370"/>
      <c r="G270" s="248" t="str">
        <f t="shared" si="20"/>
        <v/>
      </c>
      <c r="H270" s="1" t="b">
        <f>IF(B270="",FALSE,COUNTIF('従業員情報(給与以外)'!$A$4:$A$1000000,$B270)=0)</f>
        <v>0</v>
      </c>
      <c r="I270" s="9" t="b">
        <f t="shared" si="21"/>
        <v>1</v>
      </c>
      <c r="J270" s="9" t="b">
        <f t="shared" si="22"/>
        <v>1</v>
      </c>
      <c r="K270" s="9" t="b">
        <f t="shared" si="23"/>
        <v>1</v>
      </c>
      <c r="L270" s="9" t="b">
        <f t="shared" si="24"/>
        <v>1</v>
      </c>
      <c r="M270" s="1" t="b">
        <f>IF(OR(入力シート!$C$5&lt;&gt;入力リスト!$N$4,入力シート!$J$22&lt;&gt;入力リスト!$K$4),TRUE,IF($F$2=入力リスト!$Q$4,IF(F270-INT(F270)&lt;0.6,TRUE,FALSE),TRUE))</f>
        <v>1</v>
      </c>
      <c r="N270" s="9" t="str">
        <f>IF(F270="","",IF($F$2=入力リスト!$Q$4,ROUNDDOWN(INT(F270)+ROUNDDOWN((F270-INT(F270))*100,0)/60,2),従業員の給与情報!F270))</f>
        <v/>
      </c>
      <c r="O270" s="8"/>
      <c r="P270" s="8"/>
    </row>
    <row r="271" spans="1:16">
      <c r="A271" s="119"/>
      <c r="B271" s="2"/>
      <c r="C271" s="369"/>
      <c r="D271" s="369"/>
      <c r="E271" s="369"/>
      <c r="F271" s="370"/>
      <c r="G271" s="248" t="str">
        <f t="shared" si="20"/>
        <v/>
      </c>
      <c r="H271" s="1" t="b">
        <f>IF(B271="",FALSE,COUNTIF('従業員情報(給与以外)'!$A$4:$A$1000000,$B271)=0)</f>
        <v>0</v>
      </c>
      <c r="I271" s="9" t="b">
        <f t="shared" si="21"/>
        <v>1</v>
      </c>
      <c r="J271" s="9" t="b">
        <f t="shared" si="22"/>
        <v>1</v>
      </c>
      <c r="K271" s="9" t="b">
        <f t="shared" si="23"/>
        <v>1</v>
      </c>
      <c r="L271" s="9" t="b">
        <f t="shared" si="24"/>
        <v>1</v>
      </c>
      <c r="M271" s="1" t="b">
        <f>IF(OR(入力シート!$C$5&lt;&gt;入力リスト!$N$4,入力シート!$J$22&lt;&gt;入力リスト!$K$4),TRUE,IF($F$2=入力リスト!$Q$4,IF(F271-INT(F271)&lt;0.6,TRUE,FALSE),TRUE))</f>
        <v>1</v>
      </c>
      <c r="N271" s="9" t="str">
        <f>IF(F271="","",IF($F$2=入力リスト!$Q$4,ROUNDDOWN(INT(F271)+ROUNDDOWN((F271-INT(F271))*100,0)/60,2),従業員の給与情報!F271))</f>
        <v/>
      </c>
      <c r="O271" s="8"/>
      <c r="P271" s="8"/>
    </row>
    <row r="272" spans="1:16">
      <c r="A272" s="119"/>
      <c r="B272" s="2"/>
      <c r="C272" s="369"/>
      <c r="D272" s="369"/>
      <c r="E272" s="369"/>
      <c r="F272" s="370"/>
      <c r="G272" s="248" t="str">
        <f t="shared" si="20"/>
        <v/>
      </c>
      <c r="H272" s="1" t="b">
        <f>IF(B272="",FALSE,COUNTIF('従業員情報(給与以外)'!$A$4:$A$1000000,$B272)=0)</f>
        <v>0</v>
      </c>
      <c r="I272" s="9" t="b">
        <f t="shared" si="21"/>
        <v>1</v>
      </c>
      <c r="J272" s="9" t="b">
        <f t="shared" si="22"/>
        <v>1</v>
      </c>
      <c r="K272" s="9" t="b">
        <f t="shared" si="23"/>
        <v>1</v>
      </c>
      <c r="L272" s="9" t="b">
        <f t="shared" si="24"/>
        <v>1</v>
      </c>
      <c r="M272" s="1" t="b">
        <f>IF(OR(入力シート!$C$5&lt;&gt;入力リスト!$N$4,入力シート!$J$22&lt;&gt;入力リスト!$K$4),TRUE,IF($F$2=入力リスト!$Q$4,IF(F272-INT(F272)&lt;0.6,TRUE,FALSE),TRUE))</f>
        <v>1</v>
      </c>
      <c r="N272" s="9" t="str">
        <f>IF(F272="","",IF($F$2=入力リスト!$Q$4,ROUNDDOWN(INT(F272)+ROUNDDOWN((F272-INT(F272))*100,0)/60,2),従業員の給与情報!F272))</f>
        <v/>
      </c>
      <c r="O272" s="8"/>
      <c r="P272" s="8"/>
    </row>
    <row r="273" spans="1:16">
      <c r="A273" s="119"/>
      <c r="B273" s="2"/>
      <c r="C273" s="369"/>
      <c r="D273" s="369"/>
      <c r="E273" s="369"/>
      <c r="F273" s="370"/>
      <c r="G273" s="248" t="str">
        <f t="shared" si="20"/>
        <v/>
      </c>
      <c r="H273" s="1" t="b">
        <f>IF(B273="",FALSE,COUNTIF('従業員情報(給与以外)'!$A$4:$A$1000000,$B273)=0)</f>
        <v>0</v>
      </c>
      <c r="I273" s="9" t="b">
        <f t="shared" si="21"/>
        <v>1</v>
      </c>
      <c r="J273" s="9" t="b">
        <f t="shared" si="22"/>
        <v>1</v>
      </c>
      <c r="K273" s="9" t="b">
        <f t="shared" si="23"/>
        <v>1</v>
      </c>
      <c r="L273" s="9" t="b">
        <f t="shared" si="24"/>
        <v>1</v>
      </c>
      <c r="M273" s="1" t="b">
        <f>IF(OR(入力シート!$C$5&lt;&gt;入力リスト!$N$4,入力シート!$J$22&lt;&gt;入力リスト!$K$4),TRUE,IF($F$2=入力リスト!$Q$4,IF(F273-INT(F273)&lt;0.6,TRUE,FALSE),TRUE))</f>
        <v>1</v>
      </c>
      <c r="N273" s="9" t="str">
        <f>IF(F273="","",IF($F$2=入力リスト!$Q$4,ROUNDDOWN(INT(F273)+ROUNDDOWN((F273-INT(F273))*100,0)/60,2),従業員の給与情報!F273))</f>
        <v/>
      </c>
      <c r="O273" s="8"/>
      <c r="P273" s="8"/>
    </row>
    <row r="274" spans="1:16">
      <c r="A274" s="119"/>
      <c r="B274" s="2"/>
      <c r="C274" s="369"/>
      <c r="D274" s="369"/>
      <c r="E274" s="369"/>
      <c r="F274" s="370"/>
      <c r="G274" s="248" t="str">
        <f t="shared" si="20"/>
        <v/>
      </c>
      <c r="H274" s="1" t="b">
        <f>IF(B274="",FALSE,COUNTIF('従業員情報(給与以外)'!$A$4:$A$1000000,$B274)=0)</f>
        <v>0</v>
      </c>
      <c r="I274" s="9" t="b">
        <f t="shared" si="21"/>
        <v>1</v>
      </c>
      <c r="J274" s="9" t="b">
        <f t="shared" si="22"/>
        <v>1</v>
      </c>
      <c r="K274" s="9" t="b">
        <f t="shared" si="23"/>
        <v>1</v>
      </c>
      <c r="L274" s="9" t="b">
        <f t="shared" si="24"/>
        <v>1</v>
      </c>
      <c r="M274" s="1" t="b">
        <f>IF(OR(入力シート!$C$5&lt;&gt;入力リスト!$N$4,入力シート!$J$22&lt;&gt;入力リスト!$K$4),TRUE,IF($F$2=入力リスト!$Q$4,IF(F274-INT(F274)&lt;0.6,TRUE,FALSE),TRUE))</f>
        <v>1</v>
      </c>
      <c r="N274" s="9" t="str">
        <f>IF(F274="","",IF($F$2=入力リスト!$Q$4,ROUNDDOWN(INT(F274)+ROUNDDOWN((F274-INT(F274))*100,0)/60,2),従業員の給与情報!F274))</f>
        <v/>
      </c>
      <c r="O274" s="8"/>
      <c r="P274" s="8"/>
    </row>
    <row r="275" spans="1:16">
      <c r="A275" s="119"/>
      <c r="B275" s="2"/>
      <c r="C275" s="369"/>
      <c r="D275" s="369"/>
      <c r="E275" s="369"/>
      <c r="F275" s="370"/>
      <c r="G275" s="248" t="str">
        <f t="shared" si="20"/>
        <v/>
      </c>
      <c r="H275" s="1" t="b">
        <f>IF(B275="",FALSE,COUNTIF('従業員情報(給与以外)'!$A$4:$A$1000000,$B275)=0)</f>
        <v>0</v>
      </c>
      <c r="I275" s="9" t="b">
        <f t="shared" si="21"/>
        <v>1</v>
      </c>
      <c r="J275" s="9" t="b">
        <f t="shared" si="22"/>
        <v>1</v>
      </c>
      <c r="K275" s="9" t="b">
        <f t="shared" si="23"/>
        <v>1</v>
      </c>
      <c r="L275" s="9" t="b">
        <f t="shared" si="24"/>
        <v>1</v>
      </c>
      <c r="M275" s="1" t="b">
        <f>IF(OR(入力シート!$C$5&lt;&gt;入力リスト!$N$4,入力シート!$J$22&lt;&gt;入力リスト!$K$4),TRUE,IF($F$2=入力リスト!$Q$4,IF(F275-INT(F275)&lt;0.6,TRUE,FALSE),TRUE))</f>
        <v>1</v>
      </c>
      <c r="N275" s="9" t="str">
        <f>IF(F275="","",IF($F$2=入力リスト!$Q$4,ROUNDDOWN(INT(F275)+ROUNDDOWN((F275-INT(F275))*100,0)/60,2),従業員の給与情報!F275))</f>
        <v/>
      </c>
      <c r="O275" s="8"/>
      <c r="P275" s="8"/>
    </row>
    <row r="276" spans="1:16">
      <c r="A276" s="119"/>
      <c r="B276" s="2"/>
      <c r="C276" s="369"/>
      <c r="D276" s="369"/>
      <c r="E276" s="369"/>
      <c r="F276" s="370"/>
      <c r="G276" s="248" t="str">
        <f t="shared" si="20"/>
        <v/>
      </c>
      <c r="H276" s="1" t="b">
        <f>IF(B276="",FALSE,COUNTIF('従業員情報(給与以外)'!$A$4:$A$1000000,$B276)=0)</f>
        <v>0</v>
      </c>
      <c r="I276" s="9" t="b">
        <f t="shared" si="21"/>
        <v>1</v>
      </c>
      <c r="J276" s="9" t="b">
        <f t="shared" si="22"/>
        <v>1</v>
      </c>
      <c r="K276" s="9" t="b">
        <f t="shared" si="23"/>
        <v>1</v>
      </c>
      <c r="L276" s="9" t="b">
        <f t="shared" si="24"/>
        <v>1</v>
      </c>
      <c r="M276" s="1" t="b">
        <f>IF(OR(入力シート!$C$5&lt;&gt;入力リスト!$N$4,入力シート!$J$22&lt;&gt;入力リスト!$K$4),TRUE,IF($F$2=入力リスト!$Q$4,IF(F276-INT(F276)&lt;0.6,TRUE,FALSE),TRUE))</f>
        <v>1</v>
      </c>
      <c r="N276" s="9" t="str">
        <f>IF(F276="","",IF($F$2=入力リスト!$Q$4,ROUNDDOWN(INT(F276)+ROUNDDOWN((F276-INT(F276))*100,0)/60,2),従業員の給与情報!F276))</f>
        <v/>
      </c>
      <c r="O276" s="8"/>
      <c r="P276" s="8"/>
    </row>
    <row r="277" spans="1:16">
      <c r="A277" s="119"/>
      <c r="B277" s="2"/>
      <c r="C277" s="369"/>
      <c r="D277" s="369"/>
      <c r="E277" s="369"/>
      <c r="F277" s="370"/>
      <c r="G277" s="248" t="str">
        <f t="shared" si="20"/>
        <v/>
      </c>
      <c r="H277" s="1" t="b">
        <f>IF(B277="",FALSE,COUNTIF('従業員情報(給与以外)'!$A$4:$A$1000000,$B277)=0)</f>
        <v>0</v>
      </c>
      <c r="I277" s="9" t="b">
        <f t="shared" si="21"/>
        <v>1</v>
      </c>
      <c r="J277" s="9" t="b">
        <f t="shared" si="22"/>
        <v>1</v>
      </c>
      <c r="K277" s="9" t="b">
        <f t="shared" si="23"/>
        <v>1</v>
      </c>
      <c r="L277" s="9" t="b">
        <f t="shared" si="24"/>
        <v>1</v>
      </c>
      <c r="M277" s="1" t="b">
        <f>IF(OR(入力シート!$C$5&lt;&gt;入力リスト!$N$4,入力シート!$J$22&lt;&gt;入力リスト!$K$4),TRUE,IF($F$2=入力リスト!$Q$4,IF(F277-INT(F277)&lt;0.6,TRUE,FALSE),TRUE))</f>
        <v>1</v>
      </c>
      <c r="N277" s="9" t="str">
        <f>IF(F277="","",IF($F$2=入力リスト!$Q$4,ROUNDDOWN(INT(F277)+ROUNDDOWN((F277-INT(F277))*100,0)/60,2),従業員の給与情報!F277))</f>
        <v/>
      </c>
      <c r="O277" s="8"/>
      <c r="P277" s="8"/>
    </row>
    <row r="278" spans="1:16">
      <c r="A278" s="119"/>
      <c r="B278" s="2"/>
      <c r="C278" s="369"/>
      <c r="D278" s="369"/>
      <c r="E278" s="369"/>
      <c r="F278" s="370"/>
      <c r="G278" s="248" t="str">
        <f t="shared" si="20"/>
        <v/>
      </c>
      <c r="H278" s="1" t="b">
        <f>IF(B278="",FALSE,COUNTIF('従業員情報(給与以外)'!$A$4:$A$1000000,$B278)=0)</f>
        <v>0</v>
      </c>
      <c r="I278" s="9" t="b">
        <f t="shared" si="21"/>
        <v>1</v>
      </c>
      <c r="J278" s="9" t="b">
        <f t="shared" si="22"/>
        <v>1</v>
      </c>
      <c r="K278" s="9" t="b">
        <f t="shared" si="23"/>
        <v>1</v>
      </c>
      <c r="L278" s="9" t="b">
        <f t="shared" si="24"/>
        <v>1</v>
      </c>
      <c r="M278" s="1" t="b">
        <f>IF(OR(入力シート!$C$5&lt;&gt;入力リスト!$N$4,入力シート!$J$22&lt;&gt;入力リスト!$K$4),TRUE,IF($F$2=入力リスト!$Q$4,IF(F278-INT(F278)&lt;0.6,TRUE,FALSE),TRUE))</f>
        <v>1</v>
      </c>
      <c r="N278" s="9" t="str">
        <f>IF(F278="","",IF($F$2=入力リスト!$Q$4,ROUNDDOWN(INT(F278)+ROUNDDOWN((F278-INT(F278))*100,0)/60,2),従業員の給与情報!F278))</f>
        <v/>
      </c>
      <c r="O278" s="8"/>
      <c r="P278" s="8"/>
    </row>
    <row r="279" spans="1:16">
      <c r="A279" s="119"/>
      <c r="B279" s="2"/>
      <c r="C279" s="369"/>
      <c r="D279" s="369"/>
      <c r="E279" s="369"/>
      <c r="F279" s="370"/>
      <c r="G279" s="248" t="str">
        <f t="shared" si="20"/>
        <v/>
      </c>
      <c r="H279" s="1" t="b">
        <f>IF(B279="",FALSE,COUNTIF('従業員情報(給与以外)'!$A$4:$A$1000000,$B279)=0)</f>
        <v>0</v>
      </c>
      <c r="I279" s="9" t="b">
        <f t="shared" si="21"/>
        <v>1</v>
      </c>
      <c r="J279" s="9" t="b">
        <f t="shared" si="22"/>
        <v>1</v>
      </c>
      <c r="K279" s="9" t="b">
        <f t="shared" si="23"/>
        <v>1</v>
      </c>
      <c r="L279" s="9" t="b">
        <f t="shared" si="24"/>
        <v>1</v>
      </c>
      <c r="M279" s="1" t="b">
        <f>IF(OR(入力シート!$C$5&lt;&gt;入力リスト!$N$4,入力シート!$J$22&lt;&gt;入力リスト!$K$4),TRUE,IF($F$2=入力リスト!$Q$4,IF(F279-INT(F279)&lt;0.6,TRUE,FALSE),TRUE))</f>
        <v>1</v>
      </c>
      <c r="N279" s="9" t="str">
        <f>IF(F279="","",IF($F$2=入力リスト!$Q$4,ROUNDDOWN(INT(F279)+ROUNDDOWN((F279-INT(F279))*100,0)/60,2),従業員の給与情報!F279))</f>
        <v/>
      </c>
      <c r="O279" s="8"/>
      <c r="P279" s="8"/>
    </row>
    <row r="280" spans="1:16">
      <c r="A280" s="119"/>
      <c r="B280" s="2"/>
      <c r="C280" s="369"/>
      <c r="D280" s="369"/>
      <c r="E280" s="369"/>
      <c r="F280" s="370"/>
      <c r="G280" s="248" t="str">
        <f t="shared" si="20"/>
        <v/>
      </c>
      <c r="H280" s="1" t="b">
        <f>IF(B280="",FALSE,COUNTIF('従業員情報(給与以外)'!$A$4:$A$1000000,$B280)=0)</f>
        <v>0</v>
      </c>
      <c r="I280" s="9" t="b">
        <f t="shared" si="21"/>
        <v>1</v>
      </c>
      <c r="J280" s="9" t="b">
        <f t="shared" si="22"/>
        <v>1</v>
      </c>
      <c r="K280" s="9" t="b">
        <f t="shared" si="23"/>
        <v>1</v>
      </c>
      <c r="L280" s="9" t="b">
        <f t="shared" si="24"/>
        <v>1</v>
      </c>
      <c r="M280" s="1" t="b">
        <f>IF(OR(入力シート!$C$5&lt;&gt;入力リスト!$N$4,入力シート!$J$22&lt;&gt;入力リスト!$K$4),TRUE,IF($F$2=入力リスト!$Q$4,IF(F280-INT(F280)&lt;0.6,TRUE,FALSE),TRUE))</f>
        <v>1</v>
      </c>
      <c r="N280" s="9" t="str">
        <f>IF(F280="","",IF($F$2=入力リスト!$Q$4,ROUNDDOWN(INT(F280)+ROUNDDOWN((F280-INT(F280))*100,0)/60,2),従業員の給与情報!F280))</f>
        <v/>
      </c>
      <c r="O280" s="8"/>
      <c r="P280" s="8"/>
    </row>
    <row r="281" spans="1:16">
      <c r="A281" s="119"/>
      <c r="B281" s="2"/>
      <c r="C281" s="369"/>
      <c r="D281" s="369"/>
      <c r="E281" s="369"/>
      <c r="F281" s="370"/>
      <c r="G281" s="248" t="str">
        <f t="shared" si="20"/>
        <v/>
      </c>
      <c r="H281" s="1" t="b">
        <f>IF(B281="",FALSE,COUNTIF('従業員情報(給与以外)'!$A$4:$A$1000000,$B281)=0)</f>
        <v>0</v>
      </c>
      <c r="I281" s="9" t="b">
        <f t="shared" si="21"/>
        <v>1</v>
      </c>
      <c r="J281" s="9" t="b">
        <f t="shared" si="22"/>
        <v>1</v>
      </c>
      <c r="K281" s="9" t="b">
        <f t="shared" si="23"/>
        <v>1</v>
      </c>
      <c r="L281" s="9" t="b">
        <f t="shared" si="24"/>
        <v>1</v>
      </c>
      <c r="M281" s="1" t="b">
        <f>IF(OR(入力シート!$C$5&lt;&gt;入力リスト!$N$4,入力シート!$J$22&lt;&gt;入力リスト!$K$4),TRUE,IF($F$2=入力リスト!$Q$4,IF(F281-INT(F281)&lt;0.6,TRUE,FALSE),TRUE))</f>
        <v>1</v>
      </c>
      <c r="N281" s="9" t="str">
        <f>IF(F281="","",IF($F$2=入力リスト!$Q$4,ROUNDDOWN(INT(F281)+ROUNDDOWN((F281-INT(F281))*100,0)/60,2),従業員の給与情報!F281))</f>
        <v/>
      </c>
      <c r="O281" s="8"/>
      <c r="P281" s="8"/>
    </row>
    <row r="282" spans="1:16">
      <c r="A282" s="119"/>
      <c r="B282" s="2"/>
      <c r="C282" s="369"/>
      <c r="D282" s="369"/>
      <c r="E282" s="369"/>
      <c r="F282" s="370"/>
      <c r="G282" s="248" t="str">
        <f t="shared" si="20"/>
        <v/>
      </c>
      <c r="H282" s="1" t="b">
        <f>IF(B282="",FALSE,COUNTIF('従業員情報(給与以外)'!$A$4:$A$1000000,$B282)=0)</f>
        <v>0</v>
      </c>
      <c r="I282" s="9" t="b">
        <f t="shared" si="21"/>
        <v>1</v>
      </c>
      <c r="J282" s="9" t="b">
        <f t="shared" si="22"/>
        <v>1</v>
      </c>
      <c r="K282" s="9" t="b">
        <f t="shared" si="23"/>
        <v>1</v>
      </c>
      <c r="L282" s="9" t="b">
        <f t="shared" si="24"/>
        <v>1</v>
      </c>
      <c r="M282" s="1" t="b">
        <f>IF(OR(入力シート!$C$5&lt;&gt;入力リスト!$N$4,入力シート!$J$22&lt;&gt;入力リスト!$K$4),TRUE,IF($F$2=入力リスト!$Q$4,IF(F282-INT(F282)&lt;0.6,TRUE,FALSE),TRUE))</f>
        <v>1</v>
      </c>
      <c r="N282" s="9" t="str">
        <f>IF(F282="","",IF($F$2=入力リスト!$Q$4,ROUNDDOWN(INT(F282)+ROUNDDOWN((F282-INT(F282))*100,0)/60,2),従業員の給与情報!F282))</f>
        <v/>
      </c>
      <c r="O282" s="8"/>
      <c r="P282" s="8"/>
    </row>
    <row r="283" spans="1:16">
      <c r="A283" s="119"/>
      <c r="B283" s="2"/>
      <c r="C283" s="369"/>
      <c r="D283" s="369"/>
      <c r="E283" s="369"/>
      <c r="F283" s="370"/>
      <c r="G283" s="248" t="str">
        <f t="shared" si="20"/>
        <v/>
      </c>
      <c r="H283" s="1" t="b">
        <f>IF(B283="",FALSE,COUNTIF('従業員情報(給与以外)'!$A$4:$A$1000000,$B283)=0)</f>
        <v>0</v>
      </c>
      <c r="I283" s="9" t="b">
        <f t="shared" si="21"/>
        <v>1</v>
      </c>
      <c r="J283" s="9" t="b">
        <f t="shared" si="22"/>
        <v>1</v>
      </c>
      <c r="K283" s="9" t="b">
        <f t="shared" si="23"/>
        <v>1</v>
      </c>
      <c r="L283" s="9" t="b">
        <f t="shared" si="24"/>
        <v>1</v>
      </c>
      <c r="M283" s="1" t="b">
        <f>IF(OR(入力シート!$C$5&lt;&gt;入力リスト!$N$4,入力シート!$J$22&lt;&gt;入力リスト!$K$4),TRUE,IF($F$2=入力リスト!$Q$4,IF(F283-INT(F283)&lt;0.6,TRUE,FALSE),TRUE))</f>
        <v>1</v>
      </c>
      <c r="N283" s="9" t="str">
        <f>IF(F283="","",IF($F$2=入力リスト!$Q$4,ROUNDDOWN(INT(F283)+ROUNDDOWN((F283-INT(F283))*100,0)/60,2),従業員の給与情報!F283))</f>
        <v/>
      </c>
      <c r="O283" s="8"/>
      <c r="P283" s="8"/>
    </row>
    <row r="284" spans="1:16">
      <c r="A284" s="119"/>
      <c r="B284" s="2"/>
      <c r="C284" s="369"/>
      <c r="D284" s="369"/>
      <c r="E284" s="369"/>
      <c r="F284" s="370"/>
      <c r="G284" s="248" t="str">
        <f t="shared" si="20"/>
        <v/>
      </c>
      <c r="H284" s="1" t="b">
        <f>IF(B284="",FALSE,COUNTIF('従業員情報(給与以外)'!$A$4:$A$1000000,$B284)=0)</f>
        <v>0</v>
      </c>
      <c r="I284" s="9" t="b">
        <f t="shared" si="21"/>
        <v>1</v>
      </c>
      <c r="J284" s="9" t="b">
        <f t="shared" si="22"/>
        <v>1</v>
      </c>
      <c r="K284" s="9" t="b">
        <f t="shared" si="23"/>
        <v>1</v>
      </c>
      <c r="L284" s="9" t="b">
        <f t="shared" si="24"/>
        <v>1</v>
      </c>
      <c r="M284" s="1" t="b">
        <f>IF(OR(入力シート!$C$5&lt;&gt;入力リスト!$N$4,入力シート!$J$22&lt;&gt;入力リスト!$K$4),TRUE,IF($F$2=入力リスト!$Q$4,IF(F284-INT(F284)&lt;0.6,TRUE,FALSE),TRUE))</f>
        <v>1</v>
      </c>
      <c r="N284" s="9" t="str">
        <f>IF(F284="","",IF($F$2=入力リスト!$Q$4,ROUNDDOWN(INT(F284)+ROUNDDOWN((F284-INT(F284))*100,0)/60,2),従業員の給与情報!F284))</f>
        <v/>
      </c>
      <c r="O284" s="8"/>
      <c r="P284" s="8"/>
    </row>
    <row r="285" spans="1:16">
      <c r="A285" s="119"/>
      <c r="B285" s="2"/>
      <c r="C285" s="369"/>
      <c r="D285" s="369"/>
      <c r="E285" s="369"/>
      <c r="F285" s="370"/>
      <c r="G285" s="248" t="str">
        <f t="shared" si="20"/>
        <v/>
      </c>
      <c r="H285" s="1" t="b">
        <f>IF(B285="",FALSE,COUNTIF('従業員情報(給与以外)'!$A$4:$A$1000000,$B285)=0)</f>
        <v>0</v>
      </c>
      <c r="I285" s="9" t="b">
        <f t="shared" si="21"/>
        <v>1</v>
      </c>
      <c r="J285" s="9" t="b">
        <f t="shared" si="22"/>
        <v>1</v>
      </c>
      <c r="K285" s="9" t="b">
        <f t="shared" si="23"/>
        <v>1</v>
      </c>
      <c r="L285" s="9" t="b">
        <f t="shared" si="24"/>
        <v>1</v>
      </c>
      <c r="M285" s="1" t="b">
        <f>IF(OR(入力シート!$C$5&lt;&gt;入力リスト!$N$4,入力シート!$J$22&lt;&gt;入力リスト!$K$4),TRUE,IF($F$2=入力リスト!$Q$4,IF(F285-INT(F285)&lt;0.6,TRUE,FALSE),TRUE))</f>
        <v>1</v>
      </c>
      <c r="N285" s="9" t="str">
        <f>IF(F285="","",IF($F$2=入力リスト!$Q$4,ROUNDDOWN(INT(F285)+ROUNDDOWN((F285-INT(F285))*100,0)/60,2),従業員の給与情報!F285))</f>
        <v/>
      </c>
      <c r="O285" s="8"/>
      <c r="P285" s="8"/>
    </row>
    <row r="286" spans="1:16">
      <c r="A286" s="119"/>
      <c r="B286" s="2"/>
      <c r="C286" s="369"/>
      <c r="D286" s="369"/>
      <c r="E286" s="369"/>
      <c r="F286" s="370"/>
      <c r="G286" s="248" t="str">
        <f t="shared" si="20"/>
        <v/>
      </c>
      <c r="H286" s="1" t="b">
        <f>IF(B286="",FALSE,COUNTIF('従業員情報(給与以外)'!$A$4:$A$1000000,$B286)=0)</f>
        <v>0</v>
      </c>
      <c r="I286" s="9" t="b">
        <f t="shared" si="21"/>
        <v>1</v>
      </c>
      <c r="J286" s="9" t="b">
        <f t="shared" si="22"/>
        <v>1</v>
      </c>
      <c r="K286" s="9" t="b">
        <f t="shared" si="23"/>
        <v>1</v>
      </c>
      <c r="L286" s="9" t="b">
        <f t="shared" si="24"/>
        <v>1</v>
      </c>
      <c r="M286" s="1" t="b">
        <f>IF(OR(入力シート!$C$5&lt;&gt;入力リスト!$N$4,入力シート!$J$22&lt;&gt;入力リスト!$K$4),TRUE,IF($F$2=入力リスト!$Q$4,IF(F286-INT(F286)&lt;0.6,TRUE,FALSE),TRUE))</f>
        <v>1</v>
      </c>
      <c r="N286" s="9" t="str">
        <f>IF(F286="","",IF($F$2=入力リスト!$Q$4,ROUNDDOWN(INT(F286)+ROUNDDOWN((F286-INT(F286))*100,0)/60,2),従業員の給与情報!F286))</f>
        <v/>
      </c>
      <c r="O286" s="8"/>
      <c r="P286" s="8"/>
    </row>
    <row r="287" spans="1:16">
      <c r="A287" s="119"/>
      <c r="B287" s="2"/>
      <c r="C287" s="369"/>
      <c r="D287" s="369"/>
      <c r="E287" s="369"/>
      <c r="F287" s="370"/>
      <c r="G287" s="248" t="str">
        <f t="shared" si="20"/>
        <v/>
      </c>
      <c r="H287" s="1" t="b">
        <f>IF(B287="",FALSE,COUNTIF('従業員情報(給与以外)'!$A$4:$A$1000000,$B287)=0)</f>
        <v>0</v>
      </c>
      <c r="I287" s="9" t="b">
        <f t="shared" si="21"/>
        <v>1</v>
      </c>
      <c r="J287" s="9" t="b">
        <f t="shared" si="22"/>
        <v>1</v>
      </c>
      <c r="K287" s="9" t="b">
        <f t="shared" si="23"/>
        <v>1</v>
      </c>
      <c r="L287" s="9" t="b">
        <f t="shared" si="24"/>
        <v>1</v>
      </c>
      <c r="M287" s="1" t="b">
        <f>IF(OR(入力シート!$C$5&lt;&gt;入力リスト!$N$4,入力シート!$J$22&lt;&gt;入力リスト!$K$4),TRUE,IF($F$2=入力リスト!$Q$4,IF(F287-INT(F287)&lt;0.6,TRUE,FALSE),TRUE))</f>
        <v>1</v>
      </c>
      <c r="N287" s="9" t="str">
        <f>IF(F287="","",IF($F$2=入力リスト!$Q$4,ROUNDDOWN(INT(F287)+ROUNDDOWN((F287-INT(F287))*100,0)/60,2),従業員の給与情報!F287))</f>
        <v/>
      </c>
      <c r="O287" s="8"/>
      <c r="P287" s="8"/>
    </row>
    <row r="288" spans="1:16">
      <c r="A288" s="119"/>
      <c r="B288" s="2"/>
      <c r="C288" s="369"/>
      <c r="D288" s="369"/>
      <c r="E288" s="369"/>
      <c r="F288" s="370"/>
      <c r="G288" s="248" t="str">
        <f t="shared" si="20"/>
        <v/>
      </c>
      <c r="H288" s="1" t="b">
        <f>IF(B288="",FALSE,COUNTIF('従業員情報(給与以外)'!$A$4:$A$1000000,$B288)=0)</f>
        <v>0</v>
      </c>
      <c r="I288" s="9" t="b">
        <f t="shared" si="21"/>
        <v>1</v>
      </c>
      <c r="J288" s="9" t="b">
        <f t="shared" si="22"/>
        <v>1</v>
      </c>
      <c r="K288" s="9" t="b">
        <f t="shared" si="23"/>
        <v>1</v>
      </c>
      <c r="L288" s="9" t="b">
        <f t="shared" si="24"/>
        <v>1</v>
      </c>
      <c r="M288" s="1" t="b">
        <f>IF(OR(入力シート!$C$5&lt;&gt;入力リスト!$N$4,入力シート!$J$22&lt;&gt;入力リスト!$K$4),TRUE,IF($F$2=入力リスト!$Q$4,IF(F288-INT(F288)&lt;0.6,TRUE,FALSE),TRUE))</f>
        <v>1</v>
      </c>
      <c r="N288" s="9" t="str">
        <f>IF(F288="","",IF($F$2=入力リスト!$Q$4,ROUNDDOWN(INT(F288)+ROUNDDOWN((F288-INT(F288))*100,0)/60,2),従業員の給与情報!F288))</f>
        <v/>
      </c>
      <c r="O288" s="8"/>
      <c r="P288" s="8"/>
    </row>
    <row r="289" spans="1:16">
      <c r="A289" s="119"/>
      <c r="B289" s="2"/>
      <c r="C289" s="369"/>
      <c r="D289" s="369"/>
      <c r="E289" s="369"/>
      <c r="F289" s="370"/>
      <c r="G289" s="248" t="str">
        <f t="shared" si="20"/>
        <v/>
      </c>
      <c r="H289" s="1" t="b">
        <f>IF(B289="",FALSE,COUNTIF('従業員情報(給与以外)'!$A$4:$A$1000000,$B289)=0)</f>
        <v>0</v>
      </c>
      <c r="I289" s="9" t="b">
        <f t="shared" si="21"/>
        <v>1</v>
      </c>
      <c r="J289" s="9" t="b">
        <f t="shared" si="22"/>
        <v>1</v>
      </c>
      <c r="K289" s="9" t="b">
        <f t="shared" si="23"/>
        <v>1</v>
      </c>
      <c r="L289" s="9" t="b">
        <f t="shared" si="24"/>
        <v>1</v>
      </c>
      <c r="M289" s="1" t="b">
        <f>IF(OR(入力シート!$C$5&lt;&gt;入力リスト!$N$4,入力シート!$J$22&lt;&gt;入力リスト!$K$4),TRUE,IF($F$2=入力リスト!$Q$4,IF(F289-INT(F289)&lt;0.6,TRUE,FALSE),TRUE))</f>
        <v>1</v>
      </c>
      <c r="N289" s="9" t="str">
        <f>IF(F289="","",IF($F$2=入力リスト!$Q$4,ROUNDDOWN(INT(F289)+ROUNDDOWN((F289-INT(F289))*100,0)/60,2),従業員の給与情報!F289))</f>
        <v/>
      </c>
      <c r="O289" s="8"/>
      <c r="P289" s="8"/>
    </row>
    <row r="290" spans="1:16">
      <c r="A290" s="119"/>
      <c r="B290" s="2"/>
      <c r="C290" s="369"/>
      <c r="D290" s="369"/>
      <c r="E290" s="369"/>
      <c r="F290" s="370"/>
      <c r="G290" s="248" t="str">
        <f t="shared" si="20"/>
        <v/>
      </c>
      <c r="H290" s="1" t="b">
        <f>IF(B290="",FALSE,COUNTIF('従業員情報(給与以外)'!$A$4:$A$1000000,$B290)=0)</f>
        <v>0</v>
      </c>
      <c r="I290" s="9" t="b">
        <f t="shared" si="21"/>
        <v>1</v>
      </c>
      <c r="J290" s="9" t="b">
        <f t="shared" si="22"/>
        <v>1</v>
      </c>
      <c r="K290" s="9" t="b">
        <f t="shared" si="23"/>
        <v>1</v>
      </c>
      <c r="L290" s="9" t="b">
        <f t="shared" si="24"/>
        <v>1</v>
      </c>
      <c r="M290" s="1" t="b">
        <f>IF(OR(入力シート!$C$5&lt;&gt;入力リスト!$N$4,入力シート!$J$22&lt;&gt;入力リスト!$K$4),TRUE,IF($F$2=入力リスト!$Q$4,IF(F290-INT(F290)&lt;0.6,TRUE,FALSE),TRUE))</f>
        <v>1</v>
      </c>
      <c r="N290" s="9" t="str">
        <f>IF(F290="","",IF($F$2=入力リスト!$Q$4,ROUNDDOWN(INT(F290)+ROUNDDOWN((F290-INT(F290))*100,0)/60,2),従業員の給与情報!F290))</f>
        <v/>
      </c>
      <c r="O290" s="8"/>
      <c r="P290" s="8"/>
    </row>
    <row r="291" spans="1:16">
      <c r="A291" s="119"/>
      <c r="B291" s="2"/>
      <c r="C291" s="369"/>
      <c r="D291" s="369"/>
      <c r="E291" s="369"/>
      <c r="F291" s="370"/>
      <c r="G291" s="248" t="str">
        <f t="shared" si="20"/>
        <v/>
      </c>
      <c r="H291" s="1" t="b">
        <f>IF(B291="",FALSE,COUNTIF('従業員情報(給与以外)'!$A$4:$A$1000000,$B291)=0)</f>
        <v>0</v>
      </c>
      <c r="I291" s="9" t="b">
        <f t="shared" si="21"/>
        <v>1</v>
      </c>
      <c r="J291" s="9" t="b">
        <f t="shared" si="22"/>
        <v>1</v>
      </c>
      <c r="K291" s="9" t="b">
        <f t="shared" si="23"/>
        <v>1</v>
      </c>
      <c r="L291" s="9" t="b">
        <f t="shared" si="24"/>
        <v>1</v>
      </c>
      <c r="M291" s="1" t="b">
        <f>IF(OR(入力シート!$C$5&lt;&gt;入力リスト!$N$4,入力シート!$J$22&lt;&gt;入力リスト!$K$4),TRUE,IF($F$2=入力リスト!$Q$4,IF(F291-INT(F291)&lt;0.6,TRUE,FALSE),TRUE))</f>
        <v>1</v>
      </c>
      <c r="N291" s="9" t="str">
        <f>IF(F291="","",IF($F$2=入力リスト!$Q$4,ROUNDDOWN(INT(F291)+ROUNDDOWN((F291-INT(F291))*100,0)/60,2),従業員の給与情報!F291))</f>
        <v/>
      </c>
      <c r="O291" s="8"/>
      <c r="P291" s="8"/>
    </row>
    <row r="292" spans="1:16">
      <c r="A292" s="119"/>
      <c r="B292" s="2"/>
      <c r="C292" s="369"/>
      <c r="D292" s="369"/>
      <c r="E292" s="369"/>
      <c r="F292" s="370"/>
      <c r="G292" s="248" t="str">
        <f t="shared" si="20"/>
        <v/>
      </c>
      <c r="H292" s="1" t="b">
        <f>IF(B292="",FALSE,COUNTIF('従業員情報(給与以外)'!$A$4:$A$1000000,$B292)=0)</f>
        <v>0</v>
      </c>
      <c r="I292" s="9" t="b">
        <f t="shared" si="21"/>
        <v>1</v>
      </c>
      <c r="J292" s="9" t="b">
        <f t="shared" si="22"/>
        <v>1</v>
      </c>
      <c r="K292" s="9" t="b">
        <f t="shared" si="23"/>
        <v>1</v>
      </c>
      <c r="L292" s="9" t="b">
        <f t="shared" si="24"/>
        <v>1</v>
      </c>
      <c r="M292" s="1" t="b">
        <f>IF(OR(入力シート!$C$5&lt;&gt;入力リスト!$N$4,入力シート!$J$22&lt;&gt;入力リスト!$K$4),TRUE,IF($F$2=入力リスト!$Q$4,IF(F292-INT(F292)&lt;0.6,TRUE,FALSE),TRUE))</f>
        <v>1</v>
      </c>
      <c r="N292" s="9" t="str">
        <f>IF(F292="","",IF($F$2=入力リスト!$Q$4,ROUNDDOWN(INT(F292)+ROUNDDOWN((F292-INT(F292))*100,0)/60,2),従業員の給与情報!F292))</f>
        <v/>
      </c>
      <c r="O292" s="8"/>
      <c r="P292" s="8"/>
    </row>
    <row r="293" spans="1:16">
      <c r="A293" s="119"/>
      <c r="B293" s="2"/>
      <c r="C293" s="369"/>
      <c r="D293" s="369"/>
      <c r="E293" s="369"/>
      <c r="F293" s="370"/>
      <c r="G293" s="248" t="str">
        <f t="shared" si="20"/>
        <v/>
      </c>
      <c r="H293" s="1" t="b">
        <f>IF(B293="",FALSE,COUNTIF('従業員情報(給与以外)'!$A$4:$A$1000000,$B293)=0)</f>
        <v>0</v>
      </c>
      <c r="I293" s="9" t="b">
        <f t="shared" si="21"/>
        <v>1</v>
      </c>
      <c r="J293" s="9" t="b">
        <f t="shared" si="22"/>
        <v>1</v>
      </c>
      <c r="K293" s="9" t="b">
        <f t="shared" si="23"/>
        <v>1</v>
      </c>
      <c r="L293" s="9" t="b">
        <f t="shared" si="24"/>
        <v>1</v>
      </c>
      <c r="M293" s="1" t="b">
        <f>IF(OR(入力シート!$C$5&lt;&gt;入力リスト!$N$4,入力シート!$J$22&lt;&gt;入力リスト!$K$4),TRUE,IF($F$2=入力リスト!$Q$4,IF(F293-INT(F293)&lt;0.6,TRUE,FALSE),TRUE))</f>
        <v>1</v>
      </c>
      <c r="N293" s="9" t="str">
        <f>IF(F293="","",IF($F$2=入力リスト!$Q$4,ROUNDDOWN(INT(F293)+ROUNDDOWN((F293-INT(F293))*100,0)/60,2),従業員の給与情報!F293))</f>
        <v/>
      </c>
      <c r="O293" s="8"/>
      <c r="P293" s="8"/>
    </row>
    <row r="294" spans="1:16">
      <c r="A294" s="119"/>
      <c r="B294" s="2"/>
      <c r="C294" s="369"/>
      <c r="D294" s="369"/>
      <c r="E294" s="369"/>
      <c r="F294" s="370"/>
      <c r="G294" s="248" t="str">
        <f t="shared" si="20"/>
        <v/>
      </c>
      <c r="H294" s="1" t="b">
        <f>IF(B294="",FALSE,COUNTIF('従業員情報(給与以外)'!$A$4:$A$1000000,$B294)=0)</f>
        <v>0</v>
      </c>
      <c r="I294" s="9" t="b">
        <f t="shared" si="21"/>
        <v>1</v>
      </c>
      <c r="J294" s="9" t="b">
        <f t="shared" si="22"/>
        <v>1</v>
      </c>
      <c r="K294" s="9" t="b">
        <f t="shared" si="23"/>
        <v>1</v>
      </c>
      <c r="L294" s="9" t="b">
        <f t="shared" si="24"/>
        <v>1</v>
      </c>
      <c r="M294" s="1" t="b">
        <f>IF(OR(入力シート!$C$5&lt;&gt;入力リスト!$N$4,入力シート!$J$22&lt;&gt;入力リスト!$K$4),TRUE,IF($F$2=入力リスト!$Q$4,IF(F294-INT(F294)&lt;0.6,TRUE,FALSE),TRUE))</f>
        <v>1</v>
      </c>
      <c r="N294" s="9" t="str">
        <f>IF(F294="","",IF($F$2=入力リスト!$Q$4,ROUNDDOWN(INT(F294)+ROUNDDOWN((F294-INT(F294))*100,0)/60,2),従業員の給与情報!F294))</f>
        <v/>
      </c>
      <c r="O294" s="8"/>
      <c r="P294" s="8"/>
    </row>
    <row r="295" spans="1:16">
      <c r="A295" s="119"/>
      <c r="B295" s="2"/>
      <c r="C295" s="369"/>
      <c r="D295" s="369"/>
      <c r="E295" s="369"/>
      <c r="F295" s="370"/>
      <c r="G295" s="248" t="str">
        <f t="shared" si="20"/>
        <v/>
      </c>
      <c r="H295" s="1" t="b">
        <f>IF(B295="",FALSE,COUNTIF('従業員情報(給与以外)'!$A$4:$A$1000000,$B295)=0)</f>
        <v>0</v>
      </c>
      <c r="I295" s="9" t="b">
        <f t="shared" si="21"/>
        <v>1</v>
      </c>
      <c r="J295" s="9" t="b">
        <f t="shared" si="22"/>
        <v>1</v>
      </c>
      <c r="K295" s="9" t="b">
        <f t="shared" si="23"/>
        <v>1</v>
      </c>
      <c r="L295" s="9" t="b">
        <f t="shared" si="24"/>
        <v>1</v>
      </c>
      <c r="M295" s="1" t="b">
        <f>IF(OR(入力シート!$C$5&lt;&gt;入力リスト!$N$4,入力シート!$J$22&lt;&gt;入力リスト!$K$4),TRUE,IF($F$2=入力リスト!$Q$4,IF(F295-INT(F295)&lt;0.6,TRUE,FALSE),TRUE))</f>
        <v>1</v>
      </c>
      <c r="N295" s="9" t="str">
        <f>IF(F295="","",IF($F$2=入力リスト!$Q$4,ROUNDDOWN(INT(F295)+ROUNDDOWN((F295-INT(F295))*100,0)/60,2),従業員の給与情報!F295))</f>
        <v/>
      </c>
      <c r="O295" s="8"/>
      <c r="P295" s="8"/>
    </row>
    <row r="296" spans="1:16">
      <c r="A296" s="119"/>
      <c r="B296" s="2"/>
      <c r="C296" s="369"/>
      <c r="D296" s="369"/>
      <c r="E296" s="369"/>
      <c r="F296" s="370"/>
      <c r="G296" s="248" t="str">
        <f t="shared" si="20"/>
        <v/>
      </c>
      <c r="H296" s="1" t="b">
        <f>IF(B296="",FALSE,COUNTIF('従業員情報(給与以外)'!$A$4:$A$1000000,$B296)=0)</f>
        <v>0</v>
      </c>
      <c r="I296" s="9" t="b">
        <f t="shared" si="21"/>
        <v>1</v>
      </c>
      <c r="J296" s="9" t="b">
        <f t="shared" si="22"/>
        <v>1</v>
      </c>
      <c r="K296" s="9" t="b">
        <f t="shared" si="23"/>
        <v>1</v>
      </c>
      <c r="L296" s="9" t="b">
        <f t="shared" si="24"/>
        <v>1</v>
      </c>
      <c r="M296" s="1" t="b">
        <f>IF(OR(入力シート!$C$5&lt;&gt;入力リスト!$N$4,入力シート!$J$22&lt;&gt;入力リスト!$K$4),TRUE,IF($F$2=入力リスト!$Q$4,IF(F296-INT(F296)&lt;0.6,TRUE,FALSE),TRUE))</f>
        <v>1</v>
      </c>
      <c r="N296" s="9" t="str">
        <f>IF(F296="","",IF($F$2=入力リスト!$Q$4,ROUNDDOWN(INT(F296)+ROUNDDOWN((F296-INT(F296))*100,0)/60,2),従業員の給与情報!F296))</f>
        <v/>
      </c>
      <c r="O296" s="8"/>
      <c r="P296" s="8"/>
    </row>
    <row r="297" spans="1:16">
      <c r="A297" s="119"/>
      <c r="B297" s="2"/>
      <c r="C297" s="369"/>
      <c r="D297" s="369"/>
      <c r="E297" s="369"/>
      <c r="F297" s="370"/>
      <c r="G297" s="248" t="str">
        <f t="shared" si="20"/>
        <v/>
      </c>
      <c r="H297" s="1" t="b">
        <f>IF(B297="",FALSE,COUNTIF('従業員情報(給与以外)'!$A$4:$A$1000000,$B297)=0)</f>
        <v>0</v>
      </c>
      <c r="I297" s="9" t="b">
        <f t="shared" si="21"/>
        <v>1</v>
      </c>
      <c r="J297" s="9" t="b">
        <f t="shared" si="22"/>
        <v>1</v>
      </c>
      <c r="K297" s="9" t="b">
        <f t="shared" si="23"/>
        <v>1</v>
      </c>
      <c r="L297" s="9" t="b">
        <f t="shared" si="24"/>
        <v>1</v>
      </c>
      <c r="M297" s="1" t="b">
        <f>IF(OR(入力シート!$C$5&lt;&gt;入力リスト!$N$4,入力シート!$J$22&lt;&gt;入力リスト!$K$4),TRUE,IF($F$2=入力リスト!$Q$4,IF(F297-INT(F297)&lt;0.6,TRUE,FALSE),TRUE))</f>
        <v>1</v>
      </c>
      <c r="N297" s="9" t="str">
        <f>IF(F297="","",IF($F$2=入力リスト!$Q$4,ROUNDDOWN(INT(F297)+ROUNDDOWN((F297-INT(F297))*100,0)/60,2),従業員の給与情報!F297))</f>
        <v/>
      </c>
      <c r="O297" s="8"/>
      <c r="P297" s="8"/>
    </row>
    <row r="298" spans="1:16">
      <c r="A298" s="119"/>
      <c r="B298" s="2"/>
      <c r="C298" s="369"/>
      <c r="D298" s="369"/>
      <c r="E298" s="369"/>
      <c r="F298" s="370"/>
      <c r="G298" s="248" t="str">
        <f t="shared" si="20"/>
        <v/>
      </c>
      <c r="H298" s="1" t="b">
        <f>IF(B298="",FALSE,COUNTIF('従業員情報(給与以外)'!$A$4:$A$1000000,$B298)=0)</f>
        <v>0</v>
      </c>
      <c r="I298" s="9" t="b">
        <f t="shared" si="21"/>
        <v>1</v>
      </c>
      <c r="J298" s="9" t="b">
        <f t="shared" si="22"/>
        <v>1</v>
      </c>
      <c r="K298" s="9" t="b">
        <f t="shared" si="23"/>
        <v>1</v>
      </c>
      <c r="L298" s="9" t="b">
        <f t="shared" si="24"/>
        <v>1</v>
      </c>
      <c r="M298" s="1" t="b">
        <f>IF(OR(入力シート!$C$5&lt;&gt;入力リスト!$N$4,入力シート!$J$22&lt;&gt;入力リスト!$K$4),TRUE,IF($F$2=入力リスト!$Q$4,IF(F298-INT(F298)&lt;0.6,TRUE,FALSE),TRUE))</f>
        <v>1</v>
      </c>
      <c r="N298" s="9" t="str">
        <f>IF(F298="","",IF($F$2=入力リスト!$Q$4,ROUNDDOWN(INT(F298)+ROUNDDOWN((F298-INT(F298))*100,0)/60,2),従業員の給与情報!F298))</f>
        <v/>
      </c>
      <c r="O298" s="8"/>
      <c r="P298" s="8"/>
    </row>
    <row r="299" spans="1:16">
      <c r="A299" s="119"/>
      <c r="B299" s="2"/>
      <c r="C299" s="369"/>
      <c r="D299" s="369"/>
      <c r="E299" s="369"/>
      <c r="F299" s="370"/>
      <c r="G299" s="248" t="str">
        <f t="shared" si="20"/>
        <v/>
      </c>
      <c r="H299" s="1" t="b">
        <f>IF(B299="",FALSE,COUNTIF('従業員情報(給与以外)'!$A$4:$A$1000000,$B299)=0)</f>
        <v>0</v>
      </c>
      <c r="I299" s="9" t="b">
        <f t="shared" si="21"/>
        <v>1</v>
      </c>
      <c r="J299" s="9" t="b">
        <f t="shared" si="22"/>
        <v>1</v>
      </c>
      <c r="K299" s="9" t="b">
        <f t="shared" si="23"/>
        <v>1</v>
      </c>
      <c r="L299" s="9" t="b">
        <f t="shared" si="24"/>
        <v>1</v>
      </c>
      <c r="M299" s="1" t="b">
        <f>IF(OR(入力シート!$C$5&lt;&gt;入力リスト!$N$4,入力シート!$J$22&lt;&gt;入力リスト!$K$4),TRUE,IF($F$2=入力リスト!$Q$4,IF(F299-INT(F299)&lt;0.6,TRUE,FALSE),TRUE))</f>
        <v>1</v>
      </c>
      <c r="N299" s="9" t="str">
        <f>IF(F299="","",IF($F$2=入力リスト!$Q$4,ROUNDDOWN(INT(F299)+ROUNDDOWN((F299-INT(F299))*100,0)/60,2),従業員の給与情報!F299))</f>
        <v/>
      </c>
      <c r="O299" s="8"/>
      <c r="P299" s="8"/>
    </row>
    <row r="300" spans="1:16">
      <c r="A300" s="119"/>
      <c r="B300" s="2"/>
      <c r="C300" s="369"/>
      <c r="D300" s="369"/>
      <c r="E300" s="369"/>
      <c r="F300" s="370"/>
      <c r="G300" s="248" t="str">
        <f t="shared" si="20"/>
        <v/>
      </c>
      <c r="H300" s="1" t="b">
        <f>IF(B300="",FALSE,COUNTIF('従業員情報(給与以外)'!$A$4:$A$1000000,$B300)=0)</f>
        <v>0</v>
      </c>
      <c r="I300" s="9" t="b">
        <f t="shared" si="21"/>
        <v>1</v>
      </c>
      <c r="J300" s="9" t="b">
        <f t="shared" si="22"/>
        <v>1</v>
      </c>
      <c r="K300" s="9" t="b">
        <f t="shared" si="23"/>
        <v>1</v>
      </c>
      <c r="L300" s="9" t="b">
        <f t="shared" si="24"/>
        <v>1</v>
      </c>
      <c r="M300" s="1" t="b">
        <f>IF(OR(入力シート!$C$5&lt;&gt;入力リスト!$N$4,入力シート!$J$22&lt;&gt;入力リスト!$K$4),TRUE,IF($F$2=入力リスト!$Q$4,IF(F300-INT(F300)&lt;0.6,TRUE,FALSE),TRUE))</f>
        <v>1</v>
      </c>
      <c r="N300" s="9" t="str">
        <f>IF(F300="","",IF($F$2=入力リスト!$Q$4,ROUNDDOWN(INT(F300)+ROUNDDOWN((F300-INT(F300))*100,0)/60,2),従業員の給与情報!F300))</f>
        <v/>
      </c>
      <c r="O300" s="8"/>
      <c r="P300" s="8"/>
    </row>
    <row r="301" spans="1:16">
      <c r="A301" s="119"/>
      <c r="B301" s="2"/>
      <c r="C301" s="369"/>
      <c r="D301" s="369"/>
      <c r="E301" s="369"/>
      <c r="F301" s="370"/>
      <c r="G301" s="248" t="str">
        <f t="shared" si="20"/>
        <v/>
      </c>
      <c r="H301" s="1" t="b">
        <f>IF(B301="",FALSE,COUNTIF('従業員情報(給与以外)'!$A$4:$A$1000000,$B301)=0)</f>
        <v>0</v>
      </c>
      <c r="I301" s="9" t="b">
        <f t="shared" si="21"/>
        <v>1</v>
      </c>
      <c r="J301" s="9" t="b">
        <f t="shared" si="22"/>
        <v>1</v>
      </c>
      <c r="K301" s="9" t="b">
        <f t="shared" si="23"/>
        <v>1</v>
      </c>
      <c r="L301" s="9" t="b">
        <f t="shared" si="24"/>
        <v>1</v>
      </c>
      <c r="M301" s="1" t="b">
        <f>IF(OR(入力シート!$C$5&lt;&gt;入力リスト!$N$4,入力シート!$J$22&lt;&gt;入力リスト!$K$4),TRUE,IF($F$2=入力リスト!$Q$4,IF(F301-INT(F301)&lt;0.6,TRUE,FALSE),TRUE))</f>
        <v>1</v>
      </c>
      <c r="N301" s="9" t="str">
        <f>IF(F301="","",IF($F$2=入力リスト!$Q$4,ROUNDDOWN(INT(F301)+ROUNDDOWN((F301-INT(F301))*100,0)/60,2),従業員の給与情報!F301))</f>
        <v/>
      </c>
      <c r="O301" s="8"/>
      <c r="P301" s="8"/>
    </row>
    <row r="302" spans="1:16">
      <c r="A302" s="119"/>
      <c r="B302" s="2"/>
      <c r="C302" s="369"/>
      <c r="D302" s="369"/>
      <c r="E302" s="369"/>
      <c r="F302" s="370"/>
      <c r="G302" s="248" t="str">
        <f t="shared" si="20"/>
        <v/>
      </c>
      <c r="H302" s="1" t="b">
        <f>IF(B302="",FALSE,COUNTIF('従業員情報(給与以外)'!$A$4:$A$1000000,$B302)=0)</f>
        <v>0</v>
      </c>
      <c r="I302" s="9" t="b">
        <f t="shared" si="21"/>
        <v>1</v>
      </c>
      <c r="J302" s="9" t="b">
        <f t="shared" si="22"/>
        <v>1</v>
      </c>
      <c r="K302" s="9" t="b">
        <f t="shared" si="23"/>
        <v>1</v>
      </c>
      <c r="L302" s="9" t="b">
        <f t="shared" si="24"/>
        <v>1</v>
      </c>
      <c r="M302" s="1" t="b">
        <f>IF(OR(入力シート!$C$5&lt;&gt;入力リスト!$N$4,入力シート!$J$22&lt;&gt;入力リスト!$K$4),TRUE,IF($F$2=入力リスト!$Q$4,IF(F302-INT(F302)&lt;0.6,TRUE,FALSE),TRUE))</f>
        <v>1</v>
      </c>
      <c r="N302" s="9" t="str">
        <f>IF(F302="","",IF($F$2=入力リスト!$Q$4,ROUNDDOWN(INT(F302)+ROUNDDOWN((F302-INT(F302))*100,0)/60,2),従業員の給与情報!F302))</f>
        <v/>
      </c>
      <c r="O302" s="8"/>
      <c r="P302" s="8"/>
    </row>
    <row r="303" spans="1:16">
      <c r="A303" s="119"/>
      <c r="B303" s="2"/>
      <c r="C303" s="369"/>
      <c r="D303" s="369"/>
      <c r="E303" s="369"/>
      <c r="F303" s="370"/>
      <c r="G303" s="248" t="str">
        <f t="shared" si="20"/>
        <v/>
      </c>
      <c r="H303" s="1" t="b">
        <f>IF(B303="",FALSE,COUNTIF('従業員情報(給与以外)'!$A$4:$A$1000000,$B303)=0)</f>
        <v>0</v>
      </c>
      <c r="I303" s="9" t="b">
        <f t="shared" si="21"/>
        <v>1</v>
      </c>
      <c r="J303" s="9" t="b">
        <f t="shared" si="22"/>
        <v>1</v>
      </c>
      <c r="K303" s="9" t="b">
        <f t="shared" si="23"/>
        <v>1</v>
      </c>
      <c r="L303" s="9" t="b">
        <f t="shared" si="24"/>
        <v>1</v>
      </c>
      <c r="M303" s="1" t="b">
        <f>IF(OR(入力シート!$C$5&lt;&gt;入力リスト!$N$4,入力シート!$J$22&lt;&gt;入力リスト!$K$4),TRUE,IF($F$2=入力リスト!$Q$4,IF(F303-INT(F303)&lt;0.6,TRUE,FALSE),TRUE))</f>
        <v>1</v>
      </c>
      <c r="N303" s="9" t="str">
        <f>IF(F303="","",IF($F$2=入力リスト!$Q$4,ROUNDDOWN(INT(F303)+ROUNDDOWN((F303-INT(F303))*100,0)/60,2),従業員の給与情報!F303))</f>
        <v/>
      </c>
      <c r="O303" s="8"/>
      <c r="P303" s="8"/>
    </row>
    <row r="304" spans="1:16">
      <c r="A304" s="119"/>
      <c r="B304" s="2"/>
      <c r="C304" s="369"/>
      <c r="D304" s="369"/>
      <c r="E304" s="369"/>
      <c r="F304" s="370"/>
      <c r="G304" s="248" t="str">
        <f t="shared" si="20"/>
        <v/>
      </c>
      <c r="H304" s="1" t="b">
        <f>IF(B304="",FALSE,COUNTIF('従業員情報(給与以外)'!$A$4:$A$1000000,$B304)=0)</f>
        <v>0</v>
      </c>
      <c r="I304" s="9" t="b">
        <f t="shared" si="21"/>
        <v>1</v>
      </c>
      <c r="J304" s="9" t="b">
        <f t="shared" si="22"/>
        <v>1</v>
      </c>
      <c r="K304" s="9" t="b">
        <f t="shared" si="23"/>
        <v>1</v>
      </c>
      <c r="L304" s="9" t="b">
        <f t="shared" si="24"/>
        <v>1</v>
      </c>
      <c r="M304" s="1" t="b">
        <f>IF(OR(入力シート!$C$5&lt;&gt;入力リスト!$N$4,入力シート!$J$22&lt;&gt;入力リスト!$K$4),TRUE,IF($F$2=入力リスト!$Q$4,IF(F304-INT(F304)&lt;0.6,TRUE,FALSE),TRUE))</f>
        <v>1</v>
      </c>
      <c r="N304" s="9" t="str">
        <f>IF(F304="","",IF($F$2=入力リスト!$Q$4,ROUNDDOWN(INT(F304)+ROUNDDOWN((F304-INT(F304))*100,0)/60,2),従業員の給与情報!F304))</f>
        <v/>
      </c>
      <c r="O304" s="8"/>
      <c r="P304" s="8"/>
    </row>
    <row r="305" spans="1:16">
      <c r="A305" s="119"/>
      <c r="B305" s="2"/>
      <c r="C305" s="369"/>
      <c r="D305" s="369"/>
      <c r="E305" s="369"/>
      <c r="F305" s="370"/>
      <c r="G305" s="248" t="str">
        <f t="shared" si="20"/>
        <v/>
      </c>
      <c r="H305" s="1" t="b">
        <f>IF(B305="",FALSE,COUNTIF('従業員情報(給与以外)'!$A$4:$A$1000000,$B305)=0)</f>
        <v>0</v>
      </c>
      <c r="I305" s="9" t="b">
        <f t="shared" si="21"/>
        <v>1</v>
      </c>
      <c r="J305" s="9" t="b">
        <f t="shared" si="22"/>
        <v>1</v>
      </c>
      <c r="K305" s="9" t="b">
        <f t="shared" si="23"/>
        <v>1</v>
      </c>
      <c r="L305" s="9" t="b">
        <f t="shared" si="24"/>
        <v>1</v>
      </c>
      <c r="M305" s="1" t="b">
        <f>IF(OR(入力シート!$C$5&lt;&gt;入力リスト!$N$4,入力シート!$J$22&lt;&gt;入力リスト!$K$4),TRUE,IF($F$2=入力リスト!$Q$4,IF(F305-INT(F305)&lt;0.6,TRUE,FALSE),TRUE))</f>
        <v>1</v>
      </c>
      <c r="N305" s="9" t="str">
        <f>IF(F305="","",IF($F$2=入力リスト!$Q$4,ROUNDDOWN(INT(F305)+ROUNDDOWN((F305-INT(F305))*100,0)/60,2),従業員の給与情報!F305))</f>
        <v/>
      </c>
      <c r="O305" s="8"/>
      <c r="P305" s="8"/>
    </row>
    <row r="306" spans="1:16">
      <c r="A306" s="119"/>
      <c r="B306" s="2"/>
      <c r="C306" s="369"/>
      <c r="D306" s="369"/>
      <c r="E306" s="369"/>
      <c r="F306" s="370"/>
      <c r="G306" s="248" t="str">
        <f t="shared" si="20"/>
        <v/>
      </c>
      <c r="H306" s="1" t="b">
        <f>IF(B306="",FALSE,COUNTIF('従業員情報(給与以外)'!$A$4:$A$1000000,$B306)=0)</f>
        <v>0</v>
      </c>
      <c r="I306" s="9" t="b">
        <f t="shared" si="21"/>
        <v>1</v>
      </c>
      <c r="J306" s="9" t="b">
        <f t="shared" si="22"/>
        <v>1</v>
      </c>
      <c r="K306" s="9" t="b">
        <f t="shared" si="23"/>
        <v>1</v>
      </c>
      <c r="L306" s="9" t="b">
        <f t="shared" si="24"/>
        <v>1</v>
      </c>
      <c r="M306" s="1" t="b">
        <f>IF(OR(入力シート!$C$5&lt;&gt;入力リスト!$N$4,入力シート!$J$22&lt;&gt;入力リスト!$K$4),TRUE,IF($F$2=入力リスト!$Q$4,IF(F306-INT(F306)&lt;0.6,TRUE,FALSE),TRUE))</f>
        <v>1</v>
      </c>
      <c r="N306" s="9" t="str">
        <f>IF(F306="","",IF($F$2=入力リスト!$Q$4,ROUNDDOWN(INT(F306)+ROUNDDOWN((F306-INT(F306))*100,0)/60,2),従業員の給与情報!F306))</f>
        <v/>
      </c>
      <c r="O306" s="8"/>
      <c r="P306" s="8"/>
    </row>
    <row r="307" spans="1:16">
      <c r="A307" s="119"/>
      <c r="B307" s="2"/>
      <c r="C307" s="369"/>
      <c r="D307" s="369"/>
      <c r="E307" s="369"/>
      <c r="F307" s="370"/>
      <c r="G307" s="248" t="str">
        <f t="shared" si="20"/>
        <v/>
      </c>
      <c r="H307" s="1" t="b">
        <f>IF(B307="",FALSE,COUNTIF('従業員情報(給与以外)'!$A$4:$A$1000000,$B307)=0)</f>
        <v>0</v>
      </c>
      <c r="I307" s="9" t="b">
        <f t="shared" si="21"/>
        <v>1</v>
      </c>
      <c r="J307" s="9" t="b">
        <f t="shared" si="22"/>
        <v>1</v>
      </c>
      <c r="K307" s="9" t="b">
        <f t="shared" si="23"/>
        <v>1</v>
      </c>
      <c r="L307" s="9" t="b">
        <f t="shared" si="24"/>
        <v>1</v>
      </c>
      <c r="M307" s="1" t="b">
        <f>IF(OR(入力シート!$C$5&lt;&gt;入力リスト!$N$4,入力シート!$J$22&lt;&gt;入力リスト!$K$4),TRUE,IF($F$2=入力リスト!$Q$4,IF(F307-INT(F307)&lt;0.6,TRUE,FALSE),TRUE))</f>
        <v>1</v>
      </c>
      <c r="N307" s="9" t="str">
        <f>IF(F307="","",IF($F$2=入力リスト!$Q$4,ROUNDDOWN(INT(F307)+ROUNDDOWN((F307-INT(F307))*100,0)/60,2),従業員の給与情報!F307))</f>
        <v/>
      </c>
      <c r="O307" s="8"/>
      <c r="P307" s="8"/>
    </row>
    <row r="308" spans="1:16">
      <c r="A308" s="119"/>
      <c r="B308" s="2"/>
      <c r="C308" s="369"/>
      <c r="D308" s="369"/>
      <c r="E308" s="369"/>
      <c r="F308" s="370"/>
      <c r="G308" s="248" t="str">
        <f t="shared" si="20"/>
        <v/>
      </c>
      <c r="H308" s="1" t="b">
        <f>IF(B308="",FALSE,COUNTIF('従業員情報(給与以外)'!$A$4:$A$1000000,$B308)=0)</f>
        <v>0</v>
      </c>
      <c r="I308" s="9" t="b">
        <f t="shared" si="21"/>
        <v>1</v>
      </c>
      <c r="J308" s="9" t="b">
        <f t="shared" si="22"/>
        <v>1</v>
      </c>
      <c r="K308" s="9" t="b">
        <f t="shared" si="23"/>
        <v>1</v>
      </c>
      <c r="L308" s="9" t="b">
        <f t="shared" si="24"/>
        <v>1</v>
      </c>
      <c r="M308" s="1" t="b">
        <f>IF(OR(入力シート!$C$5&lt;&gt;入力リスト!$N$4,入力シート!$J$22&lt;&gt;入力リスト!$K$4),TRUE,IF($F$2=入力リスト!$Q$4,IF(F308-INT(F308)&lt;0.6,TRUE,FALSE),TRUE))</f>
        <v>1</v>
      </c>
      <c r="N308" s="9" t="str">
        <f>IF(F308="","",IF($F$2=入力リスト!$Q$4,ROUNDDOWN(INT(F308)+ROUNDDOWN((F308-INT(F308))*100,0)/60,2),従業員の給与情報!F308))</f>
        <v/>
      </c>
      <c r="O308" s="8"/>
      <c r="P308" s="8"/>
    </row>
    <row r="309" spans="1:16">
      <c r="A309" s="119"/>
      <c r="B309" s="2"/>
      <c r="C309" s="369"/>
      <c r="D309" s="369"/>
      <c r="E309" s="369"/>
      <c r="F309" s="370"/>
      <c r="G309" s="248" t="str">
        <f t="shared" si="20"/>
        <v/>
      </c>
      <c r="H309" s="1" t="b">
        <f>IF(B309="",FALSE,COUNTIF('従業員情報(給与以外)'!$A$4:$A$1000000,$B309)=0)</f>
        <v>0</v>
      </c>
      <c r="I309" s="9" t="b">
        <f t="shared" si="21"/>
        <v>1</v>
      </c>
      <c r="J309" s="9" t="b">
        <f t="shared" si="22"/>
        <v>1</v>
      </c>
      <c r="K309" s="9" t="b">
        <f t="shared" si="23"/>
        <v>1</v>
      </c>
      <c r="L309" s="9" t="b">
        <f t="shared" si="24"/>
        <v>1</v>
      </c>
      <c r="M309" s="1" t="b">
        <f>IF(OR(入力シート!$C$5&lt;&gt;入力リスト!$N$4,入力シート!$J$22&lt;&gt;入力リスト!$K$4),TRUE,IF($F$2=入力リスト!$Q$4,IF(F309-INT(F309)&lt;0.6,TRUE,FALSE),TRUE))</f>
        <v>1</v>
      </c>
      <c r="N309" s="9" t="str">
        <f>IF(F309="","",IF($F$2=入力リスト!$Q$4,ROUNDDOWN(INT(F309)+ROUNDDOWN((F309-INT(F309))*100,0)/60,2),従業員の給与情報!F309))</f>
        <v/>
      </c>
      <c r="O309" s="8"/>
      <c r="P309" s="8"/>
    </row>
    <row r="310" spans="1:16">
      <c r="A310" s="119"/>
      <c r="B310" s="2"/>
      <c r="C310" s="369"/>
      <c r="D310" s="369"/>
      <c r="E310" s="369"/>
      <c r="F310" s="370"/>
      <c r="G310" s="248" t="str">
        <f t="shared" si="20"/>
        <v/>
      </c>
      <c r="H310" s="1" t="b">
        <f>IF(B310="",FALSE,COUNTIF('従業員情報(給与以外)'!$A$4:$A$1000000,$B310)=0)</f>
        <v>0</v>
      </c>
      <c r="I310" s="9" t="b">
        <f t="shared" si="21"/>
        <v>1</v>
      </c>
      <c r="J310" s="9" t="b">
        <f t="shared" si="22"/>
        <v>1</v>
      </c>
      <c r="K310" s="9" t="b">
        <f t="shared" si="23"/>
        <v>1</v>
      </c>
      <c r="L310" s="9" t="b">
        <f t="shared" si="24"/>
        <v>1</v>
      </c>
      <c r="M310" s="1" t="b">
        <f>IF(OR(入力シート!$C$5&lt;&gt;入力リスト!$N$4,入力シート!$J$22&lt;&gt;入力リスト!$K$4),TRUE,IF($F$2=入力リスト!$Q$4,IF(F310-INT(F310)&lt;0.6,TRUE,FALSE),TRUE))</f>
        <v>1</v>
      </c>
      <c r="N310" s="9" t="str">
        <f>IF(F310="","",IF($F$2=入力リスト!$Q$4,ROUNDDOWN(INT(F310)+ROUNDDOWN((F310-INT(F310))*100,0)/60,2),従業員の給与情報!F310))</f>
        <v/>
      </c>
      <c r="O310" s="8"/>
      <c r="P310" s="8"/>
    </row>
    <row r="311" spans="1:16">
      <c r="A311" s="119"/>
      <c r="B311" s="2"/>
      <c r="C311" s="369"/>
      <c r="D311" s="369"/>
      <c r="E311" s="369"/>
      <c r="F311" s="370"/>
      <c r="G311" s="248" t="str">
        <f t="shared" si="20"/>
        <v/>
      </c>
      <c r="H311" s="1" t="b">
        <f>IF(B311="",FALSE,COUNTIF('従業員情報(給与以外)'!$A$4:$A$1000000,$B311)=0)</f>
        <v>0</v>
      </c>
      <c r="I311" s="9" t="b">
        <f t="shared" si="21"/>
        <v>1</v>
      </c>
      <c r="J311" s="9" t="b">
        <f t="shared" si="22"/>
        <v>1</v>
      </c>
      <c r="K311" s="9" t="b">
        <f t="shared" si="23"/>
        <v>1</v>
      </c>
      <c r="L311" s="9" t="b">
        <f t="shared" si="24"/>
        <v>1</v>
      </c>
      <c r="M311" s="1" t="b">
        <f>IF(OR(入力シート!$C$5&lt;&gt;入力リスト!$N$4,入力シート!$J$22&lt;&gt;入力リスト!$K$4),TRUE,IF($F$2=入力リスト!$Q$4,IF(F311-INT(F311)&lt;0.6,TRUE,FALSE),TRUE))</f>
        <v>1</v>
      </c>
      <c r="N311" s="9" t="str">
        <f>IF(F311="","",IF($F$2=入力リスト!$Q$4,ROUNDDOWN(INT(F311)+ROUNDDOWN((F311-INT(F311))*100,0)/60,2),従業員の給与情報!F311))</f>
        <v/>
      </c>
      <c r="O311" s="8"/>
      <c r="P311" s="8"/>
    </row>
    <row r="312" spans="1:16">
      <c r="A312" s="119"/>
      <c r="B312" s="2"/>
      <c r="C312" s="369"/>
      <c r="D312" s="369"/>
      <c r="E312" s="369"/>
      <c r="F312" s="370"/>
      <c r="G312" s="248" t="str">
        <f t="shared" si="20"/>
        <v/>
      </c>
      <c r="H312" s="1" t="b">
        <f>IF(B312="",FALSE,COUNTIF('従業員情報(給与以外)'!$A$4:$A$1000000,$B312)=0)</f>
        <v>0</v>
      </c>
      <c r="I312" s="9" t="b">
        <f t="shared" si="21"/>
        <v>1</v>
      </c>
      <c r="J312" s="9" t="b">
        <f t="shared" si="22"/>
        <v>1</v>
      </c>
      <c r="K312" s="9" t="b">
        <f t="shared" si="23"/>
        <v>1</v>
      </c>
      <c r="L312" s="9" t="b">
        <f t="shared" si="24"/>
        <v>1</v>
      </c>
      <c r="M312" s="1" t="b">
        <f>IF(OR(入力シート!$C$5&lt;&gt;入力リスト!$N$4,入力シート!$J$22&lt;&gt;入力リスト!$K$4),TRUE,IF($F$2=入力リスト!$Q$4,IF(F312-INT(F312)&lt;0.6,TRUE,FALSE),TRUE))</f>
        <v>1</v>
      </c>
      <c r="N312" s="9" t="str">
        <f>IF(F312="","",IF($F$2=入力リスト!$Q$4,ROUNDDOWN(INT(F312)+ROUNDDOWN((F312-INT(F312))*100,0)/60,2),従業員の給与情報!F312))</f>
        <v/>
      </c>
      <c r="O312" s="8"/>
      <c r="P312" s="8"/>
    </row>
    <row r="313" spans="1:16">
      <c r="A313" s="119"/>
      <c r="B313" s="2"/>
      <c r="C313" s="369"/>
      <c r="D313" s="369"/>
      <c r="E313" s="369"/>
      <c r="F313" s="370"/>
      <c r="G313" s="248" t="str">
        <f t="shared" si="20"/>
        <v/>
      </c>
      <c r="H313" s="1" t="b">
        <f>IF(B313="",FALSE,COUNTIF('従業員情報(給与以外)'!$A$4:$A$1000000,$B313)=0)</f>
        <v>0</v>
      </c>
      <c r="I313" s="9" t="b">
        <f t="shared" si="21"/>
        <v>1</v>
      </c>
      <c r="J313" s="9" t="b">
        <f t="shared" si="22"/>
        <v>1</v>
      </c>
      <c r="K313" s="9" t="b">
        <f t="shared" si="23"/>
        <v>1</v>
      </c>
      <c r="L313" s="9" t="b">
        <f t="shared" si="24"/>
        <v>1</v>
      </c>
      <c r="M313" s="1" t="b">
        <f>IF(OR(入力シート!$C$5&lt;&gt;入力リスト!$N$4,入力シート!$J$22&lt;&gt;入力リスト!$K$4),TRUE,IF($F$2=入力リスト!$Q$4,IF(F313-INT(F313)&lt;0.6,TRUE,FALSE),TRUE))</f>
        <v>1</v>
      </c>
      <c r="N313" s="9" t="str">
        <f>IF(F313="","",IF($F$2=入力リスト!$Q$4,ROUNDDOWN(INT(F313)+ROUNDDOWN((F313-INT(F313))*100,0)/60,2),従業員の給与情報!F313))</f>
        <v/>
      </c>
      <c r="O313" s="8"/>
      <c r="P313" s="8"/>
    </row>
    <row r="314" spans="1:16">
      <c r="A314" s="119"/>
      <c r="B314" s="2"/>
      <c r="C314" s="369"/>
      <c r="D314" s="369"/>
      <c r="E314" s="369"/>
      <c r="F314" s="370"/>
      <c r="G314" s="248" t="str">
        <f t="shared" si="20"/>
        <v/>
      </c>
      <c r="H314" s="1" t="b">
        <f>IF(B314="",FALSE,COUNTIF('従業員情報(給与以外)'!$A$4:$A$1000000,$B314)=0)</f>
        <v>0</v>
      </c>
      <c r="I314" s="9" t="b">
        <f t="shared" si="21"/>
        <v>1</v>
      </c>
      <c r="J314" s="9" t="b">
        <f t="shared" si="22"/>
        <v>1</v>
      </c>
      <c r="K314" s="9" t="b">
        <f t="shared" si="23"/>
        <v>1</v>
      </c>
      <c r="L314" s="9" t="b">
        <f t="shared" si="24"/>
        <v>1</v>
      </c>
      <c r="M314" s="1" t="b">
        <f>IF(OR(入力シート!$C$5&lt;&gt;入力リスト!$N$4,入力シート!$J$22&lt;&gt;入力リスト!$K$4),TRUE,IF($F$2=入力リスト!$Q$4,IF(F314-INT(F314)&lt;0.6,TRUE,FALSE),TRUE))</f>
        <v>1</v>
      </c>
      <c r="N314" s="9" t="str">
        <f>IF(F314="","",IF($F$2=入力リスト!$Q$4,ROUNDDOWN(INT(F314)+ROUNDDOWN((F314-INT(F314))*100,0)/60,2),従業員の給与情報!F314))</f>
        <v/>
      </c>
      <c r="O314" s="8"/>
      <c r="P314" s="8"/>
    </row>
    <row r="315" spans="1:16">
      <c r="A315" s="119"/>
      <c r="B315" s="2"/>
      <c r="C315" s="369"/>
      <c r="D315" s="369"/>
      <c r="E315" s="369"/>
      <c r="F315" s="370"/>
      <c r="G315" s="248" t="str">
        <f t="shared" si="20"/>
        <v/>
      </c>
      <c r="H315" s="1" t="b">
        <f>IF(B315="",FALSE,COUNTIF('従業員情報(給与以外)'!$A$4:$A$1000000,$B315)=0)</f>
        <v>0</v>
      </c>
      <c r="I315" s="9" t="b">
        <f t="shared" si="21"/>
        <v>1</v>
      </c>
      <c r="J315" s="9" t="b">
        <f t="shared" si="22"/>
        <v>1</v>
      </c>
      <c r="K315" s="9" t="b">
        <f t="shared" si="23"/>
        <v>1</v>
      </c>
      <c r="L315" s="9" t="b">
        <f t="shared" si="24"/>
        <v>1</v>
      </c>
      <c r="M315" s="1" t="b">
        <f>IF(OR(入力シート!$C$5&lt;&gt;入力リスト!$N$4,入力シート!$J$22&lt;&gt;入力リスト!$K$4),TRUE,IF($F$2=入力リスト!$Q$4,IF(F315-INT(F315)&lt;0.6,TRUE,FALSE),TRUE))</f>
        <v>1</v>
      </c>
      <c r="N315" s="9" t="str">
        <f>IF(F315="","",IF($F$2=入力リスト!$Q$4,ROUNDDOWN(INT(F315)+ROUNDDOWN((F315-INT(F315))*100,0)/60,2),従業員の給与情報!F315))</f>
        <v/>
      </c>
      <c r="O315" s="8"/>
      <c r="P315" s="8"/>
    </row>
    <row r="316" spans="1:16">
      <c r="A316" s="119"/>
      <c r="B316" s="2"/>
      <c r="C316" s="369"/>
      <c r="D316" s="369"/>
      <c r="E316" s="369"/>
      <c r="F316" s="370"/>
      <c r="G316" s="248" t="str">
        <f t="shared" si="20"/>
        <v/>
      </c>
      <c r="H316" s="1" t="b">
        <f>IF(B316="",FALSE,COUNTIF('従業員情報(給与以外)'!$A$4:$A$1000000,$B316)=0)</f>
        <v>0</v>
      </c>
      <c r="I316" s="9" t="b">
        <f t="shared" si="21"/>
        <v>1</v>
      </c>
      <c r="J316" s="9" t="b">
        <f t="shared" si="22"/>
        <v>1</v>
      </c>
      <c r="K316" s="9" t="b">
        <f t="shared" si="23"/>
        <v>1</v>
      </c>
      <c r="L316" s="9" t="b">
        <f t="shared" si="24"/>
        <v>1</v>
      </c>
      <c r="M316" s="1" t="b">
        <f>IF(OR(入力シート!$C$5&lt;&gt;入力リスト!$N$4,入力シート!$J$22&lt;&gt;入力リスト!$K$4),TRUE,IF($F$2=入力リスト!$Q$4,IF(F316-INT(F316)&lt;0.6,TRUE,FALSE),TRUE))</f>
        <v>1</v>
      </c>
      <c r="N316" s="9" t="str">
        <f>IF(F316="","",IF($F$2=入力リスト!$Q$4,ROUNDDOWN(INT(F316)+ROUNDDOWN((F316-INT(F316))*100,0)/60,2),従業員の給与情報!F316))</f>
        <v/>
      </c>
      <c r="O316" s="8"/>
      <c r="P316" s="8"/>
    </row>
    <row r="317" spans="1:16">
      <c r="A317" s="119"/>
      <c r="B317" s="2"/>
      <c r="C317" s="369"/>
      <c r="D317" s="369"/>
      <c r="E317" s="369"/>
      <c r="F317" s="370"/>
      <c r="G317" s="248" t="str">
        <f t="shared" si="20"/>
        <v/>
      </c>
      <c r="H317" s="1" t="b">
        <f>IF(B317="",FALSE,COUNTIF('従業員情報(給与以外)'!$A$4:$A$1000000,$B317)=0)</f>
        <v>0</v>
      </c>
      <c r="I317" s="9" t="b">
        <f t="shared" si="21"/>
        <v>1</v>
      </c>
      <c r="J317" s="9" t="b">
        <f t="shared" si="22"/>
        <v>1</v>
      </c>
      <c r="K317" s="9" t="b">
        <f t="shared" si="23"/>
        <v>1</v>
      </c>
      <c r="L317" s="9" t="b">
        <f t="shared" si="24"/>
        <v>1</v>
      </c>
      <c r="M317" s="1" t="b">
        <f>IF(OR(入力シート!$C$5&lt;&gt;入力リスト!$N$4,入力シート!$J$22&lt;&gt;入力リスト!$K$4),TRUE,IF($F$2=入力リスト!$Q$4,IF(F317-INT(F317)&lt;0.6,TRUE,FALSE),TRUE))</f>
        <v>1</v>
      </c>
      <c r="N317" s="9" t="str">
        <f>IF(F317="","",IF($F$2=入力リスト!$Q$4,ROUNDDOWN(INT(F317)+ROUNDDOWN((F317-INT(F317))*100,0)/60,2),従業員の給与情報!F317))</f>
        <v/>
      </c>
      <c r="O317" s="8"/>
      <c r="P317" s="8"/>
    </row>
    <row r="318" spans="1:16">
      <c r="A318" s="119"/>
      <c r="B318" s="2"/>
      <c r="C318" s="369"/>
      <c r="D318" s="369"/>
      <c r="E318" s="369"/>
      <c r="F318" s="370"/>
      <c r="G318" s="248" t="str">
        <f t="shared" si="20"/>
        <v/>
      </c>
      <c r="H318" s="1" t="b">
        <f>IF(B318="",FALSE,COUNTIF('従業員情報(給与以外)'!$A$4:$A$1000000,$B318)=0)</f>
        <v>0</v>
      </c>
      <c r="I318" s="9" t="b">
        <f t="shared" si="21"/>
        <v>1</v>
      </c>
      <c r="J318" s="9" t="b">
        <f t="shared" si="22"/>
        <v>1</v>
      </c>
      <c r="K318" s="9" t="b">
        <f t="shared" si="23"/>
        <v>1</v>
      </c>
      <c r="L318" s="9" t="b">
        <f t="shared" si="24"/>
        <v>1</v>
      </c>
      <c r="M318" s="1" t="b">
        <f>IF(OR(入力シート!$C$5&lt;&gt;入力リスト!$N$4,入力シート!$J$22&lt;&gt;入力リスト!$K$4),TRUE,IF($F$2=入力リスト!$Q$4,IF(F318-INT(F318)&lt;0.6,TRUE,FALSE),TRUE))</f>
        <v>1</v>
      </c>
      <c r="N318" s="9" t="str">
        <f>IF(F318="","",IF($F$2=入力リスト!$Q$4,ROUNDDOWN(INT(F318)+ROUNDDOWN((F318-INT(F318))*100,0)/60,2),従業員の給与情報!F318))</f>
        <v/>
      </c>
      <c r="O318" s="8"/>
      <c r="P318" s="8"/>
    </row>
    <row r="319" spans="1:16">
      <c r="A319" s="119"/>
      <c r="B319" s="2"/>
      <c r="C319" s="369"/>
      <c r="D319" s="369"/>
      <c r="E319" s="369"/>
      <c r="F319" s="370"/>
      <c r="G319" s="248" t="str">
        <f t="shared" si="20"/>
        <v/>
      </c>
      <c r="H319" s="1" t="b">
        <f>IF(B319="",FALSE,COUNTIF('従業員情報(給与以外)'!$A$4:$A$1000000,$B319)=0)</f>
        <v>0</v>
      </c>
      <c r="I319" s="9" t="b">
        <f t="shared" si="21"/>
        <v>1</v>
      </c>
      <c r="J319" s="9" t="b">
        <f t="shared" si="22"/>
        <v>1</v>
      </c>
      <c r="K319" s="9" t="b">
        <f t="shared" si="23"/>
        <v>1</v>
      </c>
      <c r="L319" s="9" t="b">
        <f t="shared" si="24"/>
        <v>1</v>
      </c>
      <c r="M319" s="1" t="b">
        <f>IF(OR(入力シート!$C$5&lt;&gt;入力リスト!$N$4,入力シート!$J$22&lt;&gt;入力リスト!$K$4),TRUE,IF($F$2=入力リスト!$Q$4,IF(F319-INT(F319)&lt;0.6,TRUE,FALSE),TRUE))</f>
        <v>1</v>
      </c>
      <c r="N319" s="9" t="str">
        <f>IF(F319="","",IF($F$2=入力リスト!$Q$4,ROUNDDOWN(INT(F319)+ROUNDDOWN((F319-INT(F319))*100,0)/60,2),従業員の給与情報!F319))</f>
        <v/>
      </c>
      <c r="O319" s="8"/>
      <c r="P319" s="8"/>
    </row>
    <row r="320" spans="1:16">
      <c r="A320" s="119"/>
      <c r="B320" s="2"/>
      <c r="C320" s="369"/>
      <c r="D320" s="369"/>
      <c r="E320" s="369"/>
      <c r="F320" s="370"/>
      <c r="G320" s="248" t="str">
        <f t="shared" si="20"/>
        <v/>
      </c>
      <c r="H320" s="1" t="b">
        <f>IF(B320="",FALSE,COUNTIF('従業員情報(給与以外)'!$A$4:$A$1000000,$B320)=0)</f>
        <v>0</v>
      </c>
      <c r="I320" s="9" t="b">
        <f t="shared" si="21"/>
        <v>1</v>
      </c>
      <c r="J320" s="9" t="b">
        <f t="shared" si="22"/>
        <v>1</v>
      </c>
      <c r="K320" s="9" t="b">
        <f t="shared" si="23"/>
        <v>1</v>
      </c>
      <c r="L320" s="9" t="b">
        <f t="shared" si="24"/>
        <v>1</v>
      </c>
      <c r="M320" s="1" t="b">
        <f>IF(OR(入力シート!$C$5&lt;&gt;入力リスト!$N$4,入力シート!$J$22&lt;&gt;入力リスト!$K$4),TRUE,IF($F$2=入力リスト!$Q$4,IF(F320-INT(F320)&lt;0.6,TRUE,FALSE),TRUE))</f>
        <v>1</v>
      </c>
      <c r="N320" s="9" t="str">
        <f>IF(F320="","",IF($F$2=入力リスト!$Q$4,ROUNDDOWN(INT(F320)+ROUNDDOWN((F320-INT(F320))*100,0)/60,2),従業員の給与情報!F320))</f>
        <v/>
      </c>
      <c r="O320" s="8"/>
      <c r="P320" s="8"/>
    </row>
    <row r="321" spans="1:16">
      <c r="A321" s="119"/>
      <c r="B321" s="2"/>
      <c r="C321" s="369"/>
      <c r="D321" s="369"/>
      <c r="E321" s="369"/>
      <c r="F321" s="370"/>
      <c r="G321" s="248" t="str">
        <f t="shared" si="20"/>
        <v/>
      </c>
      <c r="H321" s="1" t="b">
        <f>IF(B321="",FALSE,COUNTIF('従業員情報(給与以外)'!$A$4:$A$1000000,$B321)=0)</f>
        <v>0</v>
      </c>
      <c r="I321" s="9" t="b">
        <f t="shared" si="21"/>
        <v>1</v>
      </c>
      <c r="J321" s="9" t="b">
        <f t="shared" si="22"/>
        <v>1</v>
      </c>
      <c r="K321" s="9" t="b">
        <f t="shared" si="23"/>
        <v>1</v>
      </c>
      <c r="L321" s="9" t="b">
        <f t="shared" si="24"/>
        <v>1</v>
      </c>
      <c r="M321" s="1" t="b">
        <f>IF(OR(入力シート!$C$5&lt;&gt;入力リスト!$N$4,入力シート!$J$22&lt;&gt;入力リスト!$K$4),TRUE,IF($F$2=入力リスト!$Q$4,IF(F321-INT(F321)&lt;0.6,TRUE,FALSE),TRUE))</f>
        <v>1</v>
      </c>
      <c r="N321" s="9" t="str">
        <f>IF(F321="","",IF($F$2=入力リスト!$Q$4,ROUNDDOWN(INT(F321)+ROUNDDOWN((F321-INT(F321))*100,0)/60,2),従業員の給与情報!F321))</f>
        <v/>
      </c>
      <c r="O321" s="8"/>
      <c r="P321" s="8"/>
    </row>
    <row r="322" spans="1:16">
      <c r="A322" s="119"/>
      <c r="B322" s="2"/>
      <c r="C322" s="369"/>
      <c r="D322" s="369"/>
      <c r="E322" s="369"/>
      <c r="F322" s="370"/>
      <c r="G322" s="248" t="str">
        <f t="shared" si="20"/>
        <v/>
      </c>
      <c r="H322" s="1" t="b">
        <f>IF(B322="",FALSE,COUNTIF('従業員情報(給与以外)'!$A$4:$A$1000000,$B322)=0)</f>
        <v>0</v>
      </c>
      <c r="I322" s="9" t="b">
        <f t="shared" si="21"/>
        <v>1</v>
      </c>
      <c r="J322" s="9" t="b">
        <f t="shared" si="22"/>
        <v>1</v>
      </c>
      <c r="K322" s="9" t="b">
        <f t="shared" si="23"/>
        <v>1</v>
      </c>
      <c r="L322" s="9" t="b">
        <f t="shared" si="24"/>
        <v>1</v>
      </c>
      <c r="M322" s="1" t="b">
        <f>IF(OR(入力シート!$C$5&lt;&gt;入力リスト!$N$4,入力シート!$J$22&lt;&gt;入力リスト!$K$4),TRUE,IF($F$2=入力リスト!$Q$4,IF(F322-INT(F322)&lt;0.6,TRUE,FALSE),TRUE))</f>
        <v>1</v>
      </c>
      <c r="N322" s="9" t="str">
        <f>IF(F322="","",IF($F$2=入力リスト!$Q$4,ROUNDDOWN(INT(F322)+ROUNDDOWN((F322-INT(F322))*100,0)/60,2),従業員の給与情報!F322))</f>
        <v/>
      </c>
      <c r="O322" s="8"/>
      <c r="P322" s="8"/>
    </row>
    <row r="323" spans="1:16">
      <c r="A323" s="119"/>
      <c r="B323" s="2"/>
      <c r="C323" s="369"/>
      <c r="D323" s="369"/>
      <c r="E323" s="369"/>
      <c r="F323" s="370"/>
      <c r="G323" s="248" t="str">
        <f t="shared" si="20"/>
        <v/>
      </c>
      <c r="H323" s="1" t="b">
        <f>IF(B323="",FALSE,COUNTIF('従業員情報(給与以外)'!$A$4:$A$1000000,$B323)=0)</f>
        <v>0</v>
      </c>
      <c r="I323" s="9" t="b">
        <f t="shared" si="21"/>
        <v>1</v>
      </c>
      <c r="J323" s="9" t="b">
        <f t="shared" si="22"/>
        <v>1</v>
      </c>
      <c r="K323" s="9" t="b">
        <f t="shared" si="23"/>
        <v>1</v>
      </c>
      <c r="L323" s="9" t="b">
        <f t="shared" si="24"/>
        <v>1</v>
      </c>
      <c r="M323" s="1" t="b">
        <f>IF(OR(入力シート!$C$5&lt;&gt;入力リスト!$N$4,入力シート!$J$22&lt;&gt;入力リスト!$K$4),TRUE,IF($F$2=入力リスト!$Q$4,IF(F323-INT(F323)&lt;0.6,TRUE,FALSE),TRUE))</f>
        <v>1</v>
      </c>
      <c r="N323" s="9" t="str">
        <f>IF(F323="","",IF($F$2=入力リスト!$Q$4,ROUNDDOWN(INT(F323)+ROUNDDOWN((F323-INT(F323))*100,0)/60,2),従業員の給与情報!F323))</f>
        <v/>
      </c>
      <c r="O323" s="8"/>
      <c r="P323" s="8"/>
    </row>
    <row r="324" spans="1:16">
      <c r="A324" s="119"/>
      <c r="B324" s="2"/>
      <c r="C324" s="369"/>
      <c r="D324" s="369"/>
      <c r="E324" s="369"/>
      <c r="F324" s="370"/>
      <c r="G324" s="248" t="str">
        <f t="shared" si="20"/>
        <v/>
      </c>
      <c r="H324" s="1" t="b">
        <f>IF(B324="",FALSE,COUNTIF('従業員情報(給与以外)'!$A$4:$A$1000000,$B324)=0)</f>
        <v>0</v>
      </c>
      <c r="I324" s="9" t="b">
        <f t="shared" si="21"/>
        <v>1</v>
      </c>
      <c r="J324" s="9" t="b">
        <f t="shared" si="22"/>
        <v>1</v>
      </c>
      <c r="K324" s="9" t="b">
        <f t="shared" si="23"/>
        <v>1</v>
      </c>
      <c r="L324" s="9" t="b">
        <f t="shared" si="24"/>
        <v>1</v>
      </c>
      <c r="M324" s="1" t="b">
        <f>IF(OR(入力シート!$C$5&lt;&gt;入力リスト!$N$4,入力シート!$J$22&lt;&gt;入力リスト!$K$4),TRUE,IF($F$2=入力リスト!$Q$4,IF(F324-INT(F324)&lt;0.6,TRUE,FALSE),TRUE))</f>
        <v>1</v>
      </c>
      <c r="N324" s="9" t="str">
        <f>IF(F324="","",IF($F$2=入力リスト!$Q$4,ROUNDDOWN(INT(F324)+ROUNDDOWN((F324-INT(F324))*100,0)/60,2),従業員の給与情報!F324))</f>
        <v/>
      </c>
      <c r="O324" s="8"/>
      <c r="P324" s="8"/>
    </row>
    <row r="325" spans="1:16">
      <c r="A325" s="119"/>
      <c r="B325" s="2"/>
      <c r="C325" s="369"/>
      <c r="D325" s="369"/>
      <c r="E325" s="369"/>
      <c r="F325" s="370"/>
      <c r="G325" s="248" t="str">
        <f t="shared" ref="G325:G388" si="25">IF(AND($B325="",OR(B325&lt;&gt;"",C325&lt;&gt;"",D325&lt;&gt;"",E325&lt;&gt;"",F325&lt;&gt;"")),"従業員番号が空白です。",IF($H325=TRUE,"この従業員番号は、シート［従業員情報（給与以外）］に存在しません。",IF(I325=FALSE,"「毎月の固定給与額」","")&amp;IF(AND(I325=FALSE,OR(J325=FALSE,K325=FALSE,L325=FALSE)),",","")&amp;IF(J325=FALSE,"「賞与額等」","")&amp;IF(AND(J325=FALSE,OR(K325=FALSE,L325=FALSE)),",","")&amp;IF(K325=FALSE,"「残業手当」","")&amp;IF(AND(K325=FALSE,L325=FALSE),",","")&amp;IF(L325=FALSE,"「残業時間」","")&amp;IF(OR(I325=FALSE,J325=FALSE,K325=FALSE,L325=FALSE),"に数値以外が入力されています。","")&amp;IF(M325,"","「残業時間」を分単位で入力した場合、小数点以下の値は0.6未満にしてください。")))</f>
        <v/>
      </c>
      <c r="H325" s="1" t="b">
        <f>IF(B325="",FALSE,COUNTIF('従業員情報(給与以外)'!$A$4:$A$1000000,$B325)=0)</f>
        <v>0</v>
      </c>
      <c r="I325" s="9" t="b">
        <f t="shared" ref="I325:I388" si="26">OR(C325="",ISNUMBER(C325))</f>
        <v>1</v>
      </c>
      <c r="J325" s="9" t="b">
        <f t="shared" ref="J325:J388" si="27">OR(D325="",ISNUMBER(D325))</f>
        <v>1</v>
      </c>
      <c r="K325" s="9" t="b">
        <f t="shared" ref="K325:K388" si="28">OR(E325="",ISNUMBER(E325))</f>
        <v>1</v>
      </c>
      <c r="L325" s="9" t="b">
        <f t="shared" ref="L325:L388" si="29">OR(F325="",ISNUMBER(F325))</f>
        <v>1</v>
      </c>
      <c r="M325" s="1" t="b">
        <f>IF(OR(入力シート!$C$5&lt;&gt;入力リスト!$N$4,入力シート!$J$22&lt;&gt;入力リスト!$K$4),TRUE,IF($F$2=入力リスト!$Q$4,IF(F325-INT(F325)&lt;0.6,TRUE,FALSE),TRUE))</f>
        <v>1</v>
      </c>
      <c r="N325" s="9" t="str">
        <f>IF(F325="","",IF($F$2=入力リスト!$Q$4,ROUNDDOWN(INT(F325)+ROUNDDOWN((F325-INT(F325))*100,0)/60,2),従業員の給与情報!F325))</f>
        <v/>
      </c>
      <c r="O325" s="8"/>
      <c r="P325" s="8"/>
    </row>
    <row r="326" spans="1:16">
      <c r="A326" s="119"/>
      <c r="B326" s="2"/>
      <c r="C326" s="369"/>
      <c r="D326" s="369"/>
      <c r="E326" s="369"/>
      <c r="F326" s="370"/>
      <c r="G326" s="248" t="str">
        <f t="shared" si="25"/>
        <v/>
      </c>
      <c r="H326" s="1" t="b">
        <f>IF(B326="",FALSE,COUNTIF('従業員情報(給与以外)'!$A$4:$A$1000000,$B326)=0)</f>
        <v>0</v>
      </c>
      <c r="I326" s="9" t="b">
        <f t="shared" si="26"/>
        <v>1</v>
      </c>
      <c r="J326" s="9" t="b">
        <f t="shared" si="27"/>
        <v>1</v>
      </c>
      <c r="K326" s="9" t="b">
        <f t="shared" si="28"/>
        <v>1</v>
      </c>
      <c r="L326" s="9" t="b">
        <f t="shared" si="29"/>
        <v>1</v>
      </c>
      <c r="M326" s="1" t="b">
        <f>IF(OR(入力シート!$C$5&lt;&gt;入力リスト!$N$4,入力シート!$J$22&lt;&gt;入力リスト!$K$4),TRUE,IF($F$2=入力リスト!$Q$4,IF(F326-INT(F326)&lt;0.6,TRUE,FALSE),TRUE))</f>
        <v>1</v>
      </c>
      <c r="N326" s="9" t="str">
        <f>IF(F326="","",IF($F$2=入力リスト!$Q$4,ROUNDDOWN(INT(F326)+ROUNDDOWN((F326-INT(F326))*100,0)/60,2),従業員の給与情報!F326))</f>
        <v/>
      </c>
      <c r="O326" s="8"/>
      <c r="P326" s="8"/>
    </row>
    <row r="327" spans="1:16">
      <c r="A327" s="119"/>
      <c r="B327" s="2"/>
      <c r="C327" s="369"/>
      <c r="D327" s="369"/>
      <c r="E327" s="369"/>
      <c r="F327" s="370"/>
      <c r="G327" s="248" t="str">
        <f t="shared" si="25"/>
        <v/>
      </c>
      <c r="H327" s="1" t="b">
        <f>IF(B327="",FALSE,COUNTIF('従業員情報(給与以外)'!$A$4:$A$1000000,$B327)=0)</f>
        <v>0</v>
      </c>
      <c r="I327" s="9" t="b">
        <f t="shared" si="26"/>
        <v>1</v>
      </c>
      <c r="J327" s="9" t="b">
        <f t="shared" si="27"/>
        <v>1</v>
      </c>
      <c r="K327" s="9" t="b">
        <f t="shared" si="28"/>
        <v>1</v>
      </c>
      <c r="L327" s="9" t="b">
        <f t="shared" si="29"/>
        <v>1</v>
      </c>
      <c r="M327" s="1" t="b">
        <f>IF(OR(入力シート!$C$5&lt;&gt;入力リスト!$N$4,入力シート!$J$22&lt;&gt;入力リスト!$K$4),TRUE,IF($F$2=入力リスト!$Q$4,IF(F327-INT(F327)&lt;0.6,TRUE,FALSE),TRUE))</f>
        <v>1</v>
      </c>
      <c r="N327" s="9" t="str">
        <f>IF(F327="","",IF($F$2=入力リスト!$Q$4,ROUNDDOWN(INT(F327)+ROUNDDOWN((F327-INT(F327))*100,0)/60,2),従業員の給与情報!F327))</f>
        <v/>
      </c>
      <c r="O327" s="8"/>
      <c r="P327" s="8"/>
    </row>
    <row r="328" spans="1:16">
      <c r="A328" s="119"/>
      <c r="B328" s="2"/>
      <c r="C328" s="369"/>
      <c r="D328" s="369"/>
      <c r="E328" s="369"/>
      <c r="F328" s="370"/>
      <c r="G328" s="248" t="str">
        <f t="shared" si="25"/>
        <v/>
      </c>
      <c r="H328" s="1" t="b">
        <f>IF(B328="",FALSE,COUNTIF('従業員情報(給与以外)'!$A$4:$A$1000000,$B328)=0)</f>
        <v>0</v>
      </c>
      <c r="I328" s="9" t="b">
        <f t="shared" si="26"/>
        <v>1</v>
      </c>
      <c r="J328" s="9" t="b">
        <f t="shared" si="27"/>
        <v>1</v>
      </c>
      <c r="K328" s="9" t="b">
        <f t="shared" si="28"/>
        <v>1</v>
      </c>
      <c r="L328" s="9" t="b">
        <f t="shared" si="29"/>
        <v>1</v>
      </c>
      <c r="M328" s="1" t="b">
        <f>IF(OR(入力シート!$C$5&lt;&gt;入力リスト!$N$4,入力シート!$J$22&lt;&gt;入力リスト!$K$4),TRUE,IF($F$2=入力リスト!$Q$4,IF(F328-INT(F328)&lt;0.6,TRUE,FALSE),TRUE))</f>
        <v>1</v>
      </c>
      <c r="N328" s="9" t="str">
        <f>IF(F328="","",IF($F$2=入力リスト!$Q$4,ROUNDDOWN(INT(F328)+ROUNDDOWN((F328-INT(F328))*100,0)/60,2),従業員の給与情報!F328))</f>
        <v/>
      </c>
      <c r="O328" s="8"/>
      <c r="P328" s="8"/>
    </row>
    <row r="329" spans="1:16">
      <c r="A329" s="119"/>
      <c r="B329" s="2"/>
      <c r="C329" s="369"/>
      <c r="D329" s="369"/>
      <c r="E329" s="369"/>
      <c r="F329" s="370"/>
      <c r="G329" s="248" t="str">
        <f t="shared" si="25"/>
        <v/>
      </c>
      <c r="H329" s="1" t="b">
        <f>IF(B329="",FALSE,COUNTIF('従業員情報(給与以外)'!$A$4:$A$1000000,$B329)=0)</f>
        <v>0</v>
      </c>
      <c r="I329" s="9" t="b">
        <f t="shared" si="26"/>
        <v>1</v>
      </c>
      <c r="J329" s="9" t="b">
        <f t="shared" si="27"/>
        <v>1</v>
      </c>
      <c r="K329" s="9" t="b">
        <f t="shared" si="28"/>
        <v>1</v>
      </c>
      <c r="L329" s="9" t="b">
        <f t="shared" si="29"/>
        <v>1</v>
      </c>
      <c r="M329" s="1" t="b">
        <f>IF(OR(入力シート!$C$5&lt;&gt;入力リスト!$N$4,入力シート!$J$22&lt;&gt;入力リスト!$K$4),TRUE,IF($F$2=入力リスト!$Q$4,IF(F329-INT(F329)&lt;0.6,TRUE,FALSE),TRUE))</f>
        <v>1</v>
      </c>
      <c r="N329" s="9" t="str">
        <f>IF(F329="","",IF($F$2=入力リスト!$Q$4,ROUNDDOWN(INT(F329)+ROUNDDOWN((F329-INT(F329))*100,0)/60,2),従業員の給与情報!F329))</f>
        <v/>
      </c>
      <c r="O329" s="8"/>
      <c r="P329" s="8"/>
    </row>
    <row r="330" spans="1:16">
      <c r="A330" s="119"/>
      <c r="B330" s="2"/>
      <c r="C330" s="369"/>
      <c r="D330" s="369"/>
      <c r="E330" s="369"/>
      <c r="F330" s="370"/>
      <c r="G330" s="248" t="str">
        <f t="shared" si="25"/>
        <v/>
      </c>
      <c r="H330" s="1" t="b">
        <f>IF(B330="",FALSE,COUNTIF('従業員情報(給与以外)'!$A$4:$A$1000000,$B330)=0)</f>
        <v>0</v>
      </c>
      <c r="I330" s="9" t="b">
        <f t="shared" si="26"/>
        <v>1</v>
      </c>
      <c r="J330" s="9" t="b">
        <f t="shared" si="27"/>
        <v>1</v>
      </c>
      <c r="K330" s="9" t="b">
        <f t="shared" si="28"/>
        <v>1</v>
      </c>
      <c r="L330" s="9" t="b">
        <f t="shared" si="29"/>
        <v>1</v>
      </c>
      <c r="M330" s="1" t="b">
        <f>IF(OR(入力シート!$C$5&lt;&gt;入力リスト!$N$4,入力シート!$J$22&lt;&gt;入力リスト!$K$4),TRUE,IF($F$2=入力リスト!$Q$4,IF(F330-INT(F330)&lt;0.6,TRUE,FALSE),TRUE))</f>
        <v>1</v>
      </c>
      <c r="N330" s="9" t="str">
        <f>IF(F330="","",IF($F$2=入力リスト!$Q$4,ROUNDDOWN(INT(F330)+ROUNDDOWN((F330-INT(F330))*100,0)/60,2),従業員の給与情報!F330))</f>
        <v/>
      </c>
      <c r="O330" s="8"/>
      <c r="P330" s="8"/>
    </row>
    <row r="331" spans="1:16">
      <c r="A331" s="119"/>
      <c r="B331" s="2"/>
      <c r="C331" s="369"/>
      <c r="D331" s="369"/>
      <c r="E331" s="369"/>
      <c r="F331" s="370"/>
      <c r="G331" s="248" t="str">
        <f t="shared" si="25"/>
        <v/>
      </c>
      <c r="H331" s="1" t="b">
        <f>IF(B331="",FALSE,COUNTIF('従業員情報(給与以外)'!$A$4:$A$1000000,$B331)=0)</f>
        <v>0</v>
      </c>
      <c r="I331" s="9" t="b">
        <f t="shared" si="26"/>
        <v>1</v>
      </c>
      <c r="J331" s="9" t="b">
        <f t="shared" si="27"/>
        <v>1</v>
      </c>
      <c r="K331" s="9" t="b">
        <f t="shared" si="28"/>
        <v>1</v>
      </c>
      <c r="L331" s="9" t="b">
        <f t="shared" si="29"/>
        <v>1</v>
      </c>
      <c r="M331" s="1" t="b">
        <f>IF(OR(入力シート!$C$5&lt;&gt;入力リスト!$N$4,入力シート!$J$22&lt;&gt;入力リスト!$K$4),TRUE,IF($F$2=入力リスト!$Q$4,IF(F331-INT(F331)&lt;0.6,TRUE,FALSE),TRUE))</f>
        <v>1</v>
      </c>
      <c r="N331" s="9" t="str">
        <f>IF(F331="","",IF($F$2=入力リスト!$Q$4,ROUNDDOWN(INT(F331)+ROUNDDOWN((F331-INT(F331))*100,0)/60,2),従業員の給与情報!F331))</f>
        <v/>
      </c>
      <c r="O331" s="8"/>
      <c r="P331" s="8"/>
    </row>
    <row r="332" spans="1:16">
      <c r="A332" s="119"/>
      <c r="B332" s="2"/>
      <c r="C332" s="369"/>
      <c r="D332" s="369"/>
      <c r="E332" s="369"/>
      <c r="F332" s="370"/>
      <c r="G332" s="248" t="str">
        <f t="shared" si="25"/>
        <v/>
      </c>
      <c r="H332" s="1" t="b">
        <f>IF(B332="",FALSE,COUNTIF('従業員情報(給与以外)'!$A$4:$A$1000000,$B332)=0)</f>
        <v>0</v>
      </c>
      <c r="I332" s="9" t="b">
        <f t="shared" si="26"/>
        <v>1</v>
      </c>
      <c r="J332" s="9" t="b">
        <f t="shared" si="27"/>
        <v>1</v>
      </c>
      <c r="K332" s="9" t="b">
        <f t="shared" si="28"/>
        <v>1</v>
      </c>
      <c r="L332" s="9" t="b">
        <f t="shared" si="29"/>
        <v>1</v>
      </c>
      <c r="M332" s="1" t="b">
        <f>IF(OR(入力シート!$C$5&lt;&gt;入力リスト!$N$4,入力シート!$J$22&lt;&gt;入力リスト!$K$4),TRUE,IF($F$2=入力リスト!$Q$4,IF(F332-INT(F332)&lt;0.6,TRUE,FALSE),TRUE))</f>
        <v>1</v>
      </c>
      <c r="N332" s="9" t="str">
        <f>IF(F332="","",IF($F$2=入力リスト!$Q$4,ROUNDDOWN(INT(F332)+ROUNDDOWN((F332-INT(F332))*100,0)/60,2),従業員の給与情報!F332))</f>
        <v/>
      </c>
      <c r="O332" s="8"/>
      <c r="P332" s="8"/>
    </row>
    <row r="333" spans="1:16">
      <c r="A333" s="119"/>
      <c r="B333" s="2"/>
      <c r="C333" s="369"/>
      <c r="D333" s="369"/>
      <c r="E333" s="369"/>
      <c r="F333" s="370"/>
      <c r="G333" s="248" t="str">
        <f t="shared" si="25"/>
        <v/>
      </c>
      <c r="H333" s="1" t="b">
        <f>IF(B333="",FALSE,COUNTIF('従業員情報(給与以外)'!$A$4:$A$1000000,$B333)=0)</f>
        <v>0</v>
      </c>
      <c r="I333" s="9" t="b">
        <f t="shared" si="26"/>
        <v>1</v>
      </c>
      <c r="J333" s="9" t="b">
        <f t="shared" si="27"/>
        <v>1</v>
      </c>
      <c r="K333" s="9" t="b">
        <f t="shared" si="28"/>
        <v>1</v>
      </c>
      <c r="L333" s="9" t="b">
        <f t="shared" si="29"/>
        <v>1</v>
      </c>
      <c r="M333" s="1" t="b">
        <f>IF(OR(入力シート!$C$5&lt;&gt;入力リスト!$N$4,入力シート!$J$22&lt;&gt;入力リスト!$K$4),TRUE,IF($F$2=入力リスト!$Q$4,IF(F333-INT(F333)&lt;0.6,TRUE,FALSE),TRUE))</f>
        <v>1</v>
      </c>
      <c r="N333" s="9" t="str">
        <f>IF(F333="","",IF($F$2=入力リスト!$Q$4,ROUNDDOWN(INT(F333)+ROUNDDOWN((F333-INT(F333))*100,0)/60,2),従業員の給与情報!F333))</f>
        <v/>
      </c>
      <c r="O333" s="8"/>
      <c r="P333" s="8"/>
    </row>
    <row r="334" spans="1:16">
      <c r="A334" s="119"/>
      <c r="B334" s="2"/>
      <c r="C334" s="369"/>
      <c r="D334" s="369"/>
      <c r="E334" s="369"/>
      <c r="F334" s="370"/>
      <c r="G334" s="248" t="str">
        <f t="shared" si="25"/>
        <v/>
      </c>
      <c r="H334" s="1" t="b">
        <f>IF(B334="",FALSE,COUNTIF('従業員情報(給与以外)'!$A$4:$A$1000000,$B334)=0)</f>
        <v>0</v>
      </c>
      <c r="I334" s="9" t="b">
        <f t="shared" si="26"/>
        <v>1</v>
      </c>
      <c r="J334" s="9" t="b">
        <f t="shared" si="27"/>
        <v>1</v>
      </c>
      <c r="K334" s="9" t="b">
        <f t="shared" si="28"/>
        <v>1</v>
      </c>
      <c r="L334" s="9" t="b">
        <f t="shared" si="29"/>
        <v>1</v>
      </c>
      <c r="M334" s="1" t="b">
        <f>IF(OR(入力シート!$C$5&lt;&gt;入力リスト!$N$4,入力シート!$J$22&lt;&gt;入力リスト!$K$4),TRUE,IF($F$2=入力リスト!$Q$4,IF(F334-INT(F334)&lt;0.6,TRUE,FALSE),TRUE))</f>
        <v>1</v>
      </c>
      <c r="N334" s="9" t="str">
        <f>IF(F334="","",IF($F$2=入力リスト!$Q$4,ROUNDDOWN(INT(F334)+ROUNDDOWN((F334-INT(F334))*100,0)/60,2),従業員の給与情報!F334))</f>
        <v/>
      </c>
      <c r="O334" s="8"/>
      <c r="P334" s="8"/>
    </row>
    <row r="335" spans="1:16">
      <c r="A335" s="119"/>
      <c r="B335" s="2"/>
      <c r="C335" s="369"/>
      <c r="D335" s="369"/>
      <c r="E335" s="369"/>
      <c r="F335" s="370"/>
      <c r="G335" s="248" t="str">
        <f t="shared" si="25"/>
        <v/>
      </c>
      <c r="H335" s="1" t="b">
        <f>IF(B335="",FALSE,COUNTIF('従業員情報(給与以外)'!$A$4:$A$1000000,$B335)=0)</f>
        <v>0</v>
      </c>
      <c r="I335" s="9" t="b">
        <f t="shared" si="26"/>
        <v>1</v>
      </c>
      <c r="J335" s="9" t="b">
        <f t="shared" si="27"/>
        <v>1</v>
      </c>
      <c r="K335" s="9" t="b">
        <f t="shared" si="28"/>
        <v>1</v>
      </c>
      <c r="L335" s="9" t="b">
        <f t="shared" si="29"/>
        <v>1</v>
      </c>
      <c r="M335" s="1" t="b">
        <f>IF(OR(入力シート!$C$5&lt;&gt;入力リスト!$N$4,入力シート!$J$22&lt;&gt;入力リスト!$K$4),TRUE,IF($F$2=入力リスト!$Q$4,IF(F335-INT(F335)&lt;0.6,TRUE,FALSE),TRUE))</f>
        <v>1</v>
      </c>
      <c r="N335" s="9" t="str">
        <f>IF(F335="","",IF($F$2=入力リスト!$Q$4,ROUNDDOWN(INT(F335)+ROUNDDOWN((F335-INT(F335))*100,0)/60,2),従業員の給与情報!F335))</f>
        <v/>
      </c>
      <c r="O335" s="8"/>
      <c r="P335" s="8"/>
    </row>
    <row r="336" spans="1:16">
      <c r="A336" s="119"/>
      <c r="B336" s="2"/>
      <c r="C336" s="369"/>
      <c r="D336" s="369"/>
      <c r="E336" s="369"/>
      <c r="F336" s="370"/>
      <c r="G336" s="248" t="str">
        <f t="shared" si="25"/>
        <v/>
      </c>
      <c r="H336" s="1" t="b">
        <f>IF(B336="",FALSE,COUNTIF('従業員情報(給与以外)'!$A$4:$A$1000000,$B336)=0)</f>
        <v>0</v>
      </c>
      <c r="I336" s="9" t="b">
        <f t="shared" si="26"/>
        <v>1</v>
      </c>
      <c r="J336" s="9" t="b">
        <f t="shared" si="27"/>
        <v>1</v>
      </c>
      <c r="K336" s="9" t="b">
        <f t="shared" si="28"/>
        <v>1</v>
      </c>
      <c r="L336" s="9" t="b">
        <f t="shared" si="29"/>
        <v>1</v>
      </c>
      <c r="M336" s="1" t="b">
        <f>IF(OR(入力シート!$C$5&lt;&gt;入力リスト!$N$4,入力シート!$J$22&lt;&gt;入力リスト!$K$4),TRUE,IF($F$2=入力リスト!$Q$4,IF(F336-INT(F336)&lt;0.6,TRUE,FALSE),TRUE))</f>
        <v>1</v>
      </c>
      <c r="N336" s="9" t="str">
        <f>IF(F336="","",IF($F$2=入力リスト!$Q$4,ROUNDDOWN(INT(F336)+ROUNDDOWN((F336-INT(F336))*100,0)/60,2),従業員の給与情報!F336))</f>
        <v/>
      </c>
      <c r="O336" s="8"/>
      <c r="P336" s="8"/>
    </row>
    <row r="337" spans="1:16">
      <c r="A337" s="119"/>
      <c r="B337" s="2"/>
      <c r="C337" s="369"/>
      <c r="D337" s="369"/>
      <c r="E337" s="369"/>
      <c r="F337" s="370"/>
      <c r="G337" s="248" t="str">
        <f t="shared" si="25"/>
        <v/>
      </c>
      <c r="H337" s="1" t="b">
        <f>IF(B337="",FALSE,COUNTIF('従業員情報(給与以外)'!$A$4:$A$1000000,$B337)=0)</f>
        <v>0</v>
      </c>
      <c r="I337" s="9" t="b">
        <f t="shared" si="26"/>
        <v>1</v>
      </c>
      <c r="J337" s="9" t="b">
        <f t="shared" si="27"/>
        <v>1</v>
      </c>
      <c r="K337" s="9" t="b">
        <f t="shared" si="28"/>
        <v>1</v>
      </c>
      <c r="L337" s="9" t="b">
        <f t="shared" si="29"/>
        <v>1</v>
      </c>
      <c r="M337" s="1" t="b">
        <f>IF(OR(入力シート!$C$5&lt;&gt;入力リスト!$N$4,入力シート!$J$22&lt;&gt;入力リスト!$K$4),TRUE,IF($F$2=入力リスト!$Q$4,IF(F337-INT(F337)&lt;0.6,TRUE,FALSE),TRUE))</f>
        <v>1</v>
      </c>
      <c r="N337" s="9" t="str">
        <f>IF(F337="","",IF($F$2=入力リスト!$Q$4,ROUNDDOWN(INT(F337)+ROUNDDOWN((F337-INT(F337))*100,0)/60,2),従業員の給与情報!F337))</f>
        <v/>
      </c>
      <c r="O337" s="8"/>
      <c r="P337" s="8"/>
    </row>
    <row r="338" spans="1:16">
      <c r="A338" s="119"/>
      <c r="B338" s="2"/>
      <c r="C338" s="369"/>
      <c r="D338" s="369"/>
      <c r="E338" s="369"/>
      <c r="F338" s="370"/>
      <c r="G338" s="248" t="str">
        <f t="shared" si="25"/>
        <v/>
      </c>
      <c r="H338" s="1" t="b">
        <f>IF(B338="",FALSE,COUNTIF('従業員情報(給与以外)'!$A$4:$A$1000000,$B338)=0)</f>
        <v>0</v>
      </c>
      <c r="I338" s="9" t="b">
        <f t="shared" si="26"/>
        <v>1</v>
      </c>
      <c r="J338" s="9" t="b">
        <f t="shared" si="27"/>
        <v>1</v>
      </c>
      <c r="K338" s="9" t="b">
        <f t="shared" si="28"/>
        <v>1</v>
      </c>
      <c r="L338" s="9" t="b">
        <f t="shared" si="29"/>
        <v>1</v>
      </c>
      <c r="M338" s="1" t="b">
        <f>IF(OR(入力シート!$C$5&lt;&gt;入力リスト!$N$4,入力シート!$J$22&lt;&gt;入力リスト!$K$4),TRUE,IF($F$2=入力リスト!$Q$4,IF(F338-INT(F338)&lt;0.6,TRUE,FALSE),TRUE))</f>
        <v>1</v>
      </c>
      <c r="N338" s="9" t="str">
        <f>IF(F338="","",IF($F$2=入力リスト!$Q$4,ROUNDDOWN(INT(F338)+ROUNDDOWN((F338-INT(F338))*100,0)/60,2),従業員の給与情報!F338))</f>
        <v/>
      </c>
      <c r="O338" s="8"/>
      <c r="P338" s="8"/>
    </row>
    <row r="339" spans="1:16">
      <c r="A339" s="119"/>
      <c r="B339" s="2"/>
      <c r="C339" s="369"/>
      <c r="D339" s="369"/>
      <c r="E339" s="369"/>
      <c r="F339" s="370"/>
      <c r="G339" s="248" t="str">
        <f t="shared" si="25"/>
        <v/>
      </c>
      <c r="H339" s="1" t="b">
        <f>IF(B339="",FALSE,COUNTIF('従業員情報(給与以外)'!$A$4:$A$1000000,$B339)=0)</f>
        <v>0</v>
      </c>
      <c r="I339" s="9" t="b">
        <f t="shared" si="26"/>
        <v>1</v>
      </c>
      <c r="J339" s="9" t="b">
        <f t="shared" si="27"/>
        <v>1</v>
      </c>
      <c r="K339" s="9" t="b">
        <f t="shared" si="28"/>
        <v>1</v>
      </c>
      <c r="L339" s="9" t="b">
        <f t="shared" si="29"/>
        <v>1</v>
      </c>
      <c r="M339" s="1" t="b">
        <f>IF(OR(入力シート!$C$5&lt;&gt;入力リスト!$N$4,入力シート!$J$22&lt;&gt;入力リスト!$K$4),TRUE,IF($F$2=入力リスト!$Q$4,IF(F339-INT(F339)&lt;0.6,TRUE,FALSE),TRUE))</f>
        <v>1</v>
      </c>
      <c r="N339" s="9" t="str">
        <f>IF(F339="","",IF($F$2=入力リスト!$Q$4,ROUNDDOWN(INT(F339)+ROUNDDOWN((F339-INT(F339))*100,0)/60,2),従業員の給与情報!F339))</f>
        <v/>
      </c>
      <c r="O339" s="8"/>
      <c r="P339" s="8"/>
    </row>
    <row r="340" spans="1:16">
      <c r="A340" s="119"/>
      <c r="B340" s="2"/>
      <c r="C340" s="369"/>
      <c r="D340" s="369"/>
      <c r="E340" s="369"/>
      <c r="F340" s="370"/>
      <c r="G340" s="248" t="str">
        <f t="shared" si="25"/>
        <v/>
      </c>
      <c r="H340" s="1" t="b">
        <f>IF(B340="",FALSE,COUNTIF('従業員情報(給与以外)'!$A$4:$A$1000000,$B340)=0)</f>
        <v>0</v>
      </c>
      <c r="I340" s="9" t="b">
        <f t="shared" si="26"/>
        <v>1</v>
      </c>
      <c r="J340" s="9" t="b">
        <f t="shared" si="27"/>
        <v>1</v>
      </c>
      <c r="K340" s="9" t="b">
        <f t="shared" si="28"/>
        <v>1</v>
      </c>
      <c r="L340" s="9" t="b">
        <f t="shared" si="29"/>
        <v>1</v>
      </c>
      <c r="M340" s="1" t="b">
        <f>IF(OR(入力シート!$C$5&lt;&gt;入力リスト!$N$4,入力シート!$J$22&lt;&gt;入力リスト!$K$4),TRUE,IF($F$2=入力リスト!$Q$4,IF(F340-INT(F340)&lt;0.6,TRUE,FALSE),TRUE))</f>
        <v>1</v>
      </c>
      <c r="N340" s="9" t="str">
        <f>IF(F340="","",IF($F$2=入力リスト!$Q$4,ROUNDDOWN(INT(F340)+ROUNDDOWN((F340-INT(F340))*100,0)/60,2),従業員の給与情報!F340))</f>
        <v/>
      </c>
      <c r="O340" s="8"/>
      <c r="P340" s="8"/>
    </row>
    <row r="341" spans="1:16">
      <c r="A341" s="119"/>
      <c r="B341" s="2"/>
      <c r="C341" s="369"/>
      <c r="D341" s="369"/>
      <c r="E341" s="369"/>
      <c r="F341" s="370"/>
      <c r="G341" s="248" t="str">
        <f t="shared" si="25"/>
        <v/>
      </c>
      <c r="H341" s="1" t="b">
        <f>IF(B341="",FALSE,COUNTIF('従業員情報(給与以外)'!$A$4:$A$1000000,$B341)=0)</f>
        <v>0</v>
      </c>
      <c r="I341" s="9" t="b">
        <f t="shared" si="26"/>
        <v>1</v>
      </c>
      <c r="J341" s="9" t="b">
        <f t="shared" si="27"/>
        <v>1</v>
      </c>
      <c r="K341" s="9" t="b">
        <f t="shared" si="28"/>
        <v>1</v>
      </c>
      <c r="L341" s="9" t="b">
        <f t="shared" si="29"/>
        <v>1</v>
      </c>
      <c r="M341" s="1" t="b">
        <f>IF(OR(入力シート!$C$5&lt;&gt;入力リスト!$N$4,入力シート!$J$22&lt;&gt;入力リスト!$K$4),TRUE,IF($F$2=入力リスト!$Q$4,IF(F341-INT(F341)&lt;0.6,TRUE,FALSE),TRUE))</f>
        <v>1</v>
      </c>
      <c r="N341" s="9" t="str">
        <f>IF(F341="","",IF($F$2=入力リスト!$Q$4,ROUNDDOWN(INT(F341)+ROUNDDOWN((F341-INT(F341))*100,0)/60,2),従業員の給与情報!F341))</f>
        <v/>
      </c>
      <c r="O341" s="8"/>
      <c r="P341" s="8"/>
    </row>
    <row r="342" spans="1:16">
      <c r="A342" s="119"/>
      <c r="B342" s="2"/>
      <c r="C342" s="369"/>
      <c r="D342" s="369"/>
      <c r="E342" s="369"/>
      <c r="F342" s="370"/>
      <c r="G342" s="248" t="str">
        <f t="shared" si="25"/>
        <v/>
      </c>
      <c r="H342" s="1" t="b">
        <f>IF(B342="",FALSE,COUNTIF('従業員情報(給与以外)'!$A$4:$A$1000000,$B342)=0)</f>
        <v>0</v>
      </c>
      <c r="I342" s="9" t="b">
        <f t="shared" si="26"/>
        <v>1</v>
      </c>
      <c r="J342" s="9" t="b">
        <f t="shared" si="27"/>
        <v>1</v>
      </c>
      <c r="K342" s="9" t="b">
        <f t="shared" si="28"/>
        <v>1</v>
      </c>
      <c r="L342" s="9" t="b">
        <f t="shared" si="29"/>
        <v>1</v>
      </c>
      <c r="M342" s="1" t="b">
        <f>IF(OR(入力シート!$C$5&lt;&gt;入力リスト!$N$4,入力シート!$J$22&lt;&gt;入力リスト!$K$4),TRUE,IF($F$2=入力リスト!$Q$4,IF(F342-INT(F342)&lt;0.6,TRUE,FALSE),TRUE))</f>
        <v>1</v>
      </c>
      <c r="N342" s="9" t="str">
        <f>IF(F342="","",IF($F$2=入力リスト!$Q$4,ROUNDDOWN(INT(F342)+ROUNDDOWN((F342-INT(F342))*100,0)/60,2),従業員の給与情報!F342))</f>
        <v/>
      </c>
      <c r="O342" s="8"/>
      <c r="P342" s="8"/>
    </row>
    <row r="343" spans="1:16">
      <c r="A343" s="119"/>
      <c r="B343" s="2"/>
      <c r="C343" s="369"/>
      <c r="D343" s="369"/>
      <c r="E343" s="369"/>
      <c r="F343" s="370"/>
      <c r="G343" s="248" t="str">
        <f t="shared" si="25"/>
        <v/>
      </c>
      <c r="H343" s="1" t="b">
        <f>IF(B343="",FALSE,COUNTIF('従業員情報(給与以外)'!$A$4:$A$1000000,$B343)=0)</f>
        <v>0</v>
      </c>
      <c r="I343" s="9" t="b">
        <f t="shared" si="26"/>
        <v>1</v>
      </c>
      <c r="J343" s="9" t="b">
        <f t="shared" si="27"/>
        <v>1</v>
      </c>
      <c r="K343" s="9" t="b">
        <f t="shared" si="28"/>
        <v>1</v>
      </c>
      <c r="L343" s="9" t="b">
        <f t="shared" si="29"/>
        <v>1</v>
      </c>
      <c r="M343" s="1" t="b">
        <f>IF(OR(入力シート!$C$5&lt;&gt;入力リスト!$N$4,入力シート!$J$22&lt;&gt;入力リスト!$K$4),TRUE,IF($F$2=入力リスト!$Q$4,IF(F343-INT(F343)&lt;0.6,TRUE,FALSE),TRUE))</f>
        <v>1</v>
      </c>
      <c r="N343" s="9" t="str">
        <f>IF(F343="","",IF($F$2=入力リスト!$Q$4,ROUNDDOWN(INT(F343)+ROUNDDOWN((F343-INT(F343))*100,0)/60,2),従業員の給与情報!F343))</f>
        <v/>
      </c>
      <c r="O343" s="8"/>
      <c r="P343" s="8"/>
    </row>
    <row r="344" spans="1:16">
      <c r="A344" s="119"/>
      <c r="B344" s="2"/>
      <c r="C344" s="369"/>
      <c r="D344" s="369"/>
      <c r="E344" s="369"/>
      <c r="F344" s="370"/>
      <c r="G344" s="248" t="str">
        <f t="shared" si="25"/>
        <v/>
      </c>
      <c r="H344" s="1" t="b">
        <f>IF(B344="",FALSE,COUNTIF('従業員情報(給与以外)'!$A$4:$A$1000000,$B344)=0)</f>
        <v>0</v>
      </c>
      <c r="I344" s="9" t="b">
        <f t="shared" si="26"/>
        <v>1</v>
      </c>
      <c r="J344" s="9" t="b">
        <f t="shared" si="27"/>
        <v>1</v>
      </c>
      <c r="K344" s="9" t="b">
        <f t="shared" si="28"/>
        <v>1</v>
      </c>
      <c r="L344" s="9" t="b">
        <f t="shared" si="29"/>
        <v>1</v>
      </c>
      <c r="M344" s="1" t="b">
        <f>IF(OR(入力シート!$C$5&lt;&gt;入力リスト!$N$4,入力シート!$J$22&lt;&gt;入力リスト!$K$4),TRUE,IF($F$2=入力リスト!$Q$4,IF(F344-INT(F344)&lt;0.6,TRUE,FALSE),TRUE))</f>
        <v>1</v>
      </c>
      <c r="N344" s="9" t="str">
        <f>IF(F344="","",IF($F$2=入力リスト!$Q$4,ROUNDDOWN(INT(F344)+ROUNDDOWN((F344-INT(F344))*100,0)/60,2),従業員の給与情報!F344))</f>
        <v/>
      </c>
      <c r="O344" s="8"/>
      <c r="P344" s="8"/>
    </row>
    <row r="345" spans="1:16">
      <c r="A345" s="119"/>
      <c r="B345" s="2"/>
      <c r="C345" s="369"/>
      <c r="D345" s="369"/>
      <c r="E345" s="369"/>
      <c r="F345" s="370"/>
      <c r="G345" s="248" t="str">
        <f t="shared" si="25"/>
        <v/>
      </c>
      <c r="H345" s="1" t="b">
        <f>IF(B345="",FALSE,COUNTIF('従業員情報(給与以外)'!$A$4:$A$1000000,$B345)=0)</f>
        <v>0</v>
      </c>
      <c r="I345" s="9" t="b">
        <f t="shared" si="26"/>
        <v>1</v>
      </c>
      <c r="J345" s="9" t="b">
        <f t="shared" si="27"/>
        <v>1</v>
      </c>
      <c r="K345" s="9" t="b">
        <f t="shared" si="28"/>
        <v>1</v>
      </c>
      <c r="L345" s="9" t="b">
        <f t="shared" si="29"/>
        <v>1</v>
      </c>
      <c r="M345" s="1" t="b">
        <f>IF(OR(入力シート!$C$5&lt;&gt;入力リスト!$N$4,入力シート!$J$22&lt;&gt;入力リスト!$K$4),TRUE,IF($F$2=入力リスト!$Q$4,IF(F345-INT(F345)&lt;0.6,TRUE,FALSE),TRUE))</f>
        <v>1</v>
      </c>
      <c r="N345" s="9" t="str">
        <f>IF(F345="","",IF($F$2=入力リスト!$Q$4,ROUNDDOWN(INT(F345)+ROUNDDOWN((F345-INT(F345))*100,0)/60,2),従業員の給与情報!F345))</f>
        <v/>
      </c>
      <c r="O345" s="8"/>
      <c r="P345" s="8"/>
    </row>
    <row r="346" spans="1:16">
      <c r="A346" s="119"/>
      <c r="B346" s="2"/>
      <c r="C346" s="369"/>
      <c r="D346" s="369"/>
      <c r="E346" s="369"/>
      <c r="F346" s="370"/>
      <c r="G346" s="248" t="str">
        <f t="shared" si="25"/>
        <v/>
      </c>
      <c r="H346" s="1" t="b">
        <f>IF(B346="",FALSE,COUNTIF('従業員情報(給与以外)'!$A$4:$A$1000000,$B346)=0)</f>
        <v>0</v>
      </c>
      <c r="I346" s="9" t="b">
        <f t="shared" si="26"/>
        <v>1</v>
      </c>
      <c r="J346" s="9" t="b">
        <f t="shared" si="27"/>
        <v>1</v>
      </c>
      <c r="K346" s="9" t="b">
        <f t="shared" si="28"/>
        <v>1</v>
      </c>
      <c r="L346" s="9" t="b">
        <f t="shared" si="29"/>
        <v>1</v>
      </c>
      <c r="M346" s="1" t="b">
        <f>IF(OR(入力シート!$C$5&lt;&gt;入力リスト!$N$4,入力シート!$J$22&lt;&gt;入力リスト!$K$4),TRUE,IF($F$2=入力リスト!$Q$4,IF(F346-INT(F346)&lt;0.6,TRUE,FALSE),TRUE))</f>
        <v>1</v>
      </c>
      <c r="N346" s="9" t="str">
        <f>IF(F346="","",IF($F$2=入力リスト!$Q$4,ROUNDDOWN(INT(F346)+ROUNDDOWN((F346-INT(F346))*100,0)/60,2),従業員の給与情報!F346))</f>
        <v/>
      </c>
      <c r="O346" s="8"/>
      <c r="P346" s="8"/>
    </row>
    <row r="347" spans="1:16">
      <c r="A347" s="119"/>
      <c r="B347" s="2"/>
      <c r="C347" s="369"/>
      <c r="D347" s="369"/>
      <c r="E347" s="369"/>
      <c r="F347" s="370"/>
      <c r="G347" s="248" t="str">
        <f t="shared" si="25"/>
        <v/>
      </c>
      <c r="H347" s="1" t="b">
        <f>IF(B347="",FALSE,COUNTIF('従業員情報(給与以外)'!$A$4:$A$1000000,$B347)=0)</f>
        <v>0</v>
      </c>
      <c r="I347" s="9" t="b">
        <f t="shared" si="26"/>
        <v>1</v>
      </c>
      <c r="J347" s="9" t="b">
        <f t="shared" si="27"/>
        <v>1</v>
      </c>
      <c r="K347" s="9" t="b">
        <f t="shared" si="28"/>
        <v>1</v>
      </c>
      <c r="L347" s="9" t="b">
        <f t="shared" si="29"/>
        <v>1</v>
      </c>
      <c r="M347" s="1" t="b">
        <f>IF(OR(入力シート!$C$5&lt;&gt;入力リスト!$N$4,入力シート!$J$22&lt;&gt;入力リスト!$K$4),TRUE,IF($F$2=入力リスト!$Q$4,IF(F347-INT(F347)&lt;0.6,TRUE,FALSE),TRUE))</f>
        <v>1</v>
      </c>
      <c r="N347" s="9" t="str">
        <f>IF(F347="","",IF($F$2=入力リスト!$Q$4,ROUNDDOWN(INT(F347)+ROUNDDOWN((F347-INT(F347))*100,0)/60,2),従業員の給与情報!F347))</f>
        <v/>
      </c>
      <c r="O347" s="8"/>
      <c r="P347" s="8"/>
    </row>
    <row r="348" spans="1:16">
      <c r="A348" s="119"/>
      <c r="B348" s="2"/>
      <c r="C348" s="369"/>
      <c r="D348" s="369"/>
      <c r="E348" s="369"/>
      <c r="F348" s="370"/>
      <c r="G348" s="248" t="str">
        <f t="shared" si="25"/>
        <v/>
      </c>
      <c r="H348" s="1" t="b">
        <f>IF(B348="",FALSE,COUNTIF('従業員情報(給与以外)'!$A$4:$A$1000000,$B348)=0)</f>
        <v>0</v>
      </c>
      <c r="I348" s="9" t="b">
        <f t="shared" si="26"/>
        <v>1</v>
      </c>
      <c r="J348" s="9" t="b">
        <f t="shared" si="27"/>
        <v>1</v>
      </c>
      <c r="K348" s="9" t="b">
        <f t="shared" si="28"/>
        <v>1</v>
      </c>
      <c r="L348" s="9" t="b">
        <f t="shared" si="29"/>
        <v>1</v>
      </c>
      <c r="M348" s="1" t="b">
        <f>IF(OR(入力シート!$C$5&lt;&gt;入力リスト!$N$4,入力シート!$J$22&lt;&gt;入力リスト!$K$4),TRUE,IF($F$2=入力リスト!$Q$4,IF(F348-INT(F348)&lt;0.6,TRUE,FALSE),TRUE))</f>
        <v>1</v>
      </c>
      <c r="N348" s="9" t="str">
        <f>IF(F348="","",IF($F$2=入力リスト!$Q$4,ROUNDDOWN(INT(F348)+ROUNDDOWN((F348-INT(F348))*100,0)/60,2),従業員の給与情報!F348))</f>
        <v/>
      </c>
      <c r="O348" s="8"/>
      <c r="P348" s="8"/>
    </row>
    <row r="349" spans="1:16">
      <c r="A349" s="119"/>
      <c r="B349" s="2"/>
      <c r="C349" s="369"/>
      <c r="D349" s="369"/>
      <c r="E349" s="369"/>
      <c r="F349" s="370"/>
      <c r="G349" s="248" t="str">
        <f t="shared" si="25"/>
        <v/>
      </c>
      <c r="H349" s="1" t="b">
        <f>IF(B349="",FALSE,COUNTIF('従業員情報(給与以外)'!$A$4:$A$1000000,$B349)=0)</f>
        <v>0</v>
      </c>
      <c r="I349" s="9" t="b">
        <f t="shared" si="26"/>
        <v>1</v>
      </c>
      <c r="J349" s="9" t="b">
        <f t="shared" si="27"/>
        <v>1</v>
      </c>
      <c r="K349" s="9" t="b">
        <f t="shared" si="28"/>
        <v>1</v>
      </c>
      <c r="L349" s="9" t="b">
        <f t="shared" si="29"/>
        <v>1</v>
      </c>
      <c r="M349" s="1" t="b">
        <f>IF(OR(入力シート!$C$5&lt;&gt;入力リスト!$N$4,入力シート!$J$22&lt;&gt;入力リスト!$K$4),TRUE,IF($F$2=入力リスト!$Q$4,IF(F349-INT(F349)&lt;0.6,TRUE,FALSE),TRUE))</f>
        <v>1</v>
      </c>
      <c r="N349" s="9" t="str">
        <f>IF(F349="","",IF($F$2=入力リスト!$Q$4,ROUNDDOWN(INT(F349)+ROUNDDOWN((F349-INT(F349))*100,0)/60,2),従業員の給与情報!F349))</f>
        <v/>
      </c>
      <c r="O349" s="8"/>
      <c r="P349" s="8"/>
    </row>
    <row r="350" spans="1:16">
      <c r="A350" s="119"/>
      <c r="B350" s="2"/>
      <c r="C350" s="369"/>
      <c r="D350" s="369"/>
      <c r="E350" s="369"/>
      <c r="F350" s="370"/>
      <c r="G350" s="248" t="str">
        <f t="shared" si="25"/>
        <v/>
      </c>
      <c r="H350" s="1" t="b">
        <f>IF(B350="",FALSE,COUNTIF('従業員情報(給与以外)'!$A$4:$A$1000000,$B350)=0)</f>
        <v>0</v>
      </c>
      <c r="I350" s="9" t="b">
        <f t="shared" si="26"/>
        <v>1</v>
      </c>
      <c r="J350" s="9" t="b">
        <f t="shared" si="27"/>
        <v>1</v>
      </c>
      <c r="K350" s="9" t="b">
        <f t="shared" si="28"/>
        <v>1</v>
      </c>
      <c r="L350" s="9" t="b">
        <f t="shared" si="29"/>
        <v>1</v>
      </c>
      <c r="M350" s="1" t="b">
        <f>IF(OR(入力シート!$C$5&lt;&gt;入力リスト!$N$4,入力シート!$J$22&lt;&gt;入力リスト!$K$4),TRUE,IF($F$2=入力リスト!$Q$4,IF(F350-INT(F350)&lt;0.6,TRUE,FALSE),TRUE))</f>
        <v>1</v>
      </c>
      <c r="N350" s="9" t="str">
        <f>IF(F350="","",IF($F$2=入力リスト!$Q$4,ROUNDDOWN(INT(F350)+ROUNDDOWN((F350-INT(F350))*100,0)/60,2),従業員の給与情報!F350))</f>
        <v/>
      </c>
      <c r="O350" s="8"/>
      <c r="P350" s="8"/>
    </row>
    <row r="351" spans="1:16">
      <c r="A351" s="119"/>
      <c r="B351" s="2"/>
      <c r="C351" s="369"/>
      <c r="D351" s="369"/>
      <c r="E351" s="369"/>
      <c r="F351" s="370"/>
      <c r="G351" s="248" t="str">
        <f t="shared" si="25"/>
        <v/>
      </c>
      <c r="H351" s="1" t="b">
        <f>IF(B351="",FALSE,COUNTIF('従業員情報(給与以外)'!$A$4:$A$1000000,$B351)=0)</f>
        <v>0</v>
      </c>
      <c r="I351" s="9" t="b">
        <f t="shared" si="26"/>
        <v>1</v>
      </c>
      <c r="J351" s="9" t="b">
        <f t="shared" si="27"/>
        <v>1</v>
      </c>
      <c r="K351" s="9" t="b">
        <f t="shared" si="28"/>
        <v>1</v>
      </c>
      <c r="L351" s="9" t="b">
        <f t="shared" si="29"/>
        <v>1</v>
      </c>
      <c r="M351" s="1" t="b">
        <f>IF(OR(入力シート!$C$5&lt;&gt;入力リスト!$N$4,入力シート!$J$22&lt;&gt;入力リスト!$K$4),TRUE,IF($F$2=入力リスト!$Q$4,IF(F351-INT(F351)&lt;0.6,TRUE,FALSE),TRUE))</f>
        <v>1</v>
      </c>
      <c r="N351" s="9" t="str">
        <f>IF(F351="","",IF($F$2=入力リスト!$Q$4,ROUNDDOWN(INT(F351)+ROUNDDOWN((F351-INT(F351))*100,0)/60,2),従業員の給与情報!F351))</f>
        <v/>
      </c>
      <c r="O351" s="8"/>
      <c r="P351" s="8"/>
    </row>
    <row r="352" spans="1:16">
      <c r="A352" s="119"/>
      <c r="B352" s="2"/>
      <c r="C352" s="369"/>
      <c r="D352" s="369"/>
      <c r="E352" s="369"/>
      <c r="F352" s="370"/>
      <c r="G352" s="248" t="str">
        <f t="shared" si="25"/>
        <v/>
      </c>
      <c r="H352" s="1" t="b">
        <f>IF(B352="",FALSE,COUNTIF('従業員情報(給与以外)'!$A$4:$A$1000000,$B352)=0)</f>
        <v>0</v>
      </c>
      <c r="I352" s="9" t="b">
        <f t="shared" si="26"/>
        <v>1</v>
      </c>
      <c r="J352" s="9" t="b">
        <f t="shared" si="27"/>
        <v>1</v>
      </c>
      <c r="K352" s="9" t="b">
        <f t="shared" si="28"/>
        <v>1</v>
      </c>
      <c r="L352" s="9" t="b">
        <f t="shared" si="29"/>
        <v>1</v>
      </c>
      <c r="M352" s="1" t="b">
        <f>IF(OR(入力シート!$C$5&lt;&gt;入力リスト!$N$4,入力シート!$J$22&lt;&gt;入力リスト!$K$4),TRUE,IF($F$2=入力リスト!$Q$4,IF(F352-INT(F352)&lt;0.6,TRUE,FALSE),TRUE))</f>
        <v>1</v>
      </c>
      <c r="N352" s="9" t="str">
        <f>IF(F352="","",IF($F$2=入力リスト!$Q$4,ROUNDDOWN(INT(F352)+ROUNDDOWN((F352-INT(F352))*100,0)/60,2),従業員の給与情報!F352))</f>
        <v/>
      </c>
      <c r="O352" s="8"/>
      <c r="P352" s="8"/>
    </row>
    <row r="353" spans="1:16">
      <c r="A353" s="119"/>
      <c r="B353" s="2"/>
      <c r="C353" s="369"/>
      <c r="D353" s="369"/>
      <c r="E353" s="369"/>
      <c r="F353" s="370"/>
      <c r="G353" s="248" t="str">
        <f t="shared" si="25"/>
        <v/>
      </c>
      <c r="H353" s="1" t="b">
        <f>IF(B353="",FALSE,COUNTIF('従業員情報(給与以外)'!$A$4:$A$1000000,$B353)=0)</f>
        <v>0</v>
      </c>
      <c r="I353" s="9" t="b">
        <f t="shared" si="26"/>
        <v>1</v>
      </c>
      <c r="J353" s="9" t="b">
        <f t="shared" si="27"/>
        <v>1</v>
      </c>
      <c r="K353" s="9" t="b">
        <f t="shared" si="28"/>
        <v>1</v>
      </c>
      <c r="L353" s="9" t="b">
        <f t="shared" si="29"/>
        <v>1</v>
      </c>
      <c r="M353" s="1" t="b">
        <f>IF(OR(入力シート!$C$5&lt;&gt;入力リスト!$N$4,入力シート!$J$22&lt;&gt;入力リスト!$K$4),TRUE,IF($F$2=入力リスト!$Q$4,IF(F353-INT(F353)&lt;0.6,TRUE,FALSE),TRUE))</f>
        <v>1</v>
      </c>
      <c r="N353" s="9" t="str">
        <f>IF(F353="","",IF($F$2=入力リスト!$Q$4,ROUNDDOWN(INT(F353)+ROUNDDOWN((F353-INT(F353))*100,0)/60,2),従業員の給与情報!F353))</f>
        <v/>
      </c>
      <c r="O353" s="8"/>
      <c r="P353" s="8"/>
    </row>
    <row r="354" spans="1:16">
      <c r="A354" s="119"/>
      <c r="B354" s="2"/>
      <c r="C354" s="369"/>
      <c r="D354" s="369"/>
      <c r="E354" s="369"/>
      <c r="F354" s="370"/>
      <c r="G354" s="248" t="str">
        <f t="shared" si="25"/>
        <v/>
      </c>
      <c r="H354" s="1" t="b">
        <f>IF(B354="",FALSE,COUNTIF('従業員情報(給与以外)'!$A$4:$A$1000000,$B354)=0)</f>
        <v>0</v>
      </c>
      <c r="I354" s="9" t="b">
        <f t="shared" si="26"/>
        <v>1</v>
      </c>
      <c r="J354" s="9" t="b">
        <f t="shared" si="27"/>
        <v>1</v>
      </c>
      <c r="K354" s="9" t="b">
        <f t="shared" si="28"/>
        <v>1</v>
      </c>
      <c r="L354" s="9" t="b">
        <f t="shared" si="29"/>
        <v>1</v>
      </c>
      <c r="M354" s="1" t="b">
        <f>IF(OR(入力シート!$C$5&lt;&gt;入力リスト!$N$4,入力シート!$J$22&lt;&gt;入力リスト!$K$4),TRUE,IF($F$2=入力リスト!$Q$4,IF(F354-INT(F354)&lt;0.6,TRUE,FALSE),TRUE))</f>
        <v>1</v>
      </c>
      <c r="N354" s="9" t="str">
        <f>IF(F354="","",IF($F$2=入力リスト!$Q$4,ROUNDDOWN(INT(F354)+ROUNDDOWN((F354-INT(F354))*100,0)/60,2),従業員の給与情報!F354))</f>
        <v/>
      </c>
      <c r="O354" s="8"/>
      <c r="P354" s="8"/>
    </row>
    <row r="355" spans="1:16">
      <c r="A355" s="119"/>
      <c r="B355" s="2"/>
      <c r="C355" s="369"/>
      <c r="D355" s="369"/>
      <c r="E355" s="369"/>
      <c r="F355" s="370"/>
      <c r="G355" s="248" t="str">
        <f t="shared" si="25"/>
        <v/>
      </c>
      <c r="H355" s="1" t="b">
        <f>IF(B355="",FALSE,COUNTIF('従業員情報(給与以外)'!$A$4:$A$1000000,$B355)=0)</f>
        <v>0</v>
      </c>
      <c r="I355" s="9" t="b">
        <f t="shared" si="26"/>
        <v>1</v>
      </c>
      <c r="J355" s="9" t="b">
        <f t="shared" si="27"/>
        <v>1</v>
      </c>
      <c r="K355" s="9" t="b">
        <f t="shared" si="28"/>
        <v>1</v>
      </c>
      <c r="L355" s="9" t="b">
        <f t="shared" si="29"/>
        <v>1</v>
      </c>
      <c r="M355" s="1" t="b">
        <f>IF(OR(入力シート!$C$5&lt;&gt;入力リスト!$N$4,入力シート!$J$22&lt;&gt;入力リスト!$K$4),TRUE,IF($F$2=入力リスト!$Q$4,IF(F355-INT(F355)&lt;0.6,TRUE,FALSE),TRUE))</f>
        <v>1</v>
      </c>
      <c r="N355" s="9" t="str">
        <f>IF(F355="","",IF($F$2=入力リスト!$Q$4,ROUNDDOWN(INT(F355)+ROUNDDOWN((F355-INT(F355))*100,0)/60,2),従業員の給与情報!F355))</f>
        <v/>
      </c>
      <c r="O355" s="8"/>
      <c r="P355" s="8"/>
    </row>
    <row r="356" spans="1:16">
      <c r="A356" s="119"/>
      <c r="B356" s="2"/>
      <c r="C356" s="369"/>
      <c r="D356" s="369"/>
      <c r="E356" s="369"/>
      <c r="F356" s="370"/>
      <c r="G356" s="248" t="str">
        <f t="shared" si="25"/>
        <v/>
      </c>
      <c r="H356" s="1" t="b">
        <f>IF(B356="",FALSE,COUNTIF('従業員情報(給与以外)'!$A$4:$A$1000000,$B356)=0)</f>
        <v>0</v>
      </c>
      <c r="I356" s="9" t="b">
        <f t="shared" si="26"/>
        <v>1</v>
      </c>
      <c r="J356" s="9" t="b">
        <f t="shared" si="27"/>
        <v>1</v>
      </c>
      <c r="K356" s="9" t="b">
        <f t="shared" si="28"/>
        <v>1</v>
      </c>
      <c r="L356" s="9" t="b">
        <f t="shared" si="29"/>
        <v>1</v>
      </c>
      <c r="M356" s="1" t="b">
        <f>IF(OR(入力シート!$C$5&lt;&gt;入力リスト!$N$4,入力シート!$J$22&lt;&gt;入力リスト!$K$4),TRUE,IF($F$2=入力リスト!$Q$4,IF(F356-INT(F356)&lt;0.6,TRUE,FALSE),TRUE))</f>
        <v>1</v>
      </c>
      <c r="N356" s="9" t="str">
        <f>IF(F356="","",IF($F$2=入力リスト!$Q$4,ROUNDDOWN(INT(F356)+ROUNDDOWN((F356-INT(F356))*100,0)/60,2),従業員の給与情報!F356))</f>
        <v/>
      </c>
      <c r="O356" s="8"/>
      <c r="P356" s="8"/>
    </row>
    <row r="357" spans="1:16">
      <c r="A357" s="119"/>
      <c r="B357" s="2"/>
      <c r="C357" s="369"/>
      <c r="D357" s="369"/>
      <c r="E357" s="369"/>
      <c r="F357" s="370"/>
      <c r="G357" s="248" t="str">
        <f t="shared" si="25"/>
        <v/>
      </c>
      <c r="H357" s="1" t="b">
        <f>IF(B357="",FALSE,COUNTIF('従業員情報(給与以外)'!$A$4:$A$1000000,$B357)=0)</f>
        <v>0</v>
      </c>
      <c r="I357" s="9" t="b">
        <f t="shared" si="26"/>
        <v>1</v>
      </c>
      <c r="J357" s="9" t="b">
        <f t="shared" si="27"/>
        <v>1</v>
      </c>
      <c r="K357" s="9" t="b">
        <f t="shared" si="28"/>
        <v>1</v>
      </c>
      <c r="L357" s="9" t="b">
        <f t="shared" si="29"/>
        <v>1</v>
      </c>
      <c r="M357" s="1" t="b">
        <f>IF(OR(入力シート!$C$5&lt;&gt;入力リスト!$N$4,入力シート!$J$22&lt;&gt;入力リスト!$K$4),TRUE,IF($F$2=入力リスト!$Q$4,IF(F357-INT(F357)&lt;0.6,TRUE,FALSE),TRUE))</f>
        <v>1</v>
      </c>
      <c r="N357" s="9" t="str">
        <f>IF(F357="","",IF($F$2=入力リスト!$Q$4,ROUNDDOWN(INT(F357)+ROUNDDOWN((F357-INT(F357))*100,0)/60,2),従業員の給与情報!F357))</f>
        <v/>
      </c>
      <c r="O357" s="8"/>
      <c r="P357" s="8"/>
    </row>
    <row r="358" spans="1:16">
      <c r="A358" s="119"/>
      <c r="B358" s="2"/>
      <c r="C358" s="369"/>
      <c r="D358" s="369"/>
      <c r="E358" s="369"/>
      <c r="F358" s="370"/>
      <c r="G358" s="248" t="str">
        <f t="shared" si="25"/>
        <v/>
      </c>
      <c r="H358" s="1" t="b">
        <f>IF(B358="",FALSE,COUNTIF('従業員情報(給与以外)'!$A$4:$A$1000000,$B358)=0)</f>
        <v>0</v>
      </c>
      <c r="I358" s="9" t="b">
        <f t="shared" si="26"/>
        <v>1</v>
      </c>
      <c r="J358" s="9" t="b">
        <f t="shared" si="27"/>
        <v>1</v>
      </c>
      <c r="K358" s="9" t="b">
        <f t="shared" si="28"/>
        <v>1</v>
      </c>
      <c r="L358" s="9" t="b">
        <f t="shared" si="29"/>
        <v>1</v>
      </c>
      <c r="M358" s="1" t="b">
        <f>IF(OR(入力シート!$C$5&lt;&gt;入力リスト!$N$4,入力シート!$J$22&lt;&gt;入力リスト!$K$4),TRUE,IF($F$2=入力リスト!$Q$4,IF(F358-INT(F358)&lt;0.6,TRUE,FALSE),TRUE))</f>
        <v>1</v>
      </c>
      <c r="N358" s="9" t="str">
        <f>IF(F358="","",IF($F$2=入力リスト!$Q$4,ROUNDDOWN(INT(F358)+ROUNDDOWN((F358-INT(F358))*100,0)/60,2),従業員の給与情報!F358))</f>
        <v/>
      </c>
      <c r="O358" s="8"/>
      <c r="P358" s="8"/>
    </row>
    <row r="359" spans="1:16">
      <c r="A359" s="119"/>
      <c r="B359" s="2"/>
      <c r="C359" s="369"/>
      <c r="D359" s="369"/>
      <c r="E359" s="369"/>
      <c r="F359" s="370"/>
      <c r="G359" s="248" t="str">
        <f t="shared" si="25"/>
        <v/>
      </c>
      <c r="H359" s="1" t="b">
        <f>IF(B359="",FALSE,COUNTIF('従業員情報(給与以外)'!$A$4:$A$1000000,$B359)=0)</f>
        <v>0</v>
      </c>
      <c r="I359" s="9" t="b">
        <f t="shared" si="26"/>
        <v>1</v>
      </c>
      <c r="J359" s="9" t="b">
        <f t="shared" si="27"/>
        <v>1</v>
      </c>
      <c r="K359" s="9" t="b">
        <f t="shared" si="28"/>
        <v>1</v>
      </c>
      <c r="L359" s="9" t="b">
        <f t="shared" si="29"/>
        <v>1</v>
      </c>
      <c r="M359" s="1" t="b">
        <f>IF(OR(入力シート!$C$5&lt;&gt;入力リスト!$N$4,入力シート!$J$22&lt;&gt;入力リスト!$K$4),TRUE,IF($F$2=入力リスト!$Q$4,IF(F359-INT(F359)&lt;0.6,TRUE,FALSE),TRUE))</f>
        <v>1</v>
      </c>
      <c r="N359" s="9" t="str">
        <f>IF(F359="","",IF($F$2=入力リスト!$Q$4,ROUNDDOWN(INT(F359)+ROUNDDOWN((F359-INT(F359))*100,0)/60,2),従業員の給与情報!F359))</f>
        <v/>
      </c>
      <c r="O359" s="8"/>
      <c r="P359" s="8"/>
    </row>
    <row r="360" spans="1:16">
      <c r="A360" s="119"/>
      <c r="B360" s="2"/>
      <c r="C360" s="369"/>
      <c r="D360" s="369"/>
      <c r="E360" s="369"/>
      <c r="F360" s="370"/>
      <c r="G360" s="248" t="str">
        <f t="shared" si="25"/>
        <v/>
      </c>
      <c r="H360" s="1" t="b">
        <f>IF(B360="",FALSE,COUNTIF('従業員情報(給与以外)'!$A$4:$A$1000000,$B360)=0)</f>
        <v>0</v>
      </c>
      <c r="I360" s="9" t="b">
        <f t="shared" si="26"/>
        <v>1</v>
      </c>
      <c r="J360" s="9" t="b">
        <f t="shared" si="27"/>
        <v>1</v>
      </c>
      <c r="K360" s="9" t="b">
        <f t="shared" si="28"/>
        <v>1</v>
      </c>
      <c r="L360" s="9" t="b">
        <f t="shared" si="29"/>
        <v>1</v>
      </c>
      <c r="M360" s="1" t="b">
        <f>IF(OR(入力シート!$C$5&lt;&gt;入力リスト!$N$4,入力シート!$J$22&lt;&gt;入力リスト!$K$4),TRUE,IF($F$2=入力リスト!$Q$4,IF(F360-INT(F360)&lt;0.6,TRUE,FALSE),TRUE))</f>
        <v>1</v>
      </c>
      <c r="N360" s="9" t="str">
        <f>IF(F360="","",IF($F$2=入力リスト!$Q$4,ROUNDDOWN(INT(F360)+ROUNDDOWN((F360-INT(F360))*100,0)/60,2),従業員の給与情報!F360))</f>
        <v/>
      </c>
      <c r="O360" s="8"/>
      <c r="P360" s="8"/>
    </row>
    <row r="361" spans="1:16">
      <c r="A361" s="119"/>
      <c r="B361" s="2"/>
      <c r="C361" s="369"/>
      <c r="D361" s="369"/>
      <c r="E361" s="369"/>
      <c r="F361" s="370"/>
      <c r="G361" s="248" t="str">
        <f t="shared" si="25"/>
        <v/>
      </c>
      <c r="H361" s="1" t="b">
        <f>IF(B361="",FALSE,COUNTIF('従業員情報(給与以外)'!$A$4:$A$1000000,$B361)=0)</f>
        <v>0</v>
      </c>
      <c r="I361" s="9" t="b">
        <f t="shared" si="26"/>
        <v>1</v>
      </c>
      <c r="J361" s="9" t="b">
        <f t="shared" si="27"/>
        <v>1</v>
      </c>
      <c r="K361" s="9" t="b">
        <f t="shared" si="28"/>
        <v>1</v>
      </c>
      <c r="L361" s="9" t="b">
        <f t="shared" si="29"/>
        <v>1</v>
      </c>
      <c r="M361" s="1" t="b">
        <f>IF(OR(入力シート!$C$5&lt;&gt;入力リスト!$N$4,入力シート!$J$22&lt;&gt;入力リスト!$K$4),TRUE,IF($F$2=入力リスト!$Q$4,IF(F361-INT(F361)&lt;0.6,TRUE,FALSE),TRUE))</f>
        <v>1</v>
      </c>
      <c r="N361" s="9" t="str">
        <f>IF(F361="","",IF($F$2=入力リスト!$Q$4,ROUNDDOWN(INT(F361)+ROUNDDOWN((F361-INT(F361))*100,0)/60,2),従業員の給与情報!F361))</f>
        <v/>
      </c>
      <c r="O361" s="8"/>
      <c r="P361" s="8"/>
    </row>
    <row r="362" spans="1:16">
      <c r="A362" s="119"/>
      <c r="B362" s="2"/>
      <c r="C362" s="369"/>
      <c r="D362" s="369"/>
      <c r="E362" s="369"/>
      <c r="F362" s="370"/>
      <c r="G362" s="248" t="str">
        <f t="shared" si="25"/>
        <v/>
      </c>
      <c r="H362" s="1" t="b">
        <f>IF(B362="",FALSE,COUNTIF('従業員情報(給与以外)'!$A$4:$A$1000000,$B362)=0)</f>
        <v>0</v>
      </c>
      <c r="I362" s="9" t="b">
        <f t="shared" si="26"/>
        <v>1</v>
      </c>
      <c r="J362" s="9" t="b">
        <f t="shared" si="27"/>
        <v>1</v>
      </c>
      <c r="K362" s="9" t="b">
        <f t="shared" si="28"/>
        <v>1</v>
      </c>
      <c r="L362" s="9" t="b">
        <f t="shared" si="29"/>
        <v>1</v>
      </c>
      <c r="M362" s="1" t="b">
        <f>IF(OR(入力シート!$C$5&lt;&gt;入力リスト!$N$4,入力シート!$J$22&lt;&gt;入力リスト!$K$4),TRUE,IF($F$2=入力リスト!$Q$4,IF(F362-INT(F362)&lt;0.6,TRUE,FALSE),TRUE))</f>
        <v>1</v>
      </c>
      <c r="N362" s="9" t="str">
        <f>IF(F362="","",IF($F$2=入力リスト!$Q$4,ROUNDDOWN(INT(F362)+ROUNDDOWN((F362-INT(F362))*100,0)/60,2),従業員の給与情報!F362))</f>
        <v/>
      </c>
      <c r="O362" s="8"/>
      <c r="P362" s="8"/>
    </row>
    <row r="363" spans="1:16">
      <c r="A363" s="119"/>
      <c r="B363" s="2"/>
      <c r="C363" s="369"/>
      <c r="D363" s="369"/>
      <c r="E363" s="369"/>
      <c r="F363" s="370"/>
      <c r="G363" s="248" t="str">
        <f t="shared" si="25"/>
        <v/>
      </c>
      <c r="H363" s="1" t="b">
        <f>IF(B363="",FALSE,COUNTIF('従業員情報(給与以外)'!$A$4:$A$1000000,$B363)=0)</f>
        <v>0</v>
      </c>
      <c r="I363" s="9" t="b">
        <f t="shared" si="26"/>
        <v>1</v>
      </c>
      <c r="J363" s="9" t="b">
        <f t="shared" si="27"/>
        <v>1</v>
      </c>
      <c r="K363" s="9" t="b">
        <f t="shared" si="28"/>
        <v>1</v>
      </c>
      <c r="L363" s="9" t="b">
        <f t="shared" si="29"/>
        <v>1</v>
      </c>
      <c r="M363" s="1" t="b">
        <f>IF(OR(入力シート!$C$5&lt;&gt;入力リスト!$N$4,入力シート!$J$22&lt;&gt;入力リスト!$K$4),TRUE,IF($F$2=入力リスト!$Q$4,IF(F363-INT(F363)&lt;0.6,TRUE,FALSE),TRUE))</f>
        <v>1</v>
      </c>
      <c r="N363" s="9" t="str">
        <f>IF(F363="","",IF($F$2=入力リスト!$Q$4,ROUNDDOWN(INT(F363)+ROUNDDOWN((F363-INT(F363))*100,0)/60,2),従業員の給与情報!F363))</f>
        <v/>
      </c>
      <c r="O363" s="8"/>
      <c r="P363" s="8"/>
    </row>
    <row r="364" spans="1:16">
      <c r="A364" s="119"/>
      <c r="B364" s="2"/>
      <c r="C364" s="369"/>
      <c r="D364" s="369"/>
      <c r="E364" s="369"/>
      <c r="F364" s="370"/>
      <c r="G364" s="248" t="str">
        <f t="shared" si="25"/>
        <v/>
      </c>
      <c r="H364" s="1" t="b">
        <f>IF(B364="",FALSE,COUNTIF('従業員情報(給与以外)'!$A$4:$A$1000000,$B364)=0)</f>
        <v>0</v>
      </c>
      <c r="I364" s="9" t="b">
        <f t="shared" si="26"/>
        <v>1</v>
      </c>
      <c r="J364" s="9" t="b">
        <f t="shared" si="27"/>
        <v>1</v>
      </c>
      <c r="K364" s="9" t="b">
        <f t="shared" si="28"/>
        <v>1</v>
      </c>
      <c r="L364" s="9" t="b">
        <f t="shared" si="29"/>
        <v>1</v>
      </c>
      <c r="M364" s="1" t="b">
        <f>IF(OR(入力シート!$C$5&lt;&gt;入力リスト!$N$4,入力シート!$J$22&lt;&gt;入力リスト!$K$4),TRUE,IF($F$2=入力リスト!$Q$4,IF(F364-INT(F364)&lt;0.6,TRUE,FALSE),TRUE))</f>
        <v>1</v>
      </c>
      <c r="N364" s="9" t="str">
        <f>IF(F364="","",IF($F$2=入力リスト!$Q$4,ROUNDDOWN(INT(F364)+ROUNDDOWN((F364-INT(F364))*100,0)/60,2),従業員の給与情報!F364))</f>
        <v/>
      </c>
      <c r="O364" s="8"/>
      <c r="P364" s="8"/>
    </row>
    <row r="365" spans="1:16">
      <c r="A365" s="119"/>
      <c r="B365" s="2"/>
      <c r="C365" s="369"/>
      <c r="D365" s="369"/>
      <c r="E365" s="369"/>
      <c r="F365" s="370"/>
      <c r="G365" s="248" t="str">
        <f t="shared" si="25"/>
        <v/>
      </c>
      <c r="H365" s="1" t="b">
        <f>IF(B365="",FALSE,COUNTIF('従業員情報(給与以外)'!$A$4:$A$1000000,$B365)=0)</f>
        <v>0</v>
      </c>
      <c r="I365" s="9" t="b">
        <f t="shared" si="26"/>
        <v>1</v>
      </c>
      <c r="J365" s="9" t="b">
        <f t="shared" si="27"/>
        <v>1</v>
      </c>
      <c r="K365" s="9" t="b">
        <f t="shared" si="28"/>
        <v>1</v>
      </c>
      <c r="L365" s="9" t="b">
        <f t="shared" si="29"/>
        <v>1</v>
      </c>
      <c r="M365" s="1" t="b">
        <f>IF(OR(入力シート!$C$5&lt;&gt;入力リスト!$N$4,入力シート!$J$22&lt;&gt;入力リスト!$K$4),TRUE,IF($F$2=入力リスト!$Q$4,IF(F365-INT(F365)&lt;0.6,TRUE,FALSE),TRUE))</f>
        <v>1</v>
      </c>
      <c r="N365" s="9" t="str">
        <f>IF(F365="","",IF($F$2=入力リスト!$Q$4,ROUNDDOWN(INT(F365)+ROUNDDOWN((F365-INT(F365))*100,0)/60,2),従業員の給与情報!F365))</f>
        <v/>
      </c>
      <c r="O365" s="8"/>
      <c r="P365" s="8"/>
    </row>
    <row r="366" spans="1:16">
      <c r="A366" s="119"/>
      <c r="B366" s="2"/>
      <c r="C366" s="369"/>
      <c r="D366" s="369"/>
      <c r="E366" s="369"/>
      <c r="F366" s="370"/>
      <c r="G366" s="248" t="str">
        <f t="shared" si="25"/>
        <v/>
      </c>
      <c r="H366" s="1" t="b">
        <f>IF(B366="",FALSE,COUNTIF('従業員情報(給与以外)'!$A$4:$A$1000000,$B366)=0)</f>
        <v>0</v>
      </c>
      <c r="I366" s="9" t="b">
        <f t="shared" si="26"/>
        <v>1</v>
      </c>
      <c r="J366" s="9" t="b">
        <f t="shared" si="27"/>
        <v>1</v>
      </c>
      <c r="K366" s="9" t="b">
        <f t="shared" si="28"/>
        <v>1</v>
      </c>
      <c r="L366" s="9" t="b">
        <f t="shared" si="29"/>
        <v>1</v>
      </c>
      <c r="M366" s="1" t="b">
        <f>IF(OR(入力シート!$C$5&lt;&gt;入力リスト!$N$4,入力シート!$J$22&lt;&gt;入力リスト!$K$4),TRUE,IF($F$2=入力リスト!$Q$4,IF(F366-INT(F366)&lt;0.6,TRUE,FALSE),TRUE))</f>
        <v>1</v>
      </c>
      <c r="N366" s="9" t="str">
        <f>IF(F366="","",IF($F$2=入力リスト!$Q$4,ROUNDDOWN(INT(F366)+ROUNDDOWN((F366-INT(F366))*100,0)/60,2),従業員の給与情報!F366))</f>
        <v/>
      </c>
      <c r="O366" s="8"/>
      <c r="P366" s="8"/>
    </row>
    <row r="367" spans="1:16">
      <c r="A367" s="119"/>
      <c r="B367" s="2"/>
      <c r="C367" s="369"/>
      <c r="D367" s="369"/>
      <c r="E367" s="369"/>
      <c r="F367" s="370"/>
      <c r="G367" s="248" t="str">
        <f t="shared" si="25"/>
        <v/>
      </c>
      <c r="H367" s="1" t="b">
        <f>IF(B367="",FALSE,COUNTIF('従業員情報(給与以外)'!$A$4:$A$1000000,$B367)=0)</f>
        <v>0</v>
      </c>
      <c r="I367" s="9" t="b">
        <f t="shared" si="26"/>
        <v>1</v>
      </c>
      <c r="J367" s="9" t="b">
        <f t="shared" si="27"/>
        <v>1</v>
      </c>
      <c r="K367" s="9" t="b">
        <f t="shared" si="28"/>
        <v>1</v>
      </c>
      <c r="L367" s="9" t="b">
        <f t="shared" si="29"/>
        <v>1</v>
      </c>
      <c r="M367" s="1" t="b">
        <f>IF(OR(入力シート!$C$5&lt;&gt;入力リスト!$N$4,入力シート!$J$22&lt;&gt;入力リスト!$K$4),TRUE,IF($F$2=入力リスト!$Q$4,IF(F367-INT(F367)&lt;0.6,TRUE,FALSE),TRUE))</f>
        <v>1</v>
      </c>
      <c r="N367" s="9" t="str">
        <f>IF(F367="","",IF($F$2=入力リスト!$Q$4,ROUNDDOWN(INT(F367)+ROUNDDOWN((F367-INT(F367))*100,0)/60,2),従業員の給与情報!F367))</f>
        <v/>
      </c>
      <c r="O367" s="8"/>
      <c r="P367" s="8"/>
    </row>
    <row r="368" spans="1:16">
      <c r="A368" s="119"/>
      <c r="B368" s="2"/>
      <c r="C368" s="369"/>
      <c r="D368" s="369"/>
      <c r="E368" s="369"/>
      <c r="F368" s="370"/>
      <c r="G368" s="248" t="str">
        <f t="shared" si="25"/>
        <v/>
      </c>
      <c r="H368" s="1" t="b">
        <f>IF(B368="",FALSE,COUNTIF('従業員情報(給与以外)'!$A$4:$A$1000000,$B368)=0)</f>
        <v>0</v>
      </c>
      <c r="I368" s="9" t="b">
        <f t="shared" si="26"/>
        <v>1</v>
      </c>
      <c r="J368" s="9" t="b">
        <f t="shared" si="27"/>
        <v>1</v>
      </c>
      <c r="K368" s="9" t="b">
        <f t="shared" si="28"/>
        <v>1</v>
      </c>
      <c r="L368" s="9" t="b">
        <f t="shared" si="29"/>
        <v>1</v>
      </c>
      <c r="M368" s="1" t="b">
        <f>IF(OR(入力シート!$C$5&lt;&gt;入力リスト!$N$4,入力シート!$J$22&lt;&gt;入力リスト!$K$4),TRUE,IF($F$2=入力リスト!$Q$4,IF(F368-INT(F368)&lt;0.6,TRUE,FALSE),TRUE))</f>
        <v>1</v>
      </c>
      <c r="N368" s="9" t="str">
        <f>IF(F368="","",IF($F$2=入力リスト!$Q$4,ROUNDDOWN(INT(F368)+ROUNDDOWN((F368-INT(F368))*100,0)/60,2),従業員の給与情報!F368))</f>
        <v/>
      </c>
      <c r="O368" s="8"/>
      <c r="P368" s="8"/>
    </row>
    <row r="369" spans="1:16">
      <c r="A369" s="119"/>
      <c r="B369" s="2"/>
      <c r="C369" s="369"/>
      <c r="D369" s="369"/>
      <c r="E369" s="369"/>
      <c r="F369" s="370"/>
      <c r="G369" s="248" t="str">
        <f t="shared" si="25"/>
        <v/>
      </c>
      <c r="H369" s="1" t="b">
        <f>IF(B369="",FALSE,COUNTIF('従業員情報(給与以外)'!$A$4:$A$1000000,$B369)=0)</f>
        <v>0</v>
      </c>
      <c r="I369" s="9" t="b">
        <f t="shared" si="26"/>
        <v>1</v>
      </c>
      <c r="J369" s="9" t="b">
        <f t="shared" si="27"/>
        <v>1</v>
      </c>
      <c r="K369" s="9" t="b">
        <f t="shared" si="28"/>
        <v>1</v>
      </c>
      <c r="L369" s="9" t="b">
        <f t="shared" si="29"/>
        <v>1</v>
      </c>
      <c r="M369" s="1" t="b">
        <f>IF(OR(入力シート!$C$5&lt;&gt;入力リスト!$N$4,入力シート!$J$22&lt;&gt;入力リスト!$K$4),TRUE,IF($F$2=入力リスト!$Q$4,IF(F369-INT(F369)&lt;0.6,TRUE,FALSE),TRUE))</f>
        <v>1</v>
      </c>
      <c r="N369" s="9" t="str">
        <f>IF(F369="","",IF($F$2=入力リスト!$Q$4,ROUNDDOWN(INT(F369)+ROUNDDOWN((F369-INT(F369))*100,0)/60,2),従業員の給与情報!F369))</f>
        <v/>
      </c>
      <c r="O369" s="8"/>
      <c r="P369" s="8"/>
    </row>
    <row r="370" spans="1:16">
      <c r="A370" s="119"/>
      <c r="B370" s="2"/>
      <c r="C370" s="369"/>
      <c r="D370" s="369"/>
      <c r="E370" s="369"/>
      <c r="F370" s="370"/>
      <c r="G370" s="248" t="str">
        <f t="shared" si="25"/>
        <v/>
      </c>
      <c r="H370" s="1" t="b">
        <f>IF(B370="",FALSE,COUNTIF('従業員情報(給与以外)'!$A$4:$A$1000000,$B370)=0)</f>
        <v>0</v>
      </c>
      <c r="I370" s="9" t="b">
        <f t="shared" si="26"/>
        <v>1</v>
      </c>
      <c r="J370" s="9" t="b">
        <f t="shared" si="27"/>
        <v>1</v>
      </c>
      <c r="K370" s="9" t="b">
        <f t="shared" si="28"/>
        <v>1</v>
      </c>
      <c r="L370" s="9" t="b">
        <f t="shared" si="29"/>
        <v>1</v>
      </c>
      <c r="M370" s="1" t="b">
        <f>IF(OR(入力シート!$C$5&lt;&gt;入力リスト!$N$4,入力シート!$J$22&lt;&gt;入力リスト!$K$4),TRUE,IF($F$2=入力リスト!$Q$4,IF(F370-INT(F370)&lt;0.6,TRUE,FALSE),TRUE))</f>
        <v>1</v>
      </c>
      <c r="N370" s="9" t="str">
        <f>IF(F370="","",IF($F$2=入力リスト!$Q$4,ROUNDDOWN(INT(F370)+ROUNDDOWN((F370-INT(F370))*100,0)/60,2),従業員の給与情報!F370))</f>
        <v/>
      </c>
      <c r="O370" s="8"/>
      <c r="P370" s="8"/>
    </row>
    <row r="371" spans="1:16">
      <c r="A371" s="119"/>
      <c r="B371" s="2"/>
      <c r="C371" s="369"/>
      <c r="D371" s="369"/>
      <c r="E371" s="369"/>
      <c r="F371" s="370"/>
      <c r="G371" s="248" t="str">
        <f t="shared" si="25"/>
        <v/>
      </c>
      <c r="H371" s="1" t="b">
        <f>IF(B371="",FALSE,COUNTIF('従業員情報(給与以外)'!$A$4:$A$1000000,$B371)=0)</f>
        <v>0</v>
      </c>
      <c r="I371" s="9" t="b">
        <f t="shared" si="26"/>
        <v>1</v>
      </c>
      <c r="J371" s="9" t="b">
        <f t="shared" si="27"/>
        <v>1</v>
      </c>
      <c r="K371" s="9" t="b">
        <f t="shared" si="28"/>
        <v>1</v>
      </c>
      <c r="L371" s="9" t="b">
        <f t="shared" si="29"/>
        <v>1</v>
      </c>
      <c r="M371" s="1" t="b">
        <f>IF(OR(入力シート!$C$5&lt;&gt;入力リスト!$N$4,入力シート!$J$22&lt;&gt;入力リスト!$K$4),TRUE,IF($F$2=入力リスト!$Q$4,IF(F371-INT(F371)&lt;0.6,TRUE,FALSE),TRUE))</f>
        <v>1</v>
      </c>
      <c r="N371" s="9" t="str">
        <f>IF(F371="","",IF($F$2=入力リスト!$Q$4,ROUNDDOWN(INT(F371)+ROUNDDOWN((F371-INT(F371))*100,0)/60,2),従業員の給与情報!F371))</f>
        <v/>
      </c>
      <c r="O371" s="8"/>
      <c r="P371" s="8"/>
    </row>
    <row r="372" spans="1:16">
      <c r="A372" s="119"/>
      <c r="B372" s="2"/>
      <c r="C372" s="369"/>
      <c r="D372" s="369"/>
      <c r="E372" s="369"/>
      <c r="F372" s="370"/>
      <c r="G372" s="248" t="str">
        <f t="shared" si="25"/>
        <v/>
      </c>
      <c r="H372" s="1" t="b">
        <f>IF(B372="",FALSE,COUNTIF('従業員情報(給与以外)'!$A$4:$A$1000000,$B372)=0)</f>
        <v>0</v>
      </c>
      <c r="I372" s="9" t="b">
        <f t="shared" si="26"/>
        <v>1</v>
      </c>
      <c r="J372" s="9" t="b">
        <f t="shared" si="27"/>
        <v>1</v>
      </c>
      <c r="K372" s="9" t="b">
        <f t="shared" si="28"/>
        <v>1</v>
      </c>
      <c r="L372" s="9" t="b">
        <f t="shared" si="29"/>
        <v>1</v>
      </c>
      <c r="M372" s="1" t="b">
        <f>IF(OR(入力シート!$C$5&lt;&gt;入力リスト!$N$4,入力シート!$J$22&lt;&gt;入力リスト!$K$4),TRUE,IF($F$2=入力リスト!$Q$4,IF(F372-INT(F372)&lt;0.6,TRUE,FALSE),TRUE))</f>
        <v>1</v>
      </c>
      <c r="N372" s="9" t="str">
        <f>IF(F372="","",IF($F$2=入力リスト!$Q$4,ROUNDDOWN(INT(F372)+ROUNDDOWN((F372-INT(F372))*100,0)/60,2),従業員の給与情報!F372))</f>
        <v/>
      </c>
      <c r="O372" s="8"/>
      <c r="P372" s="8"/>
    </row>
    <row r="373" spans="1:16">
      <c r="A373" s="119"/>
      <c r="B373" s="2"/>
      <c r="C373" s="369"/>
      <c r="D373" s="369"/>
      <c r="E373" s="369"/>
      <c r="F373" s="370"/>
      <c r="G373" s="248" t="str">
        <f t="shared" si="25"/>
        <v/>
      </c>
      <c r="H373" s="1" t="b">
        <f>IF(B373="",FALSE,COUNTIF('従業員情報(給与以外)'!$A$4:$A$1000000,$B373)=0)</f>
        <v>0</v>
      </c>
      <c r="I373" s="9" t="b">
        <f t="shared" si="26"/>
        <v>1</v>
      </c>
      <c r="J373" s="9" t="b">
        <f t="shared" si="27"/>
        <v>1</v>
      </c>
      <c r="K373" s="9" t="b">
        <f t="shared" si="28"/>
        <v>1</v>
      </c>
      <c r="L373" s="9" t="b">
        <f t="shared" si="29"/>
        <v>1</v>
      </c>
      <c r="M373" s="1" t="b">
        <f>IF(OR(入力シート!$C$5&lt;&gt;入力リスト!$N$4,入力シート!$J$22&lt;&gt;入力リスト!$K$4),TRUE,IF($F$2=入力リスト!$Q$4,IF(F373-INT(F373)&lt;0.6,TRUE,FALSE),TRUE))</f>
        <v>1</v>
      </c>
      <c r="N373" s="9" t="str">
        <f>IF(F373="","",IF($F$2=入力リスト!$Q$4,ROUNDDOWN(INT(F373)+ROUNDDOWN((F373-INT(F373))*100,0)/60,2),従業員の給与情報!F373))</f>
        <v/>
      </c>
      <c r="O373" s="8"/>
      <c r="P373" s="8"/>
    </row>
    <row r="374" spans="1:16">
      <c r="A374" s="119"/>
      <c r="B374" s="2"/>
      <c r="C374" s="369"/>
      <c r="D374" s="369"/>
      <c r="E374" s="369"/>
      <c r="F374" s="370"/>
      <c r="G374" s="248" t="str">
        <f t="shared" si="25"/>
        <v/>
      </c>
      <c r="H374" s="1" t="b">
        <f>IF(B374="",FALSE,COUNTIF('従業員情報(給与以外)'!$A$4:$A$1000000,$B374)=0)</f>
        <v>0</v>
      </c>
      <c r="I374" s="9" t="b">
        <f t="shared" si="26"/>
        <v>1</v>
      </c>
      <c r="J374" s="9" t="b">
        <f t="shared" si="27"/>
        <v>1</v>
      </c>
      <c r="K374" s="9" t="b">
        <f t="shared" si="28"/>
        <v>1</v>
      </c>
      <c r="L374" s="9" t="b">
        <f t="shared" si="29"/>
        <v>1</v>
      </c>
      <c r="M374" s="1" t="b">
        <f>IF(OR(入力シート!$C$5&lt;&gt;入力リスト!$N$4,入力シート!$J$22&lt;&gt;入力リスト!$K$4),TRUE,IF($F$2=入力リスト!$Q$4,IF(F374-INT(F374)&lt;0.6,TRUE,FALSE),TRUE))</f>
        <v>1</v>
      </c>
      <c r="N374" s="9" t="str">
        <f>IF(F374="","",IF($F$2=入力リスト!$Q$4,ROUNDDOWN(INT(F374)+ROUNDDOWN((F374-INT(F374))*100,0)/60,2),従業員の給与情報!F374))</f>
        <v/>
      </c>
      <c r="O374" s="8"/>
      <c r="P374" s="8"/>
    </row>
    <row r="375" spans="1:16">
      <c r="A375" s="119"/>
      <c r="B375" s="2"/>
      <c r="C375" s="369"/>
      <c r="D375" s="369"/>
      <c r="E375" s="369"/>
      <c r="F375" s="370"/>
      <c r="G375" s="248" t="str">
        <f t="shared" si="25"/>
        <v/>
      </c>
      <c r="H375" s="1" t="b">
        <f>IF(B375="",FALSE,COUNTIF('従業員情報(給与以外)'!$A$4:$A$1000000,$B375)=0)</f>
        <v>0</v>
      </c>
      <c r="I375" s="9" t="b">
        <f t="shared" si="26"/>
        <v>1</v>
      </c>
      <c r="J375" s="9" t="b">
        <f t="shared" si="27"/>
        <v>1</v>
      </c>
      <c r="K375" s="9" t="b">
        <f t="shared" si="28"/>
        <v>1</v>
      </c>
      <c r="L375" s="9" t="b">
        <f t="shared" si="29"/>
        <v>1</v>
      </c>
      <c r="M375" s="1" t="b">
        <f>IF(OR(入力シート!$C$5&lt;&gt;入力リスト!$N$4,入力シート!$J$22&lt;&gt;入力リスト!$K$4),TRUE,IF($F$2=入力リスト!$Q$4,IF(F375-INT(F375)&lt;0.6,TRUE,FALSE),TRUE))</f>
        <v>1</v>
      </c>
      <c r="N375" s="9" t="str">
        <f>IF(F375="","",IF($F$2=入力リスト!$Q$4,ROUNDDOWN(INT(F375)+ROUNDDOWN((F375-INT(F375))*100,0)/60,2),従業員の給与情報!F375))</f>
        <v/>
      </c>
      <c r="O375" s="8"/>
      <c r="P375" s="8"/>
    </row>
    <row r="376" spans="1:16">
      <c r="A376" s="119"/>
      <c r="B376" s="2"/>
      <c r="C376" s="369"/>
      <c r="D376" s="369"/>
      <c r="E376" s="369"/>
      <c r="F376" s="370"/>
      <c r="G376" s="248" t="str">
        <f t="shared" si="25"/>
        <v/>
      </c>
      <c r="H376" s="1" t="b">
        <f>IF(B376="",FALSE,COUNTIF('従業員情報(給与以外)'!$A$4:$A$1000000,$B376)=0)</f>
        <v>0</v>
      </c>
      <c r="I376" s="9" t="b">
        <f t="shared" si="26"/>
        <v>1</v>
      </c>
      <c r="J376" s="9" t="b">
        <f t="shared" si="27"/>
        <v>1</v>
      </c>
      <c r="K376" s="9" t="b">
        <f t="shared" si="28"/>
        <v>1</v>
      </c>
      <c r="L376" s="9" t="b">
        <f t="shared" si="29"/>
        <v>1</v>
      </c>
      <c r="M376" s="1" t="b">
        <f>IF(OR(入力シート!$C$5&lt;&gt;入力リスト!$N$4,入力シート!$J$22&lt;&gt;入力リスト!$K$4),TRUE,IF($F$2=入力リスト!$Q$4,IF(F376-INT(F376)&lt;0.6,TRUE,FALSE),TRUE))</f>
        <v>1</v>
      </c>
      <c r="N376" s="9" t="str">
        <f>IF(F376="","",IF($F$2=入力リスト!$Q$4,ROUNDDOWN(INT(F376)+ROUNDDOWN((F376-INT(F376))*100,0)/60,2),従業員の給与情報!F376))</f>
        <v/>
      </c>
      <c r="O376" s="8"/>
      <c r="P376" s="8"/>
    </row>
    <row r="377" spans="1:16">
      <c r="A377" s="119"/>
      <c r="B377" s="2"/>
      <c r="C377" s="369"/>
      <c r="D377" s="369"/>
      <c r="E377" s="369"/>
      <c r="F377" s="370"/>
      <c r="G377" s="248" t="str">
        <f t="shared" si="25"/>
        <v/>
      </c>
      <c r="H377" s="1" t="b">
        <f>IF(B377="",FALSE,COUNTIF('従業員情報(給与以外)'!$A$4:$A$1000000,$B377)=0)</f>
        <v>0</v>
      </c>
      <c r="I377" s="9" t="b">
        <f t="shared" si="26"/>
        <v>1</v>
      </c>
      <c r="J377" s="9" t="b">
        <f t="shared" si="27"/>
        <v>1</v>
      </c>
      <c r="K377" s="9" t="b">
        <f t="shared" si="28"/>
        <v>1</v>
      </c>
      <c r="L377" s="9" t="b">
        <f t="shared" si="29"/>
        <v>1</v>
      </c>
      <c r="M377" s="1" t="b">
        <f>IF(OR(入力シート!$C$5&lt;&gt;入力リスト!$N$4,入力シート!$J$22&lt;&gt;入力リスト!$K$4),TRUE,IF($F$2=入力リスト!$Q$4,IF(F377-INT(F377)&lt;0.6,TRUE,FALSE),TRUE))</f>
        <v>1</v>
      </c>
      <c r="N377" s="9" t="str">
        <f>IF(F377="","",IF($F$2=入力リスト!$Q$4,ROUNDDOWN(INT(F377)+ROUNDDOWN((F377-INT(F377))*100,0)/60,2),従業員の給与情報!F377))</f>
        <v/>
      </c>
      <c r="O377" s="8"/>
      <c r="P377" s="8"/>
    </row>
    <row r="378" spans="1:16">
      <c r="A378" s="119"/>
      <c r="B378" s="2"/>
      <c r="C378" s="369"/>
      <c r="D378" s="369"/>
      <c r="E378" s="369"/>
      <c r="F378" s="370"/>
      <c r="G378" s="248" t="str">
        <f t="shared" si="25"/>
        <v/>
      </c>
      <c r="H378" s="1" t="b">
        <f>IF(B378="",FALSE,COUNTIF('従業員情報(給与以外)'!$A$4:$A$1000000,$B378)=0)</f>
        <v>0</v>
      </c>
      <c r="I378" s="9" t="b">
        <f t="shared" si="26"/>
        <v>1</v>
      </c>
      <c r="J378" s="9" t="b">
        <f t="shared" si="27"/>
        <v>1</v>
      </c>
      <c r="K378" s="9" t="b">
        <f t="shared" si="28"/>
        <v>1</v>
      </c>
      <c r="L378" s="9" t="b">
        <f t="shared" si="29"/>
        <v>1</v>
      </c>
      <c r="M378" s="1" t="b">
        <f>IF(OR(入力シート!$C$5&lt;&gt;入力リスト!$N$4,入力シート!$J$22&lt;&gt;入力リスト!$K$4),TRUE,IF($F$2=入力リスト!$Q$4,IF(F378-INT(F378)&lt;0.6,TRUE,FALSE),TRUE))</f>
        <v>1</v>
      </c>
      <c r="N378" s="9" t="str">
        <f>IF(F378="","",IF($F$2=入力リスト!$Q$4,ROUNDDOWN(INT(F378)+ROUNDDOWN((F378-INT(F378))*100,0)/60,2),従業員の給与情報!F378))</f>
        <v/>
      </c>
      <c r="O378" s="8"/>
      <c r="P378" s="8"/>
    </row>
    <row r="379" spans="1:16">
      <c r="A379" s="119"/>
      <c r="B379" s="2"/>
      <c r="C379" s="369"/>
      <c r="D379" s="369"/>
      <c r="E379" s="369"/>
      <c r="F379" s="370"/>
      <c r="G379" s="248" t="str">
        <f t="shared" si="25"/>
        <v/>
      </c>
      <c r="H379" s="1" t="b">
        <f>IF(B379="",FALSE,COUNTIF('従業員情報(給与以外)'!$A$4:$A$1000000,$B379)=0)</f>
        <v>0</v>
      </c>
      <c r="I379" s="9" t="b">
        <f t="shared" si="26"/>
        <v>1</v>
      </c>
      <c r="J379" s="9" t="b">
        <f t="shared" si="27"/>
        <v>1</v>
      </c>
      <c r="K379" s="9" t="b">
        <f t="shared" si="28"/>
        <v>1</v>
      </c>
      <c r="L379" s="9" t="b">
        <f t="shared" si="29"/>
        <v>1</v>
      </c>
      <c r="M379" s="1" t="b">
        <f>IF(OR(入力シート!$C$5&lt;&gt;入力リスト!$N$4,入力シート!$J$22&lt;&gt;入力リスト!$K$4),TRUE,IF($F$2=入力リスト!$Q$4,IF(F379-INT(F379)&lt;0.6,TRUE,FALSE),TRUE))</f>
        <v>1</v>
      </c>
      <c r="N379" s="9" t="str">
        <f>IF(F379="","",IF($F$2=入力リスト!$Q$4,ROUNDDOWN(INT(F379)+ROUNDDOWN((F379-INT(F379))*100,0)/60,2),従業員の給与情報!F379))</f>
        <v/>
      </c>
      <c r="O379" s="8"/>
      <c r="P379" s="8"/>
    </row>
    <row r="380" spans="1:16">
      <c r="A380" s="119"/>
      <c r="B380" s="2"/>
      <c r="C380" s="369"/>
      <c r="D380" s="369"/>
      <c r="E380" s="369"/>
      <c r="F380" s="370"/>
      <c r="G380" s="248" t="str">
        <f t="shared" si="25"/>
        <v/>
      </c>
      <c r="H380" s="1" t="b">
        <f>IF(B380="",FALSE,COUNTIF('従業員情報(給与以外)'!$A$4:$A$1000000,$B380)=0)</f>
        <v>0</v>
      </c>
      <c r="I380" s="9" t="b">
        <f t="shared" si="26"/>
        <v>1</v>
      </c>
      <c r="J380" s="9" t="b">
        <f t="shared" si="27"/>
        <v>1</v>
      </c>
      <c r="K380" s="9" t="b">
        <f t="shared" si="28"/>
        <v>1</v>
      </c>
      <c r="L380" s="9" t="b">
        <f t="shared" si="29"/>
        <v>1</v>
      </c>
      <c r="M380" s="1" t="b">
        <f>IF(OR(入力シート!$C$5&lt;&gt;入力リスト!$N$4,入力シート!$J$22&lt;&gt;入力リスト!$K$4),TRUE,IF($F$2=入力リスト!$Q$4,IF(F380-INT(F380)&lt;0.6,TRUE,FALSE),TRUE))</f>
        <v>1</v>
      </c>
      <c r="N380" s="9" t="str">
        <f>IF(F380="","",IF($F$2=入力リスト!$Q$4,ROUNDDOWN(INT(F380)+ROUNDDOWN((F380-INT(F380))*100,0)/60,2),従業員の給与情報!F380))</f>
        <v/>
      </c>
      <c r="O380" s="8"/>
      <c r="P380" s="8"/>
    </row>
    <row r="381" spans="1:16">
      <c r="A381" s="119"/>
      <c r="B381" s="2"/>
      <c r="C381" s="369"/>
      <c r="D381" s="369"/>
      <c r="E381" s="369"/>
      <c r="F381" s="370"/>
      <c r="G381" s="248" t="str">
        <f t="shared" si="25"/>
        <v/>
      </c>
      <c r="H381" s="1" t="b">
        <f>IF(B381="",FALSE,COUNTIF('従業員情報(給与以外)'!$A$4:$A$1000000,$B381)=0)</f>
        <v>0</v>
      </c>
      <c r="I381" s="9" t="b">
        <f t="shared" si="26"/>
        <v>1</v>
      </c>
      <c r="J381" s="9" t="b">
        <f t="shared" si="27"/>
        <v>1</v>
      </c>
      <c r="K381" s="9" t="b">
        <f t="shared" si="28"/>
        <v>1</v>
      </c>
      <c r="L381" s="9" t="b">
        <f t="shared" si="29"/>
        <v>1</v>
      </c>
      <c r="M381" s="1" t="b">
        <f>IF(OR(入力シート!$C$5&lt;&gt;入力リスト!$N$4,入力シート!$J$22&lt;&gt;入力リスト!$K$4),TRUE,IF($F$2=入力リスト!$Q$4,IF(F381-INT(F381)&lt;0.6,TRUE,FALSE),TRUE))</f>
        <v>1</v>
      </c>
      <c r="N381" s="9" t="str">
        <f>IF(F381="","",IF($F$2=入力リスト!$Q$4,ROUNDDOWN(INT(F381)+ROUNDDOWN((F381-INT(F381))*100,0)/60,2),従業員の給与情報!F381))</f>
        <v/>
      </c>
      <c r="O381" s="8"/>
      <c r="P381" s="8"/>
    </row>
    <row r="382" spans="1:16">
      <c r="A382" s="119"/>
      <c r="B382" s="2"/>
      <c r="C382" s="369"/>
      <c r="D382" s="369"/>
      <c r="E382" s="369"/>
      <c r="F382" s="370"/>
      <c r="G382" s="248" t="str">
        <f t="shared" si="25"/>
        <v/>
      </c>
      <c r="H382" s="1" t="b">
        <f>IF(B382="",FALSE,COUNTIF('従業員情報(給与以外)'!$A$4:$A$1000000,$B382)=0)</f>
        <v>0</v>
      </c>
      <c r="I382" s="9" t="b">
        <f t="shared" si="26"/>
        <v>1</v>
      </c>
      <c r="J382" s="9" t="b">
        <f t="shared" si="27"/>
        <v>1</v>
      </c>
      <c r="K382" s="9" t="b">
        <f t="shared" si="28"/>
        <v>1</v>
      </c>
      <c r="L382" s="9" t="b">
        <f t="shared" si="29"/>
        <v>1</v>
      </c>
      <c r="M382" s="1" t="b">
        <f>IF(OR(入力シート!$C$5&lt;&gt;入力リスト!$N$4,入力シート!$J$22&lt;&gt;入力リスト!$K$4),TRUE,IF($F$2=入力リスト!$Q$4,IF(F382-INT(F382)&lt;0.6,TRUE,FALSE),TRUE))</f>
        <v>1</v>
      </c>
      <c r="N382" s="9" t="str">
        <f>IF(F382="","",IF($F$2=入力リスト!$Q$4,ROUNDDOWN(INT(F382)+ROUNDDOWN((F382-INT(F382))*100,0)/60,2),従業員の給与情報!F382))</f>
        <v/>
      </c>
      <c r="O382" s="8"/>
      <c r="P382" s="8"/>
    </row>
    <row r="383" spans="1:16">
      <c r="A383" s="119"/>
      <c r="B383" s="2"/>
      <c r="C383" s="369"/>
      <c r="D383" s="369"/>
      <c r="E383" s="369"/>
      <c r="F383" s="370"/>
      <c r="G383" s="248" t="str">
        <f t="shared" si="25"/>
        <v/>
      </c>
      <c r="H383" s="1" t="b">
        <f>IF(B383="",FALSE,COUNTIF('従業員情報(給与以外)'!$A$4:$A$1000000,$B383)=0)</f>
        <v>0</v>
      </c>
      <c r="I383" s="9" t="b">
        <f t="shared" si="26"/>
        <v>1</v>
      </c>
      <c r="J383" s="9" t="b">
        <f t="shared" si="27"/>
        <v>1</v>
      </c>
      <c r="K383" s="9" t="b">
        <f t="shared" si="28"/>
        <v>1</v>
      </c>
      <c r="L383" s="9" t="b">
        <f t="shared" si="29"/>
        <v>1</v>
      </c>
      <c r="M383" s="1" t="b">
        <f>IF(OR(入力シート!$C$5&lt;&gt;入力リスト!$N$4,入力シート!$J$22&lt;&gt;入力リスト!$K$4),TRUE,IF($F$2=入力リスト!$Q$4,IF(F383-INT(F383)&lt;0.6,TRUE,FALSE),TRUE))</f>
        <v>1</v>
      </c>
      <c r="N383" s="9" t="str">
        <f>IF(F383="","",IF($F$2=入力リスト!$Q$4,ROUNDDOWN(INT(F383)+ROUNDDOWN((F383-INT(F383))*100,0)/60,2),従業員の給与情報!F383))</f>
        <v/>
      </c>
      <c r="O383" s="8"/>
      <c r="P383" s="8"/>
    </row>
    <row r="384" spans="1:16">
      <c r="A384" s="119"/>
      <c r="B384" s="2"/>
      <c r="C384" s="369"/>
      <c r="D384" s="369"/>
      <c r="E384" s="369"/>
      <c r="F384" s="370"/>
      <c r="G384" s="248" t="str">
        <f t="shared" si="25"/>
        <v/>
      </c>
      <c r="H384" s="1" t="b">
        <f>IF(B384="",FALSE,COUNTIF('従業員情報(給与以外)'!$A$4:$A$1000000,$B384)=0)</f>
        <v>0</v>
      </c>
      <c r="I384" s="9" t="b">
        <f t="shared" si="26"/>
        <v>1</v>
      </c>
      <c r="J384" s="9" t="b">
        <f t="shared" si="27"/>
        <v>1</v>
      </c>
      <c r="K384" s="9" t="b">
        <f t="shared" si="28"/>
        <v>1</v>
      </c>
      <c r="L384" s="9" t="b">
        <f t="shared" si="29"/>
        <v>1</v>
      </c>
      <c r="M384" s="1" t="b">
        <f>IF(OR(入力シート!$C$5&lt;&gt;入力リスト!$N$4,入力シート!$J$22&lt;&gt;入力リスト!$K$4),TRUE,IF($F$2=入力リスト!$Q$4,IF(F384-INT(F384)&lt;0.6,TRUE,FALSE),TRUE))</f>
        <v>1</v>
      </c>
      <c r="N384" s="9" t="str">
        <f>IF(F384="","",IF($F$2=入力リスト!$Q$4,ROUNDDOWN(INT(F384)+ROUNDDOWN((F384-INT(F384))*100,0)/60,2),従業員の給与情報!F384))</f>
        <v/>
      </c>
      <c r="O384" s="8"/>
      <c r="P384" s="8"/>
    </row>
    <row r="385" spans="1:16">
      <c r="A385" s="119"/>
      <c r="B385" s="2"/>
      <c r="C385" s="369"/>
      <c r="D385" s="369"/>
      <c r="E385" s="369"/>
      <c r="F385" s="370"/>
      <c r="G385" s="248" t="str">
        <f t="shared" si="25"/>
        <v/>
      </c>
      <c r="H385" s="1" t="b">
        <f>IF(B385="",FALSE,COUNTIF('従業員情報(給与以外)'!$A$4:$A$1000000,$B385)=0)</f>
        <v>0</v>
      </c>
      <c r="I385" s="9" t="b">
        <f t="shared" si="26"/>
        <v>1</v>
      </c>
      <c r="J385" s="9" t="b">
        <f t="shared" si="27"/>
        <v>1</v>
      </c>
      <c r="K385" s="9" t="b">
        <f t="shared" si="28"/>
        <v>1</v>
      </c>
      <c r="L385" s="9" t="b">
        <f t="shared" si="29"/>
        <v>1</v>
      </c>
      <c r="M385" s="1" t="b">
        <f>IF(OR(入力シート!$C$5&lt;&gt;入力リスト!$N$4,入力シート!$J$22&lt;&gt;入力リスト!$K$4),TRUE,IF($F$2=入力リスト!$Q$4,IF(F385-INT(F385)&lt;0.6,TRUE,FALSE),TRUE))</f>
        <v>1</v>
      </c>
      <c r="N385" s="9" t="str">
        <f>IF(F385="","",IF($F$2=入力リスト!$Q$4,ROUNDDOWN(INT(F385)+ROUNDDOWN((F385-INT(F385))*100,0)/60,2),従業員の給与情報!F385))</f>
        <v/>
      </c>
      <c r="O385" s="8"/>
      <c r="P385" s="8"/>
    </row>
    <row r="386" spans="1:16">
      <c r="A386" s="119"/>
      <c r="B386" s="2"/>
      <c r="C386" s="369"/>
      <c r="D386" s="369"/>
      <c r="E386" s="369"/>
      <c r="F386" s="370"/>
      <c r="G386" s="248" t="str">
        <f t="shared" si="25"/>
        <v/>
      </c>
      <c r="H386" s="1" t="b">
        <f>IF(B386="",FALSE,COUNTIF('従業員情報(給与以外)'!$A$4:$A$1000000,$B386)=0)</f>
        <v>0</v>
      </c>
      <c r="I386" s="9" t="b">
        <f t="shared" si="26"/>
        <v>1</v>
      </c>
      <c r="J386" s="9" t="b">
        <f t="shared" si="27"/>
        <v>1</v>
      </c>
      <c r="K386" s="9" t="b">
        <f t="shared" si="28"/>
        <v>1</v>
      </c>
      <c r="L386" s="9" t="b">
        <f t="shared" si="29"/>
        <v>1</v>
      </c>
      <c r="M386" s="1" t="b">
        <f>IF(OR(入力シート!$C$5&lt;&gt;入力リスト!$N$4,入力シート!$J$22&lt;&gt;入力リスト!$K$4),TRUE,IF($F$2=入力リスト!$Q$4,IF(F386-INT(F386)&lt;0.6,TRUE,FALSE),TRUE))</f>
        <v>1</v>
      </c>
      <c r="N386" s="9" t="str">
        <f>IF(F386="","",IF($F$2=入力リスト!$Q$4,ROUNDDOWN(INT(F386)+ROUNDDOWN((F386-INT(F386))*100,0)/60,2),従業員の給与情報!F386))</f>
        <v/>
      </c>
      <c r="O386" s="8"/>
      <c r="P386" s="8"/>
    </row>
    <row r="387" spans="1:16">
      <c r="A387" s="119"/>
      <c r="B387" s="2"/>
      <c r="C387" s="369"/>
      <c r="D387" s="369"/>
      <c r="E387" s="369"/>
      <c r="F387" s="370"/>
      <c r="G387" s="248" t="str">
        <f t="shared" si="25"/>
        <v/>
      </c>
      <c r="H387" s="1" t="b">
        <f>IF(B387="",FALSE,COUNTIF('従業員情報(給与以外)'!$A$4:$A$1000000,$B387)=0)</f>
        <v>0</v>
      </c>
      <c r="I387" s="9" t="b">
        <f t="shared" si="26"/>
        <v>1</v>
      </c>
      <c r="J387" s="9" t="b">
        <f t="shared" si="27"/>
        <v>1</v>
      </c>
      <c r="K387" s="9" t="b">
        <f t="shared" si="28"/>
        <v>1</v>
      </c>
      <c r="L387" s="9" t="b">
        <f t="shared" si="29"/>
        <v>1</v>
      </c>
      <c r="M387" s="1" t="b">
        <f>IF(OR(入力シート!$C$5&lt;&gt;入力リスト!$N$4,入力シート!$J$22&lt;&gt;入力リスト!$K$4),TRUE,IF($F$2=入力リスト!$Q$4,IF(F387-INT(F387)&lt;0.6,TRUE,FALSE),TRUE))</f>
        <v>1</v>
      </c>
      <c r="N387" s="9" t="str">
        <f>IF(F387="","",IF($F$2=入力リスト!$Q$4,ROUNDDOWN(INT(F387)+ROUNDDOWN((F387-INT(F387))*100,0)/60,2),従業員の給与情報!F387))</f>
        <v/>
      </c>
      <c r="O387" s="8"/>
      <c r="P387" s="8"/>
    </row>
    <row r="388" spans="1:16">
      <c r="A388" s="119"/>
      <c r="B388" s="2"/>
      <c r="C388" s="369"/>
      <c r="D388" s="369"/>
      <c r="E388" s="369"/>
      <c r="F388" s="370"/>
      <c r="G388" s="248" t="str">
        <f t="shared" si="25"/>
        <v/>
      </c>
      <c r="H388" s="1" t="b">
        <f>IF(B388="",FALSE,COUNTIF('従業員情報(給与以外)'!$A$4:$A$1000000,$B388)=0)</f>
        <v>0</v>
      </c>
      <c r="I388" s="9" t="b">
        <f t="shared" si="26"/>
        <v>1</v>
      </c>
      <c r="J388" s="9" t="b">
        <f t="shared" si="27"/>
        <v>1</v>
      </c>
      <c r="K388" s="9" t="b">
        <f t="shared" si="28"/>
        <v>1</v>
      </c>
      <c r="L388" s="9" t="b">
        <f t="shared" si="29"/>
        <v>1</v>
      </c>
      <c r="M388" s="1" t="b">
        <f>IF(OR(入力シート!$C$5&lt;&gt;入力リスト!$N$4,入力シート!$J$22&lt;&gt;入力リスト!$K$4),TRUE,IF($F$2=入力リスト!$Q$4,IF(F388-INT(F388)&lt;0.6,TRUE,FALSE),TRUE))</f>
        <v>1</v>
      </c>
      <c r="N388" s="9" t="str">
        <f>IF(F388="","",IF($F$2=入力リスト!$Q$4,ROUNDDOWN(INT(F388)+ROUNDDOWN((F388-INT(F388))*100,0)/60,2),従業員の給与情報!F388))</f>
        <v/>
      </c>
      <c r="O388" s="8"/>
      <c r="P388" s="8"/>
    </row>
    <row r="389" spans="1:16">
      <c r="A389" s="119"/>
      <c r="B389" s="2"/>
      <c r="C389" s="369"/>
      <c r="D389" s="369"/>
      <c r="E389" s="369"/>
      <c r="F389" s="370"/>
      <c r="G389" s="248" t="str">
        <f t="shared" ref="G389:G452" si="30">IF(AND($B389="",OR(B389&lt;&gt;"",C389&lt;&gt;"",D389&lt;&gt;"",E389&lt;&gt;"",F389&lt;&gt;"")),"従業員番号が空白です。",IF($H389=TRUE,"この従業員番号は、シート［従業員情報（給与以外）］に存在しません。",IF(I389=FALSE,"「毎月の固定給与額」","")&amp;IF(AND(I389=FALSE,OR(J389=FALSE,K389=FALSE,L389=FALSE)),",","")&amp;IF(J389=FALSE,"「賞与額等」","")&amp;IF(AND(J389=FALSE,OR(K389=FALSE,L389=FALSE)),",","")&amp;IF(K389=FALSE,"「残業手当」","")&amp;IF(AND(K389=FALSE,L389=FALSE),",","")&amp;IF(L389=FALSE,"「残業時間」","")&amp;IF(OR(I389=FALSE,J389=FALSE,K389=FALSE,L389=FALSE),"に数値以外が入力されています。","")&amp;IF(M389,"","「残業時間」を分単位で入力した場合、小数点以下の値は0.6未満にしてください。")))</f>
        <v/>
      </c>
      <c r="H389" s="1" t="b">
        <f>IF(B389="",FALSE,COUNTIF('従業員情報(給与以外)'!$A$4:$A$1000000,$B389)=0)</f>
        <v>0</v>
      </c>
      <c r="I389" s="9" t="b">
        <f t="shared" ref="I389:I452" si="31">OR(C389="",ISNUMBER(C389))</f>
        <v>1</v>
      </c>
      <c r="J389" s="9" t="b">
        <f t="shared" ref="J389:J452" si="32">OR(D389="",ISNUMBER(D389))</f>
        <v>1</v>
      </c>
      <c r="K389" s="9" t="b">
        <f t="shared" ref="K389:K452" si="33">OR(E389="",ISNUMBER(E389))</f>
        <v>1</v>
      </c>
      <c r="L389" s="9" t="b">
        <f t="shared" ref="L389:L452" si="34">OR(F389="",ISNUMBER(F389))</f>
        <v>1</v>
      </c>
      <c r="M389" s="1" t="b">
        <f>IF(OR(入力シート!$C$5&lt;&gt;入力リスト!$N$4,入力シート!$J$22&lt;&gt;入力リスト!$K$4),TRUE,IF($F$2=入力リスト!$Q$4,IF(F389-INT(F389)&lt;0.6,TRUE,FALSE),TRUE))</f>
        <v>1</v>
      </c>
      <c r="N389" s="9" t="str">
        <f>IF(F389="","",IF($F$2=入力リスト!$Q$4,ROUNDDOWN(INT(F389)+ROUNDDOWN((F389-INT(F389))*100,0)/60,2),従業員の給与情報!F389))</f>
        <v/>
      </c>
      <c r="O389" s="8"/>
      <c r="P389" s="8"/>
    </row>
    <row r="390" spans="1:16">
      <c r="A390" s="119"/>
      <c r="B390" s="2"/>
      <c r="C390" s="369"/>
      <c r="D390" s="369"/>
      <c r="E390" s="369"/>
      <c r="F390" s="370"/>
      <c r="G390" s="248" t="str">
        <f t="shared" si="30"/>
        <v/>
      </c>
      <c r="H390" s="1" t="b">
        <f>IF(B390="",FALSE,COUNTIF('従業員情報(給与以外)'!$A$4:$A$1000000,$B390)=0)</f>
        <v>0</v>
      </c>
      <c r="I390" s="9" t="b">
        <f t="shared" si="31"/>
        <v>1</v>
      </c>
      <c r="J390" s="9" t="b">
        <f t="shared" si="32"/>
        <v>1</v>
      </c>
      <c r="K390" s="9" t="b">
        <f t="shared" si="33"/>
        <v>1</v>
      </c>
      <c r="L390" s="9" t="b">
        <f t="shared" si="34"/>
        <v>1</v>
      </c>
      <c r="M390" s="1" t="b">
        <f>IF(OR(入力シート!$C$5&lt;&gt;入力リスト!$N$4,入力シート!$J$22&lt;&gt;入力リスト!$K$4),TRUE,IF($F$2=入力リスト!$Q$4,IF(F390-INT(F390)&lt;0.6,TRUE,FALSE),TRUE))</f>
        <v>1</v>
      </c>
      <c r="N390" s="9" t="str">
        <f>IF(F390="","",IF($F$2=入力リスト!$Q$4,ROUNDDOWN(INT(F390)+ROUNDDOWN((F390-INT(F390))*100,0)/60,2),従業員の給与情報!F390))</f>
        <v/>
      </c>
      <c r="O390" s="8"/>
      <c r="P390" s="8"/>
    </row>
    <row r="391" spans="1:16">
      <c r="A391" s="119"/>
      <c r="B391" s="2"/>
      <c r="C391" s="369"/>
      <c r="D391" s="369"/>
      <c r="E391" s="369"/>
      <c r="F391" s="370"/>
      <c r="G391" s="248" t="str">
        <f t="shared" si="30"/>
        <v/>
      </c>
      <c r="H391" s="1" t="b">
        <f>IF(B391="",FALSE,COUNTIF('従業員情報(給与以外)'!$A$4:$A$1000000,$B391)=0)</f>
        <v>0</v>
      </c>
      <c r="I391" s="9" t="b">
        <f t="shared" si="31"/>
        <v>1</v>
      </c>
      <c r="J391" s="9" t="b">
        <f t="shared" si="32"/>
        <v>1</v>
      </c>
      <c r="K391" s="9" t="b">
        <f t="shared" si="33"/>
        <v>1</v>
      </c>
      <c r="L391" s="9" t="b">
        <f t="shared" si="34"/>
        <v>1</v>
      </c>
      <c r="M391" s="1" t="b">
        <f>IF(OR(入力シート!$C$5&lt;&gt;入力リスト!$N$4,入力シート!$J$22&lt;&gt;入力リスト!$K$4),TRUE,IF($F$2=入力リスト!$Q$4,IF(F391-INT(F391)&lt;0.6,TRUE,FALSE),TRUE))</f>
        <v>1</v>
      </c>
      <c r="N391" s="9" t="str">
        <f>IF(F391="","",IF($F$2=入力リスト!$Q$4,ROUNDDOWN(INT(F391)+ROUNDDOWN((F391-INT(F391))*100,0)/60,2),従業員の給与情報!F391))</f>
        <v/>
      </c>
      <c r="O391" s="8"/>
      <c r="P391" s="8"/>
    </row>
    <row r="392" spans="1:16">
      <c r="A392" s="119"/>
      <c r="B392" s="2"/>
      <c r="C392" s="369"/>
      <c r="D392" s="369"/>
      <c r="E392" s="369"/>
      <c r="F392" s="370"/>
      <c r="G392" s="248" t="str">
        <f t="shared" si="30"/>
        <v/>
      </c>
      <c r="H392" s="1" t="b">
        <f>IF(B392="",FALSE,COUNTIF('従業員情報(給与以外)'!$A$4:$A$1000000,$B392)=0)</f>
        <v>0</v>
      </c>
      <c r="I392" s="9" t="b">
        <f t="shared" si="31"/>
        <v>1</v>
      </c>
      <c r="J392" s="9" t="b">
        <f t="shared" si="32"/>
        <v>1</v>
      </c>
      <c r="K392" s="9" t="b">
        <f t="shared" si="33"/>
        <v>1</v>
      </c>
      <c r="L392" s="9" t="b">
        <f t="shared" si="34"/>
        <v>1</v>
      </c>
      <c r="M392" s="1" t="b">
        <f>IF(OR(入力シート!$C$5&lt;&gt;入力リスト!$N$4,入力シート!$J$22&lt;&gt;入力リスト!$K$4),TRUE,IF($F$2=入力リスト!$Q$4,IF(F392-INT(F392)&lt;0.6,TRUE,FALSE),TRUE))</f>
        <v>1</v>
      </c>
      <c r="N392" s="9" t="str">
        <f>IF(F392="","",IF($F$2=入力リスト!$Q$4,ROUNDDOWN(INT(F392)+ROUNDDOWN((F392-INT(F392))*100,0)/60,2),従業員の給与情報!F392))</f>
        <v/>
      </c>
      <c r="O392" s="8"/>
      <c r="P392" s="8"/>
    </row>
    <row r="393" spans="1:16">
      <c r="A393" s="119"/>
      <c r="B393" s="2"/>
      <c r="C393" s="369"/>
      <c r="D393" s="369"/>
      <c r="E393" s="369"/>
      <c r="F393" s="370"/>
      <c r="G393" s="248" t="str">
        <f t="shared" si="30"/>
        <v/>
      </c>
      <c r="H393" s="1" t="b">
        <f>IF(B393="",FALSE,COUNTIF('従業員情報(給与以外)'!$A$4:$A$1000000,$B393)=0)</f>
        <v>0</v>
      </c>
      <c r="I393" s="9" t="b">
        <f t="shared" si="31"/>
        <v>1</v>
      </c>
      <c r="J393" s="9" t="b">
        <f t="shared" si="32"/>
        <v>1</v>
      </c>
      <c r="K393" s="9" t="b">
        <f t="shared" si="33"/>
        <v>1</v>
      </c>
      <c r="L393" s="9" t="b">
        <f t="shared" si="34"/>
        <v>1</v>
      </c>
      <c r="M393" s="1" t="b">
        <f>IF(OR(入力シート!$C$5&lt;&gt;入力リスト!$N$4,入力シート!$J$22&lt;&gt;入力リスト!$K$4),TRUE,IF($F$2=入力リスト!$Q$4,IF(F393-INT(F393)&lt;0.6,TRUE,FALSE),TRUE))</f>
        <v>1</v>
      </c>
      <c r="N393" s="9" t="str">
        <f>IF(F393="","",IF($F$2=入力リスト!$Q$4,ROUNDDOWN(INT(F393)+ROUNDDOWN((F393-INT(F393))*100,0)/60,2),従業員の給与情報!F393))</f>
        <v/>
      </c>
      <c r="O393" s="8"/>
      <c r="P393" s="8"/>
    </row>
    <row r="394" spans="1:16">
      <c r="A394" s="119"/>
      <c r="B394" s="2"/>
      <c r="C394" s="369"/>
      <c r="D394" s="369"/>
      <c r="E394" s="369"/>
      <c r="F394" s="370"/>
      <c r="G394" s="248" t="str">
        <f t="shared" si="30"/>
        <v/>
      </c>
      <c r="H394" s="1" t="b">
        <f>IF(B394="",FALSE,COUNTIF('従業員情報(給与以外)'!$A$4:$A$1000000,$B394)=0)</f>
        <v>0</v>
      </c>
      <c r="I394" s="9" t="b">
        <f t="shared" si="31"/>
        <v>1</v>
      </c>
      <c r="J394" s="9" t="b">
        <f t="shared" si="32"/>
        <v>1</v>
      </c>
      <c r="K394" s="9" t="b">
        <f t="shared" si="33"/>
        <v>1</v>
      </c>
      <c r="L394" s="9" t="b">
        <f t="shared" si="34"/>
        <v>1</v>
      </c>
      <c r="M394" s="1" t="b">
        <f>IF(OR(入力シート!$C$5&lt;&gt;入力リスト!$N$4,入力シート!$J$22&lt;&gt;入力リスト!$K$4),TRUE,IF($F$2=入力リスト!$Q$4,IF(F394-INT(F394)&lt;0.6,TRUE,FALSE),TRUE))</f>
        <v>1</v>
      </c>
      <c r="N394" s="9" t="str">
        <f>IF(F394="","",IF($F$2=入力リスト!$Q$4,ROUNDDOWN(INT(F394)+ROUNDDOWN((F394-INT(F394))*100,0)/60,2),従業員の給与情報!F394))</f>
        <v/>
      </c>
      <c r="O394" s="8"/>
      <c r="P394" s="8"/>
    </row>
    <row r="395" spans="1:16">
      <c r="A395" s="119"/>
      <c r="B395" s="2"/>
      <c r="C395" s="369"/>
      <c r="D395" s="369"/>
      <c r="E395" s="369"/>
      <c r="F395" s="370"/>
      <c r="G395" s="248" t="str">
        <f t="shared" si="30"/>
        <v/>
      </c>
      <c r="H395" s="1" t="b">
        <f>IF(B395="",FALSE,COUNTIF('従業員情報(給与以外)'!$A$4:$A$1000000,$B395)=0)</f>
        <v>0</v>
      </c>
      <c r="I395" s="9" t="b">
        <f t="shared" si="31"/>
        <v>1</v>
      </c>
      <c r="J395" s="9" t="b">
        <f t="shared" si="32"/>
        <v>1</v>
      </c>
      <c r="K395" s="9" t="b">
        <f t="shared" si="33"/>
        <v>1</v>
      </c>
      <c r="L395" s="9" t="b">
        <f t="shared" si="34"/>
        <v>1</v>
      </c>
      <c r="M395" s="1" t="b">
        <f>IF(OR(入力シート!$C$5&lt;&gt;入力リスト!$N$4,入力シート!$J$22&lt;&gt;入力リスト!$K$4),TRUE,IF($F$2=入力リスト!$Q$4,IF(F395-INT(F395)&lt;0.6,TRUE,FALSE),TRUE))</f>
        <v>1</v>
      </c>
      <c r="N395" s="9" t="str">
        <f>IF(F395="","",IF($F$2=入力リスト!$Q$4,ROUNDDOWN(INT(F395)+ROUNDDOWN((F395-INT(F395))*100,0)/60,2),従業員の給与情報!F395))</f>
        <v/>
      </c>
      <c r="O395" s="8"/>
      <c r="P395" s="8"/>
    </row>
    <row r="396" spans="1:16">
      <c r="A396" s="119"/>
      <c r="B396" s="2"/>
      <c r="C396" s="369"/>
      <c r="D396" s="369"/>
      <c r="E396" s="369"/>
      <c r="F396" s="370"/>
      <c r="G396" s="248" t="str">
        <f t="shared" si="30"/>
        <v/>
      </c>
      <c r="H396" s="1" t="b">
        <f>IF(B396="",FALSE,COUNTIF('従業員情報(給与以外)'!$A$4:$A$1000000,$B396)=0)</f>
        <v>0</v>
      </c>
      <c r="I396" s="9" t="b">
        <f t="shared" si="31"/>
        <v>1</v>
      </c>
      <c r="J396" s="9" t="b">
        <f t="shared" si="32"/>
        <v>1</v>
      </c>
      <c r="K396" s="9" t="b">
        <f t="shared" si="33"/>
        <v>1</v>
      </c>
      <c r="L396" s="9" t="b">
        <f t="shared" si="34"/>
        <v>1</v>
      </c>
      <c r="M396" s="1" t="b">
        <f>IF(OR(入力シート!$C$5&lt;&gt;入力リスト!$N$4,入力シート!$J$22&lt;&gt;入力リスト!$K$4),TRUE,IF($F$2=入力リスト!$Q$4,IF(F396-INT(F396)&lt;0.6,TRUE,FALSE),TRUE))</f>
        <v>1</v>
      </c>
      <c r="N396" s="9" t="str">
        <f>IF(F396="","",IF($F$2=入力リスト!$Q$4,ROUNDDOWN(INT(F396)+ROUNDDOWN((F396-INT(F396))*100,0)/60,2),従業員の給与情報!F396))</f>
        <v/>
      </c>
      <c r="O396" s="8"/>
      <c r="P396" s="8"/>
    </row>
    <row r="397" spans="1:16">
      <c r="A397" s="119"/>
      <c r="B397" s="2"/>
      <c r="C397" s="369"/>
      <c r="D397" s="369"/>
      <c r="E397" s="369"/>
      <c r="F397" s="370"/>
      <c r="G397" s="248" t="str">
        <f t="shared" si="30"/>
        <v/>
      </c>
      <c r="H397" s="1" t="b">
        <f>IF(B397="",FALSE,COUNTIF('従業員情報(給与以外)'!$A$4:$A$1000000,$B397)=0)</f>
        <v>0</v>
      </c>
      <c r="I397" s="9" t="b">
        <f t="shared" si="31"/>
        <v>1</v>
      </c>
      <c r="J397" s="9" t="b">
        <f t="shared" si="32"/>
        <v>1</v>
      </c>
      <c r="K397" s="9" t="b">
        <f t="shared" si="33"/>
        <v>1</v>
      </c>
      <c r="L397" s="9" t="b">
        <f t="shared" si="34"/>
        <v>1</v>
      </c>
      <c r="M397" s="1" t="b">
        <f>IF(OR(入力シート!$C$5&lt;&gt;入力リスト!$N$4,入力シート!$J$22&lt;&gt;入力リスト!$K$4),TRUE,IF($F$2=入力リスト!$Q$4,IF(F397-INT(F397)&lt;0.6,TRUE,FALSE),TRUE))</f>
        <v>1</v>
      </c>
      <c r="N397" s="9" t="str">
        <f>IF(F397="","",IF($F$2=入力リスト!$Q$4,ROUNDDOWN(INT(F397)+ROUNDDOWN((F397-INT(F397))*100,0)/60,2),従業員の給与情報!F397))</f>
        <v/>
      </c>
      <c r="O397" s="8"/>
      <c r="P397" s="8"/>
    </row>
    <row r="398" spans="1:16">
      <c r="A398" s="119"/>
      <c r="B398" s="2"/>
      <c r="C398" s="369"/>
      <c r="D398" s="369"/>
      <c r="E398" s="369"/>
      <c r="F398" s="370"/>
      <c r="G398" s="248" t="str">
        <f t="shared" si="30"/>
        <v/>
      </c>
      <c r="H398" s="1" t="b">
        <f>IF(B398="",FALSE,COUNTIF('従業員情報(給与以外)'!$A$4:$A$1000000,$B398)=0)</f>
        <v>0</v>
      </c>
      <c r="I398" s="9" t="b">
        <f t="shared" si="31"/>
        <v>1</v>
      </c>
      <c r="J398" s="9" t="b">
        <f t="shared" si="32"/>
        <v>1</v>
      </c>
      <c r="K398" s="9" t="b">
        <f t="shared" si="33"/>
        <v>1</v>
      </c>
      <c r="L398" s="9" t="b">
        <f t="shared" si="34"/>
        <v>1</v>
      </c>
      <c r="M398" s="1" t="b">
        <f>IF(OR(入力シート!$C$5&lt;&gt;入力リスト!$N$4,入力シート!$J$22&lt;&gt;入力リスト!$K$4),TRUE,IF($F$2=入力リスト!$Q$4,IF(F398-INT(F398)&lt;0.6,TRUE,FALSE),TRUE))</f>
        <v>1</v>
      </c>
      <c r="N398" s="9" t="str">
        <f>IF(F398="","",IF($F$2=入力リスト!$Q$4,ROUNDDOWN(INT(F398)+ROUNDDOWN((F398-INT(F398))*100,0)/60,2),従業員の給与情報!F398))</f>
        <v/>
      </c>
      <c r="O398" s="8"/>
      <c r="P398" s="8"/>
    </row>
    <row r="399" spans="1:16">
      <c r="A399" s="119"/>
      <c r="B399" s="2"/>
      <c r="C399" s="369"/>
      <c r="D399" s="369"/>
      <c r="E399" s="369"/>
      <c r="F399" s="370"/>
      <c r="G399" s="248" t="str">
        <f t="shared" si="30"/>
        <v/>
      </c>
      <c r="H399" s="1" t="b">
        <f>IF(B399="",FALSE,COUNTIF('従業員情報(給与以外)'!$A$4:$A$1000000,$B399)=0)</f>
        <v>0</v>
      </c>
      <c r="I399" s="9" t="b">
        <f t="shared" si="31"/>
        <v>1</v>
      </c>
      <c r="J399" s="9" t="b">
        <f t="shared" si="32"/>
        <v>1</v>
      </c>
      <c r="K399" s="9" t="b">
        <f t="shared" si="33"/>
        <v>1</v>
      </c>
      <c r="L399" s="9" t="b">
        <f t="shared" si="34"/>
        <v>1</v>
      </c>
      <c r="M399" s="1" t="b">
        <f>IF(OR(入力シート!$C$5&lt;&gt;入力リスト!$N$4,入力シート!$J$22&lt;&gt;入力リスト!$K$4),TRUE,IF($F$2=入力リスト!$Q$4,IF(F399-INT(F399)&lt;0.6,TRUE,FALSE),TRUE))</f>
        <v>1</v>
      </c>
      <c r="N399" s="9" t="str">
        <f>IF(F399="","",IF($F$2=入力リスト!$Q$4,ROUNDDOWN(INT(F399)+ROUNDDOWN((F399-INT(F399))*100,0)/60,2),従業員の給与情報!F399))</f>
        <v/>
      </c>
      <c r="O399" s="8"/>
      <c r="P399" s="8"/>
    </row>
    <row r="400" spans="1:16">
      <c r="A400" s="119"/>
      <c r="B400" s="2"/>
      <c r="C400" s="369"/>
      <c r="D400" s="369"/>
      <c r="E400" s="369"/>
      <c r="F400" s="370"/>
      <c r="G400" s="248" t="str">
        <f t="shared" si="30"/>
        <v/>
      </c>
      <c r="H400" s="1" t="b">
        <f>IF(B400="",FALSE,COUNTIF('従業員情報(給与以外)'!$A$4:$A$1000000,$B400)=0)</f>
        <v>0</v>
      </c>
      <c r="I400" s="9" t="b">
        <f t="shared" si="31"/>
        <v>1</v>
      </c>
      <c r="J400" s="9" t="b">
        <f t="shared" si="32"/>
        <v>1</v>
      </c>
      <c r="K400" s="9" t="b">
        <f t="shared" si="33"/>
        <v>1</v>
      </c>
      <c r="L400" s="9" t="b">
        <f t="shared" si="34"/>
        <v>1</v>
      </c>
      <c r="M400" s="1" t="b">
        <f>IF(OR(入力シート!$C$5&lt;&gt;入力リスト!$N$4,入力シート!$J$22&lt;&gt;入力リスト!$K$4),TRUE,IF($F$2=入力リスト!$Q$4,IF(F400-INT(F400)&lt;0.6,TRUE,FALSE),TRUE))</f>
        <v>1</v>
      </c>
      <c r="N400" s="9" t="str">
        <f>IF(F400="","",IF($F$2=入力リスト!$Q$4,ROUNDDOWN(INT(F400)+ROUNDDOWN((F400-INT(F400))*100,0)/60,2),従業員の給与情報!F400))</f>
        <v/>
      </c>
      <c r="O400" s="8"/>
      <c r="P400" s="8"/>
    </row>
    <row r="401" spans="1:16">
      <c r="A401" s="119"/>
      <c r="B401" s="2"/>
      <c r="C401" s="369"/>
      <c r="D401" s="369"/>
      <c r="E401" s="369"/>
      <c r="F401" s="370"/>
      <c r="G401" s="248" t="str">
        <f t="shared" si="30"/>
        <v/>
      </c>
      <c r="H401" s="1" t="b">
        <f>IF(B401="",FALSE,COUNTIF('従業員情報(給与以外)'!$A$4:$A$1000000,$B401)=0)</f>
        <v>0</v>
      </c>
      <c r="I401" s="9" t="b">
        <f t="shared" si="31"/>
        <v>1</v>
      </c>
      <c r="J401" s="9" t="b">
        <f t="shared" si="32"/>
        <v>1</v>
      </c>
      <c r="K401" s="9" t="b">
        <f t="shared" si="33"/>
        <v>1</v>
      </c>
      <c r="L401" s="9" t="b">
        <f t="shared" si="34"/>
        <v>1</v>
      </c>
      <c r="M401" s="1" t="b">
        <f>IF(OR(入力シート!$C$5&lt;&gt;入力リスト!$N$4,入力シート!$J$22&lt;&gt;入力リスト!$K$4),TRUE,IF($F$2=入力リスト!$Q$4,IF(F401-INT(F401)&lt;0.6,TRUE,FALSE),TRUE))</f>
        <v>1</v>
      </c>
      <c r="N401" s="9" t="str">
        <f>IF(F401="","",IF($F$2=入力リスト!$Q$4,ROUNDDOWN(INT(F401)+ROUNDDOWN((F401-INT(F401))*100,0)/60,2),従業員の給与情報!F401))</f>
        <v/>
      </c>
      <c r="O401" s="8"/>
      <c r="P401" s="8"/>
    </row>
    <row r="402" spans="1:16">
      <c r="A402" s="119"/>
      <c r="B402" s="2"/>
      <c r="C402" s="369"/>
      <c r="D402" s="369"/>
      <c r="E402" s="369"/>
      <c r="F402" s="370"/>
      <c r="G402" s="248" t="str">
        <f t="shared" si="30"/>
        <v/>
      </c>
      <c r="H402" s="1" t="b">
        <f>IF(B402="",FALSE,COUNTIF('従業員情報(給与以外)'!$A$4:$A$1000000,$B402)=0)</f>
        <v>0</v>
      </c>
      <c r="I402" s="9" t="b">
        <f t="shared" si="31"/>
        <v>1</v>
      </c>
      <c r="J402" s="9" t="b">
        <f t="shared" si="32"/>
        <v>1</v>
      </c>
      <c r="K402" s="9" t="b">
        <f t="shared" si="33"/>
        <v>1</v>
      </c>
      <c r="L402" s="9" t="b">
        <f t="shared" si="34"/>
        <v>1</v>
      </c>
      <c r="M402" s="1" t="b">
        <f>IF(OR(入力シート!$C$5&lt;&gt;入力リスト!$N$4,入力シート!$J$22&lt;&gt;入力リスト!$K$4),TRUE,IF($F$2=入力リスト!$Q$4,IF(F402-INT(F402)&lt;0.6,TRUE,FALSE),TRUE))</f>
        <v>1</v>
      </c>
      <c r="N402" s="9" t="str">
        <f>IF(F402="","",IF($F$2=入力リスト!$Q$4,ROUNDDOWN(INT(F402)+ROUNDDOWN((F402-INT(F402))*100,0)/60,2),従業員の給与情報!F402))</f>
        <v/>
      </c>
      <c r="O402" s="8"/>
      <c r="P402" s="8"/>
    </row>
    <row r="403" spans="1:16">
      <c r="A403" s="119"/>
      <c r="B403" s="2"/>
      <c r="C403" s="369"/>
      <c r="D403" s="369"/>
      <c r="E403" s="369"/>
      <c r="F403" s="370"/>
      <c r="G403" s="248" t="str">
        <f t="shared" si="30"/>
        <v/>
      </c>
      <c r="H403" s="1" t="b">
        <f>IF(B403="",FALSE,COUNTIF('従業員情報(給与以外)'!$A$4:$A$1000000,$B403)=0)</f>
        <v>0</v>
      </c>
      <c r="I403" s="9" t="b">
        <f t="shared" si="31"/>
        <v>1</v>
      </c>
      <c r="J403" s="9" t="b">
        <f t="shared" si="32"/>
        <v>1</v>
      </c>
      <c r="K403" s="9" t="b">
        <f t="shared" si="33"/>
        <v>1</v>
      </c>
      <c r="L403" s="9" t="b">
        <f t="shared" si="34"/>
        <v>1</v>
      </c>
      <c r="M403" s="1" t="b">
        <f>IF(OR(入力シート!$C$5&lt;&gt;入力リスト!$N$4,入力シート!$J$22&lt;&gt;入力リスト!$K$4),TRUE,IF($F$2=入力リスト!$Q$4,IF(F403-INT(F403)&lt;0.6,TRUE,FALSE),TRUE))</f>
        <v>1</v>
      </c>
      <c r="N403" s="9" t="str">
        <f>IF(F403="","",IF($F$2=入力リスト!$Q$4,ROUNDDOWN(INT(F403)+ROUNDDOWN((F403-INT(F403))*100,0)/60,2),従業員の給与情報!F403))</f>
        <v/>
      </c>
      <c r="O403" s="8"/>
      <c r="P403" s="8"/>
    </row>
    <row r="404" spans="1:16">
      <c r="A404" s="119"/>
      <c r="B404" s="2"/>
      <c r="C404" s="369"/>
      <c r="D404" s="369"/>
      <c r="E404" s="369"/>
      <c r="F404" s="370"/>
      <c r="G404" s="248" t="str">
        <f t="shared" si="30"/>
        <v/>
      </c>
      <c r="H404" s="1" t="b">
        <f>IF(B404="",FALSE,COUNTIF('従業員情報(給与以外)'!$A$4:$A$1000000,$B404)=0)</f>
        <v>0</v>
      </c>
      <c r="I404" s="9" t="b">
        <f t="shared" si="31"/>
        <v>1</v>
      </c>
      <c r="J404" s="9" t="b">
        <f t="shared" si="32"/>
        <v>1</v>
      </c>
      <c r="K404" s="9" t="b">
        <f t="shared" si="33"/>
        <v>1</v>
      </c>
      <c r="L404" s="9" t="b">
        <f t="shared" si="34"/>
        <v>1</v>
      </c>
      <c r="M404" s="1" t="b">
        <f>IF(OR(入力シート!$C$5&lt;&gt;入力リスト!$N$4,入力シート!$J$22&lt;&gt;入力リスト!$K$4),TRUE,IF($F$2=入力リスト!$Q$4,IF(F404-INT(F404)&lt;0.6,TRUE,FALSE),TRUE))</f>
        <v>1</v>
      </c>
      <c r="N404" s="9" t="str">
        <f>IF(F404="","",IF($F$2=入力リスト!$Q$4,ROUNDDOWN(INT(F404)+ROUNDDOWN((F404-INT(F404))*100,0)/60,2),従業員の給与情報!F404))</f>
        <v/>
      </c>
      <c r="O404" s="8"/>
      <c r="P404" s="8"/>
    </row>
    <row r="405" spans="1:16">
      <c r="A405" s="119"/>
      <c r="B405" s="2"/>
      <c r="C405" s="369"/>
      <c r="D405" s="369"/>
      <c r="E405" s="369"/>
      <c r="F405" s="370"/>
      <c r="G405" s="248" t="str">
        <f t="shared" si="30"/>
        <v/>
      </c>
      <c r="H405" s="1" t="b">
        <f>IF(B405="",FALSE,COUNTIF('従業員情報(給与以外)'!$A$4:$A$1000000,$B405)=0)</f>
        <v>0</v>
      </c>
      <c r="I405" s="9" t="b">
        <f t="shared" si="31"/>
        <v>1</v>
      </c>
      <c r="J405" s="9" t="b">
        <f t="shared" si="32"/>
        <v>1</v>
      </c>
      <c r="K405" s="9" t="b">
        <f t="shared" si="33"/>
        <v>1</v>
      </c>
      <c r="L405" s="9" t="b">
        <f t="shared" si="34"/>
        <v>1</v>
      </c>
      <c r="M405" s="1" t="b">
        <f>IF(OR(入力シート!$C$5&lt;&gt;入力リスト!$N$4,入力シート!$J$22&lt;&gt;入力リスト!$K$4),TRUE,IF($F$2=入力リスト!$Q$4,IF(F405-INT(F405)&lt;0.6,TRUE,FALSE),TRUE))</f>
        <v>1</v>
      </c>
      <c r="N405" s="9" t="str">
        <f>IF(F405="","",IF($F$2=入力リスト!$Q$4,ROUNDDOWN(INT(F405)+ROUNDDOWN((F405-INT(F405))*100,0)/60,2),従業員の給与情報!F405))</f>
        <v/>
      </c>
      <c r="O405" s="8"/>
      <c r="P405" s="8"/>
    </row>
    <row r="406" spans="1:16">
      <c r="A406" s="119"/>
      <c r="B406" s="2"/>
      <c r="C406" s="369"/>
      <c r="D406" s="369"/>
      <c r="E406" s="369"/>
      <c r="F406" s="370"/>
      <c r="G406" s="248" t="str">
        <f t="shared" si="30"/>
        <v/>
      </c>
      <c r="H406" s="1" t="b">
        <f>IF(B406="",FALSE,COUNTIF('従業員情報(給与以外)'!$A$4:$A$1000000,$B406)=0)</f>
        <v>0</v>
      </c>
      <c r="I406" s="9" t="b">
        <f t="shared" si="31"/>
        <v>1</v>
      </c>
      <c r="J406" s="9" t="b">
        <f t="shared" si="32"/>
        <v>1</v>
      </c>
      <c r="K406" s="9" t="b">
        <f t="shared" si="33"/>
        <v>1</v>
      </c>
      <c r="L406" s="9" t="b">
        <f t="shared" si="34"/>
        <v>1</v>
      </c>
      <c r="M406" s="1" t="b">
        <f>IF(OR(入力シート!$C$5&lt;&gt;入力リスト!$N$4,入力シート!$J$22&lt;&gt;入力リスト!$K$4),TRUE,IF($F$2=入力リスト!$Q$4,IF(F406-INT(F406)&lt;0.6,TRUE,FALSE),TRUE))</f>
        <v>1</v>
      </c>
      <c r="N406" s="9" t="str">
        <f>IF(F406="","",IF($F$2=入力リスト!$Q$4,ROUNDDOWN(INT(F406)+ROUNDDOWN((F406-INT(F406))*100,0)/60,2),従業員の給与情報!F406))</f>
        <v/>
      </c>
      <c r="O406" s="8"/>
      <c r="P406" s="8"/>
    </row>
    <row r="407" spans="1:16">
      <c r="A407" s="119"/>
      <c r="B407" s="2"/>
      <c r="C407" s="369"/>
      <c r="D407" s="369"/>
      <c r="E407" s="369"/>
      <c r="F407" s="370"/>
      <c r="G407" s="248" t="str">
        <f t="shared" si="30"/>
        <v/>
      </c>
      <c r="H407" s="1" t="b">
        <f>IF(B407="",FALSE,COUNTIF('従業員情報(給与以外)'!$A$4:$A$1000000,$B407)=0)</f>
        <v>0</v>
      </c>
      <c r="I407" s="9" t="b">
        <f t="shared" si="31"/>
        <v>1</v>
      </c>
      <c r="J407" s="9" t="b">
        <f t="shared" si="32"/>
        <v>1</v>
      </c>
      <c r="K407" s="9" t="b">
        <f t="shared" si="33"/>
        <v>1</v>
      </c>
      <c r="L407" s="9" t="b">
        <f t="shared" si="34"/>
        <v>1</v>
      </c>
      <c r="M407" s="1" t="b">
        <f>IF(OR(入力シート!$C$5&lt;&gt;入力リスト!$N$4,入力シート!$J$22&lt;&gt;入力リスト!$K$4),TRUE,IF($F$2=入力リスト!$Q$4,IF(F407-INT(F407)&lt;0.6,TRUE,FALSE),TRUE))</f>
        <v>1</v>
      </c>
      <c r="N407" s="9" t="str">
        <f>IF(F407="","",IF($F$2=入力リスト!$Q$4,ROUNDDOWN(INT(F407)+ROUNDDOWN((F407-INT(F407))*100,0)/60,2),従業員の給与情報!F407))</f>
        <v/>
      </c>
      <c r="O407" s="8"/>
      <c r="P407" s="8"/>
    </row>
    <row r="408" spans="1:16">
      <c r="A408" s="119"/>
      <c r="B408" s="2"/>
      <c r="C408" s="369"/>
      <c r="D408" s="369"/>
      <c r="E408" s="369"/>
      <c r="F408" s="370"/>
      <c r="G408" s="248" t="str">
        <f t="shared" si="30"/>
        <v/>
      </c>
      <c r="H408" s="1" t="b">
        <f>IF(B408="",FALSE,COUNTIF('従業員情報(給与以外)'!$A$4:$A$1000000,$B408)=0)</f>
        <v>0</v>
      </c>
      <c r="I408" s="9" t="b">
        <f t="shared" si="31"/>
        <v>1</v>
      </c>
      <c r="J408" s="9" t="b">
        <f t="shared" si="32"/>
        <v>1</v>
      </c>
      <c r="K408" s="9" t="b">
        <f t="shared" si="33"/>
        <v>1</v>
      </c>
      <c r="L408" s="9" t="b">
        <f t="shared" si="34"/>
        <v>1</v>
      </c>
      <c r="M408" s="1" t="b">
        <f>IF(OR(入力シート!$C$5&lt;&gt;入力リスト!$N$4,入力シート!$J$22&lt;&gt;入力リスト!$K$4),TRUE,IF($F$2=入力リスト!$Q$4,IF(F408-INT(F408)&lt;0.6,TRUE,FALSE),TRUE))</f>
        <v>1</v>
      </c>
      <c r="N408" s="9" t="str">
        <f>IF(F408="","",IF($F$2=入力リスト!$Q$4,ROUNDDOWN(INT(F408)+ROUNDDOWN((F408-INT(F408))*100,0)/60,2),従業員の給与情報!F408))</f>
        <v/>
      </c>
      <c r="O408" s="8"/>
      <c r="P408" s="8"/>
    </row>
    <row r="409" spans="1:16">
      <c r="A409" s="119"/>
      <c r="B409" s="2"/>
      <c r="C409" s="369"/>
      <c r="D409" s="369"/>
      <c r="E409" s="369"/>
      <c r="F409" s="370"/>
      <c r="G409" s="248" t="str">
        <f t="shared" si="30"/>
        <v/>
      </c>
      <c r="H409" s="1" t="b">
        <f>IF(B409="",FALSE,COUNTIF('従業員情報(給与以外)'!$A$4:$A$1000000,$B409)=0)</f>
        <v>0</v>
      </c>
      <c r="I409" s="9" t="b">
        <f t="shared" si="31"/>
        <v>1</v>
      </c>
      <c r="J409" s="9" t="b">
        <f t="shared" si="32"/>
        <v>1</v>
      </c>
      <c r="K409" s="9" t="b">
        <f t="shared" si="33"/>
        <v>1</v>
      </c>
      <c r="L409" s="9" t="b">
        <f t="shared" si="34"/>
        <v>1</v>
      </c>
      <c r="M409" s="1" t="b">
        <f>IF(OR(入力シート!$C$5&lt;&gt;入力リスト!$N$4,入力シート!$J$22&lt;&gt;入力リスト!$K$4),TRUE,IF($F$2=入力リスト!$Q$4,IF(F409-INT(F409)&lt;0.6,TRUE,FALSE),TRUE))</f>
        <v>1</v>
      </c>
      <c r="N409" s="9" t="str">
        <f>IF(F409="","",IF($F$2=入力リスト!$Q$4,ROUNDDOWN(INT(F409)+ROUNDDOWN((F409-INT(F409))*100,0)/60,2),従業員の給与情報!F409))</f>
        <v/>
      </c>
      <c r="O409" s="8"/>
      <c r="P409" s="8"/>
    </row>
    <row r="410" spans="1:16">
      <c r="A410" s="119"/>
      <c r="B410" s="2"/>
      <c r="C410" s="369"/>
      <c r="D410" s="369"/>
      <c r="E410" s="369"/>
      <c r="F410" s="370"/>
      <c r="G410" s="248" t="str">
        <f t="shared" si="30"/>
        <v/>
      </c>
      <c r="H410" s="1" t="b">
        <f>IF(B410="",FALSE,COUNTIF('従業員情報(給与以外)'!$A$4:$A$1000000,$B410)=0)</f>
        <v>0</v>
      </c>
      <c r="I410" s="9" t="b">
        <f t="shared" si="31"/>
        <v>1</v>
      </c>
      <c r="J410" s="9" t="b">
        <f t="shared" si="32"/>
        <v>1</v>
      </c>
      <c r="K410" s="9" t="b">
        <f t="shared" si="33"/>
        <v>1</v>
      </c>
      <c r="L410" s="9" t="b">
        <f t="shared" si="34"/>
        <v>1</v>
      </c>
      <c r="M410" s="1" t="b">
        <f>IF(OR(入力シート!$C$5&lt;&gt;入力リスト!$N$4,入力シート!$J$22&lt;&gt;入力リスト!$K$4),TRUE,IF($F$2=入力リスト!$Q$4,IF(F410-INT(F410)&lt;0.6,TRUE,FALSE),TRUE))</f>
        <v>1</v>
      </c>
      <c r="N410" s="9" t="str">
        <f>IF(F410="","",IF($F$2=入力リスト!$Q$4,ROUNDDOWN(INT(F410)+ROUNDDOWN((F410-INT(F410))*100,0)/60,2),従業員の給与情報!F410))</f>
        <v/>
      </c>
      <c r="O410" s="8"/>
      <c r="P410" s="8"/>
    </row>
    <row r="411" spans="1:16">
      <c r="A411" s="119"/>
      <c r="B411" s="2"/>
      <c r="C411" s="369"/>
      <c r="D411" s="369"/>
      <c r="E411" s="369"/>
      <c r="F411" s="370"/>
      <c r="G411" s="248" t="str">
        <f t="shared" si="30"/>
        <v/>
      </c>
      <c r="H411" s="1" t="b">
        <f>IF(B411="",FALSE,COUNTIF('従業員情報(給与以外)'!$A$4:$A$1000000,$B411)=0)</f>
        <v>0</v>
      </c>
      <c r="I411" s="9" t="b">
        <f t="shared" si="31"/>
        <v>1</v>
      </c>
      <c r="J411" s="9" t="b">
        <f t="shared" si="32"/>
        <v>1</v>
      </c>
      <c r="K411" s="9" t="b">
        <f t="shared" si="33"/>
        <v>1</v>
      </c>
      <c r="L411" s="9" t="b">
        <f t="shared" si="34"/>
        <v>1</v>
      </c>
      <c r="M411" s="1" t="b">
        <f>IF(OR(入力シート!$C$5&lt;&gt;入力リスト!$N$4,入力シート!$J$22&lt;&gt;入力リスト!$K$4),TRUE,IF($F$2=入力リスト!$Q$4,IF(F411-INT(F411)&lt;0.6,TRUE,FALSE),TRUE))</f>
        <v>1</v>
      </c>
      <c r="N411" s="9" t="str">
        <f>IF(F411="","",IF($F$2=入力リスト!$Q$4,ROUNDDOWN(INT(F411)+ROUNDDOWN((F411-INT(F411))*100,0)/60,2),従業員の給与情報!F411))</f>
        <v/>
      </c>
      <c r="O411" s="8"/>
      <c r="P411" s="8"/>
    </row>
    <row r="412" spans="1:16">
      <c r="A412" s="119"/>
      <c r="B412" s="2"/>
      <c r="C412" s="369"/>
      <c r="D412" s="369"/>
      <c r="E412" s="369"/>
      <c r="F412" s="370"/>
      <c r="G412" s="248" t="str">
        <f t="shared" si="30"/>
        <v/>
      </c>
      <c r="H412" s="1" t="b">
        <f>IF(B412="",FALSE,COUNTIF('従業員情報(給与以外)'!$A$4:$A$1000000,$B412)=0)</f>
        <v>0</v>
      </c>
      <c r="I412" s="9" t="b">
        <f t="shared" si="31"/>
        <v>1</v>
      </c>
      <c r="J412" s="9" t="b">
        <f t="shared" si="32"/>
        <v>1</v>
      </c>
      <c r="K412" s="9" t="b">
        <f t="shared" si="33"/>
        <v>1</v>
      </c>
      <c r="L412" s="9" t="b">
        <f t="shared" si="34"/>
        <v>1</v>
      </c>
      <c r="M412" s="1" t="b">
        <f>IF(OR(入力シート!$C$5&lt;&gt;入力リスト!$N$4,入力シート!$J$22&lt;&gt;入力リスト!$K$4),TRUE,IF($F$2=入力リスト!$Q$4,IF(F412-INT(F412)&lt;0.6,TRUE,FALSE),TRUE))</f>
        <v>1</v>
      </c>
      <c r="N412" s="9" t="str">
        <f>IF(F412="","",IF($F$2=入力リスト!$Q$4,ROUNDDOWN(INT(F412)+ROUNDDOWN((F412-INT(F412))*100,0)/60,2),従業員の給与情報!F412))</f>
        <v/>
      </c>
      <c r="O412" s="8"/>
      <c r="P412" s="8"/>
    </row>
    <row r="413" spans="1:16">
      <c r="A413" s="119"/>
      <c r="B413" s="2"/>
      <c r="C413" s="369"/>
      <c r="D413" s="369"/>
      <c r="E413" s="369"/>
      <c r="F413" s="370"/>
      <c r="G413" s="248" t="str">
        <f t="shared" si="30"/>
        <v/>
      </c>
      <c r="H413" s="1" t="b">
        <f>IF(B413="",FALSE,COUNTIF('従業員情報(給与以外)'!$A$4:$A$1000000,$B413)=0)</f>
        <v>0</v>
      </c>
      <c r="I413" s="9" t="b">
        <f t="shared" si="31"/>
        <v>1</v>
      </c>
      <c r="J413" s="9" t="b">
        <f t="shared" si="32"/>
        <v>1</v>
      </c>
      <c r="K413" s="9" t="b">
        <f t="shared" si="33"/>
        <v>1</v>
      </c>
      <c r="L413" s="9" t="b">
        <f t="shared" si="34"/>
        <v>1</v>
      </c>
      <c r="M413" s="1" t="b">
        <f>IF(OR(入力シート!$C$5&lt;&gt;入力リスト!$N$4,入力シート!$J$22&lt;&gt;入力リスト!$K$4),TRUE,IF($F$2=入力リスト!$Q$4,IF(F413-INT(F413)&lt;0.6,TRUE,FALSE),TRUE))</f>
        <v>1</v>
      </c>
      <c r="N413" s="9" t="str">
        <f>IF(F413="","",IF($F$2=入力リスト!$Q$4,ROUNDDOWN(INT(F413)+ROUNDDOWN((F413-INT(F413))*100,0)/60,2),従業員の給与情報!F413))</f>
        <v/>
      </c>
      <c r="O413" s="8"/>
      <c r="P413" s="8"/>
    </row>
    <row r="414" spans="1:16">
      <c r="A414" s="119"/>
      <c r="B414" s="2"/>
      <c r="C414" s="369"/>
      <c r="D414" s="369"/>
      <c r="E414" s="369"/>
      <c r="F414" s="370"/>
      <c r="G414" s="248" t="str">
        <f t="shared" si="30"/>
        <v/>
      </c>
      <c r="H414" s="1" t="b">
        <f>IF(B414="",FALSE,COUNTIF('従業員情報(給与以外)'!$A$4:$A$1000000,$B414)=0)</f>
        <v>0</v>
      </c>
      <c r="I414" s="9" t="b">
        <f t="shared" si="31"/>
        <v>1</v>
      </c>
      <c r="J414" s="9" t="b">
        <f t="shared" si="32"/>
        <v>1</v>
      </c>
      <c r="K414" s="9" t="b">
        <f t="shared" si="33"/>
        <v>1</v>
      </c>
      <c r="L414" s="9" t="b">
        <f t="shared" si="34"/>
        <v>1</v>
      </c>
      <c r="M414" s="1" t="b">
        <f>IF(OR(入力シート!$C$5&lt;&gt;入力リスト!$N$4,入力シート!$J$22&lt;&gt;入力リスト!$K$4),TRUE,IF($F$2=入力リスト!$Q$4,IF(F414-INT(F414)&lt;0.6,TRUE,FALSE),TRUE))</f>
        <v>1</v>
      </c>
      <c r="N414" s="9" t="str">
        <f>IF(F414="","",IF($F$2=入力リスト!$Q$4,ROUNDDOWN(INT(F414)+ROUNDDOWN((F414-INT(F414))*100,0)/60,2),従業員の給与情報!F414))</f>
        <v/>
      </c>
      <c r="O414" s="8"/>
      <c r="P414" s="8"/>
    </row>
    <row r="415" spans="1:16">
      <c r="A415" s="119"/>
      <c r="B415" s="2"/>
      <c r="C415" s="369"/>
      <c r="D415" s="369"/>
      <c r="E415" s="369"/>
      <c r="F415" s="370"/>
      <c r="G415" s="248" t="str">
        <f t="shared" si="30"/>
        <v/>
      </c>
      <c r="H415" s="1" t="b">
        <f>IF(B415="",FALSE,COUNTIF('従業員情報(給与以外)'!$A$4:$A$1000000,$B415)=0)</f>
        <v>0</v>
      </c>
      <c r="I415" s="9" t="b">
        <f t="shared" si="31"/>
        <v>1</v>
      </c>
      <c r="J415" s="9" t="b">
        <f t="shared" si="32"/>
        <v>1</v>
      </c>
      <c r="K415" s="9" t="b">
        <f t="shared" si="33"/>
        <v>1</v>
      </c>
      <c r="L415" s="9" t="b">
        <f t="shared" si="34"/>
        <v>1</v>
      </c>
      <c r="M415" s="1" t="b">
        <f>IF(OR(入力シート!$C$5&lt;&gt;入力リスト!$N$4,入力シート!$J$22&lt;&gt;入力リスト!$K$4),TRUE,IF($F$2=入力リスト!$Q$4,IF(F415-INT(F415)&lt;0.6,TRUE,FALSE),TRUE))</f>
        <v>1</v>
      </c>
      <c r="N415" s="9" t="str">
        <f>IF(F415="","",IF($F$2=入力リスト!$Q$4,ROUNDDOWN(INT(F415)+ROUNDDOWN((F415-INT(F415))*100,0)/60,2),従業員の給与情報!F415))</f>
        <v/>
      </c>
      <c r="O415" s="8"/>
      <c r="P415" s="8"/>
    </row>
    <row r="416" spans="1:16">
      <c r="A416" s="119"/>
      <c r="B416" s="2"/>
      <c r="C416" s="369"/>
      <c r="D416" s="369"/>
      <c r="E416" s="369"/>
      <c r="F416" s="370"/>
      <c r="G416" s="248" t="str">
        <f t="shared" si="30"/>
        <v/>
      </c>
      <c r="H416" s="1" t="b">
        <f>IF(B416="",FALSE,COUNTIF('従業員情報(給与以外)'!$A$4:$A$1000000,$B416)=0)</f>
        <v>0</v>
      </c>
      <c r="I416" s="9" t="b">
        <f t="shared" si="31"/>
        <v>1</v>
      </c>
      <c r="J416" s="9" t="b">
        <f t="shared" si="32"/>
        <v>1</v>
      </c>
      <c r="K416" s="9" t="b">
        <f t="shared" si="33"/>
        <v>1</v>
      </c>
      <c r="L416" s="9" t="b">
        <f t="shared" si="34"/>
        <v>1</v>
      </c>
      <c r="M416" s="1" t="b">
        <f>IF(OR(入力シート!$C$5&lt;&gt;入力リスト!$N$4,入力シート!$J$22&lt;&gt;入力リスト!$K$4),TRUE,IF($F$2=入力リスト!$Q$4,IF(F416-INT(F416)&lt;0.6,TRUE,FALSE),TRUE))</f>
        <v>1</v>
      </c>
      <c r="N416" s="9" t="str">
        <f>IF(F416="","",IF($F$2=入力リスト!$Q$4,ROUNDDOWN(INT(F416)+ROUNDDOWN((F416-INT(F416))*100,0)/60,2),従業員の給与情報!F416))</f>
        <v/>
      </c>
      <c r="O416" s="8"/>
      <c r="P416" s="8"/>
    </row>
    <row r="417" spans="1:16">
      <c r="A417" s="119"/>
      <c r="B417" s="2"/>
      <c r="C417" s="369"/>
      <c r="D417" s="369"/>
      <c r="E417" s="369"/>
      <c r="F417" s="370"/>
      <c r="G417" s="248" t="str">
        <f t="shared" si="30"/>
        <v/>
      </c>
      <c r="H417" s="1" t="b">
        <f>IF(B417="",FALSE,COUNTIF('従業員情報(給与以外)'!$A$4:$A$1000000,$B417)=0)</f>
        <v>0</v>
      </c>
      <c r="I417" s="9" t="b">
        <f t="shared" si="31"/>
        <v>1</v>
      </c>
      <c r="J417" s="9" t="b">
        <f t="shared" si="32"/>
        <v>1</v>
      </c>
      <c r="K417" s="9" t="b">
        <f t="shared" si="33"/>
        <v>1</v>
      </c>
      <c r="L417" s="9" t="b">
        <f t="shared" si="34"/>
        <v>1</v>
      </c>
      <c r="M417" s="1" t="b">
        <f>IF(OR(入力シート!$C$5&lt;&gt;入力リスト!$N$4,入力シート!$J$22&lt;&gt;入力リスト!$K$4),TRUE,IF($F$2=入力リスト!$Q$4,IF(F417-INT(F417)&lt;0.6,TRUE,FALSE),TRUE))</f>
        <v>1</v>
      </c>
      <c r="N417" s="9" t="str">
        <f>IF(F417="","",IF($F$2=入力リスト!$Q$4,ROUNDDOWN(INT(F417)+ROUNDDOWN((F417-INT(F417))*100,0)/60,2),従業員の給与情報!F417))</f>
        <v/>
      </c>
      <c r="O417" s="8"/>
      <c r="P417" s="8"/>
    </row>
    <row r="418" spans="1:16">
      <c r="A418" s="119"/>
      <c r="B418" s="2"/>
      <c r="C418" s="369"/>
      <c r="D418" s="369"/>
      <c r="E418" s="369"/>
      <c r="F418" s="370"/>
      <c r="G418" s="248" t="str">
        <f t="shared" si="30"/>
        <v/>
      </c>
      <c r="H418" s="1" t="b">
        <f>IF(B418="",FALSE,COUNTIF('従業員情報(給与以外)'!$A$4:$A$1000000,$B418)=0)</f>
        <v>0</v>
      </c>
      <c r="I418" s="9" t="b">
        <f t="shared" si="31"/>
        <v>1</v>
      </c>
      <c r="J418" s="9" t="b">
        <f t="shared" si="32"/>
        <v>1</v>
      </c>
      <c r="K418" s="9" t="b">
        <f t="shared" si="33"/>
        <v>1</v>
      </c>
      <c r="L418" s="9" t="b">
        <f t="shared" si="34"/>
        <v>1</v>
      </c>
      <c r="M418" s="1" t="b">
        <f>IF(OR(入力シート!$C$5&lt;&gt;入力リスト!$N$4,入力シート!$J$22&lt;&gt;入力リスト!$K$4),TRUE,IF($F$2=入力リスト!$Q$4,IF(F418-INT(F418)&lt;0.6,TRUE,FALSE),TRUE))</f>
        <v>1</v>
      </c>
      <c r="N418" s="9" t="str">
        <f>IF(F418="","",IF($F$2=入力リスト!$Q$4,ROUNDDOWN(INT(F418)+ROUNDDOWN((F418-INT(F418))*100,0)/60,2),従業員の給与情報!F418))</f>
        <v/>
      </c>
      <c r="O418" s="8"/>
      <c r="P418" s="8"/>
    </row>
    <row r="419" spans="1:16">
      <c r="A419" s="119"/>
      <c r="B419" s="2"/>
      <c r="C419" s="369"/>
      <c r="D419" s="369"/>
      <c r="E419" s="369"/>
      <c r="F419" s="370"/>
      <c r="G419" s="248" t="str">
        <f t="shared" si="30"/>
        <v/>
      </c>
      <c r="H419" s="1" t="b">
        <f>IF(B419="",FALSE,COUNTIF('従業員情報(給与以外)'!$A$4:$A$1000000,$B419)=0)</f>
        <v>0</v>
      </c>
      <c r="I419" s="9" t="b">
        <f t="shared" si="31"/>
        <v>1</v>
      </c>
      <c r="J419" s="9" t="b">
        <f t="shared" si="32"/>
        <v>1</v>
      </c>
      <c r="K419" s="9" t="b">
        <f t="shared" si="33"/>
        <v>1</v>
      </c>
      <c r="L419" s="9" t="b">
        <f t="shared" si="34"/>
        <v>1</v>
      </c>
      <c r="M419" s="1" t="b">
        <f>IF(OR(入力シート!$C$5&lt;&gt;入力リスト!$N$4,入力シート!$J$22&lt;&gt;入力リスト!$K$4),TRUE,IF($F$2=入力リスト!$Q$4,IF(F419-INT(F419)&lt;0.6,TRUE,FALSE),TRUE))</f>
        <v>1</v>
      </c>
      <c r="N419" s="9" t="str">
        <f>IF(F419="","",IF($F$2=入力リスト!$Q$4,ROUNDDOWN(INT(F419)+ROUNDDOWN((F419-INT(F419))*100,0)/60,2),従業員の給与情報!F419))</f>
        <v/>
      </c>
      <c r="O419" s="8"/>
      <c r="P419" s="8"/>
    </row>
    <row r="420" spans="1:16">
      <c r="A420" s="119"/>
      <c r="B420" s="2"/>
      <c r="C420" s="369"/>
      <c r="D420" s="369"/>
      <c r="E420" s="369"/>
      <c r="F420" s="370"/>
      <c r="G420" s="248" t="str">
        <f t="shared" si="30"/>
        <v/>
      </c>
      <c r="H420" s="1" t="b">
        <f>IF(B420="",FALSE,COUNTIF('従業員情報(給与以外)'!$A$4:$A$1000000,$B420)=0)</f>
        <v>0</v>
      </c>
      <c r="I420" s="9" t="b">
        <f t="shared" si="31"/>
        <v>1</v>
      </c>
      <c r="J420" s="9" t="b">
        <f t="shared" si="32"/>
        <v>1</v>
      </c>
      <c r="K420" s="9" t="b">
        <f t="shared" si="33"/>
        <v>1</v>
      </c>
      <c r="L420" s="9" t="b">
        <f t="shared" si="34"/>
        <v>1</v>
      </c>
      <c r="M420" s="1" t="b">
        <f>IF(OR(入力シート!$C$5&lt;&gt;入力リスト!$N$4,入力シート!$J$22&lt;&gt;入力リスト!$K$4),TRUE,IF($F$2=入力リスト!$Q$4,IF(F420-INT(F420)&lt;0.6,TRUE,FALSE),TRUE))</f>
        <v>1</v>
      </c>
      <c r="N420" s="9" t="str">
        <f>IF(F420="","",IF($F$2=入力リスト!$Q$4,ROUNDDOWN(INT(F420)+ROUNDDOWN((F420-INT(F420))*100,0)/60,2),従業員の給与情報!F420))</f>
        <v/>
      </c>
      <c r="O420" s="8"/>
      <c r="P420" s="8"/>
    </row>
    <row r="421" spans="1:16">
      <c r="A421" s="119"/>
      <c r="B421" s="2"/>
      <c r="C421" s="369"/>
      <c r="D421" s="369"/>
      <c r="E421" s="369"/>
      <c r="F421" s="370"/>
      <c r="G421" s="248" t="str">
        <f t="shared" si="30"/>
        <v/>
      </c>
      <c r="H421" s="1" t="b">
        <f>IF(B421="",FALSE,COUNTIF('従業員情報(給与以外)'!$A$4:$A$1000000,$B421)=0)</f>
        <v>0</v>
      </c>
      <c r="I421" s="9" t="b">
        <f t="shared" si="31"/>
        <v>1</v>
      </c>
      <c r="J421" s="9" t="b">
        <f t="shared" si="32"/>
        <v>1</v>
      </c>
      <c r="K421" s="9" t="b">
        <f t="shared" si="33"/>
        <v>1</v>
      </c>
      <c r="L421" s="9" t="b">
        <f t="shared" si="34"/>
        <v>1</v>
      </c>
      <c r="M421" s="1" t="b">
        <f>IF(OR(入力シート!$C$5&lt;&gt;入力リスト!$N$4,入力シート!$J$22&lt;&gt;入力リスト!$K$4),TRUE,IF($F$2=入力リスト!$Q$4,IF(F421-INT(F421)&lt;0.6,TRUE,FALSE),TRUE))</f>
        <v>1</v>
      </c>
      <c r="N421" s="9" t="str">
        <f>IF(F421="","",IF($F$2=入力リスト!$Q$4,ROUNDDOWN(INT(F421)+ROUNDDOWN((F421-INT(F421))*100,0)/60,2),従業員の給与情報!F421))</f>
        <v/>
      </c>
      <c r="O421" s="8"/>
      <c r="P421" s="8"/>
    </row>
    <row r="422" spans="1:16">
      <c r="A422" s="119"/>
      <c r="B422" s="2"/>
      <c r="C422" s="369"/>
      <c r="D422" s="369"/>
      <c r="E422" s="369"/>
      <c r="F422" s="370"/>
      <c r="G422" s="248" t="str">
        <f t="shared" si="30"/>
        <v/>
      </c>
      <c r="H422" s="1" t="b">
        <f>IF(B422="",FALSE,COUNTIF('従業員情報(給与以外)'!$A$4:$A$1000000,$B422)=0)</f>
        <v>0</v>
      </c>
      <c r="I422" s="9" t="b">
        <f t="shared" si="31"/>
        <v>1</v>
      </c>
      <c r="J422" s="9" t="b">
        <f t="shared" si="32"/>
        <v>1</v>
      </c>
      <c r="K422" s="9" t="b">
        <f t="shared" si="33"/>
        <v>1</v>
      </c>
      <c r="L422" s="9" t="b">
        <f t="shared" si="34"/>
        <v>1</v>
      </c>
      <c r="M422" s="1" t="b">
        <f>IF(OR(入力シート!$C$5&lt;&gt;入力リスト!$N$4,入力シート!$J$22&lt;&gt;入力リスト!$K$4),TRUE,IF($F$2=入力リスト!$Q$4,IF(F422-INT(F422)&lt;0.6,TRUE,FALSE),TRUE))</f>
        <v>1</v>
      </c>
      <c r="N422" s="9" t="str">
        <f>IF(F422="","",IF($F$2=入力リスト!$Q$4,ROUNDDOWN(INT(F422)+ROUNDDOWN((F422-INT(F422))*100,0)/60,2),従業員の給与情報!F422))</f>
        <v/>
      </c>
      <c r="O422" s="8"/>
      <c r="P422" s="8"/>
    </row>
    <row r="423" spans="1:16">
      <c r="A423" s="119"/>
      <c r="B423" s="2"/>
      <c r="C423" s="369"/>
      <c r="D423" s="369"/>
      <c r="E423" s="369"/>
      <c r="F423" s="370"/>
      <c r="G423" s="248" t="str">
        <f t="shared" si="30"/>
        <v/>
      </c>
      <c r="H423" s="1" t="b">
        <f>IF(B423="",FALSE,COUNTIF('従業員情報(給与以外)'!$A$4:$A$1000000,$B423)=0)</f>
        <v>0</v>
      </c>
      <c r="I423" s="9" t="b">
        <f t="shared" si="31"/>
        <v>1</v>
      </c>
      <c r="J423" s="9" t="b">
        <f t="shared" si="32"/>
        <v>1</v>
      </c>
      <c r="K423" s="9" t="b">
        <f t="shared" si="33"/>
        <v>1</v>
      </c>
      <c r="L423" s="9" t="b">
        <f t="shared" si="34"/>
        <v>1</v>
      </c>
      <c r="M423" s="1" t="b">
        <f>IF(OR(入力シート!$C$5&lt;&gt;入力リスト!$N$4,入力シート!$J$22&lt;&gt;入力リスト!$K$4),TRUE,IF($F$2=入力リスト!$Q$4,IF(F423-INT(F423)&lt;0.6,TRUE,FALSE),TRUE))</f>
        <v>1</v>
      </c>
      <c r="N423" s="9" t="str">
        <f>IF(F423="","",IF($F$2=入力リスト!$Q$4,ROUNDDOWN(INT(F423)+ROUNDDOWN((F423-INT(F423))*100,0)/60,2),従業員の給与情報!F423))</f>
        <v/>
      </c>
      <c r="O423" s="8"/>
      <c r="P423" s="8"/>
    </row>
    <row r="424" spans="1:16">
      <c r="A424" s="119"/>
      <c r="B424" s="2"/>
      <c r="C424" s="369"/>
      <c r="D424" s="369"/>
      <c r="E424" s="369"/>
      <c r="F424" s="370"/>
      <c r="G424" s="248" t="str">
        <f t="shared" si="30"/>
        <v/>
      </c>
      <c r="H424" s="1" t="b">
        <f>IF(B424="",FALSE,COUNTIF('従業員情報(給与以外)'!$A$4:$A$1000000,$B424)=0)</f>
        <v>0</v>
      </c>
      <c r="I424" s="9" t="b">
        <f t="shared" si="31"/>
        <v>1</v>
      </c>
      <c r="J424" s="9" t="b">
        <f t="shared" si="32"/>
        <v>1</v>
      </c>
      <c r="K424" s="9" t="b">
        <f t="shared" si="33"/>
        <v>1</v>
      </c>
      <c r="L424" s="9" t="b">
        <f t="shared" si="34"/>
        <v>1</v>
      </c>
      <c r="M424" s="1" t="b">
        <f>IF(OR(入力シート!$C$5&lt;&gt;入力リスト!$N$4,入力シート!$J$22&lt;&gt;入力リスト!$K$4),TRUE,IF($F$2=入力リスト!$Q$4,IF(F424-INT(F424)&lt;0.6,TRUE,FALSE),TRUE))</f>
        <v>1</v>
      </c>
      <c r="N424" s="9" t="str">
        <f>IF(F424="","",IF($F$2=入力リスト!$Q$4,ROUNDDOWN(INT(F424)+ROUNDDOWN((F424-INT(F424))*100,0)/60,2),従業員の給与情報!F424))</f>
        <v/>
      </c>
      <c r="O424" s="8"/>
      <c r="P424" s="8"/>
    </row>
    <row r="425" spans="1:16">
      <c r="A425" s="119"/>
      <c r="B425" s="2"/>
      <c r="C425" s="369"/>
      <c r="D425" s="369"/>
      <c r="E425" s="369"/>
      <c r="F425" s="370"/>
      <c r="G425" s="248" t="str">
        <f t="shared" si="30"/>
        <v/>
      </c>
      <c r="H425" s="1" t="b">
        <f>IF(B425="",FALSE,COUNTIF('従業員情報(給与以外)'!$A$4:$A$1000000,$B425)=0)</f>
        <v>0</v>
      </c>
      <c r="I425" s="9" t="b">
        <f t="shared" si="31"/>
        <v>1</v>
      </c>
      <c r="J425" s="9" t="b">
        <f t="shared" si="32"/>
        <v>1</v>
      </c>
      <c r="K425" s="9" t="b">
        <f t="shared" si="33"/>
        <v>1</v>
      </c>
      <c r="L425" s="9" t="b">
        <f t="shared" si="34"/>
        <v>1</v>
      </c>
      <c r="M425" s="1" t="b">
        <f>IF(OR(入力シート!$C$5&lt;&gt;入力リスト!$N$4,入力シート!$J$22&lt;&gt;入力リスト!$K$4),TRUE,IF($F$2=入力リスト!$Q$4,IF(F425-INT(F425)&lt;0.6,TRUE,FALSE),TRUE))</f>
        <v>1</v>
      </c>
      <c r="N425" s="9" t="str">
        <f>IF(F425="","",IF($F$2=入力リスト!$Q$4,ROUNDDOWN(INT(F425)+ROUNDDOWN((F425-INT(F425))*100,0)/60,2),従業員の給与情報!F425))</f>
        <v/>
      </c>
      <c r="O425" s="8"/>
      <c r="P425" s="8"/>
    </row>
    <row r="426" spans="1:16">
      <c r="A426" s="119"/>
      <c r="B426" s="2"/>
      <c r="C426" s="369"/>
      <c r="D426" s="369"/>
      <c r="E426" s="369"/>
      <c r="F426" s="370"/>
      <c r="G426" s="248" t="str">
        <f t="shared" si="30"/>
        <v/>
      </c>
      <c r="H426" s="1" t="b">
        <f>IF(B426="",FALSE,COUNTIF('従業員情報(給与以外)'!$A$4:$A$1000000,$B426)=0)</f>
        <v>0</v>
      </c>
      <c r="I426" s="9" t="b">
        <f t="shared" si="31"/>
        <v>1</v>
      </c>
      <c r="J426" s="9" t="b">
        <f t="shared" si="32"/>
        <v>1</v>
      </c>
      <c r="K426" s="9" t="b">
        <f t="shared" si="33"/>
        <v>1</v>
      </c>
      <c r="L426" s="9" t="b">
        <f t="shared" si="34"/>
        <v>1</v>
      </c>
      <c r="M426" s="1" t="b">
        <f>IF(OR(入力シート!$C$5&lt;&gt;入力リスト!$N$4,入力シート!$J$22&lt;&gt;入力リスト!$K$4),TRUE,IF($F$2=入力リスト!$Q$4,IF(F426-INT(F426)&lt;0.6,TRUE,FALSE),TRUE))</f>
        <v>1</v>
      </c>
      <c r="N426" s="9" t="str">
        <f>IF(F426="","",IF($F$2=入力リスト!$Q$4,ROUNDDOWN(INT(F426)+ROUNDDOWN((F426-INT(F426))*100,0)/60,2),従業員の給与情報!F426))</f>
        <v/>
      </c>
      <c r="O426" s="8"/>
      <c r="P426" s="8"/>
    </row>
    <row r="427" spans="1:16">
      <c r="A427" s="119"/>
      <c r="B427" s="2"/>
      <c r="C427" s="369"/>
      <c r="D427" s="369"/>
      <c r="E427" s="369"/>
      <c r="F427" s="370"/>
      <c r="G427" s="248" t="str">
        <f t="shared" si="30"/>
        <v/>
      </c>
      <c r="H427" s="1" t="b">
        <f>IF(B427="",FALSE,COUNTIF('従業員情報(給与以外)'!$A$4:$A$1000000,$B427)=0)</f>
        <v>0</v>
      </c>
      <c r="I427" s="9" t="b">
        <f t="shared" si="31"/>
        <v>1</v>
      </c>
      <c r="J427" s="9" t="b">
        <f t="shared" si="32"/>
        <v>1</v>
      </c>
      <c r="K427" s="9" t="b">
        <f t="shared" si="33"/>
        <v>1</v>
      </c>
      <c r="L427" s="9" t="b">
        <f t="shared" si="34"/>
        <v>1</v>
      </c>
      <c r="M427" s="1" t="b">
        <f>IF(OR(入力シート!$C$5&lt;&gt;入力リスト!$N$4,入力シート!$J$22&lt;&gt;入力リスト!$K$4),TRUE,IF($F$2=入力リスト!$Q$4,IF(F427-INT(F427)&lt;0.6,TRUE,FALSE),TRUE))</f>
        <v>1</v>
      </c>
      <c r="N427" s="9" t="str">
        <f>IF(F427="","",IF($F$2=入力リスト!$Q$4,ROUNDDOWN(INT(F427)+ROUNDDOWN((F427-INT(F427))*100,0)/60,2),従業員の給与情報!F427))</f>
        <v/>
      </c>
      <c r="O427" s="8"/>
      <c r="P427" s="8"/>
    </row>
    <row r="428" spans="1:16">
      <c r="A428" s="119"/>
      <c r="B428" s="2"/>
      <c r="C428" s="369"/>
      <c r="D428" s="369"/>
      <c r="E428" s="369"/>
      <c r="F428" s="370"/>
      <c r="G428" s="248" t="str">
        <f t="shared" si="30"/>
        <v/>
      </c>
      <c r="H428" s="1" t="b">
        <f>IF(B428="",FALSE,COUNTIF('従業員情報(給与以外)'!$A$4:$A$1000000,$B428)=0)</f>
        <v>0</v>
      </c>
      <c r="I428" s="9" t="b">
        <f t="shared" si="31"/>
        <v>1</v>
      </c>
      <c r="J428" s="9" t="b">
        <f t="shared" si="32"/>
        <v>1</v>
      </c>
      <c r="K428" s="9" t="b">
        <f t="shared" si="33"/>
        <v>1</v>
      </c>
      <c r="L428" s="9" t="b">
        <f t="shared" si="34"/>
        <v>1</v>
      </c>
      <c r="M428" s="1" t="b">
        <f>IF(OR(入力シート!$C$5&lt;&gt;入力リスト!$N$4,入力シート!$J$22&lt;&gt;入力リスト!$K$4),TRUE,IF($F$2=入力リスト!$Q$4,IF(F428-INT(F428)&lt;0.6,TRUE,FALSE),TRUE))</f>
        <v>1</v>
      </c>
      <c r="N428" s="9" t="str">
        <f>IF(F428="","",IF($F$2=入力リスト!$Q$4,ROUNDDOWN(INT(F428)+ROUNDDOWN((F428-INT(F428))*100,0)/60,2),従業員の給与情報!F428))</f>
        <v/>
      </c>
      <c r="O428" s="8"/>
      <c r="P428" s="8"/>
    </row>
    <row r="429" spans="1:16">
      <c r="A429" s="119"/>
      <c r="B429" s="2"/>
      <c r="C429" s="369"/>
      <c r="D429" s="369"/>
      <c r="E429" s="369"/>
      <c r="F429" s="370"/>
      <c r="G429" s="248" t="str">
        <f t="shared" si="30"/>
        <v/>
      </c>
      <c r="H429" s="1" t="b">
        <f>IF(B429="",FALSE,COUNTIF('従業員情報(給与以外)'!$A$4:$A$1000000,$B429)=0)</f>
        <v>0</v>
      </c>
      <c r="I429" s="9" t="b">
        <f t="shared" si="31"/>
        <v>1</v>
      </c>
      <c r="J429" s="9" t="b">
        <f t="shared" si="32"/>
        <v>1</v>
      </c>
      <c r="K429" s="9" t="b">
        <f t="shared" si="33"/>
        <v>1</v>
      </c>
      <c r="L429" s="9" t="b">
        <f t="shared" si="34"/>
        <v>1</v>
      </c>
      <c r="M429" s="1" t="b">
        <f>IF(OR(入力シート!$C$5&lt;&gt;入力リスト!$N$4,入力シート!$J$22&lt;&gt;入力リスト!$K$4),TRUE,IF($F$2=入力リスト!$Q$4,IF(F429-INT(F429)&lt;0.6,TRUE,FALSE),TRUE))</f>
        <v>1</v>
      </c>
      <c r="N429" s="9" t="str">
        <f>IF(F429="","",IF($F$2=入力リスト!$Q$4,ROUNDDOWN(INT(F429)+ROUNDDOWN((F429-INT(F429))*100,0)/60,2),従業員の給与情報!F429))</f>
        <v/>
      </c>
      <c r="O429" s="8"/>
      <c r="P429" s="8"/>
    </row>
    <row r="430" spans="1:16">
      <c r="A430" s="119"/>
      <c r="B430" s="2"/>
      <c r="C430" s="369"/>
      <c r="D430" s="369"/>
      <c r="E430" s="369"/>
      <c r="F430" s="370"/>
      <c r="G430" s="248" t="str">
        <f t="shared" si="30"/>
        <v/>
      </c>
      <c r="H430" s="1" t="b">
        <f>IF(B430="",FALSE,COUNTIF('従業員情報(給与以外)'!$A$4:$A$1000000,$B430)=0)</f>
        <v>0</v>
      </c>
      <c r="I430" s="9" t="b">
        <f t="shared" si="31"/>
        <v>1</v>
      </c>
      <c r="J430" s="9" t="b">
        <f t="shared" si="32"/>
        <v>1</v>
      </c>
      <c r="K430" s="9" t="b">
        <f t="shared" si="33"/>
        <v>1</v>
      </c>
      <c r="L430" s="9" t="b">
        <f t="shared" si="34"/>
        <v>1</v>
      </c>
      <c r="M430" s="1" t="b">
        <f>IF(OR(入力シート!$C$5&lt;&gt;入力リスト!$N$4,入力シート!$J$22&lt;&gt;入力リスト!$K$4),TRUE,IF($F$2=入力リスト!$Q$4,IF(F430-INT(F430)&lt;0.6,TRUE,FALSE),TRUE))</f>
        <v>1</v>
      </c>
      <c r="N430" s="9" t="str">
        <f>IF(F430="","",IF($F$2=入力リスト!$Q$4,ROUNDDOWN(INT(F430)+ROUNDDOWN((F430-INT(F430))*100,0)/60,2),従業員の給与情報!F430))</f>
        <v/>
      </c>
      <c r="O430" s="8"/>
      <c r="P430" s="8"/>
    </row>
    <row r="431" spans="1:16">
      <c r="A431" s="119"/>
      <c r="B431" s="2"/>
      <c r="C431" s="369"/>
      <c r="D431" s="369"/>
      <c r="E431" s="369"/>
      <c r="F431" s="370"/>
      <c r="G431" s="248" t="str">
        <f t="shared" si="30"/>
        <v/>
      </c>
      <c r="H431" s="1" t="b">
        <f>IF(B431="",FALSE,COUNTIF('従業員情報(給与以外)'!$A$4:$A$1000000,$B431)=0)</f>
        <v>0</v>
      </c>
      <c r="I431" s="9" t="b">
        <f t="shared" si="31"/>
        <v>1</v>
      </c>
      <c r="J431" s="9" t="b">
        <f t="shared" si="32"/>
        <v>1</v>
      </c>
      <c r="K431" s="9" t="b">
        <f t="shared" si="33"/>
        <v>1</v>
      </c>
      <c r="L431" s="9" t="b">
        <f t="shared" si="34"/>
        <v>1</v>
      </c>
      <c r="M431" s="1" t="b">
        <f>IF(OR(入力シート!$C$5&lt;&gt;入力リスト!$N$4,入力シート!$J$22&lt;&gt;入力リスト!$K$4),TRUE,IF($F$2=入力リスト!$Q$4,IF(F431-INT(F431)&lt;0.6,TRUE,FALSE),TRUE))</f>
        <v>1</v>
      </c>
      <c r="N431" s="9" t="str">
        <f>IF(F431="","",IF($F$2=入力リスト!$Q$4,ROUNDDOWN(INT(F431)+ROUNDDOWN((F431-INT(F431))*100,0)/60,2),従業員の給与情報!F431))</f>
        <v/>
      </c>
      <c r="O431" s="8"/>
      <c r="P431" s="8"/>
    </row>
    <row r="432" spans="1:16">
      <c r="A432" s="119"/>
      <c r="B432" s="2"/>
      <c r="C432" s="369"/>
      <c r="D432" s="369"/>
      <c r="E432" s="369"/>
      <c r="F432" s="370"/>
      <c r="G432" s="248" t="str">
        <f t="shared" si="30"/>
        <v/>
      </c>
      <c r="H432" s="1" t="b">
        <f>IF(B432="",FALSE,COUNTIF('従業員情報(給与以外)'!$A$4:$A$1000000,$B432)=0)</f>
        <v>0</v>
      </c>
      <c r="I432" s="9" t="b">
        <f t="shared" si="31"/>
        <v>1</v>
      </c>
      <c r="J432" s="9" t="b">
        <f t="shared" si="32"/>
        <v>1</v>
      </c>
      <c r="K432" s="9" t="b">
        <f t="shared" si="33"/>
        <v>1</v>
      </c>
      <c r="L432" s="9" t="b">
        <f t="shared" si="34"/>
        <v>1</v>
      </c>
      <c r="M432" s="1" t="b">
        <f>IF(OR(入力シート!$C$5&lt;&gt;入力リスト!$N$4,入力シート!$J$22&lt;&gt;入力リスト!$K$4),TRUE,IF($F$2=入力リスト!$Q$4,IF(F432-INT(F432)&lt;0.6,TRUE,FALSE),TRUE))</f>
        <v>1</v>
      </c>
      <c r="N432" s="9" t="str">
        <f>IF(F432="","",IF($F$2=入力リスト!$Q$4,ROUNDDOWN(INT(F432)+ROUNDDOWN((F432-INT(F432))*100,0)/60,2),従業員の給与情報!F432))</f>
        <v/>
      </c>
      <c r="O432" s="8"/>
      <c r="P432" s="8"/>
    </row>
    <row r="433" spans="1:16">
      <c r="A433" s="119"/>
      <c r="B433" s="2"/>
      <c r="C433" s="369"/>
      <c r="D433" s="369"/>
      <c r="E433" s="369"/>
      <c r="F433" s="370"/>
      <c r="G433" s="248" t="str">
        <f t="shared" si="30"/>
        <v/>
      </c>
      <c r="H433" s="1" t="b">
        <f>IF(B433="",FALSE,COUNTIF('従業員情報(給与以外)'!$A$4:$A$1000000,$B433)=0)</f>
        <v>0</v>
      </c>
      <c r="I433" s="9" t="b">
        <f t="shared" si="31"/>
        <v>1</v>
      </c>
      <c r="J433" s="9" t="b">
        <f t="shared" si="32"/>
        <v>1</v>
      </c>
      <c r="K433" s="9" t="b">
        <f t="shared" si="33"/>
        <v>1</v>
      </c>
      <c r="L433" s="9" t="b">
        <f t="shared" si="34"/>
        <v>1</v>
      </c>
      <c r="M433" s="1" t="b">
        <f>IF(OR(入力シート!$C$5&lt;&gt;入力リスト!$N$4,入力シート!$J$22&lt;&gt;入力リスト!$K$4),TRUE,IF($F$2=入力リスト!$Q$4,IF(F433-INT(F433)&lt;0.6,TRUE,FALSE),TRUE))</f>
        <v>1</v>
      </c>
      <c r="N433" s="9" t="str">
        <f>IF(F433="","",IF($F$2=入力リスト!$Q$4,ROUNDDOWN(INT(F433)+ROUNDDOWN((F433-INT(F433))*100,0)/60,2),従業員の給与情報!F433))</f>
        <v/>
      </c>
      <c r="O433" s="8"/>
      <c r="P433" s="8"/>
    </row>
    <row r="434" spans="1:16">
      <c r="A434" s="119"/>
      <c r="B434" s="2"/>
      <c r="C434" s="369"/>
      <c r="D434" s="369"/>
      <c r="E434" s="369"/>
      <c r="F434" s="370"/>
      <c r="G434" s="248" t="str">
        <f t="shared" si="30"/>
        <v/>
      </c>
      <c r="H434" s="1" t="b">
        <f>IF(B434="",FALSE,COUNTIF('従業員情報(給与以外)'!$A$4:$A$1000000,$B434)=0)</f>
        <v>0</v>
      </c>
      <c r="I434" s="9" t="b">
        <f t="shared" si="31"/>
        <v>1</v>
      </c>
      <c r="J434" s="9" t="b">
        <f t="shared" si="32"/>
        <v>1</v>
      </c>
      <c r="K434" s="9" t="b">
        <f t="shared" si="33"/>
        <v>1</v>
      </c>
      <c r="L434" s="9" t="b">
        <f t="shared" si="34"/>
        <v>1</v>
      </c>
      <c r="M434" s="1" t="b">
        <f>IF(OR(入力シート!$C$5&lt;&gt;入力リスト!$N$4,入力シート!$J$22&lt;&gt;入力リスト!$K$4),TRUE,IF($F$2=入力リスト!$Q$4,IF(F434-INT(F434)&lt;0.6,TRUE,FALSE),TRUE))</f>
        <v>1</v>
      </c>
      <c r="N434" s="9" t="str">
        <f>IF(F434="","",IF($F$2=入力リスト!$Q$4,ROUNDDOWN(INT(F434)+ROUNDDOWN((F434-INT(F434))*100,0)/60,2),従業員の給与情報!F434))</f>
        <v/>
      </c>
      <c r="O434" s="8"/>
      <c r="P434" s="8"/>
    </row>
    <row r="435" spans="1:16">
      <c r="A435" s="119"/>
      <c r="B435" s="2"/>
      <c r="C435" s="369"/>
      <c r="D435" s="369"/>
      <c r="E435" s="369"/>
      <c r="F435" s="370"/>
      <c r="G435" s="248" t="str">
        <f t="shared" si="30"/>
        <v/>
      </c>
      <c r="H435" s="1" t="b">
        <f>IF(B435="",FALSE,COUNTIF('従業員情報(給与以外)'!$A$4:$A$1000000,$B435)=0)</f>
        <v>0</v>
      </c>
      <c r="I435" s="9" t="b">
        <f t="shared" si="31"/>
        <v>1</v>
      </c>
      <c r="J435" s="9" t="b">
        <f t="shared" si="32"/>
        <v>1</v>
      </c>
      <c r="K435" s="9" t="b">
        <f t="shared" si="33"/>
        <v>1</v>
      </c>
      <c r="L435" s="9" t="b">
        <f t="shared" si="34"/>
        <v>1</v>
      </c>
      <c r="M435" s="1" t="b">
        <f>IF(OR(入力シート!$C$5&lt;&gt;入力リスト!$N$4,入力シート!$J$22&lt;&gt;入力リスト!$K$4),TRUE,IF($F$2=入力リスト!$Q$4,IF(F435-INT(F435)&lt;0.6,TRUE,FALSE),TRUE))</f>
        <v>1</v>
      </c>
      <c r="N435" s="9" t="str">
        <f>IF(F435="","",IF($F$2=入力リスト!$Q$4,ROUNDDOWN(INT(F435)+ROUNDDOWN((F435-INT(F435))*100,0)/60,2),従業員の給与情報!F435))</f>
        <v/>
      </c>
      <c r="O435" s="8"/>
      <c r="P435" s="8"/>
    </row>
    <row r="436" spans="1:16">
      <c r="A436" s="119"/>
      <c r="B436" s="2"/>
      <c r="C436" s="369"/>
      <c r="D436" s="369"/>
      <c r="E436" s="369"/>
      <c r="F436" s="370"/>
      <c r="G436" s="248" t="str">
        <f t="shared" si="30"/>
        <v/>
      </c>
      <c r="H436" s="1" t="b">
        <f>IF(B436="",FALSE,COUNTIF('従業員情報(給与以外)'!$A$4:$A$1000000,$B436)=0)</f>
        <v>0</v>
      </c>
      <c r="I436" s="9" t="b">
        <f t="shared" si="31"/>
        <v>1</v>
      </c>
      <c r="J436" s="9" t="b">
        <f t="shared" si="32"/>
        <v>1</v>
      </c>
      <c r="K436" s="9" t="b">
        <f t="shared" si="33"/>
        <v>1</v>
      </c>
      <c r="L436" s="9" t="b">
        <f t="shared" si="34"/>
        <v>1</v>
      </c>
      <c r="M436" s="1" t="b">
        <f>IF(OR(入力シート!$C$5&lt;&gt;入力リスト!$N$4,入力シート!$J$22&lt;&gt;入力リスト!$K$4),TRUE,IF($F$2=入力リスト!$Q$4,IF(F436-INT(F436)&lt;0.6,TRUE,FALSE),TRUE))</f>
        <v>1</v>
      </c>
      <c r="N436" s="9" t="str">
        <f>IF(F436="","",IF($F$2=入力リスト!$Q$4,ROUNDDOWN(INT(F436)+ROUNDDOWN((F436-INT(F436))*100,0)/60,2),従業員の給与情報!F436))</f>
        <v/>
      </c>
      <c r="O436" s="8"/>
      <c r="P436" s="8"/>
    </row>
    <row r="437" spans="1:16">
      <c r="A437" s="119"/>
      <c r="B437" s="2"/>
      <c r="C437" s="369"/>
      <c r="D437" s="369"/>
      <c r="E437" s="369"/>
      <c r="F437" s="370"/>
      <c r="G437" s="248" t="str">
        <f t="shared" si="30"/>
        <v/>
      </c>
      <c r="H437" s="1" t="b">
        <f>IF(B437="",FALSE,COUNTIF('従業員情報(給与以外)'!$A$4:$A$1000000,$B437)=0)</f>
        <v>0</v>
      </c>
      <c r="I437" s="9" t="b">
        <f t="shared" si="31"/>
        <v>1</v>
      </c>
      <c r="J437" s="9" t="b">
        <f t="shared" si="32"/>
        <v>1</v>
      </c>
      <c r="K437" s="9" t="b">
        <f t="shared" si="33"/>
        <v>1</v>
      </c>
      <c r="L437" s="9" t="b">
        <f t="shared" si="34"/>
        <v>1</v>
      </c>
      <c r="M437" s="1" t="b">
        <f>IF(OR(入力シート!$C$5&lt;&gt;入力リスト!$N$4,入力シート!$J$22&lt;&gt;入力リスト!$K$4),TRUE,IF($F$2=入力リスト!$Q$4,IF(F437-INT(F437)&lt;0.6,TRUE,FALSE),TRUE))</f>
        <v>1</v>
      </c>
      <c r="N437" s="9" t="str">
        <f>IF(F437="","",IF($F$2=入力リスト!$Q$4,ROUNDDOWN(INT(F437)+ROUNDDOWN((F437-INT(F437))*100,0)/60,2),従業員の給与情報!F437))</f>
        <v/>
      </c>
      <c r="O437" s="8"/>
      <c r="P437" s="8"/>
    </row>
    <row r="438" spans="1:16">
      <c r="A438" s="119"/>
      <c r="B438" s="2"/>
      <c r="C438" s="369"/>
      <c r="D438" s="369"/>
      <c r="E438" s="369"/>
      <c r="F438" s="370"/>
      <c r="G438" s="248" t="str">
        <f t="shared" si="30"/>
        <v/>
      </c>
      <c r="H438" s="1" t="b">
        <f>IF(B438="",FALSE,COUNTIF('従業員情報(給与以外)'!$A$4:$A$1000000,$B438)=0)</f>
        <v>0</v>
      </c>
      <c r="I438" s="9" t="b">
        <f t="shared" si="31"/>
        <v>1</v>
      </c>
      <c r="J438" s="9" t="b">
        <f t="shared" si="32"/>
        <v>1</v>
      </c>
      <c r="K438" s="9" t="b">
        <f t="shared" si="33"/>
        <v>1</v>
      </c>
      <c r="L438" s="9" t="b">
        <f t="shared" si="34"/>
        <v>1</v>
      </c>
      <c r="M438" s="1" t="b">
        <f>IF(OR(入力シート!$C$5&lt;&gt;入力リスト!$N$4,入力シート!$J$22&lt;&gt;入力リスト!$K$4),TRUE,IF($F$2=入力リスト!$Q$4,IF(F438-INT(F438)&lt;0.6,TRUE,FALSE),TRUE))</f>
        <v>1</v>
      </c>
      <c r="N438" s="9" t="str">
        <f>IF(F438="","",IF($F$2=入力リスト!$Q$4,ROUNDDOWN(INT(F438)+ROUNDDOWN((F438-INT(F438))*100,0)/60,2),従業員の給与情報!F438))</f>
        <v/>
      </c>
      <c r="O438" s="8"/>
      <c r="P438" s="8"/>
    </row>
    <row r="439" spans="1:16">
      <c r="A439" s="119"/>
      <c r="B439" s="2"/>
      <c r="C439" s="369"/>
      <c r="D439" s="369"/>
      <c r="E439" s="369"/>
      <c r="F439" s="370"/>
      <c r="G439" s="248" t="str">
        <f t="shared" si="30"/>
        <v/>
      </c>
      <c r="H439" s="1" t="b">
        <f>IF(B439="",FALSE,COUNTIF('従業員情報(給与以外)'!$A$4:$A$1000000,$B439)=0)</f>
        <v>0</v>
      </c>
      <c r="I439" s="9" t="b">
        <f t="shared" si="31"/>
        <v>1</v>
      </c>
      <c r="J439" s="9" t="b">
        <f t="shared" si="32"/>
        <v>1</v>
      </c>
      <c r="K439" s="9" t="b">
        <f t="shared" si="33"/>
        <v>1</v>
      </c>
      <c r="L439" s="9" t="b">
        <f t="shared" si="34"/>
        <v>1</v>
      </c>
      <c r="M439" s="1" t="b">
        <f>IF(OR(入力シート!$C$5&lt;&gt;入力リスト!$N$4,入力シート!$J$22&lt;&gt;入力リスト!$K$4),TRUE,IF($F$2=入力リスト!$Q$4,IF(F439-INT(F439)&lt;0.6,TRUE,FALSE),TRUE))</f>
        <v>1</v>
      </c>
      <c r="N439" s="9" t="str">
        <f>IF(F439="","",IF($F$2=入力リスト!$Q$4,ROUNDDOWN(INT(F439)+ROUNDDOWN((F439-INT(F439))*100,0)/60,2),従業員の給与情報!F439))</f>
        <v/>
      </c>
      <c r="O439" s="8"/>
      <c r="P439" s="8"/>
    </row>
    <row r="440" spans="1:16">
      <c r="A440" s="119"/>
      <c r="B440" s="2"/>
      <c r="C440" s="369"/>
      <c r="D440" s="369"/>
      <c r="E440" s="369"/>
      <c r="F440" s="370"/>
      <c r="G440" s="248" t="str">
        <f t="shared" si="30"/>
        <v/>
      </c>
      <c r="H440" s="1" t="b">
        <f>IF(B440="",FALSE,COUNTIF('従業員情報(給与以外)'!$A$4:$A$1000000,$B440)=0)</f>
        <v>0</v>
      </c>
      <c r="I440" s="9" t="b">
        <f t="shared" si="31"/>
        <v>1</v>
      </c>
      <c r="J440" s="9" t="b">
        <f t="shared" si="32"/>
        <v>1</v>
      </c>
      <c r="K440" s="9" t="b">
        <f t="shared" si="33"/>
        <v>1</v>
      </c>
      <c r="L440" s="9" t="b">
        <f t="shared" si="34"/>
        <v>1</v>
      </c>
      <c r="M440" s="1" t="b">
        <f>IF(OR(入力シート!$C$5&lt;&gt;入力リスト!$N$4,入力シート!$J$22&lt;&gt;入力リスト!$K$4),TRUE,IF($F$2=入力リスト!$Q$4,IF(F440-INT(F440)&lt;0.6,TRUE,FALSE),TRUE))</f>
        <v>1</v>
      </c>
      <c r="N440" s="9" t="str">
        <f>IF(F440="","",IF($F$2=入力リスト!$Q$4,ROUNDDOWN(INT(F440)+ROUNDDOWN((F440-INT(F440))*100,0)/60,2),従業員の給与情報!F440))</f>
        <v/>
      </c>
      <c r="O440" s="8"/>
      <c r="P440" s="8"/>
    </row>
    <row r="441" spans="1:16">
      <c r="A441" s="119"/>
      <c r="B441" s="2"/>
      <c r="C441" s="369"/>
      <c r="D441" s="369"/>
      <c r="E441" s="369"/>
      <c r="F441" s="370"/>
      <c r="G441" s="248" t="str">
        <f t="shared" si="30"/>
        <v/>
      </c>
      <c r="H441" s="1" t="b">
        <f>IF(B441="",FALSE,COUNTIF('従業員情報(給与以外)'!$A$4:$A$1000000,$B441)=0)</f>
        <v>0</v>
      </c>
      <c r="I441" s="9" t="b">
        <f t="shared" si="31"/>
        <v>1</v>
      </c>
      <c r="J441" s="9" t="b">
        <f t="shared" si="32"/>
        <v>1</v>
      </c>
      <c r="K441" s="9" t="b">
        <f t="shared" si="33"/>
        <v>1</v>
      </c>
      <c r="L441" s="9" t="b">
        <f t="shared" si="34"/>
        <v>1</v>
      </c>
      <c r="M441" s="1" t="b">
        <f>IF(OR(入力シート!$C$5&lt;&gt;入力リスト!$N$4,入力シート!$J$22&lt;&gt;入力リスト!$K$4),TRUE,IF($F$2=入力リスト!$Q$4,IF(F441-INT(F441)&lt;0.6,TRUE,FALSE),TRUE))</f>
        <v>1</v>
      </c>
      <c r="N441" s="9" t="str">
        <f>IF(F441="","",IF($F$2=入力リスト!$Q$4,ROUNDDOWN(INT(F441)+ROUNDDOWN((F441-INT(F441))*100,0)/60,2),従業員の給与情報!F441))</f>
        <v/>
      </c>
      <c r="O441" s="8"/>
      <c r="P441" s="8"/>
    </row>
    <row r="442" spans="1:16">
      <c r="A442" s="119"/>
      <c r="B442" s="2"/>
      <c r="C442" s="369"/>
      <c r="D442" s="369"/>
      <c r="E442" s="369"/>
      <c r="F442" s="370"/>
      <c r="G442" s="248" t="str">
        <f t="shared" si="30"/>
        <v/>
      </c>
      <c r="H442" s="1" t="b">
        <f>IF(B442="",FALSE,COUNTIF('従業員情報(給与以外)'!$A$4:$A$1000000,$B442)=0)</f>
        <v>0</v>
      </c>
      <c r="I442" s="9" t="b">
        <f t="shared" si="31"/>
        <v>1</v>
      </c>
      <c r="J442" s="9" t="b">
        <f t="shared" si="32"/>
        <v>1</v>
      </c>
      <c r="K442" s="9" t="b">
        <f t="shared" si="33"/>
        <v>1</v>
      </c>
      <c r="L442" s="9" t="b">
        <f t="shared" si="34"/>
        <v>1</v>
      </c>
      <c r="M442" s="1" t="b">
        <f>IF(OR(入力シート!$C$5&lt;&gt;入力リスト!$N$4,入力シート!$J$22&lt;&gt;入力リスト!$K$4),TRUE,IF($F$2=入力リスト!$Q$4,IF(F442-INT(F442)&lt;0.6,TRUE,FALSE),TRUE))</f>
        <v>1</v>
      </c>
      <c r="N442" s="9" t="str">
        <f>IF(F442="","",IF($F$2=入力リスト!$Q$4,ROUNDDOWN(INT(F442)+ROUNDDOWN((F442-INT(F442))*100,0)/60,2),従業員の給与情報!F442))</f>
        <v/>
      </c>
      <c r="O442" s="8"/>
      <c r="P442" s="8"/>
    </row>
    <row r="443" spans="1:16">
      <c r="A443" s="119"/>
      <c r="B443" s="2"/>
      <c r="C443" s="369"/>
      <c r="D443" s="369"/>
      <c r="E443" s="369"/>
      <c r="F443" s="370"/>
      <c r="G443" s="248" t="str">
        <f t="shared" si="30"/>
        <v/>
      </c>
      <c r="H443" s="1" t="b">
        <f>IF(B443="",FALSE,COUNTIF('従業員情報(給与以外)'!$A$4:$A$1000000,$B443)=0)</f>
        <v>0</v>
      </c>
      <c r="I443" s="9" t="b">
        <f t="shared" si="31"/>
        <v>1</v>
      </c>
      <c r="J443" s="9" t="b">
        <f t="shared" si="32"/>
        <v>1</v>
      </c>
      <c r="K443" s="9" t="b">
        <f t="shared" si="33"/>
        <v>1</v>
      </c>
      <c r="L443" s="9" t="b">
        <f t="shared" si="34"/>
        <v>1</v>
      </c>
      <c r="M443" s="1" t="b">
        <f>IF(OR(入力シート!$C$5&lt;&gt;入力リスト!$N$4,入力シート!$J$22&lt;&gt;入力リスト!$K$4),TRUE,IF($F$2=入力リスト!$Q$4,IF(F443-INT(F443)&lt;0.6,TRUE,FALSE),TRUE))</f>
        <v>1</v>
      </c>
      <c r="N443" s="9" t="str">
        <f>IF(F443="","",IF($F$2=入力リスト!$Q$4,ROUNDDOWN(INT(F443)+ROUNDDOWN((F443-INT(F443))*100,0)/60,2),従業員の給与情報!F443))</f>
        <v/>
      </c>
      <c r="O443" s="8"/>
      <c r="P443" s="8"/>
    </row>
    <row r="444" spans="1:16">
      <c r="A444" s="119"/>
      <c r="B444" s="2"/>
      <c r="C444" s="369"/>
      <c r="D444" s="369"/>
      <c r="E444" s="369"/>
      <c r="F444" s="370"/>
      <c r="G444" s="248" t="str">
        <f t="shared" si="30"/>
        <v/>
      </c>
      <c r="H444" s="1" t="b">
        <f>IF(B444="",FALSE,COUNTIF('従業員情報(給与以外)'!$A$4:$A$1000000,$B444)=0)</f>
        <v>0</v>
      </c>
      <c r="I444" s="9" t="b">
        <f t="shared" si="31"/>
        <v>1</v>
      </c>
      <c r="J444" s="9" t="b">
        <f t="shared" si="32"/>
        <v>1</v>
      </c>
      <c r="K444" s="9" t="b">
        <f t="shared" si="33"/>
        <v>1</v>
      </c>
      <c r="L444" s="9" t="b">
        <f t="shared" si="34"/>
        <v>1</v>
      </c>
      <c r="M444" s="1" t="b">
        <f>IF(OR(入力シート!$C$5&lt;&gt;入力リスト!$N$4,入力シート!$J$22&lt;&gt;入力リスト!$K$4),TRUE,IF($F$2=入力リスト!$Q$4,IF(F444-INT(F444)&lt;0.6,TRUE,FALSE),TRUE))</f>
        <v>1</v>
      </c>
      <c r="N444" s="9" t="str">
        <f>IF(F444="","",IF($F$2=入力リスト!$Q$4,ROUNDDOWN(INT(F444)+ROUNDDOWN((F444-INT(F444))*100,0)/60,2),従業員の給与情報!F444))</f>
        <v/>
      </c>
      <c r="O444" s="8"/>
      <c r="P444" s="8"/>
    </row>
    <row r="445" spans="1:16">
      <c r="A445" s="119"/>
      <c r="B445" s="2"/>
      <c r="C445" s="369"/>
      <c r="D445" s="369"/>
      <c r="E445" s="369"/>
      <c r="F445" s="370"/>
      <c r="G445" s="248" t="str">
        <f t="shared" si="30"/>
        <v/>
      </c>
      <c r="H445" s="1" t="b">
        <f>IF(B445="",FALSE,COUNTIF('従業員情報(給与以外)'!$A$4:$A$1000000,$B445)=0)</f>
        <v>0</v>
      </c>
      <c r="I445" s="9" t="b">
        <f t="shared" si="31"/>
        <v>1</v>
      </c>
      <c r="J445" s="9" t="b">
        <f t="shared" si="32"/>
        <v>1</v>
      </c>
      <c r="K445" s="9" t="b">
        <f t="shared" si="33"/>
        <v>1</v>
      </c>
      <c r="L445" s="9" t="b">
        <f t="shared" si="34"/>
        <v>1</v>
      </c>
      <c r="M445" s="1" t="b">
        <f>IF(OR(入力シート!$C$5&lt;&gt;入力リスト!$N$4,入力シート!$J$22&lt;&gt;入力リスト!$K$4),TRUE,IF($F$2=入力リスト!$Q$4,IF(F445-INT(F445)&lt;0.6,TRUE,FALSE),TRUE))</f>
        <v>1</v>
      </c>
      <c r="N445" s="9" t="str">
        <f>IF(F445="","",IF($F$2=入力リスト!$Q$4,ROUNDDOWN(INT(F445)+ROUNDDOWN((F445-INT(F445))*100,0)/60,2),従業員の給与情報!F445))</f>
        <v/>
      </c>
      <c r="O445" s="8"/>
      <c r="P445" s="8"/>
    </row>
    <row r="446" spans="1:16">
      <c r="A446" s="119"/>
      <c r="B446" s="2"/>
      <c r="C446" s="369"/>
      <c r="D446" s="369"/>
      <c r="E446" s="369"/>
      <c r="F446" s="370"/>
      <c r="G446" s="248" t="str">
        <f t="shared" si="30"/>
        <v/>
      </c>
      <c r="H446" s="1" t="b">
        <f>IF(B446="",FALSE,COUNTIF('従業員情報(給与以外)'!$A$4:$A$1000000,$B446)=0)</f>
        <v>0</v>
      </c>
      <c r="I446" s="9" t="b">
        <f t="shared" si="31"/>
        <v>1</v>
      </c>
      <c r="J446" s="9" t="b">
        <f t="shared" si="32"/>
        <v>1</v>
      </c>
      <c r="K446" s="9" t="b">
        <f t="shared" si="33"/>
        <v>1</v>
      </c>
      <c r="L446" s="9" t="b">
        <f t="shared" si="34"/>
        <v>1</v>
      </c>
      <c r="M446" s="1" t="b">
        <f>IF(OR(入力シート!$C$5&lt;&gt;入力リスト!$N$4,入力シート!$J$22&lt;&gt;入力リスト!$K$4),TRUE,IF($F$2=入力リスト!$Q$4,IF(F446-INT(F446)&lt;0.6,TRUE,FALSE),TRUE))</f>
        <v>1</v>
      </c>
      <c r="N446" s="9" t="str">
        <f>IF(F446="","",IF($F$2=入力リスト!$Q$4,ROUNDDOWN(INT(F446)+ROUNDDOWN((F446-INT(F446))*100,0)/60,2),従業員の給与情報!F446))</f>
        <v/>
      </c>
      <c r="O446" s="8"/>
      <c r="P446" s="8"/>
    </row>
    <row r="447" spans="1:16">
      <c r="A447" s="119"/>
      <c r="B447" s="2"/>
      <c r="C447" s="369"/>
      <c r="D447" s="369"/>
      <c r="E447" s="369"/>
      <c r="F447" s="370"/>
      <c r="G447" s="248" t="str">
        <f t="shared" si="30"/>
        <v/>
      </c>
      <c r="H447" s="1" t="b">
        <f>IF(B447="",FALSE,COUNTIF('従業員情報(給与以外)'!$A$4:$A$1000000,$B447)=0)</f>
        <v>0</v>
      </c>
      <c r="I447" s="9" t="b">
        <f t="shared" si="31"/>
        <v>1</v>
      </c>
      <c r="J447" s="9" t="b">
        <f t="shared" si="32"/>
        <v>1</v>
      </c>
      <c r="K447" s="9" t="b">
        <f t="shared" si="33"/>
        <v>1</v>
      </c>
      <c r="L447" s="9" t="b">
        <f t="shared" si="34"/>
        <v>1</v>
      </c>
      <c r="M447" s="1" t="b">
        <f>IF(OR(入力シート!$C$5&lt;&gt;入力リスト!$N$4,入力シート!$J$22&lt;&gt;入力リスト!$K$4),TRUE,IF($F$2=入力リスト!$Q$4,IF(F447-INT(F447)&lt;0.6,TRUE,FALSE),TRUE))</f>
        <v>1</v>
      </c>
      <c r="N447" s="9" t="str">
        <f>IF(F447="","",IF($F$2=入力リスト!$Q$4,ROUNDDOWN(INT(F447)+ROUNDDOWN((F447-INT(F447))*100,0)/60,2),従業員の給与情報!F447))</f>
        <v/>
      </c>
      <c r="O447" s="8"/>
      <c r="P447" s="8"/>
    </row>
    <row r="448" spans="1:16">
      <c r="A448" s="119"/>
      <c r="B448" s="2"/>
      <c r="C448" s="369"/>
      <c r="D448" s="369"/>
      <c r="E448" s="369"/>
      <c r="F448" s="370"/>
      <c r="G448" s="248" t="str">
        <f t="shared" si="30"/>
        <v/>
      </c>
      <c r="H448" s="1" t="b">
        <f>IF(B448="",FALSE,COUNTIF('従業員情報(給与以外)'!$A$4:$A$1000000,$B448)=0)</f>
        <v>0</v>
      </c>
      <c r="I448" s="9" t="b">
        <f t="shared" si="31"/>
        <v>1</v>
      </c>
      <c r="J448" s="9" t="b">
        <f t="shared" si="32"/>
        <v>1</v>
      </c>
      <c r="K448" s="9" t="b">
        <f t="shared" si="33"/>
        <v>1</v>
      </c>
      <c r="L448" s="9" t="b">
        <f t="shared" si="34"/>
        <v>1</v>
      </c>
      <c r="M448" s="1" t="b">
        <f>IF(OR(入力シート!$C$5&lt;&gt;入力リスト!$N$4,入力シート!$J$22&lt;&gt;入力リスト!$K$4),TRUE,IF($F$2=入力リスト!$Q$4,IF(F448-INT(F448)&lt;0.6,TRUE,FALSE),TRUE))</f>
        <v>1</v>
      </c>
      <c r="N448" s="9" t="str">
        <f>IF(F448="","",IF($F$2=入力リスト!$Q$4,ROUNDDOWN(INT(F448)+ROUNDDOWN((F448-INT(F448))*100,0)/60,2),従業員の給与情報!F448))</f>
        <v/>
      </c>
      <c r="O448" s="8"/>
      <c r="P448" s="8"/>
    </row>
    <row r="449" spans="1:16">
      <c r="A449" s="119"/>
      <c r="B449" s="2"/>
      <c r="C449" s="369"/>
      <c r="D449" s="369"/>
      <c r="E449" s="369"/>
      <c r="F449" s="370"/>
      <c r="G449" s="248" t="str">
        <f t="shared" si="30"/>
        <v/>
      </c>
      <c r="H449" s="1" t="b">
        <f>IF(B449="",FALSE,COUNTIF('従業員情報(給与以外)'!$A$4:$A$1000000,$B449)=0)</f>
        <v>0</v>
      </c>
      <c r="I449" s="9" t="b">
        <f t="shared" si="31"/>
        <v>1</v>
      </c>
      <c r="J449" s="9" t="b">
        <f t="shared" si="32"/>
        <v>1</v>
      </c>
      <c r="K449" s="9" t="b">
        <f t="shared" si="33"/>
        <v>1</v>
      </c>
      <c r="L449" s="9" t="b">
        <f t="shared" si="34"/>
        <v>1</v>
      </c>
      <c r="M449" s="1" t="b">
        <f>IF(OR(入力シート!$C$5&lt;&gt;入力リスト!$N$4,入力シート!$J$22&lt;&gt;入力リスト!$K$4),TRUE,IF($F$2=入力リスト!$Q$4,IF(F449-INT(F449)&lt;0.6,TRUE,FALSE),TRUE))</f>
        <v>1</v>
      </c>
      <c r="N449" s="9" t="str">
        <f>IF(F449="","",IF($F$2=入力リスト!$Q$4,ROUNDDOWN(INT(F449)+ROUNDDOWN((F449-INT(F449))*100,0)/60,2),従業員の給与情報!F449))</f>
        <v/>
      </c>
      <c r="O449" s="8"/>
      <c r="P449" s="8"/>
    </row>
    <row r="450" spans="1:16">
      <c r="A450" s="119"/>
      <c r="B450" s="2"/>
      <c r="C450" s="369"/>
      <c r="D450" s="369"/>
      <c r="E450" s="369"/>
      <c r="F450" s="370"/>
      <c r="G450" s="248" t="str">
        <f t="shared" si="30"/>
        <v/>
      </c>
      <c r="H450" s="1" t="b">
        <f>IF(B450="",FALSE,COUNTIF('従業員情報(給与以外)'!$A$4:$A$1000000,$B450)=0)</f>
        <v>0</v>
      </c>
      <c r="I450" s="9" t="b">
        <f t="shared" si="31"/>
        <v>1</v>
      </c>
      <c r="J450" s="9" t="b">
        <f t="shared" si="32"/>
        <v>1</v>
      </c>
      <c r="K450" s="9" t="b">
        <f t="shared" si="33"/>
        <v>1</v>
      </c>
      <c r="L450" s="9" t="b">
        <f t="shared" si="34"/>
        <v>1</v>
      </c>
      <c r="M450" s="1" t="b">
        <f>IF(OR(入力シート!$C$5&lt;&gt;入力リスト!$N$4,入力シート!$J$22&lt;&gt;入力リスト!$K$4),TRUE,IF($F$2=入力リスト!$Q$4,IF(F450-INT(F450)&lt;0.6,TRUE,FALSE),TRUE))</f>
        <v>1</v>
      </c>
      <c r="N450" s="9" t="str">
        <f>IF(F450="","",IF($F$2=入力リスト!$Q$4,ROUNDDOWN(INT(F450)+ROUNDDOWN((F450-INT(F450))*100,0)/60,2),従業員の給与情報!F450))</f>
        <v/>
      </c>
      <c r="O450" s="8"/>
      <c r="P450" s="8"/>
    </row>
    <row r="451" spans="1:16">
      <c r="A451" s="119"/>
      <c r="B451" s="2"/>
      <c r="C451" s="369"/>
      <c r="D451" s="369"/>
      <c r="E451" s="369"/>
      <c r="F451" s="370"/>
      <c r="G451" s="248" t="str">
        <f t="shared" si="30"/>
        <v/>
      </c>
      <c r="H451" s="1" t="b">
        <f>IF(B451="",FALSE,COUNTIF('従業員情報(給与以外)'!$A$4:$A$1000000,$B451)=0)</f>
        <v>0</v>
      </c>
      <c r="I451" s="9" t="b">
        <f t="shared" si="31"/>
        <v>1</v>
      </c>
      <c r="J451" s="9" t="b">
        <f t="shared" si="32"/>
        <v>1</v>
      </c>
      <c r="K451" s="9" t="b">
        <f t="shared" si="33"/>
        <v>1</v>
      </c>
      <c r="L451" s="9" t="b">
        <f t="shared" si="34"/>
        <v>1</v>
      </c>
      <c r="M451" s="1" t="b">
        <f>IF(OR(入力シート!$C$5&lt;&gt;入力リスト!$N$4,入力シート!$J$22&lt;&gt;入力リスト!$K$4),TRUE,IF($F$2=入力リスト!$Q$4,IF(F451-INT(F451)&lt;0.6,TRUE,FALSE),TRUE))</f>
        <v>1</v>
      </c>
      <c r="N451" s="9" t="str">
        <f>IF(F451="","",IF($F$2=入力リスト!$Q$4,ROUNDDOWN(INT(F451)+ROUNDDOWN((F451-INT(F451))*100,0)/60,2),従業員の給与情報!F451))</f>
        <v/>
      </c>
      <c r="O451" s="8"/>
      <c r="P451" s="8"/>
    </row>
    <row r="452" spans="1:16">
      <c r="A452" s="119"/>
      <c r="B452" s="2"/>
      <c r="C452" s="369"/>
      <c r="D452" s="369"/>
      <c r="E452" s="369"/>
      <c r="F452" s="370"/>
      <c r="G452" s="248" t="str">
        <f t="shared" si="30"/>
        <v/>
      </c>
      <c r="H452" s="1" t="b">
        <f>IF(B452="",FALSE,COUNTIF('従業員情報(給与以外)'!$A$4:$A$1000000,$B452)=0)</f>
        <v>0</v>
      </c>
      <c r="I452" s="9" t="b">
        <f t="shared" si="31"/>
        <v>1</v>
      </c>
      <c r="J452" s="9" t="b">
        <f t="shared" si="32"/>
        <v>1</v>
      </c>
      <c r="K452" s="9" t="b">
        <f t="shared" si="33"/>
        <v>1</v>
      </c>
      <c r="L452" s="9" t="b">
        <f t="shared" si="34"/>
        <v>1</v>
      </c>
      <c r="M452" s="1" t="b">
        <f>IF(OR(入力シート!$C$5&lt;&gt;入力リスト!$N$4,入力シート!$J$22&lt;&gt;入力リスト!$K$4),TRUE,IF($F$2=入力リスト!$Q$4,IF(F452-INT(F452)&lt;0.6,TRUE,FALSE),TRUE))</f>
        <v>1</v>
      </c>
      <c r="N452" s="9" t="str">
        <f>IF(F452="","",IF($F$2=入力リスト!$Q$4,ROUNDDOWN(INT(F452)+ROUNDDOWN((F452-INT(F452))*100,0)/60,2),従業員の給与情報!F452))</f>
        <v/>
      </c>
      <c r="O452" s="8"/>
      <c r="P452" s="8"/>
    </row>
    <row r="453" spans="1:16">
      <c r="A453" s="119"/>
      <c r="B453" s="2"/>
      <c r="C453" s="369"/>
      <c r="D453" s="369"/>
      <c r="E453" s="369"/>
      <c r="F453" s="370"/>
      <c r="G453" s="248" t="str">
        <f t="shared" ref="G453:G516" si="35">IF(AND($B453="",OR(B453&lt;&gt;"",C453&lt;&gt;"",D453&lt;&gt;"",E453&lt;&gt;"",F453&lt;&gt;"")),"従業員番号が空白です。",IF($H453=TRUE,"この従業員番号は、シート［従業員情報（給与以外）］に存在しません。",IF(I453=FALSE,"「毎月の固定給与額」","")&amp;IF(AND(I453=FALSE,OR(J453=FALSE,K453=FALSE,L453=FALSE)),",","")&amp;IF(J453=FALSE,"「賞与額等」","")&amp;IF(AND(J453=FALSE,OR(K453=FALSE,L453=FALSE)),",","")&amp;IF(K453=FALSE,"「残業手当」","")&amp;IF(AND(K453=FALSE,L453=FALSE),",","")&amp;IF(L453=FALSE,"「残業時間」","")&amp;IF(OR(I453=FALSE,J453=FALSE,K453=FALSE,L453=FALSE),"に数値以外が入力されています。","")&amp;IF(M453,"","「残業時間」を分単位で入力した場合、小数点以下の値は0.6未満にしてください。")))</f>
        <v/>
      </c>
      <c r="H453" s="1" t="b">
        <f>IF(B453="",FALSE,COUNTIF('従業員情報(給与以外)'!$A$4:$A$1000000,$B453)=0)</f>
        <v>0</v>
      </c>
      <c r="I453" s="9" t="b">
        <f t="shared" ref="I453:I516" si="36">OR(C453="",ISNUMBER(C453))</f>
        <v>1</v>
      </c>
      <c r="J453" s="9" t="b">
        <f t="shared" ref="J453:J516" si="37">OR(D453="",ISNUMBER(D453))</f>
        <v>1</v>
      </c>
      <c r="K453" s="9" t="b">
        <f t="shared" ref="K453:K516" si="38">OR(E453="",ISNUMBER(E453))</f>
        <v>1</v>
      </c>
      <c r="L453" s="9" t="b">
        <f t="shared" ref="L453:L516" si="39">OR(F453="",ISNUMBER(F453))</f>
        <v>1</v>
      </c>
      <c r="M453" s="1" t="b">
        <f>IF(OR(入力シート!$C$5&lt;&gt;入力リスト!$N$4,入力シート!$J$22&lt;&gt;入力リスト!$K$4),TRUE,IF($F$2=入力リスト!$Q$4,IF(F453-INT(F453)&lt;0.6,TRUE,FALSE),TRUE))</f>
        <v>1</v>
      </c>
      <c r="N453" s="9" t="str">
        <f>IF(F453="","",IF($F$2=入力リスト!$Q$4,ROUNDDOWN(INT(F453)+ROUNDDOWN((F453-INT(F453))*100,0)/60,2),従業員の給与情報!F453))</f>
        <v/>
      </c>
      <c r="O453" s="8"/>
      <c r="P453" s="8"/>
    </row>
    <row r="454" spans="1:16">
      <c r="A454" s="119"/>
      <c r="B454" s="2"/>
      <c r="C454" s="369"/>
      <c r="D454" s="369"/>
      <c r="E454" s="369"/>
      <c r="F454" s="370"/>
      <c r="G454" s="248" t="str">
        <f t="shared" si="35"/>
        <v/>
      </c>
      <c r="H454" s="1" t="b">
        <f>IF(B454="",FALSE,COUNTIF('従業員情報(給与以外)'!$A$4:$A$1000000,$B454)=0)</f>
        <v>0</v>
      </c>
      <c r="I454" s="9" t="b">
        <f t="shared" si="36"/>
        <v>1</v>
      </c>
      <c r="J454" s="9" t="b">
        <f t="shared" si="37"/>
        <v>1</v>
      </c>
      <c r="K454" s="9" t="b">
        <f t="shared" si="38"/>
        <v>1</v>
      </c>
      <c r="L454" s="9" t="b">
        <f t="shared" si="39"/>
        <v>1</v>
      </c>
      <c r="M454" s="1" t="b">
        <f>IF(OR(入力シート!$C$5&lt;&gt;入力リスト!$N$4,入力シート!$J$22&lt;&gt;入力リスト!$K$4),TRUE,IF($F$2=入力リスト!$Q$4,IF(F454-INT(F454)&lt;0.6,TRUE,FALSE),TRUE))</f>
        <v>1</v>
      </c>
      <c r="N454" s="9" t="str">
        <f>IF(F454="","",IF($F$2=入力リスト!$Q$4,ROUNDDOWN(INT(F454)+ROUNDDOWN((F454-INT(F454))*100,0)/60,2),従業員の給与情報!F454))</f>
        <v/>
      </c>
      <c r="O454" s="8"/>
      <c r="P454" s="8"/>
    </row>
    <row r="455" spans="1:16">
      <c r="A455" s="119"/>
      <c r="B455" s="2"/>
      <c r="C455" s="369"/>
      <c r="D455" s="369"/>
      <c r="E455" s="369"/>
      <c r="F455" s="370"/>
      <c r="G455" s="248" t="str">
        <f t="shared" si="35"/>
        <v/>
      </c>
      <c r="H455" s="1" t="b">
        <f>IF(B455="",FALSE,COUNTIF('従業員情報(給与以外)'!$A$4:$A$1000000,$B455)=0)</f>
        <v>0</v>
      </c>
      <c r="I455" s="9" t="b">
        <f t="shared" si="36"/>
        <v>1</v>
      </c>
      <c r="J455" s="9" t="b">
        <f t="shared" si="37"/>
        <v>1</v>
      </c>
      <c r="K455" s="9" t="b">
        <f t="shared" si="38"/>
        <v>1</v>
      </c>
      <c r="L455" s="9" t="b">
        <f t="shared" si="39"/>
        <v>1</v>
      </c>
      <c r="M455" s="1" t="b">
        <f>IF(OR(入力シート!$C$5&lt;&gt;入力リスト!$N$4,入力シート!$J$22&lt;&gt;入力リスト!$K$4),TRUE,IF($F$2=入力リスト!$Q$4,IF(F455-INT(F455)&lt;0.6,TRUE,FALSE),TRUE))</f>
        <v>1</v>
      </c>
      <c r="N455" s="9" t="str">
        <f>IF(F455="","",IF($F$2=入力リスト!$Q$4,ROUNDDOWN(INT(F455)+ROUNDDOWN((F455-INT(F455))*100,0)/60,2),従業員の給与情報!F455))</f>
        <v/>
      </c>
      <c r="O455" s="8"/>
      <c r="P455" s="8"/>
    </row>
    <row r="456" spans="1:16">
      <c r="A456" s="119"/>
      <c r="B456" s="2"/>
      <c r="C456" s="369"/>
      <c r="D456" s="369"/>
      <c r="E456" s="369"/>
      <c r="F456" s="370"/>
      <c r="G456" s="248" t="str">
        <f t="shared" si="35"/>
        <v/>
      </c>
      <c r="H456" s="1" t="b">
        <f>IF(B456="",FALSE,COUNTIF('従業員情報(給与以外)'!$A$4:$A$1000000,$B456)=0)</f>
        <v>0</v>
      </c>
      <c r="I456" s="9" t="b">
        <f t="shared" si="36"/>
        <v>1</v>
      </c>
      <c r="J456" s="9" t="b">
        <f t="shared" si="37"/>
        <v>1</v>
      </c>
      <c r="K456" s="9" t="b">
        <f t="shared" si="38"/>
        <v>1</v>
      </c>
      <c r="L456" s="9" t="b">
        <f t="shared" si="39"/>
        <v>1</v>
      </c>
      <c r="M456" s="1" t="b">
        <f>IF(OR(入力シート!$C$5&lt;&gt;入力リスト!$N$4,入力シート!$J$22&lt;&gt;入力リスト!$K$4),TRUE,IF($F$2=入力リスト!$Q$4,IF(F456-INT(F456)&lt;0.6,TRUE,FALSE),TRUE))</f>
        <v>1</v>
      </c>
      <c r="N456" s="9" t="str">
        <f>IF(F456="","",IF($F$2=入力リスト!$Q$4,ROUNDDOWN(INT(F456)+ROUNDDOWN((F456-INT(F456))*100,0)/60,2),従業員の給与情報!F456))</f>
        <v/>
      </c>
      <c r="O456" s="8"/>
      <c r="P456" s="8"/>
    </row>
    <row r="457" spans="1:16">
      <c r="A457" s="119"/>
      <c r="B457" s="2"/>
      <c r="C457" s="369"/>
      <c r="D457" s="369"/>
      <c r="E457" s="369"/>
      <c r="F457" s="370"/>
      <c r="G457" s="248" t="str">
        <f t="shared" si="35"/>
        <v/>
      </c>
      <c r="H457" s="1" t="b">
        <f>IF(B457="",FALSE,COUNTIF('従業員情報(給与以外)'!$A$4:$A$1000000,$B457)=0)</f>
        <v>0</v>
      </c>
      <c r="I457" s="9" t="b">
        <f t="shared" si="36"/>
        <v>1</v>
      </c>
      <c r="J457" s="9" t="b">
        <f t="shared" si="37"/>
        <v>1</v>
      </c>
      <c r="K457" s="9" t="b">
        <f t="shared" si="38"/>
        <v>1</v>
      </c>
      <c r="L457" s="9" t="b">
        <f t="shared" si="39"/>
        <v>1</v>
      </c>
      <c r="M457" s="1" t="b">
        <f>IF(OR(入力シート!$C$5&lt;&gt;入力リスト!$N$4,入力シート!$J$22&lt;&gt;入力リスト!$K$4),TRUE,IF($F$2=入力リスト!$Q$4,IF(F457-INT(F457)&lt;0.6,TRUE,FALSE),TRUE))</f>
        <v>1</v>
      </c>
      <c r="N457" s="9" t="str">
        <f>IF(F457="","",IF($F$2=入力リスト!$Q$4,ROUNDDOWN(INT(F457)+ROUNDDOWN((F457-INT(F457))*100,0)/60,2),従業員の給与情報!F457))</f>
        <v/>
      </c>
      <c r="O457" s="8"/>
      <c r="P457" s="8"/>
    </row>
    <row r="458" spans="1:16">
      <c r="A458" s="119"/>
      <c r="B458" s="2"/>
      <c r="C458" s="369"/>
      <c r="D458" s="369"/>
      <c r="E458" s="369"/>
      <c r="F458" s="370"/>
      <c r="G458" s="248" t="str">
        <f t="shared" si="35"/>
        <v/>
      </c>
      <c r="H458" s="1" t="b">
        <f>IF(B458="",FALSE,COUNTIF('従業員情報(給与以外)'!$A$4:$A$1000000,$B458)=0)</f>
        <v>0</v>
      </c>
      <c r="I458" s="9" t="b">
        <f t="shared" si="36"/>
        <v>1</v>
      </c>
      <c r="J458" s="9" t="b">
        <f t="shared" si="37"/>
        <v>1</v>
      </c>
      <c r="K458" s="9" t="b">
        <f t="shared" si="38"/>
        <v>1</v>
      </c>
      <c r="L458" s="9" t="b">
        <f t="shared" si="39"/>
        <v>1</v>
      </c>
      <c r="M458" s="1" t="b">
        <f>IF(OR(入力シート!$C$5&lt;&gt;入力リスト!$N$4,入力シート!$J$22&lt;&gt;入力リスト!$K$4),TRUE,IF($F$2=入力リスト!$Q$4,IF(F458-INT(F458)&lt;0.6,TRUE,FALSE),TRUE))</f>
        <v>1</v>
      </c>
      <c r="N458" s="9" t="str">
        <f>IF(F458="","",IF($F$2=入力リスト!$Q$4,ROUNDDOWN(INT(F458)+ROUNDDOWN((F458-INT(F458))*100,0)/60,2),従業員の給与情報!F458))</f>
        <v/>
      </c>
      <c r="O458" s="8"/>
      <c r="P458" s="8"/>
    </row>
    <row r="459" spans="1:16">
      <c r="A459" s="119"/>
      <c r="B459" s="2"/>
      <c r="C459" s="369"/>
      <c r="D459" s="369"/>
      <c r="E459" s="369"/>
      <c r="F459" s="370"/>
      <c r="G459" s="248" t="str">
        <f t="shared" si="35"/>
        <v/>
      </c>
      <c r="H459" s="1" t="b">
        <f>IF(B459="",FALSE,COUNTIF('従業員情報(給与以外)'!$A$4:$A$1000000,$B459)=0)</f>
        <v>0</v>
      </c>
      <c r="I459" s="9" t="b">
        <f t="shared" si="36"/>
        <v>1</v>
      </c>
      <c r="J459" s="9" t="b">
        <f t="shared" si="37"/>
        <v>1</v>
      </c>
      <c r="K459" s="9" t="b">
        <f t="shared" si="38"/>
        <v>1</v>
      </c>
      <c r="L459" s="9" t="b">
        <f t="shared" si="39"/>
        <v>1</v>
      </c>
      <c r="M459" s="1" t="b">
        <f>IF(OR(入力シート!$C$5&lt;&gt;入力リスト!$N$4,入力シート!$J$22&lt;&gt;入力リスト!$K$4),TRUE,IF($F$2=入力リスト!$Q$4,IF(F459-INT(F459)&lt;0.6,TRUE,FALSE),TRUE))</f>
        <v>1</v>
      </c>
      <c r="N459" s="9" t="str">
        <f>IF(F459="","",IF($F$2=入力リスト!$Q$4,ROUNDDOWN(INT(F459)+ROUNDDOWN((F459-INT(F459))*100,0)/60,2),従業員の給与情報!F459))</f>
        <v/>
      </c>
      <c r="O459" s="8"/>
      <c r="P459" s="8"/>
    </row>
    <row r="460" spans="1:16">
      <c r="A460" s="119"/>
      <c r="B460" s="2"/>
      <c r="C460" s="369"/>
      <c r="D460" s="369"/>
      <c r="E460" s="369"/>
      <c r="F460" s="370"/>
      <c r="G460" s="248" t="str">
        <f t="shared" si="35"/>
        <v/>
      </c>
      <c r="H460" s="1" t="b">
        <f>IF(B460="",FALSE,COUNTIF('従業員情報(給与以外)'!$A$4:$A$1000000,$B460)=0)</f>
        <v>0</v>
      </c>
      <c r="I460" s="9" t="b">
        <f t="shared" si="36"/>
        <v>1</v>
      </c>
      <c r="J460" s="9" t="b">
        <f t="shared" si="37"/>
        <v>1</v>
      </c>
      <c r="K460" s="9" t="b">
        <f t="shared" si="38"/>
        <v>1</v>
      </c>
      <c r="L460" s="9" t="b">
        <f t="shared" si="39"/>
        <v>1</v>
      </c>
      <c r="M460" s="1" t="b">
        <f>IF(OR(入力シート!$C$5&lt;&gt;入力リスト!$N$4,入力シート!$J$22&lt;&gt;入力リスト!$K$4),TRUE,IF($F$2=入力リスト!$Q$4,IF(F460-INT(F460)&lt;0.6,TRUE,FALSE),TRUE))</f>
        <v>1</v>
      </c>
      <c r="N460" s="9" t="str">
        <f>IF(F460="","",IF($F$2=入力リスト!$Q$4,ROUNDDOWN(INT(F460)+ROUNDDOWN((F460-INT(F460))*100,0)/60,2),従業員の給与情報!F460))</f>
        <v/>
      </c>
      <c r="O460" s="8"/>
      <c r="P460" s="8"/>
    </row>
    <row r="461" spans="1:16">
      <c r="A461" s="119"/>
      <c r="B461" s="2"/>
      <c r="C461" s="369"/>
      <c r="D461" s="369"/>
      <c r="E461" s="369"/>
      <c r="F461" s="370"/>
      <c r="G461" s="248" t="str">
        <f t="shared" si="35"/>
        <v/>
      </c>
      <c r="H461" s="1" t="b">
        <f>IF(B461="",FALSE,COUNTIF('従業員情報(給与以外)'!$A$4:$A$1000000,$B461)=0)</f>
        <v>0</v>
      </c>
      <c r="I461" s="9" t="b">
        <f t="shared" si="36"/>
        <v>1</v>
      </c>
      <c r="J461" s="9" t="b">
        <f t="shared" si="37"/>
        <v>1</v>
      </c>
      <c r="K461" s="9" t="b">
        <f t="shared" si="38"/>
        <v>1</v>
      </c>
      <c r="L461" s="9" t="b">
        <f t="shared" si="39"/>
        <v>1</v>
      </c>
      <c r="M461" s="1" t="b">
        <f>IF(OR(入力シート!$C$5&lt;&gt;入力リスト!$N$4,入力シート!$J$22&lt;&gt;入力リスト!$K$4),TRUE,IF($F$2=入力リスト!$Q$4,IF(F461-INT(F461)&lt;0.6,TRUE,FALSE),TRUE))</f>
        <v>1</v>
      </c>
      <c r="N461" s="9" t="str">
        <f>IF(F461="","",IF($F$2=入力リスト!$Q$4,ROUNDDOWN(INT(F461)+ROUNDDOWN((F461-INT(F461))*100,0)/60,2),従業員の給与情報!F461))</f>
        <v/>
      </c>
      <c r="O461" s="8"/>
      <c r="P461" s="8"/>
    </row>
    <row r="462" spans="1:16">
      <c r="A462" s="119"/>
      <c r="B462" s="2"/>
      <c r="C462" s="369"/>
      <c r="D462" s="369"/>
      <c r="E462" s="369"/>
      <c r="F462" s="370"/>
      <c r="G462" s="248" t="str">
        <f t="shared" si="35"/>
        <v/>
      </c>
      <c r="H462" s="1" t="b">
        <f>IF(B462="",FALSE,COUNTIF('従業員情報(給与以外)'!$A$4:$A$1000000,$B462)=0)</f>
        <v>0</v>
      </c>
      <c r="I462" s="9" t="b">
        <f t="shared" si="36"/>
        <v>1</v>
      </c>
      <c r="J462" s="9" t="b">
        <f t="shared" si="37"/>
        <v>1</v>
      </c>
      <c r="K462" s="9" t="b">
        <f t="shared" si="38"/>
        <v>1</v>
      </c>
      <c r="L462" s="9" t="b">
        <f t="shared" si="39"/>
        <v>1</v>
      </c>
      <c r="M462" s="1" t="b">
        <f>IF(OR(入力シート!$C$5&lt;&gt;入力リスト!$N$4,入力シート!$J$22&lt;&gt;入力リスト!$K$4),TRUE,IF($F$2=入力リスト!$Q$4,IF(F462-INT(F462)&lt;0.6,TRUE,FALSE),TRUE))</f>
        <v>1</v>
      </c>
      <c r="N462" s="9" t="str">
        <f>IF(F462="","",IF($F$2=入力リスト!$Q$4,ROUNDDOWN(INT(F462)+ROUNDDOWN((F462-INT(F462))*100,0)/60,2),従業員の給与情報!F462))</f>
        <v/>
      </c>
      <c r="O462" s="8"/>
      <c r="P462" s="8"/>
    </row>
    <row r="463" spans="1:16">
      <c r="A463" s="119"/>
      <c r="B463" s="2"/>
      <c r="C463" s="369"/>
      <c r="D463" s="369"/>
      <c r="E463" s="369"/>
      <c r="F463" s="370"/>
      <c r="G463" s="248" t="str">
        <f t="shared" si="35"/>
        <v/>
      </c>
      <c r="H463" s="1" t="b">
        <f>IF(B463="",FALSE,COUNTIF('従業員情報(給与以外)'!$A$4:$A$1000000,$B463)=0)</f>
        <v>0</v>
      </c>
      <c r="I463" s="9" t="b">
        <f t="shared" si="36"/>
        <v>1</v>
      </c>
      <c r="J463" s="9" t="b">
        <f t="shared" si="37"/>
        <v>1</v>
      </c>
      <c r="K463" s="9" t="b">
        <f t="shared" si="38"/>
        <v>1</v>
      </c>
      <c r="L463" s="9" t="b">
        <f t="shared" si="39"/>
        <v>1</v>
      </c>
      <c r="M463" s="1" t="b">
        <f>IF(OR(入力シート!$C$5&lt;&gt;入力リスト!$N$4,入力シート!$J$22&lt;&gt;入力リスト!$K$4),TRUE,IF($F$2=入力リスト!$Q$4,IF(F463-INT(F463)&lt;0.6,TRUE,FALSE),TRUE))</f>
        <v>1</v>
      </c>
      <c r="N463" s="9" t="str">
        <f>IF(F463="","",IF($F$2=入力リスト!$Q$4,ROUNDDOWN(INT(F463)+ROUNDDOWN((F463-INT(F463))*100,0)/60,2),従業員の給与情報!F463))</f>
        <v/>
      </c>
      <c r="O463" s="8"/>
      <c r="P463" s="8"/>
    </row>
    <row r="464" spans="1:16">
      <c r="A464" s="119"/>
      <c r="B464" s="2"/>
      <c r="C464" s="369"/>
      <c r="D464" s="369"/>
      <c r="E464" s="369"/>
      <c r="F464" s="370"/>
      <c r="G464" s="248" t="str">
        <f t="shared" si="35"/>
        <v/>
      </c>
      <c r="H464" s="1" t="b">
        <f>IF(B464="",FALSE,COUNTIF('従業員情報(給与以外)'!$A$4:$A$1000000,$B464)=0)</f>
        <v>0</v>
      </c>
      <c r="I464" s="9" t="b">
        <f t="shared" si="36"/>
        <v>1</v>
      </c>
      <c r="J464" s="9" t="b">
        <f t="shared" si="37"/>
        <v>1</v>
      </c>
      <c r="K464" s="9" t="b">
        <f t="shared" si="38"/>
        <v>1</v>
      </c>
      <c r="L464" s="9" t="b">
        <f t="shared" si="39"/>
        <v>1</v>
      </c>
      <c r="M464" s="1" t="b">
        <f>IF(OR(入力シート!$C$5&lt;&gt;入力リスト!$N$4,入力シート!$J$22&lt;&gt;入力リスト!$K$4),TRUE,IF($F$2=入力リスト!$Q$4,IF(F464-INT(F464)&lt;0.6,TRUE,FALSE),TRUE))</f>
        <v>1</v>
      </c>
      <c r="N464" s="9" t="str">
        <f>IF(F464="","",IF($F$2=入力リスト!$Q$4,ROUNDDOWN(INT(F464)+ROUNDDOWN((F464-INT(F464))*100,0)/60,2),従業員の給与情報!F464))</f>
        <v/>
      </c>
      <c r="O464" s="8"/>
      <c r="P464" s="8"/>
    </row>
    <row r="465" spans="1:16">
      <c r="A465" s="119"/>
      <c r="B465" s="2"/>
      <c r="C465" s="369"/>
      <c r="D465" s="369"/>
      <c r="E465" s="369"/>
      <c r="F465" s="370"/>
      <c r="G465" s="248" t="str">
        <f t="shared" si="35"/>
        <v/>
      </c>
      <c r="H465" s="1" t="b">
        <f>IF(B465="",FALSE,COUNTIF('従業員情報(給与以外)'!$A$4:$A$1000000,$B465)=0)</f>
        <v>0</v>
      </c>
      <c r="I465" s="9" t="b">
        <f t="shared" si="36"/>
        <v>1</v>
      </c>
      <c r="J465" s="9" t="b">
        <f t="shared" si="37"/>
        <v>1</v>
      </c>
      <c r="K465" s="9" t="b">
        <f t="shared" si="38"/>
        <v>1</v>
      </c>
      <c r="L465" s="9" t="b">
        <f t="shared" si="39"/>
        <v>1</v>
      </c>
      <c r="M465" s="1" t="b">
        <f>IF(OR(入力シート!$C$5&lt;&gt;入力リスト!$N$4,入力シート!$J$22&lt;&gt;入力リスト!$K$4),TRUE,IF($F$2=入力リスト!$Q$4,IF(F465-INT(F465)&lt;0.6,TRUE,FALSE),TRUE))</f>
        <v>1</v>
      </c>
      <c r="N465" s="9" t="str">
        <f>IF(F465="","",IF($F$2=入力リスト!$Q$4,ROUNDDOWN(INT(F465)+ROUNDDOWN((F465-INT(F465))*100,0)/60,2),従業員の給与情報!F465))</f>
        <v/>
      </c>
      <c r="O465" s="8"/>
      <c r="P465" s="8"/>
    </row>
    <row r="466" spans="1:16">
      <c r="A466" s="119"/>
      <c r="B466" s="2"/>
      <c r="C466" s="369"/>
      <c r="D466" s="369"/>
      <c r="E466" s="369"/>
      <c r="F466" s="370"/>
      <c r="G466" s="248" t="str">
        <f t="shared" si="35"/>
        <v/>
      </c>
      <c r="H466" s="1" t="b">
        <f>IF(B466="",FALSE,COUNTIF('従業員情報(給与以外)'!$A$4:$A$1000000,$B466)=0)</f>
        <v>0</v>
      </c>
      <c r="I466" s="9" t="b">
        <f t="shared" si="36"/>
        <v>1</v>
      </c>
      <c r="J466" s="9" t="b">
        <f t="shared" si="37"/>
        <v>1</v>
      </c>
      <c r="K466" s="9" t="b">
        <f t="shared" si="38"/>
        <v>1</v>
      </c>
      <c r="L466" s="9" t="b">
        <f t="shared" si="39"/>
        <v>1</v>
      </c>
      <c r="M466" s="1" t="b">
        <f>IF(OR(入力シート!$C$5&lt;&gt;入力リスト!$N$4,入力シート!$J$22&lt;&gt;入力リスト!$K$4),TRUE,IF($F$2=入力リスト!$Q$4,IF(F466-INT(F466)&lt;0.6,TRUE,FALSE),TRUE))</f>
        <v>1</v>
      </c>
      <c r="N466" s="9" t="str">
        <f>IF(F466="","",IF($F$2=入力リスト!$Q$4,ROUNDDOWN(INT(F466)+ROUNDDOWN((F466-INT(F466))*100,0)/60,2),従業員の給与情報!F466))</f>
        <v/>
      </c>
      <c r="O466" s="8"/>
      <c r="P466" s="8"/>
    </row>
    <row r="467" spans="1:16">
      <c r="A467" s="119"/>
      <c r="B467" s="2"/>
      <c r="C467" s="369"/>
      <c r="D467" s="369"/>
      <c r="E467" s="369"/>
      <c r="F467" s="370"/>
      <c r="G467" s="248" t="str">
        <f t="shared" si="35"/>
        <v/>
      </c>
      <c r="H467" s="1" t="b">
        <f>IF(B467="",FALSE,COUNTIF('従業員情報(給与以外)'!$A$4:$A$1000000,$B467)=0)</f>
        <v>0</v>
      </c>
      <c r="I467" s="9" t="b">
        <f t="shared" si="36"/>
        <v>1</v>
      </c>
      <c r="J467" s="9" t="b">
        <f t="shared" si="37"/>
        <v>1</v>
      </c>
      <c r="K467" s="9" t="b">
        <f t="shared" si="38"/>
        <v>1</v>
      </c>
      <c r="L467" s="9" t="b">
        <f t="shared" si="39"/>
        <v>1</v>
      </c>
      <c r="M467" s="1" t="b">
        <f>IF(OR(入力シート!$C$5&lt;&gt;入力リスト!$N$4,入力シート!$J$22&lt;&gt;入力リスト!$K$4),TRUE,IF($F$2=入力リスト!$Q$4,IF(F467-INT(F467)&lt;0.6,TRUE,FALSE),TRUE))</f>
        <v>1</v>
      </c>
      <c r="N467" s="9" t="str">
        <f>IF(F467="","",IF($F$2=入力リスト!$Q$4,ROUNDDOWN(INT(F467)+ROUNDDOWN((F467-INT(F467))*100,0)/60,2),従業員の給与情報!F467))</f>
        <v/>
      </c>
      <c r="O467" s="8"/>
      <c r="P467" s="8"/>
    </row>
    <row r="468" spans="1:16">
      <c r="A468" s="119"/>
      <c r="B468" s="2"/>
      <c r="C468" s="369"/>
      <c r="D468" s="369"/>
      <c r="E468" s="369"/>
      <c r="F468" s="370"/>
      <c r="G468" s="248" t="str">
        <f t="shared" si="35"/>
        <v/>
      </c>
      <c r="H468" s="1" t="b">
        <f>IF(B468="",FALSE,COUNTIF('従業員情報(給与以外)'!$A$4:$A$1000000,$B468)=0)</f>
        <v>0</v>
      </c>
      <c r="I468" s="9" t="b">
        <f t="shared" si="36"/>
        <v>1</v>
      </c>
      <c r="J468" s="9" t="b">
        <f t="shared" si="37"/>
        <v>1</v>
      </c>
      <c r="K468" s="9" t="b">
        <f t="shared" si="38"/>
        <v>1</v>
      </c>
      <c r="L468" s="9" t="b">
        <f t="shared" si="39"/>
        <v>1</v>
      </c>
      <c r="M468" s="1" t="b">
        <f>IF(OR(入力シート!$C$5&lt;&gt;入力リスト!$N$4,入力シート!$J$22&lt;&gt;入力リスト!$K$4),TRUE,IF($F$2=入力リスト!$Q$4,IF(F468-INT(F468)&lt;0.6,TRUE,FALSE),TRUE))</f>
        <v>1</v>
      </c>
      <c r="N468" s="9" t="str">
        <f>IF(F468="","",IF($F$2=入力リスト!$Q$4,ROUNDDOWN(INT(F468)+ROUNDDOWN((F468-INT(F468))*100,0)/60,2),従業員の給与情報!F468))</f>
        <v/>
      </c>
      <c r="O468" s="8"/>
      <c r="P468" s="8"/>
    </row>
    <row r="469" spans="1:16">
      <c r="A469" s="119"/>
      <c r="B469" s="2"/>
      <c r="C469" s="369"/>
      <c r="D469" s="369"/>
      <c r="E469" s="369"/>
      <c r="F469" s="370"/>
      <c r="G469" s="248" t="str">
        <f t="shared" si="35"/>
        <v/>
      </c>
      <c r="H469" s="1" t="b">
        <f>IF(B469="",FALSE,COUNTIF('従業員情報(給与以外)'!$A$4:$A$1000000,$B469)=0)</f>
        <v>0</v>
      </c>
      <c r="I469" s="9" t="b">
        <f t="shared" si="36"/>
        <v>1</v>
      </c>
      <c r="J469" s="9" t="b">
        <f t="shared" si="37"/>
        <v>1</v>
      </c>
      <c r="K469" s="9" t="b">
        <f t="shared" si="38"/>
        <v>1</v>
      </c>
      <c r="L469" s="9" t="b">
        <f t="shared" si="39"/>
        <v>1</v>
      </c>
      <c r="M469" s="1" t="b">
        <f>IF(OR(入力シート!$C$5&lt;&gt;入力リスト!$N$4,入力シート!$J$22&lt;&gt;入力リスト!$K$4),TRUE,IF($F$2=入力リスト!$Q$4,IF(F469-INT(F469)&lt;0.6,TRUE,FALSE),TRUE))</f>
        <v>1</v>
      </c>
      <c r="N469" s="9" t="str">
        <f>IF(F469="","",IF($F$2=入力リスト!$Q$4,ROUNDDOWN(INT(F469)+ROUNDDOWN((F469-INT(F469))*100,0)/60,2),従業員の給与情報!F469))</f>
        <v/>
      </c>
      <c r="O469" s="8"/>
      <c r="P469" s="8"/>
    </row>
    <row r="470" spans="1:16">
      <c r="A470" s="119"/>
      <c r="B470" s="2"/>
      <c r="C470" s="369"/>
      <c r="D470" s="369"/>
      <c r="E470" s="369"/>
      <c r="F470" s="370"/>
      <c r="G470" s="248" t="str">
        <f t="shared" si="35"/>
        <v/>
      </c>
      <c r="H470" s="1" t="b">
        <f>IF(B470="",FALSE,COUNTIF('従業員情報(給与以外)'!$A$4:$A$1000000,$B470)=0)</f>
        <v>0</v>
      </c>
      <c r="I470" s="9" t="b">
        <f t="shared" si="36"/>
        <v>1</v>
      </c>
      <c r="J470" s="9" t="b">
        <f t="shared" si="37"/>
        <v>1</v>
      </c>
      <c r="K470" s="9" t="b">
        <f t="shared" si="38"/>
        <v>1</v>
      </c>
      <c r="L470" s="9" t="b">
        <f t="shared" si="39"/>
        <v>1</v>
      </c>
      <c r="M470" s="1" t="b">
        <f>IF(OR(入力シート!$C$5&lt;&gt;入力リスト!$N$4,入力シート!$J$22&lt;&gt;入力リスト!$K$4),TRUE,IF($F$2=入力リスト!$Q$4,IF(F470-INT(F470)&lt;0.6,TRUE,FALSE),TRUE))</f>
        <v>1</v>
      </c>
      <c r="N470" s="9" t="str">
        <f>IF(F470="","",IF($F$2=入力リスト!$Q$4,ROUNDDOWN(INT(F470)+ROUNDDOWN((F470-INT(F470))*100,0)/60,2),従業員の給与情報!F470))</f>
        <v/>
      </c>
      <c r="O470" s="8"/>
      <c r="P470" s="8"/>
    </row>
    <row r="471" spans="1:16">
      <c r="A471" s="119"/>
      <c r="B471" s="2"/>
      <c r="C471" s="369"/>
      <c r="D471" s="369"/>
      <c r="E471" s="369"/>
      <c r="F471" s="370"/>
      <c r="G471" s="248" t="str">
        <f t="shared" si="35"/>
        <v/>
      </c>
      <c r="H471" s="1" t="b">
        <f>IF(B471="",FALSE,COUNTIF('従業員情報(給与以外)'!$A$4:$A$1000000,$B471)=0)</f>
        <v>0</v>
      </c>
      <c r="I471" s="9" t="b">
        <f t="shared" si="36"/>
        <v>1</v>
      </c>
      <c r="J471" s="9" t="b">
        <f t="shared" si="37"/>
        <v>1</v>
      </c>
      <c r="K471" s="9" t="b">
        <f t="shared" si="38"/>
        <v>1</v>
      </c>
      <c r="L471" s="9" t="b">
        <f t="shared" si="39"/>
        <v>1</v>
      </c>
      <c r="M471" s="1" t="b">
        <f>IF(OR(入力シート!$C$5&lt;&gt;入力リスト!$N$4,入力シート!$J$22&lt;&gt;入力リスト!$K$4),TRUE,IF($F$2=入力リスト!$Q$4,IF(F471-INT(F471)&lt;0.6,TRUE,FALSE),TRUE))</f>
        <v>1</v>
      </c>
      <c r="N471" s="9" t="str">
        <f>IF(F471="","",IF($F$2=入力リスト!$Q$4,ROUNDDOWN(INT(F471)+ROUNDDOWN((F471-INT(F471))*100,0)/60,2),従業員の給与情報!F471))</f>
        <v/>
      </c>
      <c r="O471" s="8"/>
      <c r="P471" s="8"/>
    </row>
    <row r="472" spans="1:16">
      <c r="A472" s="119"/>
      <c r="B472" s="2"/>
      <c r="C472" s="369"/>
      <c r="D472" s="369"/>
      <c r="E472" s="369"/>
      <c r="F472" s="370"/>
      <c r="G472" s="248" t="str">
        <f t="shared" si="35"/>
        <v/>
      </c>
      <c r="H472" s="1" t="b">
        <f>IF(B472="",FALSE,COUNTIF('従業員情報(給与以外)'!$A$4:$A$1000000,$B472)=0)</f>
        <v>0</v>
      </c>
      <c r="I472" s="9" t="b">
        <f t="shared" si="36"/>
        <v>1</v>
      </c>
      <c r="J472" s="9" t="b">
        <f t="shared" si="37"/>
        <v>1</v>
      </c>
      <c r="K472" s="9" t="b">
        <f t="shared" si="38"/>
        <v>1</v>
      </c>
      <c r="L472" s="9" t="b">
        <f t="shared" si="39"/>
        <v>1</v>
      </c>
      <c r="M472" s="1" t="b">
        <f>IF(OR(入力シート!$C$5&lt;&gt;入力リスト!$N$4,入力シート!$J$22&lt;&gt;入力リスト!$K$4),TRUE,IF($F$2=入力リスト!$Q$4,IF(F472-INT(F472)&lt;0.6,TRUE,FALSE),TRUE))</f>
        <v>1</v>
      </c>
      <c r="N472" s="9" t="str">
        <f>IF(F472="","",IF($F$2=入力リスト!$Q$4,ROUNDDOWN(INT(F472)+ROUNDDOWN((F472-INT(F472))*100,0)/60,2),従業員の給与情報!F472))</f>
        <v/>
      </c>
      <c r="O472" s="8"/>
      <c r="P472" s="8"/>
    </row>
    <row r="473" spans="1:16">
      <c r="A473" s="119"/>
      <c r="B473" s="2"/>
      <c r="C473" s="369"/>
      <c r="D473" s="369"/>
      <c r="E473" s="369"/>
      <c r="F473" s="370"/>
      <c r="G473" s="248" t="str">
        <f t="shared" si="35"/>
        <v/>
      </c>
      <c r="H473" s="1" t="b">
        <f>IF(B473="",FALSE,COUNTIF('従業員情報(給与以外)'!$A$4:$A$1000000,$B473)=0)</f>
        <v>0</v>
      </c>
      <c r="I473" s="9" t="b">
        <f t="shared" si="36"/>
        <v>1</v>
      </c>
      <c r="J473" s="9" t="b">
        <f t="shared" si="37"/>
        <v>1</v>
      </c>
      <c r="K473" s="9" t="b">
        <f t="shared" si="38"/>
        <v>1</v>
      </c>
      <c r="L473" s="9" t="b">
        <f t="shared" si="39"/>
        <v>1</v>
      </c>
      <c r="M473" s="1" t="b">
        <f>IF(OR(入力シート!$C$5&lt;&gt;入力リスト!$N$4,入力シート!$J$22&lt;&gt;入力リスト!$K$4),TRUE,IF($F$2=入力リスト!$Q$4,IF(F473-INT(F473)&lt;0.6,TRUE,FALSE),TRUE))</f>
        <v>1</v>
      </c>
      <c r="N473" s="9" t="str">
        <f>IF(F473="","",IF($F$2=入力リスト!$Q$4,ROUNDDOWN(INT(F473)+ROUNDDOWN((F473-INT(F473))*100,0)/60,2),従業員の給与情報!F473))</f>
        <v/>
      </c>
      <c r="O473" s="8"/>
      <c r="P473" s="8"/>
    </row>
    <row r="474" spans="1:16">
      <c r="A474" s="119"/>
      <c r="B474" s="2"/>
      <c r="C474" s="369"/>
      <c r="D474" s="369"/>
      <c r="E474" s="369"/>
      <c r="F474" s="370"/>
      <c r="G474" s="248" t="str">
        <f t="shared" si="35"/>
        <v/>
      </c>
      <c r="H474" s="1" t="b">
        <f>IF(B474="",FALSE,COUNTIF('従業員情報(給与以外)'!$A$4:$A$1000000,$B474)=0)</f>
        <v>0</v>
      </c>
      <c r="I474" s="9" t="b">
        <f t="shared" si="36"/>
        <v>1</v>
      </c>
      <c r="J474" s="9" t="b">
        <f t="shared" si="37"/>
        <v>1</v>
      </c>
      <c r="K474" s="9" t="b">
        <f t="shared" si="38"/>
        <v>1</v>
      </c>
      <c r="L474" s="9" t="b">
        <f t="shared" si="39"/>
        <v>1</v>
      </c>
      <c r="M474" s="1" t="b">
        <f>IF(OR(入力シート!$C$5&lt;&gt;入力リスト!$N$4,入力シート!$J$22&lt;&gt;入力リスト!$K$4),TRUE,IF($F$2=入力リスト!$Q$4,IF(F474-INT(F474)&lt;0.6,TRUE,FALSE),TRUE))</f>
        <v>1</v>
      </c>
      <c r="N474" s="9" t="str">
        <f>IF(F474="","",IF($F$2=入力リスト!$Q$4,ROUNDDOWN(INT(F474)+ROUNDDOWN((F474-INT(F474))*100,0)/60,2),従業員の給与情報!F474))</f>
        <v/>
      </c>
      <c r="O474" s="8"/>
      <c r="P474" s="8"/>
    </row>
    <row r="475" spans="1:16">
      <c r="A475" s="119"/>
      <c r="B475" s="2"/>
      <c r="C475" s="369"/>
      <c r="D475" s="369"/>
      <c r="E475" s="369"/>
      <c r="F475" s="370"/>
      <c r="G475" s="248" t="str">
        <f t="shared" si="35"/>
        <v/>
      </c>
      <c r="H475" s="1" t="b">
        <f>IF(B475="",FALSE,COUNTIF('従業員情報(給与以外)'!$A$4:$A$1000000,$B475)=0)</f>
        <v>0</v>
      </c>
      <c r="I475" s="9" t="b">
        <f t="shared" si="36"/>
        <v>1</v>
      </c>
      <c r="J475" s="9" t="b">
        <f t="shared" si="37"/>
        <v>1</v>
      </c>
      <c r="K475" s="9" t="b">
        <f t="shared" si="38"/>
        <v>1</v>
      </c>
      <c r="L475" s="9" t="b">
        <f t="shared" si="39"/>
        <v>1</v>
      </c>
      <c r="M475" s="1" t="b">
        <f>IF(OR(入力シート!$C$5&lt;&gt;入力リスト!$N$4,入力シート!$J$22&lt;&gt;入力リスト!$K$4),TRUE,IF($F$2=入力リスト!$Q$4,IF(F475-INT(F475)&lt;0.6,TRUE,FALSE),TRUE))</f>
        <v>1</v>
      </c>
      <c r="N475" s="9" t="str">
        <f>IF(F475="","",IF($F$2=入力リスト!$Q$4,ROUNDDOWN(INT(F475)+ROUNDDOWN((F475-INT(F475))*100,0)/60,2),従業員の給与情報!F475))</f>
        <v/>
      </c>
      <c r="O475" s="8"/>
      <c r="P475" s="8"/>
    </row>
    <row r="476" spans="1:16">
      <c r="A476" s="119"/>
      <c r="B476" s="2"/>
      <c r="C476" s="369"/>
      <c r="D476" s="369"/>
      <c r="E476" s="369"/>
      <c r="F476" s="370"/>
      <c r="G476" s="248" t="str">
        <f t="shared" si="35"/>
        <v/>
      </c>
      <c r="H476" s="1" t="b">
        <f>IF(B476="",FALSE,COUNTIF('従業員情報(給与以外)'!$A$4:$A$1000000,$B476)=0)</f>
        <v>0</v>
      </c>
      <c r="I476" s="9" t="b">
        <f t="shared" si="36"/>
        <v>1</v>
      </c>
      <c r="J476" s="9" t="b">
        <f t="shared" si="37"/>
        <v>1</v>
      </c>
      <c r="K476" s="9" t="b">
        <f t="shared" si="38"/>
        <v>1</v>
      </c>
      <c r="L476" s="9" t="b">
        <f t="shared" si="39"/>
        <v>1</v>
      </c>
      <c r="M476" s="1" t="b">
        <f>IF(OR(入力シート!$C$5&lt;&gt;入力リスト!$N$4,入力シート!$J$22&lt;&gt;入力リスト!$K$4),TRUE,IF($F$2=入力リスト!$Q$4,IF(F476-INT(F476)&lt;0.6,TRUE,FALSE),TRUE))</f>
        <v>1</v>
      </c>
      <c r="N476" s="9" t="str">
        <f>IF(F476="","",IF($F$2=入力リスト!$Q$4,ROUNDDOWN(INT(F476)+ROUNDDOWN((F476-INT(F476))*100,0)/60,2),従業員の給与情報!F476))</f>
        <v/>
      </c>
      <c r="O476" s="8"/>
      <c r="P476" s="8"/>
    </row>
    <row r="477" spans="1:16">
      <c r="A477" s="119"/>
      <c r="B477" s="2"/>
      <c r="C477" s="369"/>
      <c r="D477" s="369"/>
      <c r="E477" s="369"/>
      <c r="F477" s="370"/>
      <c r="G477" s="248" t="str">
        <f t="shared" si="35"/>
        <v/>
      </c>
      <c r="H477" s="1" t="b">
        <f>IF(B477="",FALSE,COUNTIF('従業員情報(給与以外)'!$A$4:$A$1000000,$B477)=0)</f>
        <v>0</v>
      </c>
      <c r="I477" s="9" t="b">
        <f t="shared" si="36"/>
        <v>1</v>
      </c>
      <c r="J477" s="9" t="b">
        <f t="shared" si="37"/>
        <v>1</v>
      </c>
      <c r="K477" s="9" t="b">
        <f t="shared" si="38"/>
        <v>1</v>
      </c>
      <c r="L477" s="9" t="b">
        <f t="shared" si="39"/>
        <v>1</v>
      </c>
      <c r="M477" s="1" t="b">
        <f>IF(OR(入力シート!$C$5&lt;&gt;入力リスト!$N$4,入力シート!$J$22&lt;&gt;入力リスト!$K$4),TRUE,IF($F$2=入力リスト!$Q$4,IF(F477-INT(F477)&lt;0.6,TRUE,FALSE),TRUE))</f>
        <v>1</v>
      </c>
      <c r="N477" s="9" t="str">
        <f>IF(F477="","",IF($F$2=入力リスト!$Q$4,ROUNDDOWN(INT(F477)+ROUNDDOWN((F477-INT(F477))*100,0)/60,2),従業員の給与情報!F477))</f>
        <v/>
      </c>
      <c r="O477" s="8"/>
      <c r="P477" s="8"/>
    </row>
    <row r="478" spans="1:16">
      <c r="A478" s="119"/>
      <c r="B478" s="2"/>
      <c r="C478" s="369"/>
      <c r="D478" s="369"/>
      <c r="E478" s="369"/>
      <c r="F478" s="370"/>
      <c r="G478" s="248" t="str">
        <f t="shared" si="35"/>
        <v/>
      </c>
      <c r="H478" s="1" t="b">
        <f>IF(B478="",FALSE,COUNTIF('従業員情報(給与以外)'!$A$4:$A$1000000,$B478)=0)</f>
        <v>0</v>
      </c>
      <c r="I478" s="9" t="b">
        <f t="shared" si="36"/>
        <v>1</v>
      </c>
      <c r="J478" s="9" t="b">
        <f t="shared" si="37"/>
        <v>1</v>
      </c>
      <c r="K478" s="9" t="b">
        <f t="shared" si="38"/>
        <v>1</v>
      </c>
      <c r="L478" s="9" t="b">
        <f t="shared" si="39"/>
        <v>1</v>
      </c>
      <c r="M478" s="1" t="b">
        <f>IF(OR(入力シート!$C$5&lt;&gt;入力リスト!$N$4,入力シート!$J$22&lt;&gt;入力リスト!$K$4),TRUE,IF($F$2=入力リスト!$Q$4,IF(F478-INT(F478)&lt;0.6,TRUE,FALSE),TRUE))</f>
        <v>1</v>
      </c>
      <c r="N478" s="9" t="str">
        <f>IF(F478="","",IF($F$2=入力リスト!$Q$4,ROUNDDOWN(INT(F478)+ROUNDDOWN((F478-INT(F478))*100,0)/60,2),従業員の給与情報!F478))</f>
        <v/>
      </c>
      <c r="O478" s="8"/>
      <c r="P478" s="8"/>
    </row>
    <row r="479" spans="1:16">
      <c r="A479" s="119"/>
      <c r="B479" s="2"/>
      <c r="C479" s="369"/>
      <c r="D479" s="369"/>
      <c r="E479" s="369"/>
      <c r="F479" s="370"/>
      <c r="G479" s="248" t="str">
        <f t="shared" si="35"/>
        <v/>
      </c>
      <c r="H479" s="1" t="b">
        <f>IF(B479="",FALSE,COUNTIF('従業員情報(給与以外)'!$A$4:$A$1000000,$B479)=0)</f>
        <v>0</v>
      </c>
      <c r="I479" s="9" t="b">
        <f t="shared" si="36"/>
        <v>1</v>
      </c>
      <c r="J479" s="9" t="b">
        <f t="shared" si="37"/>
        <v>1</v>
      </c>
      <c r="K479" s="9" t="b">
        <f t="shared" si="38"/>
        <v>1</v>
      </c>
      <c r="L479" s="9" t="b">
        <f t="shared" si="39"/>
        <v>1</v>
      </c>
      <c r="M479" s="1" t="b">
        <f>IF(OR(入力シート!$C$5&lt;&gt;入力リスト!$N$4,入力シート!$J$22&lt;&gt;入力リスト!$K$4),TRUE,IF($F$2=入力リスト!$Q$4,IF(F479-INT(F479)&lt;0.6,TRUE,FALSE),TRUE))</f>
        <v>1</v>
      </c>
      <c r="N479" s="9" t="str">
        <f>IF(F479="","",IF($F$2=入力リスト!$Q$4,ROUNDDOWN(INT(F479)+ROUNDDOWN((F479-INT(F479))*100,0)/60,2),従業員の給与情報!F479))</f>
        <v/>
      </c>
      <c r="O479" s="8"/>
      <c r="P479" s="8"/>
    </row>
    <row r="480" spans="1:16">
      <c r="A480" s="119"/>
      <c r="B480" s="2"/>
      <c r="C480" s="369"/>
      <c r="D480" s="369"/>
      <c r="E480" s="369"/>
      <c r="F480" s="370"/>
      <c r="G480" s="248" t="str">
        <f t="shared" si="35"/>
        <v/>
      </c>
      <c r="H480" s="1" t="b">
        <f>IF(B480="",FALSE,COUNTIF('従業員情報(給与以外)'!$A$4:$A$1000000,$B480)=0)</f>
        <v>0</v>
      </c>
      <c r="I480" s="9" t="b">
        <f t="shared" si="36"/>
        <v>1</v>
      </c>
      <c r="J480" s="9" t="b">
        <f t="shared" si="37"/>
        <v>1</v>
      </c>
      <c r="K480" s="9" t="b">
        <f t="shared" si="38"/>
        <v>1</v>
      </c>
      <c r="L480" s="9" t="b">
        <f t="shared" si="39"/>
        <v>1</v>
      </c>
      <c r="M480" s="1" t="b">
        <f>IF(OR(入力シート!$C$5&lt;&gt;入力リスト!$N$4,入力シート!$J$22&lt;&gt;入力リスト!$K$4),TRUE,IF($F$2=入力リスト!$Q$4,IF(F480-INT(F480)&lt;0.6,TRUE,FALSE),TRUE))</f>
        <v>1</v>
      </c>
      <c r="N480" s="9" t="str">
        <f>IF(F480="","",IF($F$2=入力リスト!$Q$4,ROUNDDOWN(INT(F480)+ROUNDDOWN((F480-INT(F480))*100,0)/60,2),従業員の給与情報!F480))</f>
        <v/>
      </c>
      <c r="O480" s="8"/>
      <c r="P480" s="8"/>
    </row>
    <row r="481" spans="1:16">
      <c r="A481" s="119"/>
      <c r="B481" s="2"/>
      <c r="C481" s="369"/>
      <c r="D481" s="369"/>
      <c r="E481" s="369"/>
      <c r="F481" s="370"/>
      <c r="G481" s="248" t="str">
        <f t="shared" si="35"/>
        <v/>
      </c>
      <c r="H481" s="1" t="b">
        <f>IF(B481="",FALSE,COUNTIF('従業員情報(給与以外)'!$A$4:$A$1000000,$B481)=0)</f>
        <v>0</v>
      </c>
      <c r="I481" s="9" t="b">
        <f t="shared" si="36"/>
        <v>1</v>
      </c>
      <c r="J481" s="9" t="b">
        <f t="shared" si="37"/>
        <v>1</v>
      </c>
      <c r="K481" s="9" t="b">
        <f t="shared" si="38"/>
        <v>1</v>
      </c>
      <c r="L481" s="9" t="b">
        <f t="shared" si="39"/>
        <v>1</v>
      </c>
      <c r="M481" s="1" t="b">
        <f>IF(OR(入力シート!$C$5&lt;&gt;入力リスト!$N$4,入力シート!$J$22&lt;&gt;入力リスト!$K$4),TRUE,IF($F$2=入力リスト!$Q$4,IF(F481-INT(F481)&lt;0.6,TRUE,FALSE),TRUE))</f>
        <v>1</v>
      </c>
      <c r="N481" s="9" t="str">
        <f>IF(F481="","",IF($F$2=入力リスト!$Q$4,ROUNDDOWN(INT(F481)+ROUNDDOWN((F481-INT(F481))*100,0)/60,2),従業員の給与情報!F481))</f>
        <v/>
      </c>
      <c r="O481" s="8"/>
      <c r="P481" s="8"/>
    </row>
    <row r="482" spans="1:16">
      <c r="A482" s="119"/>
      <c r="B482" s="2"/>
      <c r="C482" s="369"/>
      <c r="D482" s="369"/>
      <c r="E482" s="369"/>
      <c r="F482" s="370"/>
      <c r="G482" s="248" t="str">
        <f t="shared" si="35"/>
        <v/>
      </c>
      <c r="H482" s="1" t="b">
        <f>IF(B482="",FALSE,COUNTIF('従業員情報(給与以外)'!$A$4:$A$1000000,$B482)=0)</f>
        <v>0</v>
      </c>
      <c r="I482" s="9" t="b">
        <f t="shared" si="36"/>
        <v>1</v>
      </c>
      <c r="J482" s="9" t="b">
        <f t="shared" si="37"/>
        <v>1</v>
      </c>
      <c r="K482" s="9" t="b">
        <f t="shared" si="38"/>
        <v>1</v>
      </c>
      <c r="L482" s="9" t="b">
        <f t="shared" si="39"/>
        <v>1</v>
      </c>
      <c r="M482" s="1" t="b">
        <f>IF(OR(入力シート!$C$5&lt;&gt;入力リスト!$N$4,入力シート!$J$22&lt;&gt;入力リスト!$K$4),TRUE,IF($F$2=入力リスト!$Q$4,IF(F482-INT(F482)&lt;0.6,TRUE,FALSE),TRUE))</f>
        <v>1</v>
      </c>
      <c r="N482" s="9" t="str">
        <f>IF(F482="","",IF($F$2=入力リスト!$Q$4,ROUNDDOWN(INT(F482)+ROUNDDOWN((F482-INT(F482))*100,0)/60,2),従業員の給与情報!F482))</f>
        <v/>
      </c>
      <c r="O482" s="8"/>
      <c r="P482" s="8"/>
    </row>
    <row r="483" spans="1:16">
      <c r="A483" s="119"/>
      <c r="B483" s="2"/>
      <c r="C483" s="369"/>
      <c r="D483" s="369"/>
      <c r="E483" s="369"/>
      <c r="F483" s="370"/>
      <c r="G483" s="248" t="str">
        <f t="shared" si="35"/>
        <v/>
      </c>
      <c r="H483" s="1" t="b">
        <f>IF(B483="",FALSE,COUNTIF('従業員情報(給与以外)'!$A$4:$A$1000000,$B483)=0)</f>
        <v>0</v>
      </c>
      <c r="I483" s="9" t="b">
        <f t="shared" si="36"/>
        <v>1</v>
      </c>
      <c r="J483" s="9" t="b">
        <f t="shared" si="37"/>
        <v>1</v>
      </c>
      <c r="K483" s="9" t="b">
        <f t="shared" si="38"/>
        <v>1</v>
      </c>
      <c r="L483" s="9" t="b">
        <f t="shared" si="39"/>
        <v>1</v>
      </c>
      <c r="M483" s="1" t="b">
        <f>IF(OR(入力シート!$C$5&lt;&gt;入力リスト!$N$4,入力シート!$J$22&lt;&gt;入力リスト!$K$4),TRUE,IF($F$2=入力リスト!$Q$4,IF(F483-INT(F483)&lt;0.6,TRUE,FALSE),TRUE))</f>
        <v>1</v>
      </c>
      <c r="N483" s="9" t="str">
        <f>IF(F483="","",IF($F$2=入力リスト!$Q$4,ROUNDDOWN(INT(F483)+ROUNDDOWN((F483-INT(F483))*100,0)/60,2),従業員の給与情報!F483))</f>
        <v/>
      </c>
      <c r="O483" s="8"/>
      <c r="P483" s="8"/>
    </row>
    <row r="484" spans="1:16">
      <c r="A484" s="119"/>
      <c r="B484" s="2"/>
      <c r="C484" s="369"/>
      <c r="D484" s="369"/>
      <c r="E484" s="369"/>
      <c r="F484" s="370"/>
      <c r="G484" s="248" t="str">
        <f t="shared" si="35"/>
        <v/>
      </c>
      <c r="H484" s="1" t="b">
        <f>IF(B484="",FALSE,COUNTIF('従業員情報(給与以外)'!$A$4:$A$1000000,$B484)=0)</f>
        <v>0</v>
      </c>
      <c r="I484" s="9" t="b">
        <f t="shared" si="36"/>
        <v>1</v>
      </c>
      <c r="J484" s="9" t="b">
        <f t="shared" si="37"/>
        <v>1</v>
      </c>
      <c r="K484" s="9" t="b">
        <f t="shared" si="38"/>
        <v>1</v>
      </c>
      <c r="L484" s="9" t="b">
        <f t="shared" si="39"/>
        <v>1</v>
      </c>
      <c r="M484" s="1" t="b">
        <f>IF(OR(入力シート!$C$5&lt;&gt;入力リスト!$N$4,入力シート!$J$22&lt;&gt;入力リスト!$K$4),TRUE,IF($F$2=入力リスト!$Q$4,IF(F484-INT(F484)&lt;0.6,TRUE,FALSE),TRUE))</f>
        <v>1</v>
      </c>
      <c r="N484" s="9" t="str">
        <f>IF(F484="","",IF($F$2=入力リスト!$Q$4,ROUNDDOWN(INT(F484)+ROUNDDOWN((F484-INT(F484))*100,0)/60,2),従業員の給与情報!F484))</f>
        <v/>
      </c>
      <c r="O484" s="8"/>
      <c r="P484" s="8"/>
    </row>
    <row r="485" spans="1:16">
      <c r="A485" s="119"/>
      <c r="B485" s="2"/>
      <c r="C485" s="369"/>
      <c r="D485" s="369"/>
      <c r="E485" s="369"/>
      <c r="F485" s="370"/>
      <c r="G485" s="248" t="str">
        <f t="shared" si="35"/>
        <v/>
      </c>
      <c r="H485" s="1" t="b">
        <f>IF(B485="",FALSE,COUNTIF('従業員情報(給与以外)'!$A$4:$A$1000000,$B485)=0)</f>
        <v>0</v>
      </c>
      <c r="I485" s="9" t="b">
        <f t="shared" si="36"/>
        <v>1</v>
      </c>
      <c r="J485" s="9" t="b">
        <f t="shared" si="37"/>
        <v>1</v>
      </c>
      <c r="K485" s="9" t="b">
        <f t="shared" si="38"/>
        <v>1</v>
      </c>
      <c r="L485" s="9" t="b">
        <f t="shared" si="39"/>
        <v>1</v>
      </c>
      <c r="M485" s="1" t="b">
        <f>IF(OR(入力シート!$C$5&lt;&gt;入力リスト!$N$4,入力シート!$J$22&lt;&gt;入力リスト!$K$4),TRUE,IF($F$2=入力リスト!$Q$4,IF(F485-INT(F485)&lt;0.6,TRUE,FALSE),TRUE))</f>
        <v>1</v>
      </c>
      <c r="N485" s="9" t="str">
        <f>IF(F485="","",IF($F$2=入力リスト!$Q$4,ROUNDDOWN(INT(F485)+ROUNDDOWN((F485-INT(F485))*100,0)/60,2),従業員の給与情報!F485))</f>
        <v/>
      </c>
      <c r="O485" s="8"/>
      <c r="P485" s="8"/>
    </row>
    <row r="486" spans="1:16">
      <c r="A486" s="119"/>
      <c r="B486" s="2"/>
      <c r="C486" s="369"/>
      <c r="D486" s="369"/>
      <c r="E486" s="369"/>
      <c r="F486" s="370"/>
      <c r="G486" s="248" t="str">
        <f t="shared" si="35"/>
        <v/>
      </c>
      <c r="H486" s="1" t="b">
        <f>IF(B486="",FALSE,COUNTIF('従業員情報(給与以外)'!$A$4:$A$1000000,$B486)=0)</f>
        <v>0</v>
      </c>
      <c r="I486" s="9" t="b">
        <f t="shared" si="36"/>
        <v>1</v>
      </c>
      <c r="J486" s="9" t="b">
        <f t="shared" si="37"/>
        <v>1</v>
      </c>
      <c r="K486" s="9" t="b">
        <f t="shared" si="38"/>
        <v>1</v>
      </c>
      <c r="L486" s="9" t="b">
        <f t="shared" si="39"/>
        <v>1</v>
      </c>
      <c r="M486" s="1" t="b">
        <f>IF(OR(入力シート!$C$5&lt;&gt;入力リスト!$N$4,入力シート!$J$22&lt;&gt;入力リスト!$K$4),TRUE,IF($F$2=入力リスト!$Q$4,IF(F486-INT(F486)&lt;0.6,TRUE,FALSE),TRUE))</f>
        <v>1</v>
      </c>
      <c r="N486" s="9" t="str">
        <f>IF(F486="","",IF($F$2=入力リスト!$Q$4,ROUNDDOWN(INT(F486)+ROUNDDOWN((F486-INT(F486))*100,0)/60,2),従業員の給与情報!F486))</f>
        <v/>
      </c>
      <c r="O486" s="8"/>
      <c r="P486" s="8"/>
    </row>
    <row r="487" spans="1:16">
      <c r="A487" s="119"/>
      <c r="B487" s="2"/>
      <c r="C487" s="369"/>
      <c r="D487" s="369"/>
      <c r="E487" s="369"/>
      <c r="F487" s="370"/>
      <c r="G487" s="248" t="str">
        <f t="shared" si="35"/>
        <v/>
      </c>
      <c r="H487" s="1" t="b">
        <f>IF(B487="",FALSE,COUNTIF('従業員情報(給与以外)'!$A$4:$A$1000000,$B487)=0)</f>
        <v>0</v>
      </c>
      <c r="I487" s="9" t="b">
        <f t="shared" si="36"/>
        <v>1</v>
      </c>
      <c r="J487" s="9" t="b">
        <f t="shared" si="37"/>
        <v>1</v>
      </c>
      <c r="K487" s="9" t="b">
        <f t="shared" si="38"/>
        <v>1</v>
      </c>
      <c r="L487" s="9" t="b">
        <f t="shared" si="39"/>
        <v>1</v>
      </c>
      <c r="M487" s="1" t="b">
        <f>IF(OR(入力シート!$C$5&lt;&gt;入力リスト!$N$4,入力シート!$J$22&lt;&gt;入力リスト!$K$4),TRUE,IF($F$2=入力リスト!$Q$4,IF(F487-INT(F487)&lt;0.6,TRUE,FALSE),TRUE))</f>
        <v>1</v>
      </c>
      <c r="N487" s="9" t="str">
        <f>IF(F487="","",IF($F$2=入力リスト!$Q$4,ROUNDDOWN(INT(F487)+ROUNDDOWN((F487-INT(F487))*100,0)/60,2),従業員の給与情報!F487))</f>
        <v/>
      </c>
      <c r="O487" s="8"/>
      <c r="P487" s="8"/>
    </row>
    <row r="488" spans="1:16">
      <c r="A488" s="119"/>
      <c r="B488" s="2"/>
      <c r="C488" s="369"/>
      <c r="D488" s="369"/>
      <c r="E488" s="369"/>
      <c r="F488" s="370"/>
      <c r="G488" s="248" t="str">
        <f t="shared" si="35"/>
        <v/>
      </c>
      <c r="H488" s="1" t="b">
        <f>IF(B488="",FALSE,COUNTIF('従業員情報(給与以外)'!$A$4:$A$1000000,$B488)=0)</f>
        <v>0</v>
      </c>
      <c r="I488" s="9" t="b">
        <f t="shared" si="36"/>
        <v>1</v>
      </c>
      <c r="J488" s="9" t="b">
        <f t="shared" si="37"/>
        <v>1</v>
      </c>
      <c r="K488" s="9" t="b">
        <f t="shared" si="38"/>
        <v>1</v>
      </c>
      <c r="L488" s="9" t="b">
        <f t="shared" si="39"/>
        <v>1</v>
      </c>
      <c r="M488" s="1" t="b">
        <f>IF(OR(入力シート!$C$5&lt;&gt;入力リスト!$N$4,入力シート!$J$22&lt;&gt;入力リスト!$K$4),TRUE,IF($F$2=入力リスト!$Q$4,IF(F488-INT(F488)&lt;0.6,TRUE,FALSE),TRUE))</f>
        <v>1</v>
      </c>
      <c r="N488" s="9" t="str">
        <f>IF(F488="","",IF($F$2=入力リスト!$Q$4,ROUNDDOWN(INT(F488)+ROUNDDOWN((F488-INT(F488))*100,0)/60,2),従業員の給与情報!F488))</f>
        <v/>
      </c>
      <c r="O488" s="8"/>
      <c r="P488" s="8"/>
    </row>
    <row r="489" spans="1:16">
      <c r="A489" s="119"/>
      <c r="B489" s="2"/>
      <c r="C489" s="369"/>
      <c r="D489" s="369"/>
      <c r="E489" s="369"/>
      <c r="F489" s="370"/>
      <c r="G489" s="248" t="str">
        <f t="shared" si="35"/>
        <v/>
      </c>
      <c r="H489" s="1" t="b">
        <f>IF(B489="",FALSE,COUNTIF('従業員情報(給与以外)'!$A$4:$A$1000000,$B489)=0)</f>
        <v>0</v>
      </c>
      <c r="I489" s="9" t="b">
        <f t="shared" si="36"/>
        <v>1</v>
      </c>
      <c r="J489" s="9" t="b">
        <f t="shared" si="37"/>
        <v>1</v>
      </c>
      <c r="K489" s="9" t="b">
        <f t="shared" si="38"/>
        <v>1</v>
      </c>
      <c r="L489" s="9" t="b">
        <f t="shared" si="39"/>
        <v>1</v>
      </c>
      <c r="M489" s="1" t="b">
        <f>IF(OR(入力シート!$C$5&lt;&gt;入力リスト!$N$4,入力シート!$J$22&lt;&gt;入力リスト!$K$4),TRUE,IF($F$2=入力リスト!$Q$4,IF(F489-INT(F489)&lt;0.6,TRUE,FALSE),TRUE))</f>
        <v>1</v>
      </c>
      <c r="N489" s="9" t="str">
        <f>IF(F489="","",IF($F$2=入力リスト!$Q$4,ROUNDDOWN(INT(F489)+ROUNDDOWN((F489-INT(F489))*100,0)/60,2),従業員の給与情報!F489))</f>
        <v/>
      </c>
      <c r="O489" s="8"/>
      <c r="P489" s="8"/>
    </row>
    <row r="490" spans="1:16">
      <c r="A490" s="119"/>
      <c r="B490" s="2"/>
      <c r="C490" s="369"/>
      <c r="D490" s="369"/>
      <c r="E490" s="369"/>
      <c r="F490" s="370"/>
      <c r="G490" s="248" t="str">
        <f t="shared" si="35"/>
        <v/>
      </c>
      <c r="H490" s="1" t="b">
        <f>IF(B490="",FALSE,COUNTIF('従業員情報(給与以外)'!$A$4:$A$1000000,$B490)=0)</f>
        <v>0</v>
      </c>
      <c r="I490" s="9" t="b">
        <f t="shared" si="36"/>
        <v>1</v>
      </c>
      <c r="J490" s="9" t="b">
        <f t="shared" si="37"/>
        <v>1</v>
      </c>
      <c r="K490" s="9" t="b">
        <f t="shared" si="38"/>
        <v>1</v>
      </c>
      <c r="L490" s="9" t="b">
        <f t="shared" si="39"/>
        <v>1</v>
      </c>
      <c r="M490" s="1" t="b">
        <f>IF(OR(入力シート!$C$5&lt;&gt;入力リスト!$N$4,入力シート!$J$22&lt;&gt;入力リスト!$K$4),TRUE,IF($F$2=入力リスト!$Q$4,IF(F490-INT(F490)&lt;0.6,TRUE,FALSE),TRUE))</f>
        <v>1</v>
      </c>
      <c r="N490" s="9" t="str">
        <f>IF(F490="","",IF($F$2=入力リスト!$Q$4,ROUNDDOWN(INT(F490)+ROUNDDOWN((F490-INT(F490))*100,0)/60,2),従業員の給与情報!F490))</f>
        <v/>
      </c>
      <c r="O490" s="8"/>
      <c r="P490" s="8"/>
    </row>
    <row r="491" spans="1:16">
      <c r="A491" s="119"/>
      <c r="B491" s="2"/>
      <c r="C491" s="369"/>
      <c r="D491" s="369"/>
      <c r="E491" s="369"/>
      <c r="F491" s="370"/>
      <c r="G491" s="248" t="str">
        <f t="shared" si="35"/>
        <v/>
      </c>
      <c r="H491" s="1" t="b">
        <f>IF(B491="",FALSE,COUNTIF('従業員情報(給与以外)'!$A$4:$A$1000000,$B491)=0)</f>
        <v>0</v>
      </c>
      <c r="I491" s="9" t="b">
        <f t="shared" si="36"/>
        <v>1</v>
      </c>
      <c r="J491" s="9" t="b">
        <f t="shared" si="37"/>
        <v>1</v>
      </c>
      <c r="K491" s="9" t="b">
        <f t="shared" si="38"/>
        <v>1</v>
      </c>
      <c r="L491" s="9" t="b">
        <f t="shared" si="39"/>
        <v>1</v>
      </c>
      <c r="M491" s="1" t="b">
        <f>IF(OR(入力シート!$C$5&lt;&gt;入力リスト!$N$4,入力シート!$J$22&lt;&gt;入力リスト!$K$4),TRUE,IF($F$2=入力リスト!$Q$4,IF(F491-INT(F491)&lt;0.6,TRUE,FALSE),TRUE))</f>
        <v>1</v>
      </c>
      <c r="N491" s="9" t="str">
        <f>IF(F491="","",IF($F$2=入力リスト!$Q$4,ROUNDDOWN(INT(F491)+ROUNDDOWN((F491-INT(F491))*100,0)/60,2),従業員の給与情報!F491))</f>
        <v/>
      </c>
      <c r="O491" s="8"/>
      <c r="P491" s="8"/>
    </row>
    <row r="492" spans="1:16">
      <c r="A492" s="119"/>
      <c r="B492" s="2"/>
      <c r="C492" s="369"/>
      <c r="D492" s="369"/>
      <c r="E492" s="369"/>
      <c r="F492" s="370"/>
      <c r="G492" s="248" t="str">
        <f t="shared" si="35"/>
        <v/>
      </c>
      <c r="H492" s="1" t="b">
        <f>IF(B492="",FALSE,COUNTIF('従業員情報(給与以外)'!$A$4:$A$1000000,$B492)=0)</f>
        <v>0</v>
      </c>
      <c r="I492" s="9" t="b">
        <f t="shared" si="36"/>
        <v>1</v>
      </c>
      <c r="J492" s="9" t="b">
        <f t="shared" si="37"/>
        <v>1</v>
      </c>
      <c r="K492" s="9" t="b">
        <f t="shared" si="38"/>
        <v>1</v>
      </c>
      <c r="L492" s="9" t="b">
        <f t="shared" si="39"/>
        <v>1</v>
      </c>
      <c r="M492" s="1" t="b">
        <f>IF(OR(入力シート!$C$5&lt;&gt;入力リスト!$N$4,入力シート!$J$22&lt;&gt;入力リスト!$K$4),TRUE,IF($F$2=入力リスト!$Q$4,IF(F492-INT(F492)&lt;0.6,TRUE,FALSE),TRUE))</f>
        <v>1</v>
      </c>
      <c r="N492" s="9" t="str">
        <f>IF(F492="","",IF($F$2=入力リスト!$Q$4,ROUNDDOWN(INT(F492)+ROUNDDOWN((F492-INT(F492))*100,0)/60,2),従業員の給与情報!F492))</f>
        <v/>
      </c>
      <c r="O492" s="8"/>
      <c r="P492" s="8"/>
    </row>
    <row r="493" spans="1:16">
      <c r="A493" s="119"/>
      <c r="B493" s="2"/>
      <c r="C493" s="369"/>
      <c r="D493" s="369"/>
      <c r="E493" s="369"/>
      <c r="F493" s="370"/>
      <c r="G493" s="248" t="str">
        <f t="shared" si="35"/>
        <v/>
      </c>
      <c r="H493" s="1" t="b">
        <f>IF(B493="",FALSE,COUNTIF('従業員情報(給与以外)'!$A$4:$A$1000000,$B493)=0)</f>
        <v>0</v>
      </c>
      <c r="I493" s="9" t="b">
        <f t="shared" si="36"/>
        <v>1</v>
      </c>
      <c r="J493" s="9" t="b">
        <f t="shared" si="37"/>
        <v>1</v>
      </c>
      <c r="K493" s="9" t="b">
        <f t="shared" si="38"/>
        <v>1</v>
      </c>
      <c r="L493" s="9" t="b">
        <f t="shared" si="39"/>
        <v>1</v>
      </c>
      <c r="M493" s="1" t="b">
        <f>IF(OR(入力シート!$C$5&lt;&gt;入力リスト!$N$4,入力シート!$J$22&lt;&gt;入力リスト!$K$4),TRUE,IF($F$2=入力リスト!$Q$4,IF(F493-INT(F493)&lt;0.6,TRUE,FALSE),TRUE))</f>
        <v>1</v>
      </c>
      <c r="N493" s="9" t="str">
        <f>IF(F493="","",IF($F$2=入力リスト!$Q$4,ROUNDDOWN(INT(F493)+ROUNDDOWN((F493-INT(F493))*100,0)/60,2),従業員の給与情報!F493))</f>
        <v/>
      </c>
      <c r="O493" s="8"/>
      <c r="P493" s="8"/>
    </row>
    <row r="494" spans="1:16">
      <c r="A494" s="119"/>
      <c r="B494" s="2"/>
      <c r="C494" s="369"/>
      <c r="D494" s="369"/>
      <c r="E494" s="369"/>
      <c r="F494" s="370"/>
      <c r="G494" s="248" t="str">
        <f t="shared" si="35"/>
        <v/>
      </c>
      <c r="H494" s="1" t="b">
        <f>IF(B494="",FALSE,COUNTIF('従業員情報(給与以外)'!$A$4:$A$1000000,$B494)=0)</f>
        <v>0</v>
      </c>
      <c r="I494" s="9" t="b">
        <f t="shared" si="36"/>
        <v>1</v>
      </c>
      <c r="J494" s="9" t="b">
        <f t="shared" si="37"/>
        <v>1</v>
      </c>
      <c r="K494" s="9" t="b">
        <f t="shared" si="38"/>
        <v>1</v>
      </c>
      <c r="L494" s="9" t="b">
        <f t="shared" si="39"/>
        <v>1</v>
      </c>
      <c r="M494" s="1" t="b">
        <f>IF(OR(入力シート!$C$5&lt;&gt;入力リスト!$N$4,入力シート!$J$22&lt;&gt;入力リスト!$K$4),TRUE,IF($F$2=入力リスト!$Q$4,IF(F494-INT(F494)&lt;0.6,TRUE,FALSE),TRUE))</f>
        <v>1</v>
      </c>
      <c r="N494" s="9" t="str">
        <f>IF(F494="","",IF($F$2=入力リスト!$Q$4,ROUNDDOWN(INT(F494)+ROUNDDOWN((F494-INT(F494))*100,0)/60,2),従業員の給与情報!F494))</f>
        <v/>
      </c>
      <c r="O494" s="8"/>
      <c r="P494" s="8"/>
    </row>
    <row r="495" spans="1:16">
      <c r="A495" s="119"/>
      <c r="B495" s="2"/>
      <c r="C495" s="369"/>
      <c r="D495" s="369"/>
      <c r="E495" s="369"/>
      <c r="F495" s="370"/>
      <c r="G495" s="248" t="str">
        <f t="shared" si="35"/>
        <v/>
      </c>
      <c r="H495" s="1" t="b">
        <f>IF(B495="",FALSE,COUNTIF('従業員情報(給与以外)'!$A$4:$A$1000000,$B495)=0)</f>
        <v>0</v>
      </c>
      <c r="I495" s="9" t="b">
        <f t="shared" si="36"/>
        <v>1</v>
      </c>
      <c r="J495" s="9" t="b">
        <f t="shared" si="37"/>
        <v>1</v>
      </c>
      <c r="K495" s="9" t="b">
        <f t="shared" si="38"/>
        <v>1</v>
      </c>
      <c r="L495" s="9" t="b">
        <f t="shared" si="39"/>
        <v>1</v>
      </c>
      <c r="M495" s="1" t="b">
        <f>IF(OR(入力シート!$C$5&lt;&gt;入力リスト!$N$4,入力シート!$J$22&lt;&gt;入力リスト!$K$4),TRUE,IF($F$2=入力リスト!$Q$4,IF(F495-INT(F495)&lt;0.6,TRUE,FALSE),TRUE))</f>
        <v>1</v>
      </c>
      <c r="N495" s="9" t="str">
        <f>IF(F495="","",IF($F$2=入力リスト!$Q$4,ROUNDDOWN(INT(F495)+ROUNDDOWN((F495-INT(F495))*100,0)/60,2),従業員の給与情報!F495))</f>
        <v/>
      </c>
      <c r="O495" s="8"/>
      <c r="P495" s="8"/>
    </row>
    <row r="496" spans="1:16">
      <c r="A496" s="119"/>
      <c r="B496" s="2"/>
      <c r="C496" s="369"/>
      <c r="D496" s="369"/>
      <c r="E496" s="369"/>
      <c r="F496" s="370"/>
      <c r="G496" s="248" t="str">
        <f t="shared" si="35"/>
        <v/>
      </c>
      <c r="H496" s="1" t="b">
        <f>IF(B496="",FALSE,COUNTIF('従業員情報(給与以外)'!$A$4:$A$1000000,$B496)=0)</f>
        <v>0</v>
      </c>
      <c r="I496" s="9" t="b">
        <f t="shared" si="36"/>
        <v>1</v>
      </c>
      <c r="J496" s="9" t="b">
        <f t="shared" si="37"/>
        <v>1</v>
      </c>
      <c r="K496" s="9" t="b">
        <f t="shared" si="38"/>
        <v>1</v>
      </c>
      <c r="L496" s="9" t="b">
        <f t="shared" si="39"/>
        <v>1</v>
      </c>
      <c r="M496" s="1" t="b">
        <f>IF(OR(入力シート!$C$5&lt;&gt;入力リスト!$N$4,入力シート!$J$22&lt;&gt;入力リスト!$K$4),TRUE,IF($F$2=入力リスト!$Q$4,IF(F496-INT(F496)&lt;0.6,TRUE,FALSE),TRUE))</f>
        <v>1</v>
      </c>
      <c r="N496" s="9" t="str">
        <f>IF(F496="","",IF($F$2=入力リスト!$Q$4,ROUNDDOWN(INT(F496)+ROUNDDOWN((F496-INT(F496))*100,0)/60,2),従業員の給与情報!F496))</f>
        <v/>
      </c>
      <c r="O496" s="8"/>
      <c r="P496" s="8"/>
    </row>
    <row r="497" spans="1:16">
      <c r="A497" s="119"/>
      <c r="B497" s="2"/>
      <c r="C497" s="369"/>
      <c r="D497" s="369"/>
      <c r="E497" s="369"/>
      <c r="F497" s="370"/>
      <c r="G497" s="248" t="str">
        <f t="shared" si="35"/>
        <v/>
      </c>
      <c r="H497" s="1" t="b">
        <f>IF(B497="",FALSE,COUNTIF('従業員情報(給与以外)'!$A$4:$A$1000000,$B497)=0)</f>
        <v>0</v>
      </c>
      <c r="I497" s="9" t="b">
        <f t="shared" si="36"/>
        <v>1</v>
      </c>
      <c r="J497" s="9" t="b">
        <f t="shared" si="37"/>
        <v>1</v>
      </c>
      <c r="K497" s="9" t="b">
        <f t="shared" si="38"/>
        <v>1</v>
      </c>
      <c r="L497" s="9" t="b">
        <f t="shared" si="39"/>
        <v>1</v>
      </c>
      <c r="M497" s="1" t="b">
        <f>IF(OR(入力シート!$C$5&lt;&gt;入力リスト!$N$4,入力シート!$J$22&lt;&gt;入力リスト!$K$4),TRUE,IF($F$2=入力リスト!$Q$4,IF(F497-INT(F497)&lt;0.6,TRUE,FALSE),TRUE))</f>
        <v>1</v>
      </c>
      <c r="N497" s="9" t="str">
        <f>IF(F497="","",IF($F$2=入力リスト!$Q$4,ROUNDDOWN(INT(F497)+ROUNDDOWN((F497-INT(F497))*100,0)/60,2),従業員の給与情報!F497))</f>
        <v/>
      </c>
      <c r="O497" s="8"/>
      <c r="P497" s="8"/>
    </row>
    <row r="498" spans="1:16">
      <c r="A498" s="119"/>
      <c r="B498" s="2"/>
      <c r="C498" s="369"/>
      <c r="D498" s="369"/>
      <c r="E498" s="369"/>
      <c r="F498" s="370"/>
      <c r="G498" s="248" t="str">
        <f t="shared" si="35"/>
        <v/>
      </c>
      <c r="H498" s="1" t="b">
        <f>IF(B498="",FALSE,COUNTIF('従業員情報(給与以外)'!$A$4:$A$1000000,$B498)=0)</f>
        <v>0</v>
      </c>
      <c r="I498" s="9" t="b">
        <f t="shared" si="36"/>
        <v>1</v>
      </c>
      <c r="J498" s="9" t="b">
        <f t="shared" si="37"/>
        <v>1</v>
      </c>
      <c r="K498" s="9" t="b">
        <f t="shared" si="38"/>
        <v>1</v>
      </c>
      <c r="L498" s="9" t="b">
        <f t="shared" si="39"/>
        <v>1</v>
      </c>
      <c r="M498" s="1" t="b">
        <f>IF(OR(入力シート!$C$5&lt;&gt;入力リスト!$N$4,入力シート!$J$22&lt;&gt;入力リスト!$K$4),TRUE,IF($F$2=入力リスト!$Q$4,IF(F498-INT(F498)&lt;0.6,TRUE,FALSE),TRUE))</f>
        <v>1</v>
      </c>
      <c r="N498" s="9" t="str">
        <f>IF(F498="","",IF($F$2=入力リスト!$Q$4,ROUNDDOWN(INT(F498)+ROUNDDOWN((F498-INT(F498))*100,0)/60,2),従業員の給与情報!F498))</f>
        <v/>
      </c>
      <c r="O498" s="8"/>
      <c r="P498" s="8"/>
    </row>
    <row r="499" spans="1:16">
      <c r="A499" s="119"/>
      <c r="B499" s="2"/>
      <c r="C499" s="369"/>
      <c r="D499" s="369"/>
      <c r="E499" s="369"/>
      <c r="F499" s="370"/>
      <c r="G499" s="248" t="str">
        <f t="shared" si="35"/>
        <v/>
      </c>
      <c r="H499" s="1" t="b">
        <f>IF(B499="",FALSE,COUNTIF('従業員情報(給与以外)'!$A$4:$A$1000000,$B499)=0)</f>
        <v>0</v>
      </c>
      <c r="I499" s="9" t="b">
        <f t="shared" si="36"/>
        <v>1</v>
      </c>
      <c r="J499" s="9" t="b">
        <f t="shared" si="37"/>
        <v>1</v>
      </c>
      <c r="K499" s="9" t="b">
        <f t="shared" si="38"/>
        <v>1</v>
      </c>
      <c r="L499" s="9" t="b">
        <f t="shared" si="39"/>
        <v>1</v>
      </c>
      <c r="M499" s="1" t="b">
        <f>IF(OR(入力シート!$C$5&lt;&gt;入力リスト!$N$4,入力シート!$J$22&lt;&gt;入力リスト!$K$4),TRUE,IF($F$2=入力リスト!$Q$4,IF(F499-INT(F499)&lt;0.6,TRUE,FALSE),TRUE))</f>
        <v>1</v>
      </c>
      <c r="N499" s="9" t="str">
        <f>IF(F499="","",IF($F$2=入力リスト!$Q$4,ROUNDDOWN(INT(F499)+ROUNDDOWN((F499-INT(F499))*100,0)/60,2),従業員の給与情報!F499))</f>
        <v/>
      </c>
      <c r="O499" s="8"/>
      <c r="P499" s="8"/>
    </row>
    <row r="500" spans="1:16">
      <c r="A500" s="119"/>
      <c r="B500" s="2"/>
      <c r="C500" s="369"/>
      <c r="D500" s="369"/>
      <c r="E500" s="369"/>
      <c r="F500" s="370"/>
      <c r="G500" s="248" t="str">
        <f t="shared" si="35"/>
        <v/>
      </c>
      <c r="H500" s="1" t="b">
        <f>IF(B500="",FALSE,COUNTIF('従業員情報(給与以外)'!$A$4:$A$1000000,$B500)=0)</f>
        <v>0</v>
      </c>
      <c r="I500" s="9" t="b">
        <f t="shared" si="36"/>
        <v>1</v>
      </c>
      <c r="J500" s="9" t="b">
        <f t="shared" si="37"/>
        <v>1</v>
      </c>
      <c r="K500" s="9" t="b">
        <f t="shared" si="38"/>
        <v>1</v>
      </c>
      <c r="L500" s="9" t="b">
        <f t="shared" si="39"/>
        <v>1</v>
      </c>
      <c r="M500" s="1" t="b">
        <f>IF(OR(入力シート!$C$5&lt;&gt;入力リスト!$N$4,入力シート!$J$22&lt;&gt;入力リスト!$K$4),TRUE,IF($F$2=入力リスト!$Q$4,IF(F500-INT(F500)&lt;0.6,TRUE,FALSE),TRUE))</f>
        <v>1</v>
      </c>
      <c r="N500" s="9" t="str">
        <f>IF(F500="","",IF($F$2=入力リスト!$Q$4,ROUNDDOWN(INT(F500)+ROUNDDOWN((F500-INT(F500))*100,0)/60,2),従業員の給与情報!F500))</f>
        <v/>
      </c>
      <c r="O500" s="8"/>
      <c r="P500" s="8"/>
    </row>
    <row r="501" spans="1:16">
      <c r="A501" s="119"/>
      <c r="B501" s="2"/>
      <c r="C501" s="369"/>
      <c r="D501" s="369"/>
      <c r="E501" s="369"/>
      <c r="F501" s="370"/>
      <c r="G501" s="248" t="str">
        <f t="shared" si="35"/>
        <v/>
      </c>
      <c r="H501" s="1" t="b">
        <f>IF(B501="",FALSE,COUNTIF('従業員情報(給与以外)'!$A$4:$A$1000000,$B501)=0)</f>
        <v>0</v>
      </c>
      <c r="I501" s="9" t="b">
        <f t="shared" si="36"/>
        <v>1</v>
      </c>
      <c r="J501" s="9" t="b">
        <f t="shared" si="37"/>
        <v>1</v>
      </c>
      <c r="K501" s="9" t="b">
        <f t="shared" si="38"/>
        <v>1</v>
      </c>
      <c r="L501" s="9" t="b">
        <f t="shared" si="39"/>
        <v>1</v>
      </c>
      <c r="M501" s="1" t="b">
        <f>IF(OR(入力シート!$C$5&lt;&gt;入力リスト!$N$4,入力シート!$J$22&lt;&gt;入力リスト!$K$4),TRUE,IF($F$2=入力リスト!$Q$4,IF(F501-INT(F501)&lt;0.6,TRUE,FALSE),TRUE))</f>
        <v>1</v>
      </c>
      <c r="N501" s="9" t="str">
        <f>IF(F501="","",IF($F$2=入力リスト!$Q$4,ROUNDDOWN(INT(F501)+ROUNDDOWN((F501-INT(F501))*100,0)/60,2),従業員の給与情報!F501))</f>
        <v/>
      </c>
      <c r="O501" s="8"/>
      <c r="P501" s="8"/>
    </row>
    <row r="502" spans="1:16">
      <c r="A502" s="119"/>
      <c r="B502" s="2"/>
      <c r="C502" s="369"/>
      <c r="D502" s="369"/>
      <c r="E502" s="369"/>
      <c r="F502" s="370"/>
      <c r="G502" s="248" t="str">
        <f t="shared" si="35"/>
        <v/>
      </c>
      <c r="H502" s="1" t="b">
        <f>IF(B502="",FALSE,COUNTIF('従業員情報(給与以外)'!$A$4:$A$1000000,$B502)=0)</f>
        <v>0</v>
      </c>
      <c r="I502" s="9" t="b">
        <f t="shared" si="36"/>
        <v>1</v>
      </c>
      <c r="J502" s="9" t="b">
        <f t="shared" si="37"/>
        <v>1</v>
      </c>
      <c r="K502" s="9" t="b">
        <f t="shared" si="38"/>
        <v>1</v>
      </c>
      <c r="L502" s="9" t="b">
        <f t="shared" si="39"/>
        <v>1</v>
      </c>
      <c r="M502" s="1" t="b">
        <f>IF(OR(入力シート!$C$5&lt;&gt;入力リスト!$N$4,入力シート!$J$22&lt;&gt;入力リスト!$K$4),TRUE,IF($F$2=入力リスト!$Q$4,IF(F502-INT(F502)&lt;0.6,TRUE,FALSE),TRUE))</f>
        <v>1</v>
      </c>
      <c r="N502" s="9" t="str">
        <f>IF(F502="","",IF($F$2=入力リスト!$Q$4,ROUNDDOWN(INT(F502)+ROUNDDOWN((F502-INT(F502))*100,0)/60,2),従業員の給与情報!F502))</f>
        <v/>
      </c>
      <c r="O502" s="8"/>
      <c r="P502" s="8"/>
    </row>
    <row r="503" spans="1:16">
      <c r="A503" s="119"/>
      <c r="B503" s="2"/>
      <c r="C503" s="369"/>
      <c r="D503" s="369"/>
      <c r="E503" s="369"/>
      <c r="F503" s="370"/>
      <c r="G503" s="248" t="str">
        <f t="shared" si="35"/>
        <v/>
      </c>
      <c r="H503" s="1" t="b">
        <f>IF(B503="",FALSE,COUNTIF('従業員情報(給与以外)'!$A$4:$A$1000000,$B503)=0)</f>
        <v>0</v>
      </c>
      <c r="I503" s="9" t="b">
        <f t="shared" si="36"/>
        <v>1</v>
      </c>
      <c r="J503" s="9" t="b">
        <f t="shared" si="37"/>
        <v>1</v>
      </c>
      <c r="K503" s="9" t="b">
        <f t="shared" si="38"/>
        <v>1</v>
      </c>
      <c r="L503" s="9" t="b">
        <f t="shared" si="39"/>
        <v>1</v>
      </c>
      <c r="M503" s="1" t="b">
        <f>IF(OR(入力シート!$C$5&lt;&gt;入力リスト!$N$4,入力シート!$J$22&lt;&gt;入力リスト!$K$4),TRUE,IF($F$2=入力リスト!$Q$4,IF(F503-INT(F503)&lt;0.6,TRUE,FALSE),TRUE))</f>
        <v>1</v>
      </c>
      <c r="N503" s="9" t="str">
        <f>IF(F503="","",IF($F$2=入力リスト!$Q$4,ROUNDDOWN(INT(F503)+ROUNDDOWN((F503-INT(F503))*100,0)/60,2),従業員の給与情報!F503))</f>
        <v/>
      </c>
      <c r="O503" s="8"/>
      <c r="P503" s="8"/>
    </row>
    <row r="504" spans="1:16">
      <c r="A504" s="119"/>
      <c r="B504" s="2"/>
      <c r="C504" s="369"/>
      <c r="D504" s="369"/>
      <c r="E504" s="369"/>
      <c r="F504" s="370"/>
      <c r="G504" s="248" t="str">
        <f t="shared" si="35"/>
        <v/>
      </c>
      <c r="H504" s="1" t="b">
        <f>IF(B504="",FALSE,COUNTIF('従業員情報(給与以外)'!$A$4:$A$1000000,$B504)=0)</f>
        <v>0</v>
      </c>
      <c r="I504" s="9" t="b">
        <f t="shared" si="36"/>
        <v>1</v>
      </c>
      <c r="J504" s="9" t="b">
        <f t="shared" si="37"/>
        <v>1</v>
      </c>
      <c r="K504" s="9" t="b">
        <f t="shared" si="38"/>
        <v>1</v>
      </c>
      <c r="L504" s="9" t="b">
        <f t="shared" si="39"/>
        <v>1</v>
      </c>
      <c r="M504" s="1" t="b">
        <f>IF(OR(入力シート!$C$5&lt;&gt;入力リスト!$N$4,入力シート!$J$22&lt;&gt;入力リスト!$K$4),TRUE,IF($F$2=入力リスト!$Q$4,IF(F504-INT(F504)&lt;0.6,TRUE,FALSE),TRUE))</f>
        <v>1</v>
      </c>
      <c r="N504" s="9" t="str">
        <f>IF(F504="","",IF($F$2=入力リスト!$Q$4,ROUNDDOWN(INT(F504)+ROUNDDOWN((F504-INT(F504))*100,0)/60,2),従業員の給与情報!F504))</f>
        <v/>
      </c>
      <c r="O504" s="8"/>
      <c r="P504" s="8"/>
    </row>
    <row r="505" spans="1:16">
      <c r="A505" s="119"/>
      <c r="B505" s="2"/>
      <c r="C505" s="369"/>
      <c r="D505" s="369"/>
      <c r="E505" s="369"/>
      <c r="F505" s="370"/>
      <c r="G505" s="248" t="str">
        <f t="shared" si="35"/>
        <v/>
      </c>
      <c r="H505" s="1" t="b">
        <f>IF(B505="",FALSE,COUNTIF('従業員情報(給与以外)'!$A$4:$A$1000000,$B505)=0)</f>
        <v>0</v>
      </c>
      <c r="I505" s="9" t="b">
        <f t="shared" si="36"/>
        <v>1</v>
      </c>
      <c r="J505" s="9" t="b">
        <f t="shared" si="37"/>
        <v>1</v>
      </c>
      <c r="K505" s="9" t="b">
        <f t="shared" si="38"/>
        <v>1</v>
      </c>
      <c r="L505" s="9" t="b">
        <f t="shared" si="39"/>
        <v>1</v>
      </c>
      <c r="M505" s="1" t="b">
        <f>IF(OR(入力シート!$C$5&lt;&gt;入力リスト!$N$4,入力シート!$J$22&lt;&gt;入力リスト!$K$4),TRUE,IF($F$2=入力リスト!$Q$4,IF(F505-INT(F505)&lt;0.6,TRUE,FALSE),TRUE))</f>
        <v>1</v>
      </c>
      <c r="N505" s="9" t="str">
        <f>IF(F505="","",IF($F$2=入力リスト!$Q$4,ROUNDDOWN(INT(F505)+ROUNDDOWN((F505-INT(F505))*100,0)/60,2),従業員の給与情報!F505))</f>
        <v/>
      </c>
      <c r="O505" s="8"/>
      <c r="P505" s="8"/>
    </row>
    <row r="506" spans="1:16">
      <c r="A506" s="119"/>
      <c r="B506" s="2"/>
      <c r="C506" s="369"/>
      <c r="D506" s="369"/>
      <c r="E506" s="369"/>
      <c r="F506" s="370"/>
      <c r="G506" s="248" t="str">
        <f t="shared" si="35"/>
        <v/>
      </c>
      <c r="H506" s="1" t="b">
        <f>IF(B506="",FALSE,COUNTIF('従業員情報(給与以外)'!$A$4:$A$1000000,$B506)=0)</f>
        <v>0</v>
      </c>
      <c r="I506" s="9" t="b">
        <f t="shared" si="36"/>
        <v>1</v>
      </c>
      <c r="J506" s="9" t="b">
        <f t="shared" si="37"/>
        <v>1</v>
      </c>
      <c r="K506" s="9" t="b">
        <f t="shared" si="38"/>
        <v>1</v>
      </c>
      <c r="L506" s="9" t="b">
        <f t="shared" si="39"/>
        <v>1</v>
      </c>
      <c r="M506" s="1" t="b">
        <f>IF(OR(入力シート!$C$5&lt;&gt;入力リスト!$N$4,入力シート!$J$22&lt;&gt;入力リスト!$K$4),TRUE,IF($F$2=入力リスト!$Q$4,IF(F506-INT(F506)&lt;0.6,TRUE,FALSE),TRUE))</f>
        <v>1</v>
      </c>
      <c r="N506" s="9" t="str">
        <f>IF(F506="","",IF($F$2=入力リスト!$Q$4,ROUNDDOWN(INT(F506)+ROUNDDOWN((F506-INT(F506))*100,0)/60,2),従業員の給与情報!F506))</f>
        <v/>
      </c>
      <c r="O506" s="8"/>
      <c r="P506" s="8"/>
    </row>
    <row r="507" spans="1:16">
      <c r="A507" s="119"/>
      <c r="B507" s="2"/>
      <c r="C507" s="369"/>
      <c r="D507" s="369"/>
      <c r="E507" s="369"/>
      <c r="F507" s="370"/>
      <c r="G507" s="248" t="str">
        <f t="shared" si="35"/>
        <v/>
      </c>
      <c r="H507" s="1" t="b">
        <f>IF(B507="",FALSE,COUNTIF('従業員情報(給与以外)'!$A$4:$A$1000000,$B507)=0)</f>
        <v>0</v>
      </c>
      <c r="I507" s="9" t="b">
        <f t="shared" si="36"/>
        <v>1</v>
      </c>
      <c r="J507" s="9" t="b">
        <f t="shared" si="37"/>
        <v>1</v>
      </c>
      <c r="K507" s="9" t="b">
        <f t="shared" si="38"/>
        <v>1</v>
      </c>
      <c r="L507" s="9" t="b">
        <f t="shared" si="39"/>
        <v>1</v>
      </c>
      <c r="M507" s="1" t="b">
        <f>IF(OR(入力シート!$C$5&lt;&gt;入力リスト!$N$4,入力シート!$J$22&lt;&gt;入力リスト!$K$4),TRUE,IF($F$2=入力リスト!$Q$4,IF(F507-INT(F507)&lt;0.6,TRUE,FALSE),TRUE))</f>
        <v>1</v>
      </c>
      <c r="N507" s="9" t="str">
        <f>IF(F507="","",IF($F$2=入力リスト!$Q$4,ROUNDDOWN(INT(F507)+ROUNDDOWN((F507-INT(F507))*100,0)/60,2),従業員の給与情報!F507))</f>
        <v/>
      </c>
      <c r="O507" s="8"/>
      <c r="P507" s="8"/>
    </row>
    <row r="508" spans="1:16">
      <c r="A508" s="119"/>
      <c r="B508" s="2"/>
      <c r="C508" s="369"/>
      <c r="D508" s="369"/>
      <c r="E508" s="369"/>
      <c r="F508" s="370"/>
      <c r="G508" s="248" t="str">
        <f t="shared" si="35"/>
        <v/>
      </c>
      <c r="H508" s="1" t="b">
        <f>IF(B508="",FALSE,COUNTIF('従業員情報(給与以外)'!$A$4:$A$1000000,$B508)=0)</f>
        <v>0</v>
      </c>
      <c r="I508" s="9" t="b">
        <f t="shared" si="36"/>
        <v>1</v>
      </c>
      <c r="J508" s="9" t="b">
        <f t="shared" si="37"/>
        <v>1</v>
      </c>
      <c r="K508" s="9" t="b">
        <f t="shared" si="38"/>
        <v>1</v>
      </c>
      <c r="L508" s="9" t="b">
        <f t="shared" si="39"/>
        <v>1</v>
      </c>
      <c r="M508" s="1" t="b">
        <f>IF(OR(入力シート!$C$5&lt;&gt;入力リスト!$N$4,入力シート!$J$22&lt;&gt;入力リスト!$K$4),TRUE,IF($F$2=入力リスト!$Q$4,IF(F508-INT(F508)&lt;0.6,TRUE,FALSE),TRUE))</f>
        <v>1</v>
      </c>
      <c r="N508" s="9" t="str">
        <f>IF(F508="","",IF($F$2=入力リスト!$Q$4,ROUNDDOWN(INT(F508)+ROUNDDOWN((F508-INT(F508))*100,0)/60,2),従業員の給与情報!F508))</f>
        <v/>
      </c>
      <c r="O508" s="8"/>
      <c r="P508" s="8"/>
    </row>
    <row r="509" spans="1:16">
      <c r="A509" s="119"/>
      <c r="B509" s="2"/>
      <c r="C509" s="369"/>
      <c r="D509" s="369"/>
      <c r="E509" s="369"/>
      <c r="F509" s="370"/>
      <c r="G509" s="248" t="str">
        <f t="shared" si="35"/>
        <v/>
      </c>
      <c r="H509" s="1" t="b">
        <f>IF(B509="",FALSE,COUNTIF('従業員情報(給与以外)'!$A$4:$A$1000000,$B509)=0)</f>
        <v>0</v>
      </c>
      <c r="I509" s="9" t="b">
        <f t="shared" si="36"/>
        <v>1</v>
      </c>
      <c r="J509" s="9" t="b">
        <f t="shared" si="37"/>
        <v>1</v>
      </c>
      <c r="K509" s="9" t="b">
        <f t="shared" si="38"/>
        <v>1</v>
      </c>
      <c r="L509" s="9" t="b">
        <f t="shared" si="39"/>
        <v>1</v>
      </c>
      <c r="M509" s="1" t="b">
        <f>IF(OR(入力シート!$C$5&lt;&gt;入力リスト!$N$4,入力シート!$J$22&lt;&gt;入力リスト!$K$4),TRUE,IF($F$2=入力リスト!$Q$4,IF(F509-INT(F509)&lt;0.6,TRUE,FALSE),TRUE))</f>
        <v>1</v>
      </c>
      <c r="N509" s="9" t="str">
        <f>IF(F509="","",IF($F$2=入力リスト!$Q$4,ROUNDDOWN(INT(F509)+ROUNDDOWN((F509-INT(F509))*100,0)/60,2),従業員の給与情報!F509))</f>
        <v/>
      </c>
      <c r="O509" s="8"/>
      <c r="P509" s="8"/>
    </row>
    <row r="510" spans="1:16">
      <c r="A510" s="119"/>
      <c r="B510" s="2"/>
      <c r="C510" s="369"/>
      <c r="D510" s="369"/>
      <c r="E510" s="369"/>
      <c r="F510" s="370"/>
      <c r="G510" s="248" t="str">
        <f t="shared" si="35"/>
        <v/>
      </c>
      <c r="H510" s="1" t="b">
        <f>IF(B510="",FALSE,COUNTIF('従業員情報(給与以外)'!$A$4:$A$1000000,$B510)=0)</f>
        <v>0</v>
      </c>
      <c r="I510" s="9" t="b">
        <f t="shared" si="36"/>
        <v>1</v>
      </c>
      <c r="J510" s="9" t="b">
        <f t="shared" si="37"/>
        <v>1</v>
      </c>
      <c r="K510" s="9" t="b">
        <f t="shared" si="38"/>
        <v>1</v>
      </c>
      <c r="L510" s="9" t="b">
        <f t="shared" si="39"/>
        <v>1</v>
      </c>
      <c r="M510" s="1" t="b">
        <f>IF(OR(入力シート!$C$5&lt;&gt;入力リスト!$N$4,入力シート!$J$22&lt;&gt;入力リスト!$K$4),TRUE,IF($F$2=入力リスト!$Q$4,IF(F510-INT(F510)&lt;0.6,TRUE,FALSE),TRUE))</f>
        <v>1</v>
      </c>
      <c r="N510" s="9" t="str">
        <f>IF(F510="","",IF($F$2=入力リスト!$Q$4,ROUNDDOWN(INT(F510)+ROUNDDOWN((F510-INT(F510))*100,0)/60,2),従業員の給与情報!F510))</f>
        <v/>
      </c>
      <c r="O510" s="8"/>
      <c r="P510" s="8"/>
    </row>
    <row r="511" spans="1:16">
      <c r="A511" s="119"/>
      <c r="B511" s="2"/>
      <c r="C511" s="369"/>
      <c r="D511" s="369"/>
      <c r="E511" s="369"/>
      <c r="F511" s="370"/>
      <c r="G511" s="248" t="str">
        <f t="shared" si="35"/>
        <v/>
      </c>
      <c r="H511" s="1" t="b">
        <f>IF(B511="",FALSE,COUNTIF('従業員情報(給与以外)'!$A$4:$A$1000000,$B511)=0)</f>
        <v>0</v>
      </c>
      <c r="I511" s="9" t="b">
        <f t="shared" si="36"/>
        <v>1</v>
      </c>
      <c r="J511" s="9" t="b">
        <f t="shared" si="37"/>
        <v>1</v>
      </c>
      <c r="K511" s="9" t="b">
        <f t="shared" si="38"/>
        <v>1</v>
      </c>
      <c r="L511" s="9" t="b">
        <f t="shared" si="39"/>
        <v>1</v>
      </c>
      <c r="M511" s="1" t="b">
        <f>IF(OR(入力シート!$C$5&lt;&gt;入力リスト!$N$4,入力シート!$J$22&lt;&gt;入力リスト!$K$4),TRUE,IF($F$2=入力リスト!$Q$4,IF(F511-INT(F511)&lt;0.6,TRUE,FALSE),TRUE))</f>
        <v>1</v>
      </c>
      <c r="N511" s="9" t="str">
        <f>IF(F511="","",IF($F$2=入力リスト!$Q$4,ROUNDDOWN(INT(F511)+ROUNDDOWN((F511-INT(F511))*100,0)/60,2),従業員の給与情報!F511))</f>
        <v/>
      </c>
      <c r="O511" s="8"/>
      <c r="P511" s="8"/>
    </row>
    <row r="512" spans="1:16">
      <c r="A512" s="119"/>
      <c r="B512" s="2"/>
      <c r="C512" s="369"/>
      <c r="D512" s="369"/>
      <c r="E512" s="369"/>
      <c r="F512" s="370"/>
      <c r="G512" s="248" t="str">
        <f t="shared" si="35"/>
        <v/>
      </c>
      <c r="H512" s="1" t="b">
        <f>IF(B512="",FALSE,COUNTIF('従業員情報(給与以外)'!$A$4:$A$1000000,$B512)=0)</f>
        <v>0</v>
      </c>
      <c r="I512" s="9" t="b">
        <f t="shared" si="36"/>
        <v>1</v>
      </c>
      <c r="J512" s="9" t="b">
        <f t="shared" si="37"/>
        <v>1</v>
      </c>
      <c r="K512" s="9" t="b">
        <f t="shared" si="38"/>
        <v>1</v>
      </c>
      <c r="L512" s="9" t="b">
        <f t="shared" si="39"/>
        <v>1</v>
      </c>
      <c r="M512" s="1" t="b">
        <f>IF(OR(入力シート!$C$5&lt;&gt;入力リスト!$N$4,入力シート!$J$22&lt;&gt;入力リスト!$K$4),TRUE,IF($F$2=入力リスト!$Q$4,IF(F512-INT(F512)&lt;0.6,TRUE,FALSE),TRUE))</f>
        <v>1</v>
      </c>
      <c r="N512" s="9" t="str">
        <f>IF(F512="","",IF($F$2=入力リスト!$Q$4,ROUNDDOWN(INT(F512)+ROUNDDOWN((F512-INT(F512))*100,0)/60,2),従業員の給与情報!F512))</f>
        <v/>
      </c>
      <c r="O512" s="8"/>
      <c r="P512" s="8"/>
    </row>
    <row r="513" spans="1:16">
      <c r="A513" s="119"/>
      <c r="B513" s="2"/>
      <c r="C513" s="369"/>
      <c r="D513" s="369"/>
      <c r="E513" s="369"/>
      <c r="F513" s="370"/>
      <c r="G513" s="248" t="str">
        <f t="shared" si="35"/>
        <v/>
      </c>
      <c r="H513" s="1" t="b">
        <f>IF(B513="",FALSE,COUNTIF('従業員情報(給与以外)'!$A$4:$A$1000000,$B513)=0)</f>
        <v>0</v>
      </c>
      <c r="I513" s="9" t="b">
        <f t="shared" si="36"/>
        <v>1</v>
      </c>
      <c r="J513" s="9" t="b">
        <f t="shared" si="37"/>
        <v>1</v>
      </c>
      <c r="K513" s="9" t="b">
        <f t="shared" si="38"/>
        <v>1</v>
      </c>
      <c r="L513" s="9" t="b">
        <f t="shared" si="39"/>
        <v>1</v>
      </c>
      <c r="M513" s="1" t="b">
        <f>IF(OR(入力シート!$C$5&lt;&gt;入力リスト!$N$4,入力シート!$J$22&lt;&gt;入力リスト!$K$4),TRUE,IF($F$2=入力リスト!$Q$4,IF(F513-INT(F513)&lt;0.6,TRUE,FALSE),TRUE))</f>
        <v>1</v>
      </c>
      <c r="N513" s="9" t="str">
        <f>IF(F513="","",IF($F$2=入力リスト!$Q$4,ROUNDDOWN(INT(F513)+ROUNDDOWN((F513-INT(F513))*100,0)/60,2),従業員の給与情報!F513))</f>
        <v/>
      </c>
      <c r="O513" s="8"/>
      <c r="P513" s="8"/>
    </row>
    <row r="514" spans="1:16">
      <c r="A514" s="119"/>
      <c r="B514" s="2"/>
      <c r="C514" s="369"/>
      <c r="D514" s="369"/>
      <c r="E514" s="369"/>
      <c r="F514" s="370"/>
      <c r="G514" s="248" t="str">
        <f t="shared" si="35"/>
        <v/>
      </c>
      <c r="H514" s="1" t="b">
        <f>IF(B514="",FALSE,COUNTIF('従業員情報(給与以外)'!$A$4:$A$1000000,$B514)=0)</f>
        <v>0</v>
      </c>
      <c r="I514" s="9" t="b">
        <f t="shared" si="36"/>
        <v>1</v>
      </c>
      <c r="J514" s="9" t="b">
        <f t="shared" si="37"/>
        <v>1</v>
      </c>
      <c r="K514" s="9" t="b">
        <f t="shared" si="38"/>
        <v>1</v>
      </c>
      <c r="L514" s="9" t="b">
        <f t="shared" si="39"/>
        <v>1</v>
      </c>
      <c r="M514" s="1" t="b">
        <f>IF(OR(入力シート!$C$5&lt;&gt;入力リスト!$N$4,入力シート!$J$22&lt;&gt;入力リスト!$K$4),TRUE,IF($F$2=入力リスト!$Q$4,IF(F514-INT(F514)&lt;0.6,TRUE,FALSE),TRUE))</f>
        <v>1</v>
      </c>
      <c r="N514" s="9" t="str">
        <f>IF(F514="","",IF($F$2=入力リスト!$Q$4,ROUNDDOWN(INT(F514)+ROUNDDOWN((F514-INT(F514))*100,0)/60,2),従業員の給与情報!F514))</f>
        <v/>
      </c>
      <c r="O514" s="8"/>
      <c r="P514" s="8"/>
    </row>
    <row r="515" spans="1:16">
      <c r="A515" s="119"/>
      <c r="B515" s="2"/>
      <c r="C515" s="369"/>
      <c r="D515" s="369"/>
      <c r="E515" s="369"/>
      <c r="F515" s="370"/>
      <c r="G515" s="248" t="str">
        <f t="shared" si="35"/>
        <v/>
      </c>
      <c r="H515" s="1" t="b">
        <f>IF(B515="",FALSE,COUNTIF('従業員情報(給与以外)'!$A$4:$A$1000000,$B515)=0)</f>
        <v>0</v>
      </c>
      <c r="I515" s="9" t="b">
        <f t="shared" si="36"/>
        <v>1</v>
      </c>
      <c r="J515" s="9" t="b">
        <f t="shared" si="37"/>
        <v>1</v>
      </c>
      <c r="K515" s="9" t="b">
        <f t="shared" si="38"/>
        <v>1</v>
      </c>
      <c r="L515" s="9" t="b">
        <f t="shared" si="39"/>
        <v>1</v>
      </c>
      <c r="M515" s="1" t="b">
        <f>IF(OR(入力シート!$C$5&lt;&gt;入力リスト!$N$4,入力シート!$J$22&lt;&gt;入力リスト!$K$4),TRUE,IF($F$2=入力リスト!$Q$4,IF(F515-INT(F515)&lt;0.6,TRUE,FALSE),TRUE))</f>
        <v>1</v>
      </c>
      <c r="N515" s="9" t="str">
        <f>IF(F515="","",IF($F$2=入力リスト!$Q$4,ROUNDDOWN(INT(F515)+ROUNDDOWN((F515-INT(F515))*100,0)/60,2),従業員の給与情報!F515))</f>
        <v/>
      </c>
      <c r="O515" s="8"/>
      <c r="P515" s="8"/>
    </row>
    <row r="516" spans="1:16">
      <c r="A516" s="119"/>
      <c r="B516" s="2"/>
      <c r="C516" s="369"/>
      <c r="D516" s="369"/>
      <c r="E516" s="369"/>
      <c r="F516" s="370"/>
      <c r="G516" s="248" t="str">
        <f t="shared" si="35"/>
        <v/>
      </c>
      <c r="H516" s="1" t="b">
        <f>IF(B516="",FALSE,COUNTIF('従業員情報(給与以外)'!$A$4:$A$1000000,$B516)=0)</f>
        <v>0</v>
      </c>
      <c r="I516" s="9" t="b">
        <f t="shared" si="36"/>
        <v>1</v>
      </c>
      <c r="J516" s="9" t="b">
        <f t="shared" si="37"/>
        <v>1</v>
      </c>
      <c r="K516" s="9" t="b">
        <f t="shared" si="38"/>
        <v>1</v>
      </c>
      <c r="L516" s="9" t="b">
        <f t="shared" si="39"/>
        <v>1</v>
      </c>
      <c r="M516" s="1" t="b">
        <f>IF(OR(入力シート!$C$5&lt;&gt;入力リスト!$N$4,入力シート!$J$22&lt;&gt;入力リスト!$K$4),TRUE,IF($F$2=入力リスト!$Q$4,IF(F516-INT(F516)&lt;0.6,TRUE,FALSE),TRUE))</f>
        <v>1</v>
      </c>
      <c r="N516" s="9" t="str">
        <f>IF(F516="","",IF($F$2=入力リスト!$Q$4,ROUNDDOWN(INT(F516)+ROUNDDOWN((F516-INT(F516))*100,0)/60,2),従業員の給与情報!F516))</f>
        <v/>
      </c>
      <c r="O516" s="8"/>
      <c r="P516" s="8"/>
    </row>
    <row r="517" spans="1:16">
      <c r="A517" s="119"/>
      <c r="B517" s="2"/>
      <c r="C517" s="369"/>
      <c r="D517" s="369"/>
      <c r="E517" s="369"/>
      <c r="F517" s="370"/>
      <c r="G517" s="248" t="str">
        <f t="shared" ref="G517:G580" si="40">IF(AND($B517="",OR(B517&lt;&gt;"",C517&lt;&gt;"",D517&lt;&gt;"",E517&lt;&gt;"",F517&lt;&gt;"")),"従業員番号が空白です。",IF($H517=TRUE,"この従業員番号は、シート［従業員情報（給与以外）］に存在しません。",IF(I517=FALSE,"「毎月の固定給与額」","")&amp;IF(AND(I517=FALSE,OR(J517=FALSE,K517=FALSE,L517=FALSE)),",","")&amp;IF(J517=FALSE,"「賞与額等」","")&amp;IF(AND(J517=FALSE,OR(K517=FALSE,L517=FALSE)),",","")&amp;IF(K517=FALSE,"「残業手当」","")&amp;IF(AND(K517=FALSE,L517=FALSE),",","")&amp;IF(L517=FALSE,"「残業時間」","")&amp;IF(OR(I517=FALSE,J517=FALSE,K517=FALSE,L517=FALSE),"に数値以外が入力されています。","")&amp;IF(M517,"","「残業時間」を分単位で入力した場合、小数点以下の値は0.6未満にしてください。")))</f>
        <v/>
      </c>
      <c r="H517" s="1" t="b">
        <f>IF(B517="",FALSE,COUNTIF('従業員情報(給与以外)'!$A$4:$A$1000000,$B517)=0)</f>
        <v>0</v>
      </c>
      <c r="I517" s="9" t="b">
        <f t="shared" ref="I517:I580" si="41">OR(C517="",ISNUMBER(C517))</f>
        <v>1</v>
      </c>
      <c r="J517" s="9" t="b">
        <f t="shared" ref="J517:J580" si="42">OR(D517="",ISNUMBER(D517))</f>
        <v>1</v>
      </c>
      <c r="K517" s="9" t="b">
        <f t="shared" ref="K517:K580" si="43">OR(E517="",ISNUMBER(E517))</f>
        <v>1</v>
      </c>
      <c r="L517" s="9" t="b">
        <f t="shared" ref="L517:L580" si="44">OR(F517="",ISNUMBER(F517))</f>
        <v>1</v>
      </c>
      <c r="M517" s="1" t="b">
        <f>IF(OR(入力シート!$C$5&lt;&gt;入力リスト!$N$4,入力シート!$J$22&lt;&gt;入力リスト!$K$4),TRUE,IF($F$2=入力リスト!$Q$4,IF(F517-INT(F517)&lt;0.6,TRUE,FALSE),TRUE))</f>
        <v>1</v>
      </c>
      <c r="N517" s="9" t="str">
        <f>IF(F517="","",IF($F$2=入力リスト!$Q$4,ROUNDDOWN(INT(F517)+ROUNDDOWN((F517-INT(F517))*100,0)/60,2),従業員の給与情報!F517))</f>
        <v/>
      </c>
      <c r="O517" s="8"/>
      <c r="P517" s="8"/>
    </row>
    <row r="518" spans="1:16">
      <c r="A518" s="119"/>
      <c r="B518" s="2"/>
      <c r="C518" s="369"/>
      <c r="D518" s="369"/>
      <c r="E518" s="369"/>
      <c r="F518" s="370"/>
      <c r="G518" s="248" t="str">
        <f t="shared" si="40"/>
        <v/>
      </c>
      <c r="H518" s="1" t="b">
        <f>IF(B518="",FALSE,COUNTIF('従業員情報(給与以外)'!$A$4:$A$1000000,$B518)=0)</f>
        <v>0</v>
      </c>
      <c r="I518" s="9" t="b">
        <f t="shared" si="41"/>
        <v>1</v>
      </c>
      <c r="J518" s="9" t="b">
        <f t="shared" si="42"/>
        <v>1</v>
      </c>
      <c r="K518" s="9" t="b">
        <f t="shared" si="43"/>
        <v>1</v>
      </c>
      <c r="L518" s="9" t="b">
        <f t="shared" si="44"/>
        <v>1</v>
      </c>
      <c r="M518" s="1" t="b">
        <f>IF(OR(入力シート!$C$5&lt;&gt;入力リスト!$N$4,入力シート!$J$22&lt;&gt;入力リスト!$K$4),TRUE,IF($F$2=入力リスト!$Q$4,IF(F518-INT(F518)&lt;0.6,TRUE,FALSE),TRUE))</f>
        <v>1</v>
      </c>
      <c r="N518" s="9" t="str">
        <f>IF(F518="","",IF($F$2=入力リスト!$Q$4,ROUNDDOWN(INT(F518)+ROUNDDOWN((F518-INT(F518))*100,0)/60,2),従業員の給与情報!F518))</f>
        <v/>
      </c>
      <c r="O518" s="8"/>
      <c r="P518" s="8"/>
    </row>
    <row r="519" spans="1:16">
      <c r="A519" s="119"/>
      <c r="B519" s="2"/>
      <c r="C519" s="369"/>
      <c r="D519" s="369"/>
      <c r="E519" s="369"/>
      <c r="F519" s="370"/>
      <c r="G519" s="248" t="str">
        <f t="shared" si="40"/>
        <v/>
      </c>
      <c r="H519" s="1" t="b">
        <f>IF(B519="",FALSE,COUNTIF('従業員情報(給与以外)'!$A$4:$A$1000000,$B519)=0)</f>
        <v>0</v>
      </c>
      <c r="I519" s="9" t="b">
        <f t="shared" si="41"/>
        <v>1</v>
      </c>
      <c r="J519" s="9" t="b">
        <f t="shared" si="42"/>
        <v>1</v>
      </c>
      <c r="K519" s="9" t="b">
        <f t="shared" si="43"/>
        <v>1</v>
      </c>
      <c r="L519" s="9" t="b">
        <f t="shared" si="44"/>
        <v>1</v>
      </c>
      <c r="M519" s="1" t="b">
        <f>IF(OR(入力シート!$C$5&lt;&gt;入力リスト!$N$4,入力シート!$J$22&lt;&gt;入力リスト!$K$4),TRUE,IF($F$2=入力リスト!$Q$4,IF(F519-INT(F519)&lt;0.6,TRUE,FALSE),TRUE))</f>
        <v>1</v>
      </c>
      <c r="N519" s="9" t="str">
        <f>IF(F519="","",IF($F$2=入力リスト!$Q$4,ROUNDDOWN(INT(F519)+ROUNDDOWN((F519-INT(F519))*100,0)/60,2),従業員の給与情報!F519))</f>
        <v/>
      </c>
      <c r="O519" s="8"/>
      <c r="P519" s="8"/>
    </row>
    <row r="520" spans="1:16">
      <c r="A520" s="119"/>
      <c r="B520" s="2"/>
      <c r="C520" s="369"/>
      <c r="D520" s="369"/>
      <c r="E520" s="369"/>
      <c r="F520" s="370"/>
      <c r="G520" s="248" t="str">
        <f t="shared" si="40"/>
        <v/>
      </c>
      <c r="H520" s="1" t="b">
        <f>IF(B520="",FALSE,COUNTIF('従業員情報(給与以外)'!$A$4:$A$1000000,$B520)=0)</f>
        <v>0</v>
      </c>
      <c r="I520" s="9" t="b">
        <f t="shared" si="41"/>
        <v>1</v>
      </c>
      <c r="J520" s="9" t="b">
        <f t="shared" si="42"/>
        <v>1</v>
      </c>
      <c r="K520" s="9" t="b">
        <f t="shared" si="43"/>
        <v>1</v>
      </c>
      <c r="L520" s="9" t="b">
        <f t="shared" si="44"/>
        <v>1</v>
      </c>
      <c r="M520" s="1" t="b">
        <f>IF(OR(入力シート!$C$5&lt;&gt;入力リスト!$N$4,入力シート!$J$22&lt;&gt;入力リスト!$K$4),TRUE,IF($F$2=入力リスト!$Q$4,IF(F520-INT(F520)&lt;0.6,TRUE,FALSE),TRUE))</f>
        <v>1</v>
      </c>
      <c r="N520" s="9" t="str">
        <f>IF(F520="","",IF($F$2=入力リスト!$Q$4,ROUNDDOWN(INT(F520)+ROUNDDOWN((F520-INT(F520))*100,0)/60,2),従業員の給与情報!F520))</f>
        <v/>
      </c>
      <c r="O520" s="8"/>
      <c r="P520" s="8"/>
    </row>
    <row r="521" spans="1:16">
      <c r="A521" s="119"/>
      <c r="B521" s="2"/>
      <c r="C521" s="369"/>
      <c r="D521" s="369"/>
      <c r="E521" s="369"/>
      <c r="F521" s="370"/>
      <c r="G521" s="248" t="str">
        <f t="shared" si="40"/>
        <v/>
      </c>
      <c r="H521" s="1" t="b">
        <f>IF(B521="",FALSE,COUNTIF('従業員情報(給与以外)'!$A$4:$A$1000000,$B521)=0)</f>
        <v>0</v>
      </c>
      <c r="I521" s="9" t="b">
        <f t="shared" si="41"/>
        <v>1</v>
      </c>
      <c r="J521" s="9" t="b">
        <f t="shared" si="42"/>
        <v>1</v>
      </c>
      <c r="K521" s="9" t="b">
        <f t="shared" si="43"/>
        <v>1</v>
      </c>
      <c r="L521" s="9" t="b">
        <f t="shared" si="44"/>
        <v>1</v>
      </c>
      <c r="M521" s="1" t="b">
        <f>IF(OR(入力シート!$C$5&lt;&gt;入力リスト!$N$4,入力シート!$J$22&lt;&gt;入力リスト!$K$4),TRUE,IF($F$2=入力リスト!$Q$4,IF(F521-INT(F521)&lt;0.6,TRUE,FALSE),TRUE))</f>
        <v>1</v>
      </c>
      <c r="N521" s="9" t="str">
        <f>IF(F521="","",IF($F$2=入力リスト!$Q$4,ROUNDDOWN(INT(F521)+ROUNDDOWN((F521-INT(F521))*100,0)/60,2),従業員の給与情報!F521))</f>
        <v/>
      </c>
      <c r="O521" s="8"/>
      <c r="P521" s="8"/>
    </row>
    <row r="522" spans="1:16">
      <c r="A522" s="119"/>
      <c r="B522" s="2"/>
      <c r="C522" s="369"/>
      <c r="D522" s="369"/>
      <c r="E522" s="369"/>
      <c r="F522" s="370"/>
      <c r="G522" s="248" t="str">
        <f t="shared" si="40"/>
        <v/>
      </c>
      <c r="H522" s="1" t="b">
        <f>IF(B522="",FALSE,COUNTIF('従業員情報(給与以外)'!$A$4:$A$1000000,$B522)=0)</f>
        <v>0</v>
      </c>
      <c r="I522" s="9" t="b">
        <f t="shared" si="41"/>
        <v>1</v>
      </c>
      <c r="J522" s="9" t="b">
        <f t="shared" si="42"/>
        <v>1</v>
      </c>
      <c r="K522" s="9" t="b">
        <f t="shared" si="43"/>
        <v>1</v>
      </c>
      <c r="L522" s="9" t="b">
        <f t="shared" si="44"/>
        <v>1</v>
      </c>
      <c r="M522" s="1" t="b">
        <f>IF(OR(入力シート!$C$5&lt;&gt;入力リスト!$N$4,入力シート!$J$22&lt;&gt;入力リスト!$K$4),TRUE,IF($F$2=入力リスト!$Q$4,IF(F522-INT(F522)&lt;0.6,TRUE,FALSE),TRUE))</f>
        <v>1</v>
      </c>
      <c r="N522" s="9" t="str">
        <f>IF(F522="","",IF($F$2=入力リスト!$Q$4,ROUNDDOWN(INT(F522)+ROUNDDOWN((F522-INT(F522))*100,0)/60,2),従業員の給与情報!F522))</f>
        <v/>
      </c>
      <c r="O522" s="8"/>
      <c r="P522" s="8"/>
    </row>
    <row r="523" spans="1:16">
      <c r="A523" s="119"/>
      <c r="B523" s="2"/>
      <c r="C523" s="369"/>
      <c r="D523" s="369"/>
      <c r="E523" s="369"/>
      <c r="F523" s="370"/>
      <c r="G523" s="248" t="str">
        <f t="shared" si="40"/>
        <v/>
      </c>
      <c r="H523" s="1" t="b">
        <f>IF(B523="",FALSE,COUNTIF('従業員情報(給与以外)'!$A$4:$A$1000000,$B523)=0)</f>
        <v>0</v>
      </c>
      <c r="I523" s="9" t="b">
        <f t="shared" si="41"/>
        <v>1</v>
      </c>
      <c r="J523" s="9" t="b">
        <f t="shared" si="42"/>
        <v>1</v>
      </c>
      <c r="K523" s="9" t="b">
        <f t="shared" si="43"/>
        <v>1</v>
      </c>
      <c r="L523" s="9" t="b">
        <f t="shared" si="44"/>
        <v>1</v>
      </c>
      <c r="M523" s="1" t="b">
        <f>IF(OR(入力シート!$C$5&lt;&gt;入力リスト!$N$4,入力シート!$J$22&lt;&gt;入力リスト!$K$4),TRUE,IF($F$2=入力リスト!$Q$4,IF(F523-INT(F523)&lt;0.6,TRUE,FALSE),TRUE))</f>
        <v>1</v>
      </c>
      <c r="N523" s="9" t="str">
        <f>IF(F523="","",IF($F$2=入力リスト!$Q$4,ROUNDDOWN(INT(F523)+ROUNDDOWN((F523-INT(F523))*100,0)/60,2),従業員の給与情報!F523))</f>
        <v/>
      </c>
      <c r="O523" s="8"/>
      <c r="P523" s="8"/>
    </row>
    <row r="524" spans="1:16">
      <c r="A524" s="119"/>
      <c r="B524" s="2"/>
      <c r="C524" s="369"/>
      <c r="D524" s="369"/>
      <c r="E524" s="369"/>
      <c r="F524" s="370"/>
      <c r="G524" s="248" t="str">
        <f t="shared" si="40"/>
        <v/>
      </c>
      <c r="H524" s="1" t="b">
        <f>IF(B524="",FALSE,COUNTIF('従業員情報(給与以外)'!$A$4:$A$1000000,$B524)=0)</f>
        <v>0</v>
      </c>
      <c r="I524" s="9" t="b">
        <f t="shared" si="41"/>
        <v>1</v>
      </c>
      <c r="J524" s="9" t="b">
        <f t="shared" si="42"/>
        <v>1</v>
      </c>
      <c r="K524" s="9" t="b">
        <f t="shared" si="43"/>
        <v>1</v>
      </c>
      <c r="L524" s="9" t="b">
        <f t="shared" si="44"/>
        <v>1</v>
      </c>
      <c r="M524" s="1" t="b">
        <f>IF(OR(入力シート!$C$5&lt;&gt;入力リスト!$N$4,入力シート!$J$22&lt;&gt;入力リスト!$K$4),TRUE,IF($F$2=入力リスト!$Q$4,IF(F524-INT(F524)&lt;0.6,TRUE,FALSE),TRUE))</f>
        <v>1</v>
      </c>
      <c r="N524" s="9" t="str">
        <f>IF(F524="","",IF($F$2=入力リスト!$Q$4,ROUNDDOWN(INT(F524)+ROUNDDOWN((F524-INT(F524))*100,0)/60,2),従業員の給与情報!F524))</f>
        <v/>
      </c>
      <c r="O524" s="8"/>
      <c r="P524" s="8"/>
    </row>
    <row r="525" spans="1:16">
      <c r="A525" s="119"/>
      <c r="B525" s="2"/>
      <c r="C525" s="369"/>
      <c r="D525" s="369"/>
      <c r="E525" s="369"/>
      <c r="F525" s="370"/>
      <c r="G525" s="248" t="str">
        <f t="shared" si="40"/>
        <v/>
      </c>
      <c r="H525" s="1" t="b">
        <f>IF(B525="",FALSE,COUNTIF('従業員情報(給与以外)'!$A$4:$A$1000000,$B525)=0)</f>
        <v>0</v>
      </c>
      <c r="I525" s="9" t="b">
        <f t="shared" si="41"/>
        <v>1</v>
      </c>
      <c r="J525" s="9" t="b">
        <f t="shared" si="42"/>
        <v>1</v>
      </c>
      <c r="K525" s="9" t="b">
        <f t="shared" si="43"/>
        <v>1</v>
      </c>
      <c r="L525" s="9" t="b">
        <f t="shared" si="44"/>
        <v>1</v>
      </c>
      <c r="M525" s="1" t="b">
        <f>IF(OR(入力シート!$C$5&lt;&gt;入力リスト!$N$4,入力シート!$J$22&lt;&gt;入力リスト!$K$4),TRUE,IF($F$2=入力リスト!$Q$4,IF(F525-INT(F525)&lt;0.6,TRUE,FALSE),TRUE))</f>
        <v>1</v>
      </c>
      <c r="N525" s="9" t="str">
        <f>IF(F525="","",IF($F$2=入力リスト!$Q$4,ROUNDDOWN(INT(F525)+ROUNDDOWN((F525-INT(F525))*100,0)/60,2),従業員の給与情報!F525))</f>
        <v/>
      </c>
      <c r="O525" s="8"/>
      <c r="P525" s="8"/>
    </row>
    <row r="526" spans="1:16">
      <c r="A526" s="119"/>
      <c r="B526" s="2"/>
      <c r="C526" s="369"/>
      <c r="D526" s="369"/>
      <c r="E526" s="369"/>
      <c r="F526" s="370"/>
      <c r="G526" s="248" t="str">
        <f t="shared" si="40"/>
        <v/>
      </c>
      <c r="H526" s="1" t="b">
        <f>IF(B526="",FALSE,COUNTIF('従業員情報(給与以外)'!$A$4:$A$1000000,$B526)=0)</f>
        <v>0</v>
      </c>
      <c r="I526" s="9" t="b">
        <f t="shared" si="41"/>
        <v>1</v>
      </c>
      <c r="J526" s="9" t="b">
        <f t="shared" si="42"/>
        <v>1</v>
      </c>
      <c r="K526" s="9" t="b">
        <f t="shared" si="43"/>
        <v>1</v>
      </c>
      <c r="L526" s="9" t="b">
        <f t="shared" si="44"/>
        <v>1</v>
      </c>
      <c r="M526" s="1" t="b">
        <f>IF(OR(入力シート!$C$5&lt;&gt;入力リスト!$N$4,入力シート!$J$22&lt;&gt;入力リスト!$K$4),TRUE,IF($F$2=入力リスト!$Q$4,IF(F526-INT(F526)&lt;0.6,TRUE,FALSE),TRUE))</f>
        <v>1</v>
      </c>
      <c r="N526" s="9" t="str">
        <f>IF(F526="","",IF($F$2=入力リスト!$Q$4,ROUNDDOWN(INT(F526)+ROUNDDOWN((F526-INT(F526))*100,0)/60,2),従業員の給与情報!F526))</f>
        <v/>
      </c>
      <c r="O526" s="8"/>
      <c r="P526" s="8"/>
    </row>
    <row r="527" spans="1:16">
      <c r="A527" s="119"/>
      <c r="B527" s="2"/>
      <c r="C527" s="369"/>
      <c r="D527" s="369"/>
      <c r="E527" s="369"/>
      <c r="F527" s="370"/>
      <c r="G527" s="248" t="str">
        <f t="shared" si="40"/>
        <v/>
      </c>
      <c r="H527" s="1" t="b">
        <f>IF(B527="",FALSE,COUNTIF('従業員情報(給与以外)'!$A$4:$A$1000000,$B527)=0)</f>
        <v>0</v>
      </c>
      <c r="I527" s="9" t="b">
        <f t="shared" si="41"/>
        <v>1</v>
      </c>
      <c r="J527" s="9" t="b">
        <f t="shared" si="42"/>
        <v>1</v>
      </c>
      <c r="K527" s="9" t="b">
        <f t="shared" si="43"/>
        <v>1</v>
      </c>
      <c r="L527" s="9" t="b">
        <f t="shared" si="44"/>
        <v>1</v>
      </c>
      <c r="M527" s="1" t="b">
        <f>IF(OR(入力シート!$C$5&lt;&gt;入力リスト!$N$4,入力シート!$J$22&lt;&gt;入力リスト!$K$4),TRUE,IF($F$2=入力リスト!$Q$4,IF(F527-INT(F527)&lt;0.6,TRUE,FALSE),TRUE))</f>
        <v>1</v>
      </c>
      <c r="N527" s="9" t="str">
        <f>IF(F527="","",IF($F$2=入力リスト!$Q$4,ROUNDDOWN(INT(F527)+ROUNDDOWN((F527-INT(F527))*100,0)/60,2),従業員の給与情報!F527))</f>
        <v/>
      </c>
      <c r="O527" s="8"/>
      <c r="P527" s="8"/>
    </row>
    <row r="528" spans="1:16">
      <c r="A528" s="119"/>
      <c r="B528" s="2"/>
      <c r="C528" s="369"/>
      <c r="D528" s="369"/>
      <c r="E528" s="369"/>
      <c r="F528" s="370"/>
      <c r="G528" s="248" t="str">
        <f t="shared" si="40"/>
        <v/>
      </c>
      <c r="H528" s="1" t="b">
        <f>IF(B528="",FALSE,COUNTIF('従業員情報(給与以外)'!$A$4:$A$1000000,$B528)=0)</f>
        <v>0</v>
      </c>
      <c r="I528" s="9" t="b">
        <f t="shared" si="41"/>
        <v>1</v>
      </c>
      <c r="J528" s="9" t="b">
        <f t="shared" si="42"/>
        <v>1</v>
      </c>
      <c r="K528" s="9" t="b">
        <f t="shared" si="43"/>
        <v>1</v>
      </c>
      <c r="L528" s="9" t="b">
        <f t="shared" si="44"/>
        <v>1</v>
      </c>
      <c r="M528" s="1" t="b">
        <f>IF(OR(入力シート!$C$5&lt;&gt;入力リスト!$N$4,入力シート!$J$22&lt;&gt;入力リスト!$K$4),TRUE,IF($F$2=入力リスト!$Q$4,IF(F528-INT(F528)&lt;0.6,TRUE,FALSE),TRUE))</f>
        <v>1</v>
      </c>
      <c r="N528" s="9" t="str">
        <f>IF(F528="","",IF($F$2=入力リスト!$Q$4,ROUNDDOWN(INT(F528)+ROUNDDOWN((F528-INT(F528))*100,0)/60,2),従業員の給与情報!F528))</f>
        <v/>
      </c>
      <c r="O528" s="8"/>
      <c r="P528" s="8"/>
    </row>
    <row r="529" spans="1:16">
      <c r="A529" s="119"/>
      <c r="B529" s="2"/>
      <c r="C529" s="369"/>
      <c r="D529" s="369"/>
      <c r="E529" s="369"/>
      <c r="F529" s="370"/>
      <c r="G529" s="248" t="str">
        <f t="shared" si="40"/>
        <v/>
      </c>
      <c r="H529" s="1" t="b">
        <f>IF(B529="",FALSE,COUNTIF('従業員情報(給与以外)'!$A$4:$A$1000000,$B529)=0)</f>
        <v>0</v>
      </c>
      <c r="I529" s="9" t="b">
        <f t="shared" si="41"/>
        <v>1</v>
      </c>
      <c r="J529" s="9" t="b">
        <f t="shared" si="42"/>
        <v>1</v>
      </c>
      <c r="K529" s="9" t="b">
        <f t="shared" si="43"/>
        <v>1</v>
      </c>
      <c r="L529" s="9" t="b">
        <f t="shared" si="44"/>
        <v>1</v>
      </c>
      <c r="M529" s="1" t="b">
        <f>IF(OR(入力シート!$C$5&lt;&gt;入力リスト!$N$4,入力シート!$J$22&lt;&gt;入力リスト!$K$4),TRUE,IF($F$2=入力リスト!$Q$4,IF(F529-INT(F529)&lt;0.6,TRUE,FALSE),TRUE))</f>
        <v>1</v>
      </c>
      <c r="N529" s="9" t="str">
        <f>IF(F529="","",IF($F$2=入力リスト!$Q$4,ROUNDDOWN(INT(F529)+ROUNDDOWN((F529-INT(F529))*100,0)/60,2),従業員の給与情報!F529))</f>
        <v/>
      </c>
      <c r="O529" s="8"/>
      <c r="P529" s="8"/>
    </row>
    <row r="530" spans="1:16">
      <c r="A530" s="119"/>
      <c r="B530" s="2"/>
      <c r="C530" s="369"/>
      <c r="D530" s="369"/>
      <c r="E530" s="369"/>
      <c r="F530" s="370"/>
      <c r="G530" s="248" t="str">
        <f t="shared" si="40"/>
        <v/>
      </c>
      <c r="H530" s="1" t="b">
        <f>IF(B530="",FALSE,COUNTIF('従業員情報(給与以外)'!$A$4:$A$1000000,$B530)=0)</f>
        <v>0</v>
      </c>
      <c r="I530" s="9" t="b">
        <f t="shared" si="41"/>
        <v>1</v>
      </c>
      <c r="J530" s="9" t="b">
        <f t="shared" si="42"/>
        <v>1</v>
      </c>
      <c r="K530" s="9" t="b">
        <f t="shared" si="43"/>
        <v>1</v>
      </c>
      <c r="L530" s="9" t="b">
        <f t="shared" si="44"/>
        <v>1</v>
      </c>
      <c r="M530" s="1" t="b">
        <f>IF(OR(入力シート!$C$5&lt;&gt;入力リスト!$N$4,入力シート!$J$22&lt;&gt;入力リスト!$K$4),TRUE,IF($F$2=入力リスト!$Q$4,IF(F530-INT(F530)&lt;0.6,TRUE,FALSE),TRUE))</f>
        <v>1</v>
      </c>
      <c r="N530" s="9" t="str">
        <f>IF(F530="","",IF($F$2=入力リスト!$Q$4,ROUNDDOWN(INT(F530)+ROUNDDOWN((F530-INT(F530))*100,0)/60,2),従業員の給与情報!F530))</f>
        <v/>
      </c>
      <c r="O530" s="8"/>
      <c r="P530" s="8"/>
    </row>
    <row r="531" spans="1:16">
      <c r="A531" s="119"/>
      <c r="B531" s="2"/>
      <c r="C531" s="369"/>
      <c r="D531" s="369"/>
      <c r="E531" s="369"/>
      <c r="F531" s="370"/>
      <c r="G531" s="248" t="str">
        <f t="shared" si="40"/>
        <v/>
      </c>
      <c r="H531" s="1" t="b">
        <f>IF(B531="",FALSE,COUNTIF('従業員情報(給与以外)'!$A$4:$A$1000000,$B531)=0)</f>
        <v>0</v>
      </c>
      <c r="I531" s="9" t="b">
        <f t="shared" si="41"/>
        <v>1</v>
      </c>
      <c r="J531" s="9" t="b">
        <f t="shared" si="42"/>
        <v>1</v>
      </c>
      <c r="K531" s="9" t="b">
        <f t="shared" si="43"/>
        <v>1</v>
      </c>
      <c r="L531" s="9" t="b">
        <f t="shared" si="44"/>
        <v>1</v>
      </c>
      <c r="M531" s="1" t="b">
        <f>IF(OR(入力シート!$C$5&lt;&gt;入力リスト!$N$4,入力シート!$J$22&lt;&gt;入力リスト!$K$4),TRUE,IF($F$2=入力リスト!$Q$4,IF(F531-INT(F531)&lt;0.6,TRUE,FALSE),TRUE))</f>
        <v>1</v>
      </c>
      <c r="N531" s="9" t="str">
        <f>IF(F531="","",IF($F$2=入力リスト!$Q$4,ROUNDDOWN(INT(F531)+ROUNDDOWN((F531-INT(F531))*100,0)/60,2),従業員の給与情報!F531))</f>
        <v/>
      </c>
      <c r="O531" s="8"/>
      <c r="P531" s="8"/>
    </row>
    <row r="532" spans="1:16">
      <c r="A532" s="119"/>
      <c r="B532" s="2"/>
      <c r="C532" s="369"/>
      <c r="D532" s="369"/>
      <c r="E532" s="369"/>
      <c r="F532" s="370"/>
      <c r="G532" s="248" t="str">
        <f t="shared" si="40"/>
        <v/>
      </c>
      <c r="H532" s="1" t="b">
        <f>IF(B532="",FALSE,COUNTIF('従業員情報(給与以外)'!$A$4:$A$1000000,$B532)=0)</f>
        <v>0</v>
      </c>
      <c r="I532" s="9" t="b">
        <f t="shared" si="41"/>
        <v>1</v>
      </c>
      <c r="J532" s="9" t="b">
        <f t="shared" si="42"/>
        <v>1</v>
      </c>
      <c r="K532" s="9" t="b">
        <f t="shared" si="43"/>
        <v>1</v>
      </c>
      <c r="L532" s="9" t="b">
        <f t="shared" si="44"/>
        <v>1</v>
      </c>
      <c r="M532" s="1" t="b">
        <f>IF(OR(入力シート!$C$5&lt;&gt;入力リスト!$N$4,入力シート!$J$22&lt;&gt;入力リスト!$K$4),TRUE,IF($F$2=入力リスト!$Q$4,IF(F532-INT(F532)&lt;0.6,TRUE,FALSE),TRUE))</f>
        <v>1</v>
      </c>
      <c r="N532" s="9" t="str">
        <f>IF(F532="","",IF($F$2=入力リスト!$Q$4,ROUNDDOWN(INT(F532)+ROUNDDOWN((F532-INT(F532))*100,0)/60,2),従業員の給与情報!F532))</f>
        <v/>
      </c>
      <c r="O532" s="8"/>
      <c r="P532" s="8"/>
    </row>
    <row r="533" spans="1:16">
      <c r="A533" s="119"/>
      <c r="B533" s="2"/>
      <c r="C533" s="369"/>
      <c r="D533" s="369"/>
      <c r="E533" s="369"/>
      <c r="F533" s="370"/>
      <c r="G533" s="248" t="str">
        <f t="shared" si="40"/>
        <v/>
      </c>
      <c r="H533" s="1" t="b">
        <f>IF(B533="",FALSE,COUNTIF('従業員情報(給与以外)'!$A$4:$A$1000000,$B533)=0)</f>
        <v>0</v>
      </c>
      <c r="I533" s="9" t="b">
        <f t="shared" si="41"/>
        <v>1</v>
      </c>
      <c r="J533" s="9" t="b">
        <f t="shared" si="42"/>
        <v>1</v>
      </c>
      <c r="K533" s="9" t="b">
        <f t="shared" si="43"/>
        <v>1</v>
      </c>
      <c r="L533" s="9" t="b">
        <f t="shared" si="44"/>
        <v>1</v>
      </c>
      <c r="M533" s="1" t="b">
        <f>IF(OR(入力シート!$C$5&lt;&gt;入力リスト!$N$4,入力シート!$J$22&lt;&gt;入力リスト!$K$4),TRUE,IF($F$2=入力リスト!$Q$4,IF(F533-INT(F533)&lt;0.6,TRUE,FALSE),TRUE))</f>
        <v>1</v>
      </c>
      <c r="N533" s="9" t="str">
        <f>IF(F533="","",IF($F$2=入力リスト!$Q$4,ROUNDDOWN(INT(F533)+ROUNDDOWN((F533-INT(F533))*100,0)/60,2),従業員の給与情報!F533))</f>
        <v/>
      </c>
      <c r="O533" s="8"/>
      <c r="P533" s="8"/>
    </row>
    <row r="534" spans="1:16">
      <c r="A534" s="119"/>
      <c r="B534" s="2"/>
      <c r="C534" s="369"/>
      <c r="D534" s="369"/>
      <c r="E534" s="369"/>
      <c r="F534" s="370"/>
      <c r="G534" s="248" t="str">
        <f t="shared" si="40"/>
        <v/>
      </c>
      <c r="H534" s="1" t="b">
        <f>IF(B534="",FALSE,COUNTIF('従業員情報(給与以外)'!$A$4:$A$1000000,$B534)=0)</f>
        <v>0</v>
      </c>
      <c r="I534" s="9" t="b">
        <f t="shared" si="41"/>
        <v>1</v>
      </c>
      <c r="J534" s="9" t="b">
        <f t="shared" si="42"/>
        <v>1</v>
      </c>
      <c r="K534" s="9" t="b">
        <f t="shared" si="43"/>
        <v>1</v>
      </c>
      <c r="L534" s="9" t="b">
        <f t="shared" si="44"/>
        <v>1</v>
      </c>
      <c r="M534" s="1" t="b">
        <f>IF(OR(入力シート!$C$5&lt;&gt;入力リスト!$N$4,入力シート!$J$22&lt;&gt;入力リスト!$K$4),TRUE,IF($F$2=入力リスト!$Q$4,IF(F534-INT(F534)&lt;0.6,TRUE,FALSE),TRUE))</f>
        <v>1</v>
      </c>
      <c r="N534" s="9" t="str">
        <f>IF(F534="","",IF($F$2=入力リスト!$Q$4,ROUNDDOWN(INT(F534)+ROUNDDOWN((F534-INT(F534))*100,0)/60,2),従業員の給与情報!F534))</f>
        <v/>
      </c>
      <c r="O534" s="8"/>
      <c r="P534" s="8"/>
    </row>
    <row r="535" spans="1:16">
      <c r="A535" s="119"/>
      <c r="B535" s="2"/>
      <c r="C535" s="369"/>
      <c r="D535" s="369"/>
      <c r="E535" s="369"/>
      <c r="F535" s="370"/>
      <c r="G535" s="248" t="str">
        <f t="shared" si="40"/>
        <v/>
      </c>
      <c r="H535" s="1" t="b">
        <f>IF(B535="",FALSE,COUNTIF('従業員情報(給与以外)'!$A$4:$A$1000000,$B535)=0)</f>
        <v>0</v>
      </c>
      <c r="I535" s="9" t="b">
        <f t="shared" si="41"/>
        <v>1</v>
      </c>
      <c r="J535" s="9" t="b">
        <f t="shared" si="42"/>
        <v>1</v>
      </c>
      <c r="K535" s="9" t="b">
        <f t="shared" si="43"/>
        <v>1</v>
      </c>
      <c r="L535" s="9" t="b">
        <f t="shared" si="44"/>
        <v>1</v>
      </c>
      <c r="M535" s="1" t="b">
        <f>IF(OR(入力シート!$C$5&lt;&gt;入力リスト!$N$4,入力シート!$J$22&lt;&gt;入力リスト!$K$4),TRUE,IF($F$2=入力リスト!$Q$4,IF(F535-INT(F535)&lt;0.6,TRUE,FALSE),TRUE))</f>
        <v>1</v>
      </c>
      <c r="N535" s="9" t="str">
        <f>IF(F535="","",IF($F$2=入力リスト!$Q$4,ROUNDDOWN(INT(F535)+ROUNDDOWN((F535-INT(F535))*100,0)/60,2),従業員の給与情報!F535))</f>
        <v/>
      </c>
      <c r="O535" s="8"/>
      <c r="P535" s="8"/>
    </row>
    <row r="536" spans="1:16">
      <c r="A536" s="119"/>
      <c r="B536" s="2"/>
      <c r="C536" s="369"/>
      <c r="D536" s="369"/>
      <c r="E536" s="369"/>
      <c r="F536" s="370"/>
      <c r="G536" s="248" t="str">
        <f t="shared" si="40"/>
        <v/>
      </c>
      <c r="H536" s="1" t="b">
        <f>IF(B536="",FALSE,COUNTIF('従業員情報(給与以外)'!$A$4:$A$1000000,$B536)=0)</f>
        <v>0</v>
      </c>
      <c r="I536" s="9" t="b">
        <f t="shared" si="41"/>
        <v>1</v>
      </c>
      <c r="J536" s="9" t="b">
        <f t="shared" si="42"/>
        <v>1</v>
      </c>
      <c r="K536" s="9" t="b">
        <f t="shared" si="43"/>
        <v>1</v>
      </c>
      <c r="L536" s="9" t="b">
        <f t="shared" si="44"/>
        <v>1</v>
      </c>
      <c r="M536" s="1" t="b">
        <f>IF(OR(入力シート!$C$5&lt;&gt;入力リスト!$N$4,入力シート!$J$22&lt;&gt;入力リスト!$K$4),TRUE,IF($F$2=入力リスト!$Q$4,IF(F536-INT(F536)&lt;0.6,TRUE,FALSE),TRUE))</f>
        <v>1</v>
      </c>
      <c r="N536" s="9" t="str">
        <f>IF(F536="","",IF($F$2=入力リスト!$Q$4,ROUNDDOWN(INT(F536)+ROUNDDOWN((F536-INT(F536))*100,0)/60,2),従業員の給与情報!F536))</f>
        <v/>
      </c>
      <c r="O536" s="8"/>
      <c r="P536" s="8"/>
    </row>
    <row r="537" spans="1:16">
      <c r="A537" s="119"/>
      <c r="B537" s="2"/>
      <c r="C537" s="369"/>
      <c r="D537" s="369"/>
      <c r="E537" s="369"/>
      <c r="F537" s="370"/>
      <c r="G537" s="248" t="str">
        <f t="shared" si="40"/>
        <v/>
      </c>
      <c r="H537" s="1" t="b">
        <f>IF(B537="",FALSE,COUNTIF('従業員情報(給与以外)'!$A$4:$A$1000000,$B537)=0)</f>
        <v>0</v>
      </c>
      <c r="I537" s="9" t="b">
        <f t="shared" si="41"/>
        <v>1</v>
      </c>
      <c r="J537" s="9" t="b">
        <f t="shared" si="42"/>
        <v>1</v>
      </c>
      <c r="K537" s="9" t="b">
        <f t="shared" si="43"/>
        <v>1</v>
      </c>
      <c r="L537" s="9" t="b">
        <f t="shared" si="44"/>
        <v>1</v>
      </c>
      <c r="M537" s="1" t="b">
        <f>IF(OR(入力シート!$C$5&lt;&gt;入力リスト!$N$4,入力シート!$J$22&lt;&gt;入力リスト!$K$4),TRUE,IF($F$2=入力リスト!$Q$4,IF(F537-INT(F537)&lt;0.6,TRUE,FALSE),TRUE))</f>
        <v>1</v>
      </c>
      <c r="N537" s="9" t="str">
        <f>IF(F537="","",IF($F$2=入力リスト!$Q$4,ROUNDDOWN(INT(F537)+ROUNDDOWN((F537-INT(F537))*100,0)/60,2),従業員の給与情報!F537))</f>
        <v/>
      </c>
      <c r="O537" s="8"/>
      <c r="P537" s="8"/>
    </row>
    <row r="538" spans="1:16">
      <c r="A538" s="119"/>
      <c r="B538" s="2"/>
      <c r="C538" s="369"/>
      <c r="D538" s="369"/>
      <c r="E538" s="369"/>
      <c r="F538" s="370"/>
      <c r="G538" s="248" t="str">
        <f t="shared" si="40"/>
        <v/>
      </c>
      <c r="H538" s="1" t="b">
        <f>IF(B538="",FALSE,COUNTIF('従業員情報(給与以外)'!$A$4:$A$1000000,$B538)=0)</f>
        <v>0</v>
      </c>
      <c r="I538" s="9" t="b">
        <f t="shared" si="41"/>
        <v>1</v>
      </c>
      <c r="J538" s="9" t="b">
        <f t="shared" si="42"/>
        <v>1</v>
      </c>
      <c r="K538" s="9" t="b">
        <f t="shared" si="43"/>
        <v>1</v>
      </c>
      <c r="L538" s="9" t="b">
        <f t="shared" si="44"/>
        <v>1</v>
      </c>
      <c r="M538" s="1" t="b">
        <f>IF(OR(入力シート!$C$5&lt;&gt;入力リスト!$N$4,入力シート!$J$22&lt;&gt;入力リスト!$K$4),TRUE,IF($F$2=入力リスト!$Q$4,IF(F538-INT(F538)&lt;0.6,TRUE,FALSE),TRUE))</f>
        <v>1</v>
      </c>
      <c r="N538" s="9" t="str">
        <f>IF(F538="","",IF($F$2=入力リスト!$Q$4,ROUNDDOWN(INT(F538)+ROUNDDOWN((F538-INT(F538))*100,0)/60,2),従業員の給与情報!F538))</f>
        <v/>
      </c>
      <c r="O538" s="8"/>
      <c r="P538" s="8"/>
    </row>
    <row r="539" spans="1:16">
      <c r="A539" s="119"/>
      <c r="B539" s="2"/>
      <c r="C539" s="369"/>
      <c r="D539" s="369"/>
      <c r="E539" s="369"/>
      <c r="F539" s="370"/>
      <c r="G539" s="248" t="str">
        <f t="shared" si="40"/>
        <v/>
      </c>
      <c r="H539" s="1" t="b">
        <f>IF(B539="",FALSE,COUNTIF('従業員情報(給与以外)'!$A$4:$A$1000000,$B539)=0)</f>
        <v>0</v>
      </c>
      <c r="I539" s="9" t="b">
        <f t="shared" si="41"/>
        <v>1</v>
      </c>
      <c r="J539" s="9" t="b">
        <f t="shared" si="42"/>
        <v>1</v>
      </c>
      <c r="K539" s="9" t="b">
        <f t="shared" si="43"/>
        <v>1</v>
      </c>
      <c r="L539" s="9" t="b">
        <f t="shared" si="44"/>
        <v>1</v>
      </c>
      <c r="M539" s="1" t="b">
        <f>IF(OR(入力シート!$C$5&lt;&gt;入力リスト!$N$4,入力シート!$J$22&lt;&gt;入力リスト!$K$4),TRUE,IF($F$2=入力リスト!$Q$4,IF(F539-INT(F539)&lt;0.6,TRUE,FALSE),TRUE))</f>
        <v>1</v>
      </c>
      <c r="N539" s="9" t="str">
        <f>IF(F539="","",IF($F$2=入力リスト!$Q$4,ROUNDDOWN(INT(F539)+ROUNDDOWN((F539-INT(F539))*100,0)/60,2),従業員の給与情報!F539))</f>
        <v/>
      </c>
      <c r="O539" s="8"/>
      <c r="P539" s="8"/>
    </row>
    <row r="540" spans="1:16">
      <c r="A540" s="119"/>
      <c r="B540" s="2"/>
      <c r="C540" s="369"/>
      <c r="D540" s="369"/>
      <c r="E540" s="369"/>
      <c r="F540" s="370"/>
      <c r="G540" s="248" t="str">
        <f t="shared" si="40"/>
        <v/>
      </c>
      <c r="H540" s="1" t="b">
        <f>IF(B540="",FALSE,COUNTIF('従業員情報(給与以外)'!$A$4:$A$1000000,$B540)=0)</f>
        <v>0</v>
      </c>
      <c r="I540" s="9" t="b">
        <f t="shared" si="41"/>
        <v>1</v>
      </c>
      <c r="J540" s="9" t="b">
        <f t="shared" si="42"/>
        <v>1</v>
      </c>
      <c r="K540" s="9" t="b">
        <f t="shared" si="43"/>
        <v>1</v>
      </c>
      <c r="L540" s="9" t="b">
        <f t="shared" si="44"/>
        <v>1</v>
      </c>
      <c r="M540" s="1" t="b">
        <f>IF(OR(入力シート!$C$5&lt;&gt;入力リスト!$N$4,入力シート!$J$22&lt;&gt;入力リスト!$K$4),TRUE,IF($F$2=入力リスト!$Q$4,IF(F540-INT(F540)&lt;0.6,TRUE,FALSE),TRUE))</f>
        <v>1</v>
      </c>
      <c r="N540" s="9" t="str">
        <f>IF(F540="","",IF($F$2=入力リスト!$Q$4,ROUNDDOWN(INT(F540)+ROUNDDOWN((F540-INT(F540))*100,0)/60,2),従業員の給与情報!F540))</f>
        <v/>
      </c>
      <c r="O540" s="8"/>
      <c r="P540" s="8"/>
    </row>
    <row r="541" spans="1:16">
      <c r="A541" s="119"/>
      <c r="B541" s="2"/>
      <c r="C541" s="369"/>
      <c r="D541" s="369"/>
      <c r="E541" s="369"/>
      <c r="F541" s="370"/>
      <c r="G541" s="248" t="str">
        <f t="shared" si="40"/>
        <v/>
      </c>
      <c r="H541" s="1" t="b">
        <f>IF(B541="",FALSE,COUNTIF('従業員情報(給与以外)'!$A$4:$A$1000000,$B541)=0)</f>
        <v>0</v>
      </c>
      <c r="I541" s="9" t="b">
        <f t="shared" si="41"/>
        <v>1</v>
      </c>
      <c r="J541" s="9" t="b">
        <f t="shared" si="42"/>
        <v>1</v>
      </c>
      <c r="K541" s="9" t="b">
        <f t="shared" si="43"/>
        <v>1</v>
      </c>
      <c r="L541" s="9" t="b">
        <f t="shared" si="44"/>
        <v>1</v>
      </c>
      <c r="M541" s="1" t="b">
        <f>IF(OR(入力シート!$C$5&lt;&gt;入力リスト!$N$4,入力シート!$J$22&lt;&gt;入力リスト!$K$4),TRUE,IF($F$2=入力リスト!$Q$4,IF(F541-INT(F541)&lt;0.6,TRUE,FALSE),TRUE))</f>
        <v>1</v>
      </c>
      <c r="N541" s="9" t="str">
        <f>IF(F541="","",IF($F$2=入力リスト!$Q$4,ROUNDDOWN(INT(F541)+ROUNDDOWN((F541-INT(F541))*100,0)/60,2),従業員の給与情報!F541))</f>
        <v/>
      </c>
      <c r="O541" s="8"/>
      <c r="P541" s="8"/>
    </row>
    <row r="542" spans="1:16">
      <c r="A542" s="119"/>
      <c r="B542" s="2"/>
      <c r="C542" s="369"/>
      <c r="D542" s="369"/>
      <c r="E542" s="369"/>
      <c r="F542" s="370"/>
      <c r="G542" s="248" t="str">
        <f t="shared" si="40"/>
        <v/>
      </c>
      <c r="H542" s="1" t="b">
        <f>IF(B542="",FALSE,COUNTIF('従業員情報(給与以外)'!$A$4:$A$1000000,$B542)=0)</f>
        <v>0</v>
      </c>
      <c r="I542" s="9" t="b">
        <f t="shared" si="41"/>
        <v>1</v>
      </c>
      <c r="J542" s="9" t="b">
        <f t="shared" si="42"/>
        <v>1</v>
      </c>
      <c r="K542" s="9" t="b">
        <f t="shared" si="43"/>
        <v>1</v>
      </c>
      <c r="L542" s="9" t="b">
        <f t="shared" si="44"/>
        <v>1</v>
      </c>
      <c r="M542" s="1" t="b">
        <f>IF(OR(入力シート!$C$5&lt;&gt;入力リスト!$N$4,入力シート!$J$22&lt;&gt;入力リスト!$K$4),TRUE,IF($F$2=入力リスト!$Q$4,IF(F542-INT(F542)&lt;0.6,TRUE,FALSE),TRUE))</f>
        <v>1</v>
      </c>
      <c r="N542" s="9" t="str">
        <f>IF(F542="","",IF($F$2=入力リスト!$Q$4,ROUNDDOWN(INT(F542)+ROUNDDOWN((F542-INT(F542))*100,0)/60,2),従業員の給与情報!F542))</f>
        <v/>
      </c>
      <c r="O542" s="8"/>
      <c r="P542" s="8"/>
    </row>
    <row r="543" spans="1:16">
      <c r="A543" s="119"/>
      <c r="B543" s="2"/>
      <c r="C543" s="369"/>
      <c r="D543" s="369"/>
      <c r="E543" s="369"/>
      <c r="F543" s="370"/>
      <c r="G543" s="248" t="str">
        <f t="shared" si="40"/>
        <v/>
      </c>
      <c r="H543" s="1" t="b">
        <f>IF(B543="",FALSE,COUNTIF('従業員情報(給与以外)'!$A$4:$A$1000000,$B543)=0)</f>
        <v>0</v>
      </c>
      <c r="I543" s="9" t="b">
        <f t="shared" si="41"/>
        <v>1</v>
      </c>
      <c r="J543" s="9" t="b">
        <f t="shared" si="42"/>
        <v>1</v>
      </c>
      <c r="K543" s="9" t="b">
        <f t="shared" si="43"/>
        <v>1</v>
      </c>
      <c r="L543" s="9" t="b">
        <f t="shared" si="44"/>
        <v>1</v>
      </c>
      <c r="M543" s="1" t="b">
        <f>IF(OR(入力シート!$C$5&lt;&gt;入力リスト!$N$4,入力シート!$J$22&lt;&gt;入力リスト!$K$4),TRUE,IF($F$2=入力リスト!$Q$4,IF(F543-INT(F543)&lt;0.6,TRUE,FALSE),TRUE))</f>
        <v>1</v>
      </c>
      <c r="N543" s="9" t="str">
        <f>IF(F543="","",IF($F$2=入力リスト!$Q$4,ROUNDDOWN(INT(F543)+ROUNDDOWN((F543-INT(F543))*100,0)/60,2),従業員の給与情報!F543))</f>
        <v/>
      </c>
      <c r="O543" s="8"/>
      <c r="P543" s="8"/>
    </row>
    <row r="544" spans="1:16">
      <c r="A544" s="119"/>
      <c r="B544" s="2"/>
      <c r="C544" s="369"/>
      <c r="D544" s="369"/>
      <c r="E544" s="369"/>
      <c r="F544" s="370"/>
      <c r="G544" s="248" t="str">
        <f t="shared" si="40"/>
        <v/>
      </c>
      <c r="H544" s="1" t="b">
        <f>IF(B544="",FALSE,COUNTIF('従業員情報(給与以外)'!$A$4:$A$1000000,$B544)=0)</f>
        <v>0</v>
      </c>
      <c r="I544" s="9" t="b">
        <f t="shared" si="41"/>
        <v>1</v>
      </c>
      <c r="J544" s="9" t="b">
        <f t="shared" si="42"/>
        <v>1</v>
      </c>
      <c r="K544" s="9" t="b">
        <f t="shared" si="43"/>
        <v>1</v>
      </c>
      <c r="L544" s="9" t="b">
        <f t="shared" si="44"/>
        <v>1</v>
      </c>
      <c r="M544" s="1" t="b">
        <f>IF(OR(入力シート!$C$5&lt;&gt;入力リスト!$N$4,入力シート!$J$22&lt;&gt;入力リスト!$K$4),TRUE,IF($F$2=入力リスト!$Q$4,IF(F544-INT(F544)&lt;0.6,TRUE,FALSE),TRUE))</f>
        <v>1</v>
      </c>
      <c r="N544" s="9" t="str">
        <f>IF(F544="","",IF($F$2=入力リスト!$Q$4,ROUNDDOWN(INT(F544)+ROUNDDOWN((F544-INT(F544))*100,0)/60,2),従業員の給与情報!F544))</f>
        <v/>
      </c>
      <c r="O544" s="8"/>
      <c r="P544" s="8"/>
    </row>
    <row r="545" spans="1:16">
      <c r="A545" s="119"/>
      <c r="B545" s="2"/>
      <c r="C545" s="369"/>
      <c r="D545" s="369"/>
      <c r="E545" s="369"/>
      <c r="F545" s="370"/>
      <c r="G545" s="248" t="str">
        <f t="shared" si="40"/>
        <v/>
      </c>
      <c r="H545" s="1" t="b">
        <f>IF(B545="",FALSE,COUNTIF('従業員情報(給与以外)'!$A$4:$A$1000000,$B545)=0)</f>
        <v>0</v>
      </c>
      <c r="I545" s="9" t="b">
        <f t="shared" si="41"/>
        <v>1</v>
      </c>
      <c r="J545" s="9" t="b">
        <f t="shared" si="42"/>
        <v>1</v>
      </c>
      <c r="K545" s="9" t="b">
        <f t="shared" si="43"/>
        <v>1</v>
      </c>
      <c r="L545" s="9" t="b">
        <f t="shared" si="44"/>
        <v>1</v>
      </c>
      <c r="M545" s="1" t="b">
        <f>IF(OR(入力シート!$C$5&lt;&gt;入力リスト!$N$4,入力シート!$J$22&lt;&gt;入力リスト!$K$4),TRUE,IF($F$2=入力リスト!$Q$4,IF(F545-INT(F545)&lt;0.6,TRUE,FALSE),TRUE))</f>
        <v>1</v>
      </c>
      <c r="N545" s="9" t="str">
        <f>IF(F545="","",IF($F$2=入力リスト!$Q$4,ROUNDDOWN(INT(F545)+ROUNDDOWN((F545-INT(F545))*100,0)/60,2),従業員の給与情報!F545))</f>
        <v/>
      </c>
      <c r="O545" s="8"/>
      <c r="P545" s="8"/>
    </row>
    <row r="546" spans="1:16">
      <c r="A546" s="119"/>
      <c r="B546" s="2"/>
      <c r="C546" s="369"/>
      <c r="D546" s="369"/>
      <c r="E546" s="369"/>
      <c r="F546" s="370"/>
      <c r="G546" s="248" t="str">
        <f t="shared" si="40"/>
        <v/>
      </c>
      <c r="H546" s="1" t="b">
        <f>IF(B546="",FALSE,COUNTIF('従業員情報(給与以外)'!$A$4:$A$1000000,$B546)=0)</f>
        <v>0</v>
      </c>
      <c r="I546" s="9" t="b">
        <f t="shared" si="41"/>
        <v>1</v>
      </c>
      <c r="J546" s="9" t="b">
        <f t="shared" si="42"/>
        <v>1</v>
      </c>
      <c r="K546" s="9" t="b">
        <f t="shared" si="43"/>
        <v>1</v>
      </c>
      <c r="L546" s="9" t="b">
        <f t="shared" si="44"/>
        <v>1</v>
      </c>
      <c r="M546" s="1" t="b">
        <f>IF(OR(入力シート!$C$5&lt;&gt;入力リスト!$N$4,入力シート!$J$22&lt;&gt;入力リスト!$K$4),TRUE,IF($F$2=入力リスト!$Q$4,IF(F546-INT(F546)&lt;0.6,TRUE,FALSE),TRUE))</f>
        <v>1</v>
      </c>
      <c r="N546" s="9" t="str">
        <f>IF(F546="","",IF($F$2=入力リスト!$Q$4,ROUNDDOWN(INT(F546)+ROUNDDOWN((F546-INT(F546))*100,0)/60,2),従業員の給与情報!F546))</f>
        <v/>
      </c>
      <c r="O546" s="8"/>
      <c r="P546" s="8"/>
    </row>
    <row r="547" spans="1:16">
      <c r="A547" s="119"/>
      <c r="B547" s="2"/>
      <c r="C547" s="369"/>
      <c r="D547" s="369"/>
      <c r="E547" s="369"/>
      <c r="F547" s="370"/>
      <c r="G547" s="248" t="str">
        <f t="shared" si="40"/>
        <v/>
      </c>
      <c r="H547" s="1" t="b">
        <f>IF(B547="",FALSE,COUNTIF('従業員情報(給与以外)'!$A$4:$A$1000000,$B547)=0)</f>
        <v>0</v>
      </c>
      <c r="I547" s="9" t="b">
        <f t="shared" si="41"/>
        <v>1</v>
      </c>
      <c r="J547" s="9" t="b">
        <f t="shared" si="42"/>
        <v>1</v>
      </c>
      <c r="K547" s="9" t="b">
        <f t="shared" si="43"/>
        <v>1</v>
      </c>
      <c r="L547" s="9" t="b">
        <f t="shared" si="44"/>
        <v>1</v>
      </c>
      <c r="M547" s="1" t="b">
        <f>IF(OR(入力シート!$C$5&lt;&gt;入力リスト!$N$4,入力シート!$J$22&lt;&gt;入力リスト!$K$4),TRUE,IF($F$2=入力リスト!$Q$4,IF(F547-INT(F547)&lt;0.6,TRUE,FALSE),TRUE))</f>
        <v>1</v>
      </c>
      <c r="N547" s="9" t="str">
        <f>IF(F547="","",IF($F$2=入力リスト!$Q$4,ROUNDDOWN(INT(F547)+ROUNDDOWN((F547-INT(F547))*100,0)/60,2),従業員の給与情報!F547))</f>
        <v/>
      </c>
      <c r="O547" s="8"/>
      <c r="P547" s="8"/>
    </row>
    <row r="548" spans="1:16">
      <c r="A548" s="119"/>
      <c r="B548" s="2"/>
      <c r="C548" s="369"/>
      <c r="D548" s="369"/>
      <c r="E548" s="369"/>
      <c r="F548" s="370"/>
      <c r="G548" s="248" t="str">
        <f t="shared" si="40"/>
        <v/>
      </c>
      <c r="H548" s="1" t="b">
        <f>IF(B548="",FALSE,COUNTIF('従業員情報(給与以外)'!$A$4:$A$1000000,$B548)=0)</f>
        <v>0</v>
      </c>
      <c r="I548" s="9" t="b">
        <f t="shared" si="41"/>
        <v>1</v>
      </c>
      <c r="J548" s="9" t="b">
        <f t="shared" si="42"/>
        <v>1</v>
      </c>
      <c r="K548" s="9" t="b">
        <f t="shared" si="43"/>
        <v>1</v>
      </c>
      <c r="L548" s="9" t="b">
        <f t="shared" si="44"/>
        <v>1</v>
      </c>
      <c r="M548" s="1" t="b">
        <f>IF(OR(入力シート!$C$5&lt;&gt;入力リスト!$N$4,入力シート!$J$22&lt;&gt;入力リスト!$K$4),TRUE,IF($F$2=入力リスト!$Q$4,IF(F548-INT(F548)&lt;0.6,TRUE,FALSE),TRUE))</f>
        <v>1</v>
      </c>
      <c r="N548" s="9" t="str">
        <f>IF(F548="","",IF($F$2=入力リスト!$Q$4,ROUNDDOWN(INT(F548)+ROUNDDOWN((F548-INT(F548))*100,0)/60,2),従業員の給与情報!F548))</f>
        <v/>
      </c>
      <c r="O548" s="8"/>
      <c r="P548" s="8"/>
    </row>
    <row r="549" spans="1:16">
      <c r="A549" s="119"/>
      <c r="B549" s="2"/>
      <c r="C549" s="369"/>
      <c r="D549" s="369"/>
      <c r="E549" s="369"/>
      <c r="F549" s="370"/>
      <c r="G549" s="248" t="str">
        <f t="shared" si="40"/>
        <v/>
      </c>
      <c r="H549" s="1" t="b">
        <f>IF(B549="",FALSE,COUNTIF('従業員情報(給与以外)'!$A$4:$A$1000000,$B549)=0)</f>
        <v>0</v>
      </c>
      <c r="I549" s="9" t="b">
        <f t="shared" si="41"/>
        <v>1</v>
      </c>
      <c r="J549" s="9" t="b">
        <f t="shared" si="42"/>
        <v>1</v>
      </c>
      <c r="K549" s="9" t="b">
        <f t="shared" si="43"/>
        <v>1</v>
      </c>
      <c r="L549" s="9" t="b">
        <f t="shared" si="44"/>
        <v>1</v>
      </c>
      <c r="M549" s="1" t="b">
        <f>IF(OR(入力シート!$C$5&lt;&gt;入力リスト!$N$4,入力シート!$J$22&lt;&gt;入力リスト!$K$4),TRUE,IF($F$2=入力リスト!$Q$4,IF(F549-INT(F549)&lt;0.6,TRUE,FALSE),TRUE))</f>
        <v>1</v>
      </c>
      <c r="N549" s="9" t="str">
        <f>IF(F549="","",IF($F$2=入力リスト!$Q$4,ROUNDDOWN(INT(F549)+ROUNDDOWN((F549-INT(F549))*100,0)/60,2),従業員の給与情報!F549))</f>
        <v/>
      </c>
      <c r="O549" s="8"/>
      <c r="P549" s="8"/>
    </row>
    <row r="550" spans="1:16">
      <c r="A550" s="119"/>
      <c r="B550" s="2"/>
      <c r="C550" s="369"/>
      <c r="D550" s="369"/>
      <c r="E550" s="369"/>
      <c r="F550" s="370"/>
      <c r="G550" s="248" t="str">
        <f t="shared" si="40"/>
        <v/>
      </c>
      <c r="H550" s="1" t="b">
        <f>IF(B550="",FALSE,COUNTIF('従業員情報(給与以外)'!$A$4:$A$1000000,$B550)=0)</f>
        <v>0</v>
      </c>
      <c r="I550" s="9" t="b">
        <f t="shared" si="41"/>
        <v>1</v>
      </c>
      <c r="J550" s="9" t="b">
        <f t="shared" si="42"/>
        <v>1</v>
      </c>
      <c r="K550" s="9" t="b">
        <f t="shared" si="43"/>
        <v>1</v>
      </c>
      <c r="L550" s="9" t="b">
        <f t="shared" si="44"/>
        <v>1</v>
      </c>
      <c r="M550" s="1" t="b">
        <f>IF(OR(入力シート!$C$5&lt;&gt;入力リスト!$N$4,入力シート!$J$22&lt;&gt;入力リスト!$K$4),TRUE,IF($F$2=入力リスト!$Q$4,IF(F550-INT(F550)&lt;0.6,TRUE,FALSE),TRUE))</f>
        <v>1</v>
      </c>
      <c r="N550" s="9" t="str">
        <f>IF(F550="","",IF($F$2=入力リスト!$Q$4,ROUNDDOWN(INT(F550)+ROUNDDOWN((F550-INT(F550))*100,0)/60,2),従業員の給与情報!F550))</f>
        <v/>
      </c>
      <c r="O550" s="8"/>
      <c r="P550" s="8"/>
    </row>
    <row r="551" spans="1:16">
      <c r="A551" s="119"/>
      <c r="B551" s="2"/>
      <c r="C551" s="369"/>
      <c r="D551" s="369"/>
      <c r="E551" s="369"/>
      <c r="F551" s="370"/>
      <c r="G551" s="248" t="str">
        <f t="shared" si="40"/>
        <v/>
      </c>
      <c r="H551" s="1" t="b">
        <f>IF(B551="",FALSE,COUNTIF('従業員情報(給与以外)'!$A$4:$A$1000000,$B551)=0)</f>
        <v>0</v>
      </c>
      <c r="I551" s="9" t="b">
        <f t="shared" si="41"/>
        <v>1</v>
      </c>
      <c r="J551" s="9" t="b">
        <f t="shared" si="42"/>
        <v>1</v>
      </c>
      <c r="K551" s="9" t="b">
        <f t="shared" si="43"/>
        <v>1</v>
      </c>
      <c r="L551" s="9" t="b">
        <f t="shared" si="44"/>
        <v>1</v>
      </c>
      <c r="M551" s="1" t="b">
        <f>IF(OR(入力シート!$C$5&lt;&gt;入力リスト!$N$4,入力シート!$J$22&lt;&gt;入力リスト!$K$4),TRUE,IF($F$2=入力リスト!$Q$4,IF(F551-INT(F551)&lt;0.6,TRUE,FALSE),TRUE))</f>
        <v>1</v>
      </c>
      <c r="N551" s="9" t="str">
        <f>IF(F551="","",IF($F$2=入力リスト!$Q$4,ROUNDDOWN(INT(F551)+ROUNDDOWN((F551-INT(F551))*100,0)/60,2),従業員の給与情報!F551))</f>
        <v/>
      </c>
      <c r="O551" s="8"/>
      <c r="P551" s="8"/>
    </row>
    <row r="552" spans="1:16">
      <c r="A552" s="119"/>
      <c r="B552" s="2"/>
      <c r="C552" s="369"/>
      <c r="D552" s="369"/>
      <c r="E552" s="369"/>
      <c r="F552" s="370"/>
      <c r="G552" s="248" t="str">
        <f t="shared" si="40"/>
        <v/>
      </c>
      <c r="H552" s="1" t="b">
        <f>IF(B552="",FALSE,COUNTIF('従業員情報(給与以外)'!$A$4:$A$1000000,$B552)=0)</f>
        <v>0</v>
      </c>
      <c r="I552" s="9" t="b">
        <f t="shared" si="41"/>
        <v>1</v>
      </c>
      <c r="J552" s="9" t="b">
        <f t="shared" si="42"/>
        <v>1</v>
      </c>
      <c r="K552" s="9" t="b">
        <f t="shared" si="43"/>
        <v>1</v>
      </c>
      <c r="L552" s="9" t="b">
        <f t="shared" si="44"/>
        <v>1</v>
      </c>
      <c r="M552" s="1" t="b">
        <f>IF(OR(入力シート!$C$5&lt;&gt;入力リスト!$N$4,入力シート!$J$22&lt;&gt;入力リスト!$K$4),TRUE,IF($F$2=入力リスト!$Q$4,IF(F552-INT(F552)&lt;0.6,TRUE,FALSE),TRUE))</f>
        <v>1</v>
      </c>
      <c r="N552" s="9" t="str">
        <f>IF(F552="","",IF($F$2=入力リスト!$Q$4,ROUNDDOWN(INT(F552)+ROUNDDOWN((F552-INT(F552))*100,0)/60,2),従業員の給与情報!F552))</f>
        <v/>
      </c>
      <c r="O552" s="8"/>
      <c r="P552" s="8"/>
    </row>
    <row r="553" spans="1:16">
      <c r="A553" s="119"/>
      <c r="B553" s="2"/>
      <c r="C553" s="369"/>
      <c r="D553" s="369"/>
      <c r="E553" s="369"/>
      <c r="F553" s="370"/>
      <c r="G553" s="248" t="str">
        <f t="shared" si="40"/>
        <v/>
      </c>
      <c r="H553" s="1" t="b">
        <f>IF(B553="",FALSE,COUNTIF('従業員情報(給与以外)'!$A$4:$A$1000000,$B553)=0)</f>
        <v>0</v>
      </c>
      <c r="I553" s="9" t="b">
        <f t="shared" si="41"/>
        <v>1</v>
      </c>
      <c r="J553" s="9" t="b">
        <f t="shared" si="42"/>
        <v>1</v>
      </c>
      <c r="K553" s="9" t="b">
        <f t="shared" si="43"/>
        <v>1</v>
      </c>
      <c r="L553" s="9" t="b">
        <f t="shared" si="44"/>
        <v>1</v>
      </c>
      <c r="M553" s="1" t="b">
        <f>IF(OR(入力シート!$C$5&lt;&gt;入力リスト!$N$4,入力シート!$J$22&lt;&gt;入力リスト!$K$4),TRUE,IF($F$2=入力リスト!$Q$4,IF(F553-INT(F553)&lt;0.6,TRUE,FALSE),TRUE))</f>
        <v>1</v>
      </c>
      <c r="N553" s="9" t="str">
        <f>IF(F553="","",IF($F$2=入力リスト!$Q$4,ROUNDDOWN(INT(F553)+ROUNDDOWN((F553-INT(F553))*100,0)/60,2),従業員の給与情報!F553))</f>
        <v/>
      </c>
      <c r="O553" s="8"/>
      <c r="P553" s="8"/>
    </row>
    <row r="554" spans="1:16">
      <c r="A554" s="119"/>
      <c r="B554" s="2"/>
      <c r="C554" s="369"/>
      <c r="D554" s="369"/>
      <c r="E554" s="369"/>
      <c r="F554" s="370"/>
      <c r="G554" s="248" t="str">
        <f t="shared" si="40"/>
        <v/>
      </c>
      <c r="H554" s="1" t="b">
        <f>IF(B554="",FALSE,COUNTIF('従業員情報(給与以外)'!$A$4:$A$1000000,$B554)=0)</f>
        <v>0</v>
      </c>
      <c r="I554" s="9" t="b">
        <f t="shared" si="41"/>
        <v>1</v>
      </c>
      <c r="J554" s="9" t="b">
        <f t="shared" si="42"/>
        <v>1</v>
      </c>
      <c r="K554" s="9" t="b">
        <f t="shared" si="43"/>
        <v>1</v>
      </c>
      <c r="L554" s="9" t="b">
        <f t="shared" si="44"/>
        <v>1</v>
      </c>
      <c r="M554" s="1" t="b">
        <f>IF(OR(入力シート!$C$5&lt;&gt;入力リスト!$N$4,入力シート!$J$22&lt;&gt;入力リスト!$K$4),TRUE,IF($F$2=入力リスト!$Q$4,IF(F554-INT(F554)&lt;0.6,TRUE,FALSE),TRUE))</f>
        <v>1</v>
      </c>
      <c r="N554" s="9" t="str">
        <f>IF(F554="","",IF($F$2=入力リスト!$Q$4,ROUNDDOWN(INT(F554)+ROUNDDOWN((F554-INT(F554))*100,0)/60,2),従業員の給与情報!F554))</f>
        <v/>
      </c>
      <c r="O554" s="8"/>
      <c r="P554" s="8"/>
    </row>
    <row r="555" spans="1:16">
      <c r="A555" s="119"/>
      <c r="B555" s="2"/>
      <c r="C555" s="369"/>
      <c r="D555" s="369"/>
      <c r="E555" s="369"/>
      <c r="F555" s="370"/>
      <c r="G555" s="248" t="str">
        <f t="shared" si="40"/>
        <v/>
      </c>
      <c r="H555" s="1" t="b">
        <f>IF(B555="",FALSE,COUNTIF('従業員情報(給与以外)'!$A$4:$A$1000000,$B555)=0)</f>
        <v>0</v>
      </c>
      <c r="I555" s="9" t="b">
        <f t="shared" si="41"/>
        <v>1</v>
      </c>
      <c r="J555" s="9" t="b">
        <f t="shared" si="42"/>
        <v>1</v>
      </c>
      <c r="K555" s="9" t="b">
        <f t="shared" si="43"/>
        <v>1</v>
      </c>
      <c r="L555" s="9" t="b">
        <f t="shared" si="44"/>
        <v>1</v>
      </c>
      <c r="M555" s="1" t="b">
        <f>IF(OR(入力シート!$C$5&lt;&gt;入力リスト!$N$4,入力シート!$J$22&lt;&gt;入力リスト!$K$4),TRUE,IF($F$2=入力リスト!$Q$4,IF(F555-INT(F555)&lt;0.6,TRUE,FALSE),TRUE))</f>
        <v>1</v>
      </c>
      <c r="N555" s="9" t="str">
        <f>IF(F555="","",IF($F$2=入力リスト!$Q$4,ROUNDDOWN(INT(F555)+ROUNDDOWN((F555-INT(F555))*100,0)/60,2),従業員の給与情報!F555))</f>
        <v/>
      </c>
      <c r="O555" s="8"/>
      <c r="P555" s="8"/>
    </row>
    <row r="556" spans="1:16">
      <c r="A556" s="119"/>
      <c r="B556" s="2"/>
      <c r="C556" s="369"/>
      <c r="D556" s="369"/>
      <c r="E556" s="369"/>
      <c r="F556" s="370"/>
      <c r="G556" s="248" t="str">
        <f t="shared" si="40"/>
        <v/>
      </c>
      <c r="H556" s="1" t="b">
        <f>IF(B556="",FALSE,COUNTIF('従業員情報(給与以外)'!$A$4:$A$1000000,$B556)=0)</f>
        <v>0</v>
      </c>
      <c r="I556" s="9" t="b">
        <f t="shared" si="41"/>
        <v>1</v>
      </c>
      <c r="J556" s="9" t="b">
        <f t="shared" si="42"/>
        <v>1</v>
      </c>
      <c r="K556" s="9" t="b">
        <f t="shared" si="43"/>
        <v>1</v>
      </c>
      <c r="L556" s="9" t="b">
        <f t="shared" si="44"/>
        <v>1</v>
      </c>
      <c r="M556" s="1" t="b">
        <f>IF(OR(入力シート!$C$5&lt;&gt;入力リスト!$N$4,入力シート!$J$22&lt;&gt;入力リスト!$K$4),TRUE,IF($F$2=入力リスト!$Q$4,IF(F556-INT(F556)&lt;0.6,TRUE,FALSE),TRUE))</f>
        <v>1</v>
      </c>
      <c r="N556" s="9" t="str">
        <f>IF(F556="","",IF($F$2=入力リスト!$Q$4,ROUNDDOWN(INT(F556)+ROUNDDOWN((F556-INT(F556))*100,0)/60,2),従業員の給与情報!F556))</f>
        <v/>
      </c>
      <c r="O556" s="8"/>
      <c r="P556" s="8"/>
    </row>
    <row r="557" spans="1:16">
      <c r="A557" s="119"/>
      <c r="B557" s="2"/>
      <c r="C557" s="369"/>
      <c r="D557" s="369"/>
      <c r="E557" s="369"/>
      <c r="F557" s="370"/>
      <c r="G557" s="248" t="str">
        <f t="shared" si="40"/>
        <v/>
      </c>
      <c r="H557" s="1" t="b">
        <f>IF(B557="",FALSE,COUNTIF('従業員情報(給与以外)'!$A$4:$A$1000000,$B557)=0)</f>
        <v>0</v>
      </c>
      <c r="I557" s="9" t="b">
        <f t="shared" si="41"/>
        <v>1</v>
      </c>
      <c r="J557" s="9" t="b">
        <f t="shared" si="42"/>
        <v>1</v>
      </c>
      <c r="K557" s="9" t="b">
        <f t="shared" si="43"/>
        <v>1</v>
      </c>
      <c r="L557" s="9" t="b">
        <f t="shared" si="44"/>
        <v>1</v>
      </c>
      <c r="M557" s="1" t="b">
        <f>IF(OR(入力シート!$C$5&lt;&gt;入力リスト!$N$4,入力シート!$J$22&lt;&gt;入力リスト!$K$4),TRUE,IF($F$2=入力リスト!$Q$4,IF(F557-INT(F557)&lt;0.6,TRUE,FALSE),TRUE))</f>
        <v>1</v>
      </c>
      <c r="N557" s="9" t="str">
        <f>IF(F557="","",IF($F$2=入力リスト!$Q$4,ROUNDDOWN(INT(F557)+ROUNDDOWN((F557-INT(F557))*100,0)/60,2),従業員の給与情報!F557))</f>
        <v/>
      </c>
      <c r="O557" s="8"/>
      <c r="P557" s="8"/>
    </row>
    <row r="558" spans="1:16">
      <c r="A558" s="119"/>
      <c r="B558" s="2"/>
      <c r="C558" s="369"/>
      <c r="D558" s="369"/>
      <c r="E558" s="369"/>
      <c r="F558" s="370"/>
      <c r="G558" s="248" t="str">
        <f t="shared" si="40"/>
        <v/>
      </c>
      <c r="H558" s="1" t="b">
        <f>IF(B558="",FALSE,COUNTIF('従業員情報(給与以外)'!$A$4:$A$1000000,$B558)=0)</f>
        <v>0</v>
      </c>
      <c r="I558" s="9" t="b">
        <f t="shared" si="41"/>
        <v>1</v>
      </c>
      <c r="J558" s="9" t="b">
        <f t="shared" si="42"/>
        <v>1</v>
      </c>
      <c r="K558" s="9" t="b">
        <f t="shared" si="43"/>
        <v>1</v>
      </c>
      <c r="L558" s="9" t="b">
        <f t="shared" si="44"/>
        <v>1</v>
      </c>
      <c r="M558" s="1" t="b">
        <f>IF(OR(入力シート!$C$5&lt;&gt;入力リスト!$N$4,入力シート!$J$22&lt;&gt;入力リスト!$K$4),TRUE,IF($F$2=入力リスト!$Q$4,IF(F558-INT(F558)&lt;0.6,TRUE,FALSE),TRUE))</f>
        <v>1</v>
      </c>
      <c r="N558" s="9" t="str">
        <f>IF(F558="","",IF($F$2=入力リスト!$Q$4,ROUNDDOWN(INT(F558)+ROUNDDOWN((F558-INT(F558))*100,0)/60,2),従業員の給与情報!F558))</f>
        <v/>
      </c>
      <c r="O558" s="8"/>
      <c r="P558" s="8"/>
    </row>
    <row r="559" spans="1:16">
      <c r="A559" s="119"/>
      <c r="B559" s="2"/>
      <c r="C559" s="369"/>
      <c r="D559" s="369"/>
      <c r="E559" s="369"/>
      <c r="F559" s="370"/>
      <c r="G559" s="248" t="str">
        <f t="shared" si="40"/>
        <v/>
      </c>
      <c r="H559" s="1" t="b">
        <f>IF(B559="",FALSE,COUNTIF('従業員情報(給与以外)'!$A$4:$A$1000000,$B559)=0)</f>
        <v>0</v>
      </c>
      <c r="I559" s="9" t="b">
        <f t="shared" si="41"/>
        <v>1</v>
      </c>
      <c r="J559" s="9" t="b">
        <f t="shared" si="42"/>
        <v>1</v>
      </c>
      <c r="K559" s="9" t="b">
        <f t="shared" si="43"/>
        <v>1</v>
      </c>
      <c r="L559" s="9" t="b">
        <f t="shared" si="44"/>
        <v>1</v>
      </c>
      <c r="M559" s="1" t="b">
        <f>IF(OR(入力シート!$C$5&lt;&gt;入力リスト!$N$4,入力シート!$J$22&lt;&gt;入力リスト!$K$4),TRUE,IF($F$2=入力リスト!$Q$4,IF(F559-INT(F559)&lt;0.6,TRUE,FALSE),TRUE))</f>
        <v>1</v>
      </c>
      <c r="N559" s="9" t="str">
        <f>IF(F559="","",IF($F$2=入力リスト!$Q$4,ROUNDDOWN(INT(F559)+ROUNDDOWN((F559-INT(F559))*100,0)/60,2),従業員の給与情報!F559))</f>
        <v/>
      </c>
      <c r="O559" s="8"/>
      <c r="P559" s="8"/>
    </row>
    <row r="560" spans="1:16">
      <c r="A560" s="119"/>
      <c r="B560" s="2"/>
      <c r="C560" s="369"/>
      <c r="D560" s="369"/>
      <c r="E560" s="369"/>
      <c r="F560" s="370"/>
      <c r="G560" s="248" t="str">
        <f t="shared" si="40"/>
        <v/>
      </c>
      <c r="H560" s="1" t="b">
        <f>IF(B560="",FALSE,COUNTIF('従業員情報(給与以外)'!$A$4:$A$1000000,$B560)=0)</f>
        <v>0</v>
      </c>
      <c r="I560" s="9" t="b">
        <f t="shared" si="41"/>
        <v>1</v>
      </c>
      <c r="J560" s="9" t="b">
        <f t="shared" si="42"/>
        <v>1</v>
      </c>
      <c r="K560" s="9" t="b">
        <f t="shared" si="43"/>
        <v>1</v>
      </c>
      <c r="L560" s="9" t="b">
        <f t="shared" si="44"/>
        <v>1</v>
      </c>
      <c r="M560" s="1" t="b">
        <f>IF(OR(入力シート!$C$5&lt;&gt;入力リスト!$N$4,入力シート!$J$22&lt;&gt;入力リスト!$K$4),TRUE,IF($F$2=入力リスト!$Q$4,IF(F560-INT(F560)&lt;0.6,TRUE,FALSE),TRUE))</f>
        <v>1</v>
      </c>
      <c r="N560" s="9" t="str">
        <f>IF(F560="","",IF($F$2=入力リスト!$Q$4,ROUNDDOWN(INT(F560)+ROUNDDOWN((F560-INT(F560))*100,0)/60,2),従業員の給与情報!F560))</f>
        <v/>
      </c>
      <c r="O560" s="8"/>
      <c r="P560" s="8"/>
    </row>
    <row r="561" spans="1:16">
      <c r="A561" s="119"/>
      <c r="B561" s="2"/>
      <c r="C561" s="369"/>
      <c r="D561" s="369"/>
      <c r="E561" s="369"/>
      <c r="F561" s="370"/>
      <c r="G561" s="248" t="str">
        <f t="shared" si="40"/>
        <v/>
      </c>
      <c r="H561" s="1" t="b">
        <f>IF(B561="",FALSE,COUNTIF('従業員情報(給与以外)'!$A$4:$A$1000000,$B561)=0)</f>
        <v>0</v>
      </c>
      <c r="I561" s="9" t="b">
        <f t="shared" si="41"/>
        <v>1</v>
      </c>
      <c r="J561" s="9" t="b">
        <f t="shared" si="42"/>
        <v>1</v>
      </c>
      <c r="K561" s="9" t="b">
        <f t="shared" si="43"/>
        <v>1</v>
      </c>
      <c r="L561" s="9" t="b">
        <f t="shared" si="44"/>
        <v>1</v>
      </c>
      <c r="M561" s="1" t="b">
        <f>IF(OR(入力シート!$C$5&lt;&gt;入力リスト!$N$4,入力シート!$J$22&lt;&gt;入力リスト!$K$4),TRUE,IF($F$2=入力リスト!$Q$4,IF(F561-INT(F561)&lt;0.6,TRUE,FALSE),TRUE))</f>
        <v>1</v>
      </c>
      <c r="N561" s="9" t="str">
        <f>IF(F561="","",IF($F$2=入力リスト!$Q$4,ROUNDDOWN(INT(F561)+ROUNDDOWN((F561-INT(F561))*100,0)/60,2),従業員の給与情報!F561))</f>
        <v/>
      </c>
      <c r="O561" s="8"/>
      <c r="P561" s="8"/>
    </row>
    <row r="562" spans="1:16">
      <c r="A562" s="119"/>
      <c r="B562" s="2"/>
      <c r="C562" s="369"/>
      <c r="D562" s="369"/>
      <c r="E562" s="369"/>
      <c r="F562" s="370"/>
      <c r="G562" s="248" t="str">
        <f t="shared" si="40"/>
        <v/>
      </c>
      <c r="H562" s="1" t="b">
        <f>IF(B562="",FALSE,COUNTIF('従業員情報(給与以外)'!$A$4:$A$1000000,$B562)=0)</f>
        <v>0</v>
      </c>
      <c r="I562" s="9" t="b">
        <f t="shared" si="41"/>
        <v>1</v>
      </c>
      <c r="J562" s="9" t="b">
        <f t="shared" si="42"/>
        <v>1</v>
      </c>
      <c r="K562" s="9" t="b">
        <f t="shared" si="43"/>
        <v>1</v>
      </c>
      <c r="L562" s="9" t="b">
        <f t="shared" si="44"/>
        <v>1</v>
      </c>
      <c r="M562" s="1" t="b">
        <f>IF(OR(入力シート!$C$5&lt;&gt;入力リスト!$N$4,入力シート!$J$22&lt;&gt;入力リスト!$K$4),TRUE,IF($F$2=入力リスト!$Q$4,IF(F562-INT(F562)&lt;0.6,TRUE,FALSE),TRUE))</f>
        <v>1</v>
      </c>
      <c r="N562" s="9" t="str">
        <f>IF(F562="","",IF($F$2=入力リスト!$Q$4,ROUNDDOWN(INT(F562)+ROUNDDOWN((F562-INT(F562))*100,0)/60,2),従業員の給与情報!F562))</f>
        <v/>
      </c>
      <c r="O562" s="8"/>
      <c r="P562" s="8"/>
    </row>
    <row r="563" spans="1:16">
      <c r="A563" s="119"/>
      <c r="B563" s="2"/>
      <c r="C563" s="369"/>
      <c r="D563" s="369"/>
      <c r="E563" s="369"/>
      <c r="F563" s="370"/>
      <c r="G563" s="248" t="str">
        <f t="shared" si="40"/>
        <v/>
      </c>
      <c r="H563" s="1" t="b">
        <f>IF(B563="",FALSE,COUNTIF('従業員情報(給与以外)'!$A$4:$A$1000000,$B563)=0)</f>
        <v>0</v>
      </c>
      <c r="I563" s="9" t="b">
        <f t="shared" si="41"/>
        <v>1</v>
      </c>
      <c r="J563" s="9" t="b">
        <f t="shared" si="42"/>
        <v>1</v>
      </c>
      <c r="K563" s="9" t="b">
        <f t="shared" si="43"/>
        <v>1</v>
      </c>
      <c r="L563" s="9" t="b">
        <f t="shared" si="44"/>
        <v>1</v>
      </c>
      <c r="M563" s="1" t="b">
        <f>IF(OR(入力シート!$C$5&lt;&gt;入力リスト!$N$4,入力シート!$J$22&lt;&gt;入力リスト!$K$4),TRUE,IF($F$2=入力リスト!$Q$4,IF(F563-INT(F563)&lt;0.6,TRUE,FALSE),TRUE))</f>
        <v>1</v>
      </c>
      <c r="N563" s="9" t="str">
        <f>IF(F563="","",IF($F$2=入力リスト!$Q$4,ROUNDDOWN(INT(F563)+ROUNDDOWN((F563-INT(F563))*100,0)/60,2),従業員の給与情報!F563))</f>
        <v/>
      </c>
      <c r="O563" s="8"/>
      <c r="P563" s="8"/>
    </row>
    <row r="564" spans="1:16">
      <c r="A564" s="119"/>
      <c r="B564" s="2"/>
      <c r="C564" s="369"/>
      <c r="D564" s="369"/>
      <c r="E564" s="369"/>
      <c r="F564" s="370"/>
      <c r="G564" s="248" t="str">
        <f t="shared" si="40"/>
        <v/>
      </c>
      <c r="H564" s="1" t="b">
        <f>IF(B564="",FALSE,COUNTIF('従業員情報(給与以外)'!$A$4:$A$1000000,$B564)=0)</f>
        <v>0</v>
      </c>
      <c r="I564" s="9" t="b">
        <f t="shared" si="41"/>
        <v>1</v>
      </c>
      <c r="J564" s="9" t="b">
        <f t="shared" si="42"/>
        <v>1</v>
      </c>
      <c r="K564" s="9" t="b">
        <f t="shared" si="43"/>
        <v>1</v>
      </c>
      <c r="L564" s="9" t="b">
        <f t="shared" si="44"/>
        <v>1</v>
      </c>
      <c r="M564" s="1" t="b">
        <f>IF(OR(入力シート!$C$5&lt;&gt;入力リスト!$N$4,入力シート!$J$22&lt;&gt;入力リスト!$K$4),TRUE,IF($F$2=入力リスト!$Q$4,IF(F564-INT(F564)&lt;0.6,TRUE,FALSE),TRUE))</f>
        <v>1</v>
      </c>
      <c r="N564" s="9" t="str">
        <f>IF(F564="","",IF($F$2=入力リスト!$Q$4,ROUNDDOWN(INT(F564)+ROUNDDOWN((F564-INT(F564))*100,0)/60,2),従業員の給与情報!F564))</f>
        <v/>
      </c>
      <c r="O564" s="8"/>
      <c r="P564" s="8"/>
    </row>
    <row r="565" spans="1:16">
      <c r="A565" s="119"/>
      <c r="B565" s="2"/>
      <c r="C565" s="369"/>
      <c r="D565" s="369"/>
      <c r="E565" s="369"/>
      <c r="F565" s="370"/>
      <c r="G565" s="248" t="str">
        <f t="shared" si="40"/>
        <v/>
      </c>
      <c r="H565" s="1" t="b">
        <f>IF(B565="",FALSE,COUNTIF('従業員情報(給与以外)'!$A$4:$A$1000000,$B565)=0)</f>
        <v>0</v>
      </c>
      <c r="I565" s="9" t="b">
        <f t="shared" si="41"/>
        <v>1</v>
      </c>
      <c r="J565" s="9" t="b">
        <f t="shared" si="42"/>
        <v>1</v>
      </c>
      <c r="K565" s="9" t="b">
        <f t="shared" si="43"/>
        <v>1</v>
      </c>
      <c r="L565" s="9" t="b">
        <f t="shared" si="44"/>
        <v>1</v>
      </c>
      <c r="M565" s="1" t="b">
        <f>IF(OR(入力シート!$C$5&lt;&gt;入力リスト!$N$4,入力シート!$J$22&lt;&gt;入力リスト!$K$4),TRUE,IF($F$2=入力リスト!$Q$4,IF(F565-INT(F565)&lt;0.6,TRUE,FALSE),TRUE))</f>
        <v>1</v>
      </c>
      <c r="N565" s="9" t="str">
        <f>IF(F565="","",IF($F$2=入力リスト!$Q$4,ROUNDDOWN(INT(F565)+ROUNDDOWN((F565-INT(F565))*100,0)/60,2),従業員の給与情報!F565))</f>
        <v/>
      </c>
      <c r="O565" s="8"/>
      <c r="P565" s="8"/>
    </row>
    <row r="566" spans="1:16">
      <c r="A566" s="119"/>
      <c r="B566" s="2"/>
      <c r="C566" s="369"/>
      <c r="D566" s="369"/>
      <c r="E566" s="369"/>
      <c r="F566" s="370"/>
      <c r="G566" s="248" t="str">
        <f t="shared" si="40"/>
        <v/>
      </c>
      <c r="H566" s="1" t="b">
        <f>IF(B566="",FALSE,COUNTIF('従業員情報(給与以外)'!$A$4:$A$1000000,$B566)=0)</f>
        <v>0</v>
      </c>
      <c r="I566" s="9" t="b">
        <f t="shared" si="41"/>
        <v>1</v>
      </c>
      <c r="J566" s="9" t="b">
        <f t="shared" si="42"/>
        <v>1</v>
      </c>
      <c r="K566" s="9" t="b">
        <f t="shared" si="43"/>
        <v>1</v>
      </c>
      <c r="L566" s="9" t="b">
        <f t="shared" si="44"/>
        <v>1</v>
      </c>
      <c r="M566" s="1" t="b">
        <f>IF(OR(入力シート!$C$5&lt;&gt;入力リスト!$N$4,入力シート!$J$22&lt;&gt;入力リスト!$K$4),TRUE,IF($F$2=入力リスト!$Q$4,IF(F566-INT(F566)&lt;0.6,TRUE,FALSE),TRUE))</f>
        <v>1</v>
      </c>
      <c r="N566" s="9" t="str">
        <f>IF(F566="","",IF($F$2=入力リスト!$Q$4,ROUNDDOWN(INT(F566)+ROUNDDOWN((F566-INT(F566))*100,0)/60,2),従業員の給与情報!F566))</f>
        <v/>
      </c>
      <c r="O566" s="8"/>
      <c r="P566" s="8"/>
    </row>
    <row r="567" spans="1:16">
      <c r="A567" s="119"/>
      <c r="B567" s="2"/>
      <c r="C567" s="369"/>
      <c r="D567" s="369"/>
      <c r="E567" s="369"/>
      <c r="F567" s="370"/>
      <c r="G567" s="248" t="str">
        <f t="shared" si="40"/>
        <v/>
      </c>
      <c r="H567" s="1" t="b">
        <f>IF(B567="",FALSE,COUNTIF('従業員情報(給与以外)'!$A$4:$A$1000000,$B567)=0)</f>
        <v>0</v>
      </c>
      <c r="I567" s="9" t="b">
        <f t="shared" si="41"/>
        <v>1</v>
      </c>
      <c r="J567" s="9" t="b">
        <f t="shared" si="42"/>
        <v>1</v>
      </c>
      <c r="K567" s="9" t="b">
        <f t="shared" si="43"/>
        <v>1</v>
      </c>
      <c r="L567" s="9" t="b">
        <f t="shared" si="44"/>
        <v>1</v>
      </c>
      <c r="M567" s="1" t="b">
        <f>IF(OR(入力シート!$C$5&lt;&gt;入力リスト!$N$4,入力シート!$J$22&lt;&gt;入力リスト!$K$4),TRUE,IF($F$2=入力リスト!$Q$4,IF(F567-INT(F567)&lt;0.6,TRUE,FALSE),TRUE))</f>
        <v>1</v>
      </c>
      <c r="N567" s="9" t="str">
        <f>IF(F567="","",IF($F$2=入力リスト!$Q$4,ROUNDDOWN(INT(F567)+ROUNDDOWN((F567-INT(F567))*100,0)/60,2),従業員の給与情報!F567))</f>
        <v/>
      </c>
      <c r="O567" s="8"/>
      <c r="P567" s="8"/>
    </row>
    <row r="568" spans="1:16">
      <c r="A568" s="119"/>
      <c r="B568" s="2"/>
      <c r="C568" s="369"/>
      <c r="D568" s="369"/>
      <c r="E568" s="369"/>
      <c r="F568" s="370"/>
      <c r="G568" s="248" t="str">
        <f t="shared" si="40"/>
        <v/>
      </c>
      <c r="H568" s="1" t="b">
        <f>IF(B568="",FALSE,COUNTIF('従業員情報(給与以外)'!$A$4:$A$1000000,$B568)=0)</f>
        <v>0</v>
      </c>
      <c r="I568" s="9" t="b">
        <f t="shared" si="41"/>
        <v>1</v>
      </c>
      <c r="J568" s="9" t="b">
        <f t="shared" si="42"/>
        <v>1</v>
      </c>
      <c r="K568" s="9" t="b">
        <f t="shared" si="43"/>
        <v>1</v>
      </c>
      <c r="L568" s="9" t="b">
        <f t="shared" si="44"/>
        <v>1</v>
      </c>
      <c r="M568" s="1" t="b">
        <f>IF(OR(入力シート!$C$5&lt;&gt;入力リスト!$N$4,入力シート!$J$22&lt;&gt;入力リスト!$K$4),TRUE,IF($F$2=入力リスト!$Q$4,IF(F568-INT(F568)&lt;0.6,TRUE,FALSE),TRUE))</f>
        <v>1</v>
      </c>
      <c r="N568" s="9" t="str">
        <f>IF(F568="","",IF($F$2=入力リスト!$Q$4,ROUNDDOWN(INT(F568)+ROUNDDOWN((F568-INT(F568))*100,0)/60,2),従業員の給与情報!F568))</f>
        <v/>
      </c>
      <c r="O568" s="8"/>
      <c r="P568" s="8"/>
    </row>
    <row r="569" spans="1:16">
      <c r="A569" s="119"/>
      <c r="B569" s="2"/>
      <c r="C569" s="369"/>
      <c r="D569" s="369"/>
      <c r="E569" s="369"/>
      <c r="F569" s="370"/>
      <c r="G569" s="248" t="str">
        <f t="shared" si="40"/>
        <v/>
      </c>
      <c r="H569" s="1" t="b">
        <f>IF(B569="",FALSE,COUNTIF('従業員情報(給与以外)'!$A$4:$A$1000000,$B569)=0)</f>
        <v>0</v>
      </c>
      <c r="I569" s="9" t="b">
        <f t="shared" si="41"/>
        <v>1</v>
      </c>
      <c r="J569" s="9" t="b">
        <f t="shared" si="42"/>
        <v>1</v>
      </c>
      <c r="K569" s="9" t="b">
        <f t="shared" si="43"/>
        <v>1</v>
      </c>
      <c r="L569" s="9" t="b">
        <f t="shared" si="44"/>
        <v>1</v>
      </c>
      <c r="M569" s="1" t="b">
        <f>IF(OR(入力シート!$C$5&lt;&gt;入力リスト!$N$4,入力シート!$J$22&lt;&gt;入力リスト!$K$4),TRUE,IF($F$2=入力リスト!$Q$4,IF(F569-INT(F569)&lt;0.6,TRUE,FALSE),TRUE))</f>
        <v>1</v>
      </c>
      <c r="N569" s="9" t="str">
        <f>IF(F569="","",IF($F$2=入力リスト!$Q$4,ROUNDDOWN(INT(F569)+ROUNDDOWN((F569-INT(F569))*100,0)/60,2),従業員の給与情報!F569))</f>
        <v/>
      </c>
      <c r="O569" s="8"/>
      <c r="P569" s="8"/>
    </row>
    <row r="570" spans="1:16">
      <c r="A570" s="119"/>
      <c r="B570" s="2"/>
      <c r="C570" s="369"/>
      <c r="D570" s="369"/>
      <c r="E570" s="369"/>
      <c r="F570" s="370"/>
      <c r="G570" s="248" t="str">
        <f t="shared" si="40"/>
        <v/>
      </c>
      <c r="H570" s="1" t="b">
        <f>IF(B570="",FALSE,COUNTIF('従業員情報(給与以外)'!$A$4:$A$1000000,$B570)=0)</f>
        <v>0</v>
      </c>
      <c r="I570" s="9" t="b">
        <f t="shared" si="41"/>
        <v>1</v>
      </c>
      <c r="J570" s="9" t="b">
        <f t="shared" si="42"/>
        <v>1</v>
      </c>
      <c r="K570" s="9" t="b">
        <f t="shared" si="43"/>
        <v>1</v>
      </c>
      <c r="L570" s="9" t="b">
        <f t="shared" si="44"/>
        <v>1</v>
      </c>
      <c r="M570" s="1" t="b">
        <f>IF(OR(入力シート!$C$5&lt;&gt;入力リスト!$N$4,入力シート!$J$22&lt;&gt;入力リスト!$K$4),TRUE,IF($F$2=入力リスト!$Q$4,IF(F570-INT(F570)&lt;0.6,TRUE,FALSE),TRUE))</f>
        <v>1</v>
      </c>
      <c r="N570" s="9" t="str">
        <f>IF(F570="","",IF($F$2=入力リスト!$Q$4,ROUNDDOWN(INT(F570)+ROUNDDOWN((F570-INT(F570))*100,0)/60,2),従業員の給与情報!F570))</f>
        <v/>
      </c>
      <c r="O570" s="8"/>
      <c r="P570" s="8"/>
    </row>
    <row r="571" spans="1:16">
      <c r="A571" s="119"/>
      <c r="B571" s="2"/>
      <c r="C571" s="369"/>
      <c r="D571" s="369"/>
      <c r="E571" s="369"/>
      <c r="F571" s="370"/>
      <c r="G571" s="248" t="str">
        <f t="shared" si="40"/>
        <v/>
      </c>
      <c r="H571" s="1" t="b">
        <f>IF(B571="",FALSE,COUNTIF('従業員情報(給与以外)'!$A$4:$A$1000000,$B571)=0)</f>
        <v>0</v>
      </c>
      <c r="I571" s="9" t="b">
        <f t="shared" si="41"/>
        <v>1</v>
      </c>
      <c r="J571" s="9" t="b">
        <f t="shared" si="42"/>
        <v>1</v>
      </c>
      <c r="K571" s="9" t="b">
        <f t="shared" si="43"/>
        <v>1</v>
      </c>
      <c r="L571" s="9" t="b">
        <f t="shared" si="44"/>
        <v>1</v>
      </c>
      <c r="M571" s="1" t="b">
        <f>IF(OR(入力シート!$C$5&lt;&gt;入力リスト!$N$4,入力シート!$J$22&lt;&gt;入力リスト!$K$4),TRUE,IF($F$2=入力リスト!$Q$4,IF(F571-INT(F571)&lt;0.6,TRUE,FALSE),TRUE))</f>
        <v>1</v>
      </c>
      <c r="N571" s="9" t="str">
        <f>IF(F571="","",IF($F$2=入力リスト!$Q$4,ROUNDDOWN(INT(F571)+ROUNDDOWN((F571-INT(F571))*100,0)/60,2),従業員の給与情報!F571))</f>
        <v/>
      </c>
      <c r="O571" s="8"/>
      <c r="P571" s="8"/>
    </row>
    <row r="572" spans="1:16">
      <c r="A572" s="119"/>
      <c r="B572" s="2"/>
      <c r="C572" s="369"/>
      <c r="D572" s="369"/>
      <c r="E572" s="369"/>
      <c r="F572" s="370"/>
      <c r="G572" s="248" t="str">
        <f t="shared" si="40"/>
        <v/>
      </c>
      <c r="H572" s="1" t="b">
        <f>IF(B572="",FALSE,COUNTIF('従業員情報(給与以外)'!$A$4:$A$1000000,$B572)=0)</f>
        <v>0</v>
      </c>
      <c r="I572" s="9" t="b">
        <f t="shared" si="41"/>
        <v>1</v>
      </c>
      <c r="J572" s="9" t="b">
        <f t="shared" si="42"/>
        <v>1</v>
      </c>
      <c r="K572" s="9" t="b">
        <f t="shared" si="43"/>
        <v>1</v>
      </c>
      <c r="L572" s="9" t="b">
        <f t="shared" si="44"/>
        <v>1</v>
      </c>
      <c r="M572" s="1" t="b">
        <f>IF(OR(入力シート!$C$5&lt;&gt;入力リスト!$N$4,入力シート!$J$22&lt;&gt;入力リスト!$K$4),TRUE,IF($F$2=入力リスト!$Q$4,IF(F572-INT(F572)&lt;0.6,TRUE,FALSE),TRUE))</f>
        <v>1</v>
      </c>
      <c r="N572" s="9" t="str">
        <f>IF(F572="","",IF($F$2=入力リスト!$Q$4,ROUNDDOWN(INT(F572)+ROUNDDOWN((F572-INT(F572))*100,0)/60,2),従業員の給与情報!F572))</f>
        <v/>
      </c>
      <c r="O572" s="8"/>
      <c r="P572" s="8"/>
    </row>
    <row r="573" spans="1:16">
      <c r="A573" s="119"/>
      <c r="B573" s="2"/>
      <c r="C573" s="369"/>
      <c r="D573" s="369"/>
      <c r="E573" s="369"/>
      <c r="F573" s="370"/>
      <c r="G573" s="248" t="str">
        <f t="shared" si="40"/>
        <v/>
      </c>
      <c r="H573" s="1" t="b">
        <f>IF(B573="",FALSE,COUNTIF('従業員情報(給与以外)'!$A$4:$A$1000000,$B573)=0)</f>
        <v>0</v>
      </c>
      <c r="I573" s="9" t="b">
        <f t="shared" si="41"/>
        <v>1</v>
      </c>
      <c r="J573" s="9" t="b">
        <f t="shared" si="42"/>
        <v>1</v>
      </c>
      <c r="K573" s="9" t="b">
        <f t="shared" si="43"/>
        <v>1</v>
      </c>
      <c r="L573" s="9" t="b">
        <f t="shared" si="44"/>
        <v>1</v>
      </c>
      <c r="M573" s="1" t="b">
        <f>IF(OR(入力シート!$C$5&lt;&gt;入力リスト!$N$4,入力シート!$J$22&lt;&gt;入力リスト!$K$4),TRUE,IF($F$2=入力リスト!$Q$4,IF(F573-INT(F573)&lt;0.6,TRUE,FALSE),TRUE))</f>
        <v>1</v>
      </c>
      <c r="N573" s="9" t="str">
        <f>IF(F573="","",IF($F$2=入力リスト!$Q$4,ROUNDDOWN(INT(F573)+ROUNDDOWN((F573-INT(F573))*100,0)/60,2),従業員の給与情報!F573))</f>
        <v/>
      </c>
      <c r="O573" s="8"/>
      <c r="P573" s="8"/>
    </row>
    <row r="574" spans="1:16">
      <c r="A574" s="119"/>
      <c r="B574" s="2"/>
      <c r="C574" s="369"/>
      <c r="D574" s="369"/>
      <c r="E574" s="369"/>
      <c r="F574" s="370"/>
      <c r="G574" s="248" t="str">
        <f t="shared" si="40"/>
        <v/>
      </c>
      <c r="H574" s="1" t="b">
        <f>IF(B574="",FALSE,COUNTIF('従業員情報(給与以外)'!$A$4:$A$1000000,$B574)=0)</f>
        <v>0</v>
      </c>
      <c r="I574" s="9" t="b">
        <f t="shared" si="41"/>
        <v>1</v>
      </c>
      <c r="J574" s="9" t="b">
        <f t="shared" si="42"/>
        <v>1</v>
      </c>
      <c r="K574" s="9" t="b">
        <f t="shared" si="43"/>
        <v>1</v>
      </c>
      <c r="L574" s="9" t="b">
        <f t="shared" si="44"/>
        <v>1</v>
      </c>
      <c r="M574" s="1" t="b">
        <f>IF(OR(入力シート!$C$5&lt;&gt;入力リスト!$N$4,入力シート!$J$22&lt;&gt;入力リスト!$K$4),TRUE,IF($F$2=入力リスト!$Q$4,IF(F574-INT(F574)&lt;0.6,TRUE,FALSE),TRUE))</f>
        <v>1</v>
      </c>
      <c r="N574" s="9" t="str">
        <f>IF(F574="","",IF($F$2=入力リスト!$Q$4,ROUNDDOWN(INT(F574)+ROUNDDOWN((F574-INT(F574))*100,0)/60,2),従業員の給与情報!F574))</f>
        <v/>
      </c>
      <c r="O574" s="8"/>
      <c r="P574" s="8"/>
    </row>
    <row r="575" spans="1:16">
      <c r="A575" s="119"/>
      <c r="B575" s="2"/>
      <c r="C575" s="369"/>
      <c r="D575" s="369"/>
      <c r="E575" s="369"/>
      <c r="F575" s="370"/>
      <c r="G575" s="248" t="str">
        <f t="shared" si="40"/>
        <v/>
      </c>
      <c r="H575" s="1" t="b">
        <f>IF(B575="",FALSE,COUNTIF('従業員情報(給与以外)'!$A$4:$A$1000000,$B575)=0)</f>
        <v>0</v>
      </c>
      <c r="I575" s="9" t="b">
        <f t="shared" si="41"/>
        <v>1</v>
      </c>
      <c r="J575" s="9" t="b">
        <f t="shared" si="42"/>
        <v>1</v>
      </c>
      <c r="K575" s="9" t="b">
        <f t="shared" si="43"/>
        <v>1</v>
      </c>
      <c r="L575" s="9" t="b">
        <f t="shared" si="44"/>
        <v>1</v>
      </c>
      <c r="M575" s="1" t="b">
        <f>IF(OR(入力シート!$C$5&lt;&gt;入力リスト!$N$4,入力シート!$J$22&lt;&gt;入力リスト!$K$4),TRUE,IF($F$2=入力リスト!$Q$4,IF(F575-INT(F575)&lt;0.6,TRUE,FALSE),TRUE))</f>
        <v>1</v>
      </c>
      <c r="N575" s="9" t="str">
        <f>IF(F575="","",IF($F$2=入力リスト!$Q$4,ROUNDDOWN(INT(F575)+ROUNDDOWN((F575-INT(F575))*100,0)/60,2),従業員の給与情報!F575))</f>
        <v/>
      </c>
      <c r="O575" s="8"/>
      <c r="P575" s="8"/>
    </row>
    <row r="576" spans="1:16">
      <c r="A576" s="119"/>
      <c r="B576" s="2"/>
      <c r="C576" s="369"/>
      <c r="D576" s="369"/>
      <c r="E576" s="369"/>
      <c r="F576" s="370"/>
      <c r="G576" s="248" t="str">
        <f t="shared" si="40"/>
        <v/>
      </c>
      <c r="H576" s="1" t="b">
        <f>IF(B576="",FALSE,COUNTIF('従業員情報(給与以外)'!$A$4:$A$1000000,$B576)=0)</f>
        <v>0</v>
      </c>
      <c r="I576" s="9" t="b">
        <f t="shared" si="41"/>
        <v>1</v>
      </c>
      <c r="J576" s="9" t="b">
        <f t="shared" si="42"/>
        <v>1</v>
      </c>
      <c r="K576" s="9" t="b">
        <f t="shared" si="43"/>
        <v>1</v>
      </c>
      <c r="L576" s="9" t="b">
        <f t="shared" si="44"/>
        <v>1</v>
      </c>
      <c r="M576" s="1" t="b">
        <f>IF(OR(入力シート!$C$5&lt;&gt;入力リスト!$N$4,入力シート!$J$22&lt;&gt;入力リスト!$K$4),TRUE,IF($F$2=入力リスト!$Q$4,IF(F576-INT(F576)&lt;0.6,TRUE,FALSE),TRUE))</f>
        <v>1</v>
      </c>
      <c r="N576" s="9" t="str">
        <f>IF(F576="","",IF($F$2=入力リスト!$Q$4,ROUNDDOWN(INT(F576)+ROUNDDOWN((F576-INT(F576))*100,0)/60,2),従業員の給与情報!F576))</f>
        <v/>
      </c>
      <c r="O576" s="8"/>
      <c r="P576" s="8"/>
    </row>
    <row r="577" spans="1:16">
      <c r="A577" s="119"/>
      <c r="B577" s="2"/>
      <c r="C577" s="369"/>
      <c r="D577" s="369"/>
      <c r="E577" s="369"/>
      <c r="F577" s="370"/>
      <c r="G577" s="248" t="str">
        <f t="shared" si="40"/>
        <v/>
      </c>
      <c r="H577" s="1" t="b">
        <f>IF(B577="",FALSE,COUNTIF('従業員情報(給与以外)'!$A$4:$A$1000000,$B577)=0)</f>
        <v>0</v>
      </c>
      <c r="I577" s="9" t="b">
        <f t="shared" si="41"/>
        <v>1</v>
      </c>
      <c r="J577" s="9" t="b">
        <f t="shared" si="42"/>
        <v>1</v>
      </c>
      <c r="K577" s="9" t="b">
        <f t="shared" si="43"/>
        <v>1</v>
      </c>
      <c r="L577" s="9" t="b">
        <f t="shared" si="44"/>
        <v>1</v>
      </c>
      <c r="M577" s="1" t="b">
        <f>IF(OR(入力シート!$C$5&lt;&gt;入力リスト!$N$4,入力シート!$J$22&lt;&gt;入力リスト!$K$4),TRUE,IF($F$2=入力リスト!$Q$4,IF(F577-INT(F577)&lt;0.6,TRUE,FALSE),TRUE))</f>
        <v>1</v>
      </c>
      <c r="N577" s="9" t="str">
        <f>IF(F577="","",IF($F$2=入力リスト!$Q$4,ROUNDDOWN(INT(F577)+ROUNDDOWN((F577-INT(F577))*100,0)/60,2),従業員の給与情報!F577))</f>
        <v/>
      </c>
      <c r="O577" s="8"/>
      <c r="P577" s="8"/>
    </row>
    <row r="578" spans="1:16">
      <c r="A578" s="119"/>
      <c r="B578" s="2"/>
      <c r="C578" s="369"/>
      <c r="D578" s="369"/>
      <c r="E578" s="369"/>
      <c r="F578" s="370"/>
      <c r="G578" s="248" t="str">
        <f t="shared" si="40"/>
        <v/>
      </c>
      <c r="H578" s="1" t="b">
        <f>IF(B578="",FALSE,COUNTIF('従業員情報(給与以外)'!$A$4:$A$1000000,$B578)=0)</f>
        <v>0</v>
      </c>
      <c r="I578" s="9" t="b">
        <f t="shared" si="41"/>
        <v>1</v>
      </c>
      <c r="J578" s="9" t="b">
        <f t="shared" si="42"/>
        <v>1</v>
      </c>
      <c r="K578" s="9" t="b">
        <f t="shared" si="43"/>
        <v>1</v>
      </c>
      <c r="L578" s="9" t="b">
        <f t="shared" si="44"/>
        <v>1</v>
      </c>
      <c r="M578" s="1" t="b">
        <f>IF(OR(入力シート!$C$5&lt;&gt;入力リスト!$N$4,入力シート!$J$22&lt;&gt;入力リスト!$K$4),TRUE,IF($F$2=入力リスト!$Q$4,IF(F578-INT(F578)&lt;0.6,TRUE,FALSE),TRUE))</f>
        <v>1</v>
      </c>
      <c r="N578" s="9" t="str">
        <f>IF(F578="","",IF($F$2=入力リスト!$Q$4,ROUNDDOWN(INT(F578)+ROUNDDOWN((F578-INT(F578))*100,0)/60,2),従業員の給与情報!F578))</f>
        <v/>
      </c>
      <c r="O578" s="8"/>
      <c r="P578" s="8"/>
    </row>
    <row r="579" spans="1:16">
      <c r="A579" s="119"/>
      <c r="B579" s="2"/>
      <c r="C579" s="369"/>
      <c r="D579" s="369"/>
      <c r="E579" s="369"/>
      <c r="F579" s="370"/>
      <c r="G579" s="248" t="str">
        <f t="shared" si="40"/>
        <v/>
      </c>
      <c r="H579" s="1" t="b">
        <f>IF(B579="",FALSE,COUNTIF('従業員情報(給与以外)'!$A$4:$A$1000000,$B579)=0)</f>
        <v>0</v>
      </c>
      <c r="I579" s="9" t="b">
        <f t="shared" si="41"/>
        <v>1</v>
      </c>
      <c r="J579" s="9" t="b">
        <f t="shared" si="42"/>
        <v>1</v>
      </c>
      <c r="K579" s="9" t="b">
        <f t="shared" si="43"/>
        <v>1</v>
      </c>
      <c r="L579" s="9" t="b">
        <f t="shared" si="44"/>
        <v>1</v>
      </c>
      <c r="M579" s="1" t="b">
        <f>IF(OR(入力シート!$C$5&lt;&gt;入力リスト!$N$4,入力シート!$J$22&lt;&gt;入力リスト!$K$4),TRUE,IF($F$2=入力リスト!$Q$4,IF(F579-INT(F579)&lt;0.6,TRUE,FALSE),TRUE))</f>
        <v>1</v>
      </c>
      <c r="N579" s="9" t="str">
        <f>IF(F579="","",IF($F$2=入力リスト!$Q$4,ROUNDDOWN(INT(F579)+ROUNDDOWN((F579-INT(F579))*100,0)/60,2),従業員の給与情報!F579))</f>
        <v/>
      </c>
      <c r="O579" s="8"/>
      <c r="P579" s="8"/>
    </row>
    <row r="580" spans="1:16">
      <c r="A580" s="119"/>
      <c r="B580" s="2"/>
      <c r="C580" s="369"/>
      <c r="D580" s="369"/>
      <c r="E580" s="369"/>
      <c r="F580" s="370"/>
      <c r="G580" s="248" t="str">
        <f t="shared" si="40"/>
        <v/>
      </c>
      <c r="H580" s="1" t="b">
        <f>IF(B580="",FALSE,COUNTIF('従業員情報(給与以外)'!$A$4:$A$1000000,$B580)=0)</f>
        <v>0</v>
      </c>
      <c r="I580" s="9" t="b">
        <f t="shared" si="41"/>
        <v>1</v>
      </c>
      <c r="J580" s="9" t="b">
        <f t="shared" si="42"/>
        <v>1</v>
      </c>
      <c r="K580" s="9" t="b">
        <f t="shared" si="43"/>
        <v>1</v>
      </c>
      <c r="L580" s="9" t="b">
        <f t="shared" si="44"/>
        <v>1</v>
      </c>
      <c r="M580" s="1" t="b">
        <f>IF(OR(入力シート!$C$5&lt;&gt;入力リスト!$N$4,入力シート!$J$22&lt;&gt;入力リスト!$K$4),TRUE,IF($F$2=入力リスト!$Q$4,IF(F580-INT(F580)&lt;0.6,TRUE,FALSE),TRUE))</f>
        <v>1</v>
      </c>
      <c r="N580" s="9" t="str">
        <f>IF(F580="","",IF($F$2=入力リスト!$Q$4,ROUNDDOWN(INT(F580)+ROUNDDOWN((F580-INT(F580))*100,0)/60,2),従業員の給与情報!F580))</f>
        <v/>
      </c>
      <c r="O580" s="8"/>
      <c r="P580" s="8"/>
    </row>
    <row r="581" spans="1:16">
      <c r="A581" s="119"/>
      <c r="B581" s="2"/>
      <c r="C581" s="369"/>
      <c r="D581" s="369"/>
      <c r="E581" s="369"/>
      <c r="F581" s="370"/>
      <c r="G581" s="248" t="str">
        <f t="shared" ref="G581:G644" si="45">IF(AND($B581="",OR(B581&lt;&gt;"",C581&lt;&gt;"",D581&lt;&gt;"",E581&lt;&gt;"",F581&lt;&gt;"")),"従業員番号が空白です。",IF($H581=TRUE,"この従業員番号は、シート［従業員情報（給与以外）］に存在しません。",IF(I581=FALSE,"「毎月の固定給与額」","")&amp;IF(AND(I581=FALSE,OR(J581=FALSE,K581=FALSE,L581=FALSE)),",","")&amp;IF(J581=FALSE,"「賞与額等」","")&amp;IF(AND(J581=FALSE,OR(K581=FALSE,L581=FALSE)),",","")&amp;IF(K581=FALSE,"「残業手当」","")&amp;IF(AND(K581=FALSE,L581=FALSE),",","")&amp;IF(L581=FALSE,"「残業時間」","")&amp;IF(OR(I581=FALSE,J581=FALSE,K581=FALSE,L581=FALSE),"に数値以外が入力されています。","")&amp;IF(M581,"","「残業時間」を分単位で入力した場合、小数点以下の値は0.6未満にしてください。")))</f>
        <v/>
      </c>
      <c r="H581" s="1" t="b">
        <f>IF(B581="",FALSE,COUNTIF('従業員情報(給与以外)'!$A$4:$A$1000000,$B581)=0)</f>
        <v>0</v>
      </c>
      <c r="I581" s="9" t="b">
        <f t="shared" ref="I581:I644" si="46">OR(C581="",ISNUMBER(C581))</f>
        <v>1</v>
      </c>
      <c r="J581" s="9" t="b">
        <f t="shared" ref="J581:J644" si="47">OR(D581="",ISNUMBER(D581))</f>
        <v>1</v>
      </c>
      <c r="K581" s="9" t="b">
        <f t="shared" ref="K581:K644" si="48">OR(E581="",ISNUMBER(E581))</f>
        <v>1</v>
      </c>
      <c r="L581" s="9" t="b">
        <f t="shared" ref="L581:L644" si="49">OR(F581="",ISNUMBER(F581))</f>
        <v>1</v>
      </c>
      <c r="M581" s="1" t="b">
        <f>IF(OR(入力シート!$C$5&lt;&gt;入力リスト!$N$4,入力シート!$J$22&lt;&gt;入力リスト!$K$4),TRUE,IF($F$2=入力リスト!$Q$4,IF(F581-INT(F581)&lt;0.6,TRUE,FALSE),TRUE))</f>
        <v>1</v>
      </c>
      <c r="N581" s="9" t="str">
        <f>IF(F581="","",IF($F$2=入力リスト!$Q$4,ROUNDDOWN(INT(F581)+ROUNDDOWN((F581-INT(F581))*100,0)/60,2),従業員の給与情報!F581))</f>
        <v/>
      </c>
      <c r="O581" s="8"/>
      <c r="P581" s="8"/>
    </row>
    <row r="582" spans="1:16">
      <c r="A582" s="119"/>
      <c r="B582" s="2"/>
      <c r="C582" s="369"/>
      <c r="D582" s="369"/>
      <c r="E582" s="369"/>
      <c r="F582" s="370"/>
      <c r="G582" s="248" t="str">
        <f t="shared" si="45"/>
        <v/>
      </c>
      <c r="H582" s="1" t="b">
        <f>IF(B582="",FALSE,COUNTIF('従業員情報(給与以外)'!$A$4:$A$1000000,$B582)=0)</f>
        <v>0</v>
      </c>
      <c r="I582" s="9" t="b">
        <f t="shared" si="46"/>
        <v>1</v>
      </c>
      <c r="J582" s="9" t="b">
        <f t="shared" si="47"/>
        <v>1</v>
      </c>
      <c r="K582" s="9" t="b">
        <f t="shared" si="48"/>
        <v>1</v>
      </c>
      <c r="L582" s="9" t="b">
        <f t="shared" si="49"/>
        <v>1</v>
      </c>
      <c r="M582" s="1" t="b">
        <f>IF(OR(入力シート!$C$5&lt;&gt;入力リスト!$N$4,入力シート!$J$22&lt;&gt;入力リスト!$K$4),TRUE,IF($F$2=入力リスト!$Q$4,IF(F582-INT(F582)&lt;0.6,TRUE,FALSE),TRUE))</f>
        <v>1</v>
      </c>
      <c r="N582" s="9" t="str">
        <f>IF(F582="","",IF($F$2=入力リスト!$Q$4,ROUNDDOWN(INT(F582)+ROUNDDOWN((F582-INT(F582))*100,0)/60,2),従業員の給与情報!F582))</f>
        <v/>
      </c>
      <c r="O582" s="8"/>
      <c r="P582" s="8"/>
    </row>
    <row r="583" spans="1:16">
      <c r="A583" s="119"/>
      <c r="B583" s="2"/>
      <c r="C583" s="369"/>
      <c r="D583" s="369"/>
      <c r="E583" s="369"/>
      <c r="F583" s="370"/>
      <c r="G583" s="248" t="str">
        <f t="shared" si="45"/>
        <v/>
      </c>
      <c r="H583" s="1" t="b">
        <f>IF(B583="",FALSE,COUNTIF('従業員情報(給与以外)'!$A$4:$A$1000000,$B583)=0)</f>
        <v>0</v>
      </c>
      <c r="I583" s="9" t="b">
        <f t="shared" si="46"/>
        <v>1</v>
      </c>
      <c r="J583" s="9" t="b">
        <f t="shared" si="47"/>
        <v>1</v>
      </c>
      <c r="K583" s="9" t="b">
        <f t="shared" si="48"/>
        <v>1</v>
      </c>
      <c r="L583" s="9" t="b">
        <f t="shared" si="49"/>
        <v>1</v>
      </c>
      <c r="M583" s="1" t="b">
        <f>IF(OR(入力シート!$C$5&lt;&gt;入力リスト!$N$4,入力シート!$J$22&lt;&gt;入力リスト!$K$4),TRUE,IF($F$2=入力リスト!$Q$4,IF(F583-INT(F583)&lt;0.6,TRUE,FALSE),TRUE))</f>
        <v>1</v>
      </c>
      <c r="N583" s="9" t="str">
        <f>IF(F583="","",IF($F$2=入力リスト!$Q$4,ROUNDDOWN(INT(F583)+ROUNDDOWN((F583-INT(F583))*100,0)/60,2),従業員の給与情報!F583))</f>
        <v/>
      </c>
      <c r="O583" s="8"/>
      <c r="P583" s="8"/>
    </row>
    <row r="584" spans="1:16">
      <c r="A584" s="119"/>
      <c r="B584" s="2"/>
      <c r="C584" s="369"/>
      <c r="D584" s="369"/>
      <c r="E584" s="369"/>
      <c r="F584" s="370"/>
      <c r="G584" s="248" t="str">
        <f t="shared" si="45"/>
        <v/>
      </c>
      <c r="H584" s="1" t="b">
        <f>IF(B584="",FALSE,COUNTIF('従業員情報(給与以外)'!$A$4:$A$1000000,$B584)=0)</f>
        <v>0</v>
      </c>
      <c r="I584" s="9" t="b">
        <f t="shared" si="46"/>
        <v>1</v>
      </c>
      <c r="J584" s="9" t="b">
        <f t="shared" si="47"/>
        <v>1</v>
      </c>
      <c r="K584" s="9" t="b">
        <f t="shared" si="48"/>
        <v>1</v>
      </c>
      <c r="L584" s="9" t="b">
        <f t="shared" si="49"/>
        <v>1</v>
      </c>
      <c r="M584" s="1" t="b">
        <f>IF(OR(入力シート!$C$5&lt;&gt;入力リスト!$N$4,入力シート!$J$22&lt;&gt;入力リスト!$K$4),TRUE,IF($F$2=入力リスト!$Q$4,IF(F584-INT(F584)&lt;0.6,TRUE,FALSE),TRUE))</f>
        <v>1</v>
      </c>
      <c r="N584" s="9" t="str">
        <f>IF(F584="","",IF($F$2=入力リスト!$Q$4,ROUNDDOWN(INT(F584)+ROUNDDOWN((F584-INT(F584))*100,0)/60,2),従業員の給与情報!F584))</f>
        <v/>
      </c>
      <c r="O584" s="8"/>
      <c r="P584" s="8"/>
    </row>
    <row r="585" spans="1:16">
      <c r="A585" s="119"/>
      <c r="B585" s="2"/>
      <c r="C585" s="369"/>
      <c r="D585" s="369"/>
      <c r="E585" s="369"/>
      <c r="F585" s="370"/>
      <c r="G585" s="248" t="str">
        <f t="shared" si="45"/>
        <v/>
      </c>
      <c r="H585" s="1" t="b">
        <f>IF(B585="",FALSE,COUNTIF('従業員情報(給与以外)'!$A$4:$A$1000000,$B585)=0)</f>
        <v>0</v>
      </c>
      <c r="I585" s="9" t="b">
        <f t="shared" si="46"/>
        <v>1</v>
      </c>
      <c r="J585" s="9" t="b">
        <f t="shared" si="47"/>
        <v>1</v>
      </c>
      <c r="K585" s="9" t="b">
        <f t="shared" si="48"/>
        <v>1</v>
      </c>
      <c r="L585" s="9" t="b">
        <f t="shared" si="49"/>
        <v>1</v>
      </c>
      <c r="M585" s="1" t="b">
        <f>IF(OR(入力シート!$C$5&lt;&gt;入力リスト!$N$4,入力シート!$J$22&lt;&gt;入力リスト!$K$4),TRUE,IF($F$2=入力リスト!$Q$4,IF(F585-INT(F585)&lt;0.6,TRUE,FALSE),TRUE))</f>
        <v>1</v>
      </c>
      <c r="N585" s="9" t="str">
        <f>IF(F585="","",IF($F$2=入力リスト!$Q$4,ROUNDDOWN(INT(F585)+ROUNDDOWN((F585-INT(F585))*100,0)/60,2),従業員の給与情報!F585))</f>
        <v/>
      </c>
      <c r="O585" s="8"/>
      <c r="P585" s="8"/>
    </row>
    <row r="586" spans="1:16">
      <c r="A586" s="119"/>
      <c r="B586" s="2"/>
      <c r="C586" s="369"/>
      <c r="D586" s="369"/>
      <c r="E586" s="369"/>
      <c r="F586" s="370"/>
      <c r="G586" s="248" t="str">
        <f t="shared" si="45"/>
        <v/>
      </c>
      <c r="H586" s="1" t="b">
        <f>IF(B586="",FALSE,COUNTIF('従業員情報(給与以外)'!$A$4:$A$1000000,$B586)=0)</f>
        <v>0</v>
      </c>
      <c r="I586" s="9" t="b">
        <f t="shared" si="46"/>
        <v>1</v>
      </c>
      <c r="J586" s="9" t="b">
        <f t="shared" si="47"/>
        <v>1</v>
      </c>
      <c r="K586" s="9" t="b">
        <f t="shared" si="48"/>
        <v>1</v>
      </c>
      <c r="L586" s="9" t="b">
        <f t="shared" si="49"/>
        <v>1</v>
      </c>
      <c r="M586" s="1" t="b">
        <f>IF(OR(入力シート!$C$5&lt;&gt;入力リスト!$N$4,入力シート!$J$22&lt;&gt;入力リスト!$K$4),TRUE,IF($F$2=入力リスト!$Q$4,IF(F586-INT(F586)&lt;0.6,TRUE,FALSE),TRUE))</f>
        <v>1</v>
      </c>
      <c r="N586" s="9" t="str">
        <f>IF(F586="","",IF($F$2=入力リスト!$Q$4,ROUNDDOWN(INT(F586)+ROUNDDOWN((F586-INT(F586))*100,0)/60,2),従業員の給与情報!F586))</f>
        <v/>
      </c>
      <c r="O586" s="8"/>
      <c r="P586" s="8"/>
    </row>
    <row r="587" spans="1:16">
      <c r="A587" s="119"/>
      <c r="B587" s="2"/>
      <c r="C587" s="369"/>
      <c r="D587" s="369"/>
      <c r="E587" s="369"/>
      <c r="F587" s="370"/>
      <c r="G587" s="248" t="str">
        <f t="shared" si="45"/>
        <v/>
      </c>
      <c r="H587" s="1" t="b">
        <f>IF(B587="",FALSE,COUNTIF('従業員情報(給与以外)'!$A$4:$A$1000000,$B587)=0)</f>
        <v>0</v>
      </c>
      <c r="I587" s="9" t="b">
        <f t="shared" si="46"/>
        <v>1</v>
      </c>
      <c r="J587" s="9" t="b">
        <f t="shared" si="47"/>
        <v>1</v>
      </c>
      <c r="K587" s="9" t="b">
        <f t="shared" si="48"/>
        <v>1</v>
      </c>
      <c r="L587" s="9" t="b">
        <f t="shared" si="49"/>
        <v>1</v>
      </c>
      <c r="M587" s="1" t="b">
        <f>IF(OR(入力シート!$C$5&lt;&gt;入力リスト!$N$4,入力シート!$J$22&lt;&gt;入力リスト!$K$4),TRUE,IF($F$2=入力リスト!$Q$4,IF(F587-INT(F587)&lt;0.6,TRUE,FALSE),TRUE))</f>
        <v>1</v>
      </c>
      <c r="N587" s="9" t="str">
        <f>IF(F587="","",IF($F$2=入力リスト!$Q$4,ROUNDDOWN(INT(F587)+ROUNDDOWN((F587-INT(F587))*100,0)/60,2),従業員の給与情報!F587))</f>
        <v/>
      </c>
      <c r="O587" s="8"/>
      <c r="P587" s="8"/>
    </row>
    <row r="588" spans="1:16">
      <c r="A588" s="119"/>
      <c r="B588" s="2"/>
      <c r="C588" s="369"/>
      <c r="D588" s="369"/>
      <c r="E588" s="369"/>
      <c r="F588" s="370"/>
      <c r="G588" s="248" t="str">
        <f t="shared" si="45"/>
        <v/>
      </c>
      <c r="H588" s="1" t="b">
        <f>IF(B588="",FALSE,COUNTIF('従業員情報(給与以外)'!$A$4:$A$1000000,$B588)=0)</f>
        <v>0</v>
      </c>
      <c r="I588" s="9" t="b">
        <f t="shared" si="46"/>
        <v>1</v>
      </c>
      <c r="J588" s="9" t="b">
        <f t="shared" si="47"/>
        <v>1</v>
      </c>
      <c r="K588" s="9" t="b">
        <f t="shared" si="48"/>
        <v>1</v>
      </c>
      <c r="L588" s="9" t="b">
        <f t="shared" si="49"/>
        <v>1</v>
      </c>
      <c r="M588" s="1" t="b">
        <f>IF(OR(入力シート!$C$5&lt;&gt;入力リスト!$N$4,入力シート!$J$22&lt;&gt;入力リスト!$K$4),TRUE,IF($F$2=入力リスト!$Q$4,IF(F588-INT(F588)&lt;0.6,TRUE,FALSE),TRUE))</f>
        <v>1</v>
      </c>
      <c r="N588" s="9" t="str">
        <f>IF(F588="","",IF($F$2=入力リスト!$Q$4,ROUNDDOWN(INT(F588)+ROUNDDOWN((F588-INT(F588))*100,0)/60,2),従業員の給与情報!F588))</f>
        <v/>
      </c>
      <c r="O588" s="8"/>
      <c r="P588" s="8"/>
    </row>
    <row r="589" spans="1:16">
      <c r="A589" s="119"/>
      <c r="B589" s="2"/>
      <c r="C589" s="369"/>
      <c r="D589" s="369"/>
      <c r="E589" s="369"/>
      <c r="F589" s="370"/>
      <c r="G589" s="248" t="str">
        <f t="shared" si="45"/>
        <v/>
      </c>
      <c r="H589" s="1" t="b">
        <f>IF(B589="",FALSE,COUNTIF('従業員情報(給与以外)'!$A$4:$A$1000000,$B589)=0)</f>
        <v>0</v>
      </c>
      <c r="I589" s="9" t="b">
        <f t="shared" si="46"/>
        <v>1</v>
      </c>
      <c r="J589" s="9" t="b">
        <f t="shared" si="47"/>
        <v>1</v>
      </c>
      <c r="K589" s="9" t="b">
        <f t="shared" si="48"/>
        <v>1</v>
      </c>
      <c r="L589" s="9" t="b">
        <f t="shared" si="49"/>
        <v>1</v>
      </c>
      <c r="M589" s="1" t="b">
        <f>IF(OR(入力シート!$C$5&lt;&gt;入力リスト!$N$4,入力シート!$J$22&lt;&gt;入力リスト!$K$4),TRUE,IF($F$2=入力リスト!$Q$4,IF(F589-INT(F589)&lt;0.6,TRUE,FALSE),TRUE))</f>
        <v>1</v>
      </c>
      <c r="N589" s="9" t="str">
        <f>IF(F589="","",IF($F$2=入力リスト!$Q$4,ROUNDDOWN(INT(F589)+ROUNDDOWN((F589-INT(F589))*100,0)/60,2),従業員の給与情報!F589))</f>
        <v/>
      </c>
      <c r="O589" s="8"/>
      <c r="P589" s="8"/>
    </row>
    <row r="590" spans="1:16">
      <c r="A590" s="119"/>
      <c r="B590" s="2"/>
      <c r="C590" s="369"/>
      <c r="D590" s="369"/>
      <c r="E590" s="369"/>
      <c r="F590" s="370"/>
      <c r="G590" s="248" t="str">
        <f t="shared" si="45"/>
        <v/>
      </c>
      <c r="H590" s="1" t="b">
        <f>IF(B590="",FALSE,COUNTIF('従業員情報(給与以外)'!$A$4:$A$1000000,$B590)=0)</f>
        <v>0</v>
      </c>
      <c r="I590" s="9" t="b">
        <f t="shared" si="46"/>
        <v>1</v>
      </c>
      <c r="J590" s="9" t="b">
        <f t="shared" si="47"/>
        <v>1</v>
      </c>
      <c r="K590" s="9" t="b">
        <f t="shared" si="48"/>
        <v>1</v>
      </c>
      <c r="L590" s="9" t="b">
        <f t="shared" si="49"/>
        <v>1</v>
      </c>
      <c r="M590" s="1" t="b">
        <f>IF(OR(入力シート!$C$5&lt;&gt;入力リスト!$N$4,入力シート!$J$22&lt;&gt;入力リスト!$K$4),TRUE,IF($F$2=入力リスト!$Q$4,IF(F590-INT(F590)&lt;0.6,TRUE,FALSE),TRUE))</f>
        <v>1</v>
      </c>
      <c r="N590" s="9" t="str">
        <f>IF(F590="","",IF($F$2=入力リスト!$Q$4,ROUNDDOWN(INT(F590)+ROUNDDOWN((F590-INT(F590))*100,0)/60,2),従業員の給与情報!F590))</f>
        <v/>
      </c>
      <c r="O590" s="8"/>
      <c r="P590" s="8"/>
    </row>
    <row r="591" spans="1:16">
      <c r="A591" s="119"/>
      <c r="B591" s="2"/>
      <c r="C591" s="369"/>
      <c r="D591" s="369"/>
      <c r="E591" s="369"/>
      <c r="F591" s="370"/>
      <c r="G591" s="248" t="str">
        <f t="shared" si="45"/>
        <v/>
      </c>
      <c r="H591" s="1" t="b">
        <f>IF(B591="",FALSE,COUNTIF('従業員情報(給与以外)'!$A$4:$A$1000000,$B591)=0)</f>
        <v>0</v>
      </c>
      <c r="I591" s="9" t="b">
        <f t="shared" si="46"/>
        <v>1</v>
      </c>
      <c r="J591" s="9" t="b">
        <f t="shared" si="47"/>
        <v>1</v>
      </c>
      <c r="K591" s="9" t="b">
        <f t="shared" si="48"/>
        <v>1</v>
      </c>
      <c r="L591" s="9" t="b">
        <f t="shared" si="49"/>
        <v>1</v>
      </c>
      <c r="M591" s="1" t="b">
        <f>IF(OR(入力シート!$C$5&lt;&gt;入力リスト!$N$4,入力シート!$J$22&lt;&gt;入力リスト!$K$4),TRUE,IF($F$2=入力リスト!$Q$4,IF(F591-INT(F591)&lt;0.6,TRUE,FALSE),TRUE))</f>
        <v>1</v>
      </c>
      <c r="N591" s="9" t="str">
        <f>IF(F591="","",IF($F$2=入力リスト!$Q$4,ROUNDDOWN(INT(F591)+ROUNDDOWN((F591-INT(F591))*100,0)/60,2),従業員の給与情報!F591))</f>
        <v/>
      </c>
      <c r="O591" s="8"/>
      <c r="P591" s="8"/>
    </row>
    <row r="592" spans="1:16">
      <c r="A592" s="119"/>
      <c r="B592" s="2"/>
      <c r="C592" s="369"/>
      <c r="D592" s="369"/>
      <c r="E592" s="369"/>
      <c r="F592" s="370"/>
      <c r="G592" s="248" t="str">
        <f t="shared" si="45"/>
        <v/>
      </c>
      <c r="H592" s="1" t="b">
        <f>IF(B592="",FALSE,COUNTIF('従業員情報(給与以外)'!$A$4:$A$1000000,$B592)=0)</f>
        <v>0</v>
      </c>
      <c r="I592" s="9" t="b">
        <f t="shared" si="46"/>
        <v>1</v>
      </c>
      <c r="J592" s="9" t="b">
        <f t="shared" si="47"/>
        <v>1</v>
      </c>
      <c r="K592" s="9" t="b">
        <f t="shared" si="48"/>
        <v>1</v>
      </c>
      <c r="L592" s="9" t="b">
        <f t="shared" si="49"/>
        <v>1</v>
      </c>
      <c r="M592" s="1" t="b">
        <f>IF(OR(入力シート!$C$5&lt;&gt;入力リスト!$N$4,入力シート!$J$22&lt;&gt;入力リスト!$K$4),TRUE,IF($F$2=入力リスト!$Q$4,IF(F592-INT(F592)&lt;0.6,TRUE,FALSE),TRUE))</f>
        <v>1</v>
      </c>
      <c r="N592" s="9" t="str">
        <f>IF(F592="","",IF($F$2=入力リスト!$Q$4,ROUNDDOWN(INT(F592)+ROUNDDOWN((F592-INT(F592))*100,0)/60,2),従業員の給与情報!F592))</f>
        <v/>
      </c>
      <c r="O592" s="8"/>
      <c r="P592" s="8"/>
    </row>
    <row r="593" spans="1:16">
      <c r="A593" s="119"/>
      <c r="B593" s="2"/>
      <c r="C593" s="369"/>
      <c r="D593" s="369"/>
      <c r="E593" s="369"/>
      <c r="F593" s="370"/>
      <c r="G593" s="248" t="str">
        <f t="shared" si="45"/>
        <v/>
      </c>
      <c r="H593" s="1" t="b">
        <f>IF(B593="",FALSE,COUNTIF('従業員情報(給与以外)'!$A$4:$A$1000000,$B593)=0)</f>
        <v>0</v>
      </c>
      <c r="I593" s="9" t="b">
        <f t="shared" si="46"/>
        <v>1</v>
      </c>
      <c r="J593" s="9" t="b">
        <f t="shared" si="47"/>
        <v>1</v>
      </c>
      <c r="K593" s="9" t="b">
        <f t="shared" si="48"/>
        <v>1</v>
      </c>
      <c r="L593" s="9" t="b">
        <f t="shared" si="49"/>
        <v>1</v>
      </c>
      <c r="M593" s="1" t="b">
        <f>IF(OR(入力シート!$C$5&lt;&gt;入力リスト!$N$4,入力シート!$J$22&lt;&gt;入力リスト!$K$4),TRUE,IF($F$2=入力リスト!$Q$4,IF(F593-INT(F593)&lt;0.6,TRUE,FALSE),TRUE))</f>
        <v>1</v>
      </c>
      <c r="N593" s="9" t="str">
        <f>IF(F593="","",IF($F$2=入力リスト!$Q$4,ROUNDDOWN(INT(F593)+ROUNDDOWN((F593-INT(F593))*100,0)/60,2),従業員の給与情報!F593))</f>
        <v/>
      </c>
      <c r="O593" s="8"/>
      <c r="P593" s="8"/>
    </row>
    <row r="594" spans="1:16">
      <c r="A594" s="119"/>
      <c r="B594" s="2"/>
      <c r="C594" s="369"/>
      <c r="D594" s="369"/>
      <c r="E594" s="369"/>
      <c r="F594" s="370"/>
      <c r="G594" s="248" t="str">
        <f t="shared" si="45"/>
        <v/>
      </c>
      <c r="H594" s="1" t="b">
        <f>IF(B594="",FALSE,COUNTIF('従業員情報(給与以外)'!$A$4:$A$1000000,$B594)=0)</f>
        <v>0</v>
      </c>
      <c r="I594" s="9" t="b">
        <f t="shared" si="46"/>
        <v>1</v>
      </c>
      <c r="J594" s="9" t="b">
        <f t="shared" si="47"/>
        <v>1</v>
      </c>
      <c r="K594" s="9" t="b">
        <f t="shared" si="48"/>
        <v>1</v>
      </c>
      <c r="L594" s="9" t="b">
        <f t="shared" si="49"/>
        <v>1</v>
      </c>
      <c r="M594" s="1" t="b">
        <f>IF(OR(入力シート!$C$5&lt;&gt;入力リスト!$N$4,入力シート!$J$22&lt;&gt;入力リスト!$K$4),TRUE,IF($F$2=入力リスト!$Q$4,IF(F594-INT(F594)&lt;0.6,TRUE,FALSE),TRUE))</f>
        <v>1</v>
      </c>
      <c r="N594" s="9" t="str">
        <f>IF(F594="","",IF($F$2=入力リスト!$Q$4,ROUNDDOWN(INT(F594)+ROUNDDOWN((F594-INT(F594))*100,0)/60,2),従業員の給与情報!F594))</f>
        <v/>
      </c>
      <c r="O594" s="8"/>
      <c r="P594" s="8"/>
    </row>
    <row r="595" spans="1:16">
      <c r="A595" s="119"/>
      <c r="B595" s="2"/>
      <c r="C595" s="369"/>
      <c r="D595" s="369"/>
      <c r="E595" s="369"/>
      <c r="F595" s="370"/>
      <c r="G595" s="248" t="str">
        <f t="shared" si="45"/>
        <v/>
      </c>
      <c r="H595" s="1" t="b">
        <f>IF(B595="",FALSE,COUNTIF('従業員情報(給与以外)'!$A$4:$A$1000000,$B595)=0)</f>
        <v>0</v>
      </c>
      <c r="I595" s="9" t="b">
        <f t="shared" si="46"/>
        <v>1</v>
      </c>
      <c r="J595" s="9" t="b">
        <f t="shared" si="47"/>
        <v>1</v>
      </c>
      <c r="K595" s="9" t="b">
        <f t="shared" si="48"/>
        <v>1</v>
      </c>
      <c r="L595" s="9" t="b">
        <f t="shared" si="49"/>
        <v>1</v>
      </c>
      <c r="M595" s="1" t="b">
        <f>IF(OR(入力シート!$C$5&lt;&gt;入力リスト!$N$4,入力シート!$J$22&lt;&gt;入力リスト!$K$4),TRUE,IF($F$2=入力リスト!$Q$4,IF(F595-INT(F595)&lt;0.6,TRUE,FALSE),TRUE))</f>
        <v>1</v>
      </c>
      <c r="N595" s="9" t="str">
        <f>IF(F595="","",IF($F$2=入力リスト!$Q$4,ROUNDDOWN(INT(F595)+ROUNDDOWN((F595-INT(F595))*100,0)/60,2),従業員の給与情報!F595))</f>
        <v/>
      </c>
      <c r="O595" s="8"/>
      <c r="P595" s="8"/>
    </row>
    <row r="596" spans="1:16">
      <c r="A596" s="119"/>
      <c r="B596" s="2"/>
      <c r="C596" s="369"/>
      <c r="D596" s="369"/>
      <c r="E596" s="369"/>
      <c r="F596" s="370"/>
      <c r="G596" s="248" t="str">
        <f t="shared" si="45"/>
        <v/>
      </c>
      <c r="H596" s="1" t="b">
        <f>IF(B596="",FALSE,COUNTIF('従業員情報(給与以外)'!$A$4:$A$1000000,$B596)=0)</f>
        <v>0</v>
      </c>
      <c r="I596" s="9" t="b">
        <f t="shared" si="46"/>
        <v>1</v>
      </c>
      <c r="J596" s="9" t="b">
        <f t="shared" si="47"/>
        <v>1</v>
      </c>
      <c r="K596" s="9" t="b">
        <f t="shared" si="48"/>
        <v>1</v>
      </c>
      <c r="L596" s="9" t="b">
        <f t="shared" si="49"/>
        <v>1</v>
      </c>
      <c r="M596" s="1" t="b">
        <f>IF(OR(入力シート!$C$5&lt;&gt;入力リスト!$N$4,入力シート!$J$22&lt;&gt;入力リスト!$K$4),TRUE,IF($F$2=入力リスト!$Q$4,IF(F596-INT(F596)&lt;0.6,TRUE,FALSE),TRUE))</f>
        <v>1</v>
      </c>
      <c r="N596" s="9" t="str">
        <f>IF(F596="","",IF($F$2=入力リスト!$Q$4,ROUNDDOWN(INT(F596)+ROUNDDOWN((F596-INT(F596))*100,0)/60,2),従業員の給与情報!F596))</f>
        <v/>
      </c>
      <c r="O596" s="8"/>
      <c r="P596" s="8"/>
    </row>
    <row r="597" spans="1:16">
      <c r="A597" s="119"/>
      <c r="B597" s="2"/>
      <c r="C597" s="369"/>
      <c r="D597" s="369"/>
      <c r="E597" s="369"/>
      <c r="F597" s="370"/>
      <c r="G597" s="248" t="str">
        <f t="shared" si="45"/>
        <v/>
      </c>
      <c r="H597" s="1" t="b">
        <f>IF(B597="",FALSE,COUNTIF('従業員情報(給与以外)'!$A$4:$A$1000000,$B597)=0)</f>
        <v>0</v>
      </c>
      <c r="I597" s="9" t="b">
        <f t="shared" si="46"/>
        <v>1</v>
      </c>
      <c r="J597" s="9" t="b">
        <f t="shared" si="47"/>
        <v>1</v>
      </c>
      <c r="K597" s="9" t="b">
        <f t="shared" si="48"/>
        <v>1</v>
      </c>
      <c r="L597" s="9" t="b">
        <f t="shared" si="49"/>
        <v>1</v>
      </c>
      <c r="M597" s="1" t="b">
        <f>IF(OR(入力シート!$C$5&lt;&gt;入力リスト!$N$4,入力シート!$J$22&lt;&gt;入力リスト!$K$4),TRUE,IF($F$2=入力リスト!$Q$4,IF(F597-INT(F597)&lt;0.6,TRUE,FALSE),TRUE))</f>
        <v>1</v>
      </c>
      <c r="N597" s="9" t="str">
        <f>IF(F597="","",IF($F$2=入力リスト!$Q$4,ROUNDDOWN(INT(F597)+ROUNDDOWN((F597-INT(F597))*100,0)/60,2),従業員の給与情報!F597))</f>
        <v/>
      </c>
      <c r="O597" s="8"/>
      <c r="P597" s="8"/>
    </row>
    <row r="598" spans="1:16">
      <c r="A598" s="119"/>
      <c r="B598" s="2"/>
      <c r="C598" s="369"/>
      <c r="D598" s="369"/>
      <c r="E598" s="369"/>
      <c r="F598" s="370"/>
      <c r="G598" s="248" t="str">
        <f t="shared" si="45"/>
        <v/>
      </c>
      <c r="H598" s="1" t="b">
        <f>IF(B598="",FALSE,COUNTIF('従業員情報(給与以外)'!$A$4:$A$1000000,$B598)=0)</f>
        <v>0</v>
      </c>
      <c r="I598" s="9" t="b">
        <f t="shared" si="46"/>
        <v>1</v>
      </c>
      <c r="J598" s="9" t="b">
        <f t="shared" si="47"/>
        <v>1</v>
      </c>
      <c r="K598" s="9" t="b">
        <f t="shared" si="48"/>
        <v>1</v>
      </c>
      <c r="L598" s="9" t="b">
        <f t="shared" si="49"/>
        <v>1</v>
      </c>
      <c r="M598" s="1" t="b">
        <f>IF(OR(入力シート!$C$5&lt;&gt;入力リスト!$N$4,入力シート!$J$22&lt;&gt;入力リスト!$K$4),TRUE,IF($F$2=入力リスト!$Q$4,IF(F598-INT(F598)&lt;0.6,TRUE,FALSE),TRUE))</f>
        <v>1</v>
      </c>
      <c r="N598" s="9" t="str">
        <f>IF(F598="","",IF($F$2=入力リスト!$Q$4,ROUNDDOWN(INT(F598)+ROUNDDOWN((F598-INT(F598))*100,0)/60,2),従業員の給与情報!F598))</f>
        <v/>
      </c>
      <c r="O598" s="8"/>
      <c r="P598" s="8"/>
    </row>
    <row r="599" spans="1:16">
      <c r="A599" s="119"/>
      <c r="B599" s="2"/>
      <c r="C599" s="369"/>
      <c r="D599" s="369"/>
      <c r="E599" s="369"/>
      <c r="F599" s="370"/>
      <c r="G599" s="248" t="str">
        <f t="shared" si="45"/>
        <v/>
      </c>
      <c r="H599" s="1" t="b">
        <f>IF(B599="",FALSE,COUNTIF('従業員情報(給与以外)'!$A$4:$A$1000000,$B599)=0)</f>
        <v>0</v>
      </c>
      <c r="I599" s="9" t="b">
        <f t="shared" si="46"/>
        <v>1</v>
      </c>
      <c r="J599" s="9" t="b">
        <f t="shared" si="47"/>
        <v>1</v>
      </c>
      <c r="K599" s="9" t="b">
        <f t="shared" si="48"/>
        <v>1</v>
      </c>
      <c r="L599" s="9" t="b">
        <f t="shared" si="49"/>
        <v>1</v>
      </c>
      <c r="M599" s="1" t="b">
        <f>IF(OR(入力シート!$C$5&lt;&gt;入力リスト!$N$4,入力シート!$J$22&lt;&gt;入力リスト!$K$4),TRUE,IF($F$2=入力リスト!$Q$4,IF(F599-INT(F599)&lt;0.6,TRUE,FALSE),TRUE))</f>
        <v>1</v>
      </c>
      <c r="N599" s="9" t="str">
        <f>IF(F599="","",IF($F$2=入力リスト!$Q$4,ROUNDDOWN(INT(F599)+ROUNDDOWN((F599-INT(F599))*100,0)/60,2),従業員の給与情報!F599))</f>
        <v/>
      </c>
      <c r="O599" s="8"/>
      <c r="P599" s="8"/>
    </row>
    <row r="600" spans="1:16">
      <c r="A600" s="119"/>
      <c r="B600" s="2"/>
      <c r="C600" s="369"/>
      <c r="D600" s="369"/>
      <c r="E600" s="369"/>
      <c r="F600" s="370"/>
      <c r="G600" s="248" t="str">
        <f t="shared" si="45"/>
        <v/>
      </c>
      <c r="H600" s="1" t="b">
        <f>IF(B600="",FALSE,COUNTIF('従業員情報(給与以外)'!$A$4:$A$1000000,$B600)=0)</f>
        <v>0</v>
      </c>
      <c r="I600" s="9" t="b">
        <f t="shared" si="46"/>
        <v>1</v>
      </c>
      <c r="J600" s="9" t="b">
        <f t="shared" si="47"/>
        <v>1</v>
      </c>
      <c r="K600" s="9" t="b">
        <f t="shared" si="48"/>
        <v>1</v>
      </c>
      <c r="L600" s="9" t="b">
        <f t="shared" si="49"/>
        <v>1</v>
      </c>
      <c r="M600" s="1" t="b">
        <f>IF(OR(入力シート!$C$5&lt;&gt;入力リスト!$N$4,入力シート!$J$22&lt;&gt;入力リスト!$K$4),TRUE,IF($F$2=入力リスト!$Q$4,IF(F600-INT(F600)&lt;0.6,TRUE,FALSE),TRUE))</f>
        <v>1</v>
      </c>
      <c r="N600" s="9" t="str">
        <f>IF(F600="","",IF($F$2=入力リスト!$Q$4,ROUNDDOWN(INT(F600)+ROUNDDOWN((F600-INT(F600))*100,0)/60,2),従業員の給与情報!F600))</f>
        <v/>
      </c>
      <c r="O600" s="8"/>
      <c r="P600" s="8"/>
    </row>
    <row r="601" spans="1:16">
      <c r="A601" s="119"/>
      <c r="B601" s="2"/>
      <c r="C601" s="369"/>
      <c r="D601" s="369"/>
      <c r="E601" s="369"/>
      <c r="F601" s="370"/>
      <c r="G601" s="248" t="str">
        <f t="shared" si="45"/>
        <v/>
      </c>
      <c r="H601" s="1" t="b">
        <f>IF(B601="",FALSE,COUNTIF('従業員情報(給与以外)'!$A$4:$A$1000000,$B601)=0)</f>
        <v>0</v>
      </c>
      <c r="I601" s="9" t="b">
        <f t="shared" si="46"/>
        <v>1</v>
      </c>
      <c r="J601" s="9" t="b">
        <f t="shared" si="47"/>
        <v>1</v>
      </c>
      <c r="K601" s="9" t="b">
        <f t="shared" si="48"/>
        <v>1</v>
      </c>
      <c r="L601" s="9" t="b">
        <f t="shared" si="49"/>
        <v>1</v>
      </c>
      <c r="M601" s="1" t="b">
        <f>IF(OR(入力シート!$C$5&lt;&gt;入力リスト!$N$4,入力シート!$J$22&lt;&gt;入力リスト!$K$4),TRUE,IF($F$2=入力リスト!$Q$4,IF(F601-INT(F601)&lt;0.6,TRUE,FALSE),TRUE))</f>
        <v>1</v>
      </c>
      <c r="N601" s="9" t="str">
        <f>IF(F601="","",IF($F$2=入力リスト!$Q$4,ROUNDDOWN(INT(F601)+ROUNDDOWN((F601-INT(F601))*100,0)/60,2),従業員の給与情報!F601))</f>
        <v/>
      </c>
      <c r="O601" s="8"/>
      <c r="P601" s="8"/>
    </row>
    <row r="602" spans="1:16">
      <c r="A602" s="119"/>
      <c r="B602" s="2"/>
      <c r="C602" s="369"/>
      <c r="D602" s="369"/>
      <c r="E602" s="369"/>
      <c r="F602" s="370"/>
      <c r="G602" s="248" t="str">
        <f t="shared" si="45"/>
        <v/>
      </c>
      <c r="H602" s="1" t="b">
        <f>IF(B602="",FALSE,COUNTIF('従業員情報(給与以外)'!$A$4:$A$1000000,$B602)=0)</f>
        <v>0</v>
      </c>
      <c r="I602" s="9" t="b">
        <f t="shared" si="46"/>
        <v>1</v>
      </c>
      <c r="J602" s="9" t="b">
        <f t="shared" si="47"/>
        <v>1</v>
      </c>
      <c r="K602" s="9" t="b">
        <f t="shared" si="48"/>
        <v>1</v>
      </c>
      <c r="L602" s="9" t="b">
        <f t="shared" si="49"/>
        <v>1</v>
      </c>
      <c r="M602" s="1" t="b">
        <f>IF(OR(入力シート!$C$5&lt;&gt;入力リスト!$N$4,入力シート!$J$22&lt;&gt;入力リスト!$K$4),TRUE,IF($F$2=入力リスト!$Q$4,IF(F602-INT(F602)&lt;0.6,TRUE,FALSE),TRUE))</f>
        <v>1</v>
      </c>
      <c r="N602" s="9" t="str">
        <f>IF(F602="","",IF($F$2=入力リスト!$Q$4,ROUNDDOWN(INT(F602)+ROUNDDOWN((F602-INT(F602))*100,0)/60,2),従業員の給与情報!F602))</f>
        <v/>
      </c>
      <c r="O602" s="8"/>
      <c r="P602" s="8"/>
    </row>
    <row r="603" spans="1:16">
      <c r="A603" s="119"/>
      <c r="B603" s="2"/>
      <c r="C603" s="369"/>
      <c r="D603" s="369"/>
      <c r="E603" s="369"/>
      <c r="F603" s="370"/>
      <c r="G603" s="248" t="str">
        <f t="shared" si="45"/>
        <v/>
      </c>
      <c r="H603" s="1" t="b">
        <f>IF(B603="",FALSE,COUNTIF('従業員情報(給与以外)'!$A$4:$A$1000000,$B603)=0)</f>
        <v>0</v>
      </c>
      <c r="I603" s="9" t="b">
        <f t="shared" si="46"/>
        <v>1</v>
      </c>
      <c r="J603" s="9" t="b">
        <f t="shared" si="47"/>
        <v>1</v>
      </c>
      <c r="K603" s="9" t="b">
        <f t="shared" si="48"/>
        <v>1</v>
      </c>
      <c r="L603" s="9" t="b">
        <f t="shared" si="49"/>
        <v>1</v>
      </c>
      <c r="M603" s="1" t="b">
        <f>IF(OR(入力シート!$C$5&lt;&gt;入力リスト!$N$4,入力シート!$J$22&lt;&gt;入力リスト!$K$4),TRUE,IF($F$2=入力リスト!$Q$4,IF(F603-INT(F603)&lt;0.6,TRUE,FALSE),TRUE))</f>
        <v>1</v>
      </c>
      <c r="N603" s="9" t="str">
        <f>IF(F603="","",IF($F$2=入力リスト!$Q$4,ROUNDDOWN(INT(F603)+ROUNDDOWN((F603-INT(F603))*100,0)/60,2),従業員の給与情報!F603))</f>
        <v/>
      </c>
      <c r="O603" s="8"/>
      <c r="P603" s="8"/>
    </row>
    <row r="604" spans="1:16">
      <c r="A604" s="119"/>
      <c r="B604" s="2"/>
      <c r="C604" s="369"/>
      <c r="D604" s="369"/>
      <c r="E604" s="369"/>
      <c r="F604" s="370"/>
      <c r="G604" s="248" t="str">
        <f t="shared" si="45"/>
        <v/>
      </c>
      <c r="H604" s="1" t="b">
        <f>IF(B604="",FALSE,COUNTIF('従業員情報(給与以外)'!$A$4:$A$1000000,$B604)=0)</f>
        <v>0</v>
      </c>
      <c r="I604" s="9" t="b">
        <f t="shared" si="46"/>
        <v>1</v>
      </c>
      <c r="J604" s="9" t="b">
        <f t="shared" si="47"/>
        <v>1</v>
      </c>
      <c r="K604" s="9" t="b">
        <f t="shared" si="48"/>
        <v>1</v>
      </c>
      <c r="L604" s="9" t="b">
        <f t="shared" si="49"/>
        <v>1</v>
      </c>
      <c r="M604" s="1" t="b">
        <f>IF(OR(入力シート!$C$5&lt;&gt;入力リスト!$N$4,入力シート!$J$22&lt;&gt;入力リスト!$K$4),TRUE,IF($F$2=入力リスト!$Q$4,IF(F604-INT(F604)&lt;0.6,TRUE,FALSE),TRUE))</f>
        <v>1</v>
      </c>
      <c r="N604" s="9" t="str">
        <f>IF(F604="","",IF($F$2=入力リスト!$Q$4,ROUNDDOWN(INT(F604)+ROUNDDOWN((F604-INT(F604))*100,0)/60,2),従業員の給与情報!F604))</f>
        <v/>
      </c>
      <c r="O604" s="8"/>
      <c r="P604" s="8"/>
    </row>
    <row r="605" spans="1:16">
      <c r="A605" s="119"/>
      <c r="B605" s="2"/>
      <c r="C605" s="369"/>
      <c r="D605" s="369"/>
      <c r="E605" s="369"/>
      <c r="F605" s="370"/>
      <c r="G605" s="248" t="str">
        <f t="shared" si="45"/>
        <v/>
      </c>
      <c r="H605" s="1" t="b">
        <f>IF(B605="",FALSE,COUNTIF('従業員情報(給与以外)'!$A$4:$A$1000000,$B605)=0)</f>
        <v>0</v>
      </c>
      <c r="I605" s="9" t="b">
        <f t="shared" si="46"/>
        <v>1</v>
      </c>
      <c r="J605" s="9" t="b">
        <f t="shared" si="47"/>
        <v>1</v>
      </c>
      <c r="K605" s="9" t="b">
        <f t="shared" si="48"/>
        <v>1</v>
      </c>
      <c r="L605" s="9" t="b">
        <f t="shared" si="49"/>
        <v>1</v>
      </c>
      <c r="M605" s="1" t="b">
        <f>IF(OR(入力シート!$C$5&lt;&gt;入力リスト!$N$4,入力シート!$J$22&lt;&gt;入力リスト!$K$4),TRUE,IF($F$2=入力リスト!$Q$4,IF(F605-INT(F605)&lt;0.6,TRUE,FALSE),TRUE))</f>
        <v>1</v>
      </c>
      <c r="N605" s="9" t="str">
        <f>IF(F605="","",IF($F$2=入力リスト!$Q$4,ROUNDDOWN(INT(F605)+ROUNDDOWN((F605-INT(F605))*100,0)/60,2),従業員の給与情報!F605))</f>
        <v/>
      </c>
      <c r="O605" s="8"/>
      <c r="P605" s="8"/>
    </row>
    <row r="606" spans="1:16">
      <c r="A606" s="119"/>
      <c r="B606" s="2"/>
      <c r="C606" s="369"/>
      <c r="D606" s="369"/>
      <c r="E606" s="369"/>
      <c r="F606" s="370"/>
      <c r="G606" s="248" t="str">
        <f t="shared" si="45"/>
        <v/>
      </c>
      <c r="H606" s="1" t="b">
        <f>IF(B606="",FALSE,COUNTIF('従業員情報(給与以外)'!$A$4:$A$1000000,$B606)=0)</f>
        <v>0</v>
      </c>
      <c r="I606" s="9" t="b">
        <f t="shared" si="46"/>
        <v>1</v>
      </c>
      <c r="J606" s="9" t="b">
        <f t="shared" si="47"/>
        <v>1</v>
      </c>
      <c r="K606" s="9" t="b">
        <f t="shared" si="48"/>
        <v>1</v>
      </c>
      <c r="L606" s="9" t="b">
        <f t="shared" si="49"/>
        <v>1</v>
      </c>
      <c r="M606" s="1" t="b">
        <f>IF(OR(入力シート!$C$5&lt;&gt;入力リスト!$N$4,入力シート!$J$22&lt;&gt;入力リスト!$K$4),TRUE,IF($F$2=入力リスト!$Q$4,IF(F606-INT(F606)&lt;0.6,TRUE,FALSE),TRUE))</f>
        <v>1</v>
      </c>
      <c r="N606" s="9" t="str">
        <f>IF(F606="","",IF($F$2=入力リスト!$Q$4,ROUNDDOWN(INT(F606)+ROUNDDOWN((F606-INT(F606))*100,0)/60,2),従業員の給与情報!F606))</f>
        <v/>
      </c>
      <c r="O606" s="8"/>
      <c r="P606" s="8"/>
    </row>
    <row r="607" spans="1:16">
      <c r="A607" s="119"/>
      <c r="B607" s="2"/>
      <c r="C607" s="369"/>
      <c r="D607" s="369"/>
      <c r="E607" s="369"/>
      <c r="F607" s="370"/>
      <c r="G607" s="248" t="str">
        <f t="shared" si="45"/>
        <v/>
      </c>
      <c r="H607" s="1" t="b">
        <f>IF(B607="",FALSE,COUNTIF('従業員情報(給与以外)'!$A$4:$A$1000000,$B607)=0)</f>
        <v>0</v>
      </c>
      <c r="I607" s="9" t="b">
        <f t="shared" si="46"/>
        <v>1</v>
      </c>
      <c r="J607" s="9" t="b">
        <f t="shared" si="47"/>
        <v>1</v>
      </c>
      <c r="K607" s="9" t="b">
        <f t="shared" si="48"/>
        <v>1</v>
      </c>
      <c r="L607" s="9" t="b">
        <f t="shared" si="49"/>
        <v>1</v>
      </c>
      <c r="M607" s="1" t="b">
        <f>IF(OR(入力シート!$C$5&lt;&gt;入力リスト!$N$4,入力シート!$J$22&lt;&gt;入力リスト!$K$4),TRUE,IF($F$2=入力リスト!$Q$4,IF(F607-INT(F607)&lt;0.6,TRUE,FALSE),TRUE))</f>
        <v>1</v>
      </c>
      <c r="N607" s="9" t="str">
        <f>IF(F607="","",IF($F$2=入力リスト!$Q$4,ROUNDDOWN(INT(F607)+ROUNDDOWN((F607-INT(F607))*100,0)/60,2),従業員の給与情報!F607))</f>
        <v/>
      </c>
      <c r="O607" s="8"/>
      <c r="P607" s="8"/>
    </row>
    <row r="608" spans="1:16">
      <c r="A608" s="119"/>
      <c r="B608" s="2"/>
      <c r="C608" s="369"/>
      <c r="D608" s="369"/>
      <c r="E608" s="369"/>
      <c r="F608" s="370"/>
      <c r="G608" s="248" t="str">
        <f t="shared" si="45"/>
        <v/>
      </c>
      <c r="H608" s="1" t="b">
        <f>IF(B608="",FALSE,COUNTIF('従業員情報(給与以外)'!$A$4:$A$1000000,$B608)=0)</f>
        <v>0</v>
      </c>
      <c r="I608" s="9" t="b">
        <f t="shared" si="46"/>
        <v>1</v>
      </c>
      <c r="J608" s="9" t="b">
        <f t="shared" si="47"/>
        <v>1</v>
      </c>
      <c r="K608" s="9" t="b">
        <f t="shared" si="48"/>
        <v>1</v>
      </c>
      <c r="L608" s="9" t="b">
        <f t="shared" si="49"/>
        <v>1</v>
      </c>
      <c r="M608" s="1" t="b">
        <f>IF(OR(入力シート!$C$5&lt;&gt;入力リスト!$N$4,入力シート!$J$22&lt;&gt;入力リスト!$K$4),TRUE,IF($F$2=入力リスト!$Q$4,IF(F608-INT(F608)&lt;0.6,TRUE,FALSE),TRUE))</f>
        <v>1</v>
      </c>
      <c r="N608" s="9" t="str">
        <f>IF(F608="","",IF($F$2=入力リスト!$Q$4,ROUNDDOWN(INT(F608)+ROUNDDOWN((F608-INT(F608))*100,0)/60,2),従業員の給与情報!F608))</f>
        <v/>
      </c>
      <c r="O608" s="8"/>
      <c r="P608" s="8"/>
    </row>
    <row r="609" spans="1:16">
      <c r="A609" s="119"/>
      <c r="B609" s="2"/>
      <c r="C609" s="369"/>
      <c r="D609" s="369"/>
      <c r="E609" s="369"/>
      <c r="F609" s="370"/>
      <c r="G609" s="248" t="str">
        <f t="shared" si="45"/>
        <v/>
      </c>
      <c r="H609" s="1" t="b">
        <f>IF(B609="",FALSE,COUNTIF('従業員情報(給与以外)'!$A$4:$A$1000000,$B609)=0)</f>
        <v>0</v>
      </c>
      <c r="I609" s="9" t="b">
        <f t="shared" si="46"/>
        <v>1</v>
      </c>
      <c r="J609" s="9" t="b">
        <f t="shared" si="47"/>
        <v>1</v>
      </c>
      <c r="K609" s="9" t="b">
        <f t="shared" si="48"/>
        <v>1</v>
      </c>
      <c r="L609" s="9" t="b">
        <f t="shared" si="49"/>
        <v>1</v>
      </c>
      <c r="M609" s="1" t="b">
        <f>IF(OR(入力シート!$C$5&lt;&gt;入力リスト!$N$4,入力シート!$J$22&lt;&gt;入力リスト!$K$4),TRUE,IF($F$2=入力リスト!$Q$4,IF(F609-INT(F609)&lt;0.6,TRUE,FALSE),TRUE))</f>
        <v>1</v>
      </c>
      <c r="N609" s="9" t="str">
        <f>IF(F609="","",IF($F$2=入力リスト!$Q$4,ROUNDDOWN(INT(F609)+ROUNDDOWN((F609-INT(F609))*100,0)/60,2),従業員の給与情報!F609))</f>
        <v/>
      </c>
      <c r="O609" s="8"/>
      <c r="P609" s="8"/>
    </row>
    <row r="610" spans="1:16">
      <c r="A610" s="119"/>
      <c r="B610" s="2"/>
      <c r="C610" s="369"/>
      <c r="D610" s="369"/>
      <c r="E610" s="369"/>
      <c r="F610" s="370"/>
      <c r="G610" s="248" t="str">
        <f t="shared" si="45"/>
        <v/>
      </c>
      <c r="H610" s="1" t="b">
        <f>IF(B610="",FALSE,COUNTIF('従業員情報(給与以外)'!$A$4:$A$1000000,$B610)=0)</f>
        <v>0</v>
      </c>
      <c r="I610" s="9" t="b">
        <f t="shared" si="46"/>
        <v>1</v>
      </c>
      <c r="J610" s="9" t="b">
        <f t="shared" si="47"/>
        <v>1</v>
      </c>
      <c r="K610" s="9" t="b">
        <f t="shared" si="48"/>
        <v>1</v>
      </c>
      <c r="L610" s="9" t="b">
        <f t="shared" si="49"/>
        <v>1</v>
      </c>
      <c r="M610" s="1" t="b">
        <f>IF(OR(入力シート!$C$5&lt;&gt;入力リスト!$N$4,入力シート!$J$22&lt;&gt;入力リスト!$K$4),TRUE,IF($F$2=入力リスト!$Q$4,IF(F610-INT(F610)&lt;0.6,TRUE,FALSE),TRUE))</f>
        <v>1</v>
      </c>
      <c r="N610" s="9" t="str">
        <f>IF(F610="","",IF($F$2=入力リスト!$Q$4,ROUNDDOWN(INT(F610)+ROUNDDOWN((F610-INT(F610))*100,0)/60,2),従業員の給与情報!F610))</f>
        <v/>
      </c>
      <c r="O610" s="8"/>
      <c r="P610" s="8"/>
    </row>
    <row r="611" spans="1:16">
      <c r="A611" s="119"/>
      <c r="B611" s="2"/>
      <c r="C611" s="369"/>
      <c r="D611" s="369"/>
      <c r="E611" s="369"/>
      <c r="F611" s="370"/>
      <c r="G611" s="248" t="str">
        <f t="shared" si="45"/>
        <v/>
      </c>
      <c r="H611" s="1" t="b">
        <f>IF(B611="",FALSE,COUNTIF('従業員情報(給与以外)'!$A$4:$A$1000000,$B611)=0)</f>
        <v>0</v>
      </c>
      <c r="I611" s="9" t="b">
        <f t="shared" si="46"/>
        <v>1</v>
      </c>
      <c r="J611" s="9" t="b">
        <f t="shared" si="47"/>
        <v>1</v>
      </c>
      <c r="K611" s="9" t="b">
        <f t="shared" si="48"/>
        <v>1</v>
      </c>
      <c r="L611" s="9" t="b">
        <f t="shared" si="49"/>
        <v>1</v>
      </c>
      <c r="M611" s="1" t="b">
        <f>IF(OR(入力シート!$C$5&lt;&gt;入力リスト!$N$4,入力シート!$J$22&lt;&gt;入力リスト!$K$4),TRUE,IF($F$2=入力リスト!$Q$4,IF(F611-INT(F611)&lt;0.6,TRUE,FALSE),TRUE))</f>
        <v>1</v>
      </c>
      <c r="N611" s="9" t="str">
        <f>IF(F611="","",IF($F$2=入力リスト!$Q$4,ROUNDDOWN(INT(F611)+ROUNDDOWN((F611-INT(F611))*100,0)/60,2),従業員の給与情報!F611))</f>
        <v/>
      </c>
      <c r="O611" s="8"/>
      <c r="P611" s="8"/>
    </row>
    <row r="612" spans="1:16">
      <c r="A612" s="119"/>
      <c r="B612" s="2"/>
      <c r="C612" s="369"/>
      <c r="D612" s="369"/>
      <c r="E612" s="369"/>
      <c r="F612" s="370"/>
      <c r="G612" s="248" t="str">
        <f t="shared" si="45"/>
        <v/>
      </c>
      <c r="H612" s="1" t="b">
        <f>IF(B612="",FALSE,COUNTIF('従業員情報(給与以外)'!$A$4:$A$1000000,$B612)=0)</f>
        <v>0</v>
      </c>
      <c r="I612" s="9" t="b">
        <f t="shared" si="46"/>
        <v>1</v>
      </c>
      <c r="J612" s="9" t="b">
        <f t="shared" si="47"/>
        <v>1</v>
      </c>
      <c r="K612" s="9" t="b">
        <f t="shared" si="48"/>
        <v>1</v>
      </c>
      <c r="L612" s="9" t="b">
        <f t="shared" si="49"/>
        <v>1</v>
      </c>
      <c r="M612" s="1" t="b">
        <f>IF(OR(入力シート!$C$5&lt;&gt;入力リスト!$N$4,入力シート!$J$22&lt;&gt;入力リスト!$K$4),TRUE,IF($F$2=入力リスト!$Q$4,IF(F612-INT(F612)&lt;0.6,TRUE,FALSE),TRUE))</f>
        <v>1</v>
      </c>
      <c r="N612" s="9" t="str">
        <f>IF(F612="","",IF($F$2=入力リスト!$Q$4,ROUNDDOWN(INT(F612)+ROUNDDOWN((F612-INT(F612))*100,0)/60,2),従業員の給与情報!F612))</f>
        <v/>
      </c>
      <c r="O612" s="8"/>
      <c r="P612" s="8"/>
    </row>
    <row r="613" spans="1:16">
      <c r="A613" s="119"/>
      <c r="B613" s="2"/>
      <c r="C613" s="369"/>
      <c r="D613" s="369"/>
      <c r="E613" s="369"/>
      <c r="F613" s="370"/>
      <c r="G613" s="248" t="str">
        <f t="shared" si="45"/>
        <v/>
      </c>
      <c r="H613" s="1" t="b">
        <f>IF(B613="",FALSE,COUNTIF('従業員情報(給与以外)'!$A$4:$A$1000000,$B613)=0)</f>
        <v>0</v>
      </c>
      <c r="I613" s="9" t="b">
        <f t="shared" si="46"/>
        <v>1</v>
      </c>
      <c r="J613" s="9" t="b">
        <f t="shared" si="47"/>
        <v>1</v>
      </c>
      <c r="K613" s="9" t="b">
        <f t="shared" si="48"/>
        <v>1</v>
      </c>
      <c r="L613" s="9" t="b">
        <f t="shared" si="49"/>
        <v>1</v>
      </c>
      <c r="M613" s="1" t="b">
        <f>IF(OR(入力シート!$C$5&lt;&gt;入力リスト!$N$4,入力シート!$J$22&lt;&gt;入力リスト!$K$4),TRUE,IF($F$2=入力リスト!$Q$4,IF(F613-INT(F613)&lt;0.6,TRUE,FALSE),TRUE))</f>
        <v>1</v>
      </c>
      <c r="N613" s="9" t="str">
        <f>IF(F613="","",IF($F$2=入力リスト!$Q$4,ROUNDDOWN(INT(F613)+ROUNDDOWN((F613-INT(F613))*100,0)/60,2),従業員の給与情報!F613))</f>
        <v/>
      </c>
      <c r="O613" s="8"/>
      <c r="P613" s="8"/>
    </row>
    <row r="614" spans="1:16">
      <c r="A614" s="119"/>
      <c r="B614" s="2"/>
      <c r="C614" s="369"/>
      <c r="D614" s="369"/>
      <c r="E614" s="369"/>
      <c r="F614" s="370"/>
      <c r="G614" s="248" t="str">
        <f t="shared" si="45"/>
        <v/>
      </c>
      <c r="H614" s="1" t="b">
        <f>IF(B614="",FALSE,COUNTIF('従業員情報(給与以外)'!$A$4:$A$1000000,$B614)=0)</f>
        <v>0</v>
      </c>
      <c r="I614" s="9" t="b">
        <f t="shared" si="46"/>
        <v>1</v>
      </c>
      <c r="J614" s="9" t="b">
        <f t="shared" si="47"/>
        <v>1</v>
      </c>
      <c r="K614" s="9" t="b">
        <f t="shared" si="48"/>
        <v>1</v>
      </c>
      <c r="L614" s="9" t="b">
        <f t="shared" si="49"/>
        <v>1</v>
      </c>
      <c r="M614" s="1" t="b">
        <f>IF(OR(入力シート!$C$5&lt;&gt;入力リスト!$N$4,入力シート!$J$22&lt;&gt;入力リスト!$K$4),TRUE,IF($F$2=入力リスト!$Q$4,IF(F614-INT(F614)&lt;0.6,TRUE,FALSE),TRUE))</f>
        <v>1</v>
      </c>
      <c r="N614" s="9" t="str">
        <f>IF(F614="","",IF($F$2=入力リスト!$Q$4,ROUNDDOWN(INT(F614)+ROUNDDOWN((F614-INT(F614))*100,0)/60,2),従業員の給与情報!F614))</f>
        <v/>
      </c>
      <c r="O614" s="8"/>
      <c r="P614" s="8"/>
    </row>
    <row r="615" spans="1:16">
      <c r="A615" s="119"/>
      <c r="B615" s="2"/>
      <c r="C615" s="369"/>
      <c r="D615" s="369"/>
      <c r="E615" s="369"/>
      <c r="F615" s="370"/>
      <c r="G615" s="248" t="str">
        <f t="shared" si="45"/>
        <v/>
      </c>
      <c r="H615" s="1" t="b">
        <f>IF(B615="",FALSE,COUNTIF('従業員情報(給与以外)'!$A$4:$A$1000000,$B615)=0)</f>
        <v>0</v>
      </c>
      <c r="I615" s="9" t="b">
        <f t="shared" si="46"/>
        <v>1</v>
      </c>
      <c r="J615" s="9" t="b">
        <f t="shared" si="47"/>
        <v>1</v>
      </c>
      <c r="K615" s="9" t="b">
        <f t="shared" si="48"/>
        <v>1</v>
      </c>
      <c r="L615" s="9" t="b">
        <f t="shared" si="49"/>
        <v>1</v>
      </c>
      <c r="M615" s="1" t="b">
        <f>IF(OR(入力シート!$C$5&lt;&gt;入力リスト!$N$4,入力シート!$J$22&lt;&gt;入力リスト!$K$4),TRUE,IF($F$2=入力リスト!$Q$4,IF(F615-INT(F615)&lt;0.6,TRUE,FALSE),TRUE))</f>
        <v>1</v>
      </c>
      <c r="N615" s="9" t="str">
        <f>IF(F615="","",IF($F$2=入力リスト!$Q$4,ROUNDDOWN(INT(F615)+ROUNDDOWN((F615-INT(F615))*100,0)/60,2),従業員の給与情報!F615))</f>
        <v/>
      </c>
      <c r="O615" s="8"/>
      <c r="P615" s="8"/>
    </row>
    <row r="616" spans="1:16">
      <c r="A616" s="119"/>
      <c r="B616" s="2"/>
      <c r="C616" s="369"/>
      <c r="D616" s="369"/>
      <c r="E616" s="369"/>
      <c r="F616" s="370"/>
      <c r="G616" s="248" t="str">
        <f t="shared" si="45"/>
        <v/>
      </c>
      <c r="H616" s="1" t="b">
        <f>IF(B616="",FALSE,COUNTIF('従業員情報(給与以外)'!$A$4:$A$1000000,$B616)=0)</f>
        <v>0</v>
      </c>
      <c r="I616" s="9" t="b">
        <f t="shared" si="46"/>
        <v>1</v>
      </c>
      <c r="J616" s="9" t="b">
        <f t="shared" si="47"/>
        <v>1</v>
      </c>
      <c r="K616" s="9" t="b">
        <f t="shared" si="48"/>
        <v>1</v>
      </c>
      <c r="L616" s="9" t="b">
        <f t="shared" si="49"/>
        <v>1</v>
      </c>
      <c r="M616" s="1" t="b">
        <f>IF(OR(入力シート!$C$5&lt;&gt;入力リスト!$N$4,入力シート!$J$22&lt;&gt;入力リスト!$K$4),TRUE,IF($F$2=入力リスト!$Q$4,IF(F616-INT(F616)&lt;0.6,TRUE,FALSE),TRUE))</f>
        <v>1</v>
      </c>
      <c r="N616" s="9" t="str">
        <f>IF(F616="","",IF($F$2=入力リスト!$Q$4,ROUNDDOWN(INT(F616)+ROUNDDOWN((F616-INT(F616))*100,0)/60,2),従業員の給与情報!F616))</f>
        <v/>
      </c>
      <c r="O616" s="8"/>
      <c r="P616" s="8"/>
    </row>
    <row r="617" spans="1:16">
      <c r="A617" s="119"/>
      <c r="B617" s="2"/>
      <c r="C617" s="369"/>
      <c r="D617" s="369"/>
      <c r="E617" s="369"/>
      <c r="F617" s="370"/>
      <c r="G617" s="248" t="str">
        <f t="shared" si="45"/>
        <v/>
      </c>
      <c r="H617" s="1" t="b">
        <f>IF(B617="",FALSE,COUNTIF('従業員情報(給与以外)'!$A$4:$A$1000000,$B617)=0)</f>
        <v>0</v>
      </c>
      <c r="I617" s="9" t="b">
        <f t="shared" si="46"/>
        <v>1</v>
      </c>
      <c r="J617" s="9" t="b">
        <f t="shared" si="47"/>
        <v>1</v>
      </c>
      <c r="K617" s="9" t="b">
        <f t="shared" si="48"/>
        <v>1</v>
      </c>
      <c r="L617" s="9" t="b">
        <f t="shared" si="49"/>
        <v>1</v>
      </c>
      <c r="M617" s="1" t="b">
        <f>IF(OR(入力シート!$C$5&lt;&gt;入力リスト!$N$4,入力シート!$J$22&lt;&gt;入力リスト!$K$4),TRUE,IF($F$2=入力リスト!$Q$4,IF(F617-INT(F617)&lt;0.6,TRUE,FALSE),TRUE))</f>
        <v>1</v>
      </c>
      <c r="N617" s="9" t="str">
        <f>IF(F617="","",IF($F$2=入力リスト!$Q$4,ROUNDDOWN(INT(F617)+ROUNDDOWN((F617-INT(F617))*100,0)/60,2),従業員の給与情報!F617))</f>
        <v/>
      </c>
      <c r="O617" s="8"/>
      <c r="P617" s="8"/>
    </row>
    <row r="618" spans="1:16">
      <c r="A618" s="119"/>
      <c r="B618" s="2"/>
      <c r="C618" s="369"/>
      <c r="D618" s="369"/>
      <c r="E618" s="369"/>
      <c r="F618" s="370"/>
      <c r="G618" s="248" t="str">
        <f t="shared" si="45"/>
        <v/>
      </c>
      <c r="H618" s="1" t="b">
        <f>IF(B618="",FALSE,COUNTIF('従業員情報(給与以外)'!$A$4:$A$1000000,$B618)=0)</f>
        <v>0</v>
      </c>
      <c r="I618" s="9" t="b">
        <f t="shared" si="46"/>
        <v>1</v>
      </c>
      <c r="J618" s="9" t="b">
        <f t="shared" si="47"/>
        <v>1</v>
      </c>
      <c r="K618" s="9" t="b">
        <f t="shared" si="48"/>
        <v>1</v>
      </c>
      <c r="L618" s="9" t="b">
        <f t="shared" si="49"/>
        <v>1</v>
      </c>
      <c r="M618" s="1" t="b">
        <f>IF(OR(入力シート!$C$5&lt;&gt;入力リスト!$N$4,入力シート!$J$22&lt;&gt;入力リスト!$K$4),TRUE,IF($F$2=入力リスト!$Q$4,IF(F618-INT(F618)&lt;0.6,TRUE,FALSE),TRUE))</f>
        <v>1</v>
      </c>
      <c r="N618" s="9" t="str">
        <f>IF(F618="","",IF($F$2=入力リスト!$Q$4,ROUNDDOWN(INT(F618)+ROUNDDOWN((F618-INT(F618))*100,0)/60,2),従業員の給与情報!F618))</f>
        <v/>
      </c>
      <c r="O618" s="8"/>
      <c r="P618" s="8"/>
    </row>
    <row r="619" spans="1:16">
      <c r="A619" s="119"/>
      <c r="B619" s="2"/>
      <c r="C619" s="369"/>
      <c r="D619" s="369"/>
      <c r="E619" s="369"/>
      <c r="F619" s="370"/>
      <c r="G619" s="248" t="str">
        <f t="shared" si="45"/>
        <v/>
      </c>
      <c r="H619" s="1" t="b">
        <f>IF(B619="",FALSE,COUNTIF('従業員情報(給与以外)'!$A$4:$A$1000000,$B619)=0)</f>
        <v>0</v>
      </c>
      <c r="I619" s="9" t="b">
        <f t="shared" si="46"/>
        <v>1</v>
      </c>
      <c r="J619" s="9" t="b">
        <f t="shared" si="47"/>
        <v>1</v>
      </c>
      <c r="K619" s="9" t="b">
        <f t="shared" si="48"/>
        <v>1</v>
      </c>
      <c r="L619" s="9" t="b">
        <f t="shared" si="49"/>
        <v>1</v>
      </c>
      <c r="M619" s="1" t="b">
        <f>IF(OR(入力シート!$C$5&lt;&gt;入力リスト!$N$4,入力シート!$J$22&lt;&gt;入力リスト!$K$4),TRUE,IF($F$2=入力リスト!$Q$4,IF(F619-INT(F619)&lt;0.6,TRUE,FALSE),TRUE))</f>
        <v>1</v>
      </c>
      <c r="N619" s="9" t="str">
        <f>IF(F619="","",IF($F$2=入力リスト!$Q$4,ROUNDDOWN(INT(F619)+ROUNDDOWN((F619-INT(F619))*100,0)/60,2),従業員の給与情報!F619))</f>
        <v/>
      </c>
      <c r="O619" s="8"/>
      <c r="P619" s="8"/>
    </row>
    <row r="620" spans="1:16">
      <c r="A620" s="119"/>
      <c r="B620" s="2"/>
      <c r="C620" s="369"/>
      <c r="D620" s="369"/>
      <c r="E620" s="369"/>
      <c r="F620" s="370"/>
      <c r="G620" s="248" t="str">
        <f t="shared" si="45"/>
        <v/>
      </c>
      <c r="H620" s="1" t="b">
        <f>IF(B620="",FALSE,COUNTIF('従業員情報(給与以外)'!$A$4:$A$1000000,$B620)=0)</f>
        <v>0</v>
      </c>
      <c r="I620" s="9" t="b">
        <f t="shared" si="46"/>
        <v>1</v>
      </c>
      <c r="J620" s="9" t="b">
        <f t="shared" si="47"/>
        <v>1</v>
      </c>
      <c r="K620" s="9" t="b">
        <f t="shared" si="48"/>
        <v>1</v>
      </c>
      <c r="L620" s="9" t="b">
        <f t="shared" si="49"/>
        <v>1</v>
      </c>
      <c r="M620" s="1" t="b">
        <f>IF(OR(入力シート!$C$5&lt;&gt;入力リスト!$N$4,入力シート!$J$22&lt;&gt;入力リスト!$K$4),TRUE,IF($F$2=入力リスト!$Q$4,IF(F620-INT(F620)&lt;0.6,TRUE,FALSE),TRUE))</f>
        <v>1</v>
      </c>
      <c r="N620" s="9" t="str">
        <f>IF(F620="","",IF($F$2=入力リスト!$Q$4,ROUNDDOWN(INT(F620)+ROUNDDOWN((F620-INT(F620))*100,0)/60,2),従業員の給与情報!F620))</f>
        <v/>
      </c>
      <c r="O620" s="8"/>
      <c r="P620" s="8"/>
    </row>
    <row r="621" spans="1:16">
      <c r="A621" s="119"/>
      <c r="B621" s="2"/>
      <c r="C621" s="369"/>
      <c r="D621" s="369"/>
      <c r="E621" s="369"/>
      <c r="F621" s="370"/>
      <c r="G621" s="248" t="str">
        <f t="shared" si="45"/>
        <v/>
      </c>
      <c r="H621" s="1" t="b">
        <f>IF(B621="",FALSE,COUNTIF('従業員情報(給与以外)'!$A$4:$A$1000000,$B621)=0)</f>
        <v>0</v>
      </c>
      <c r="I621" s="9" t="b">
        <f t="shared" si="46"/>
        <v>1</v>
      </c>
      <c r="J621" s="9" t="b">
        <f t="shared" si="47"/>
        <v>1</v>
      </c>
      <c r="K621" s="9" t="b">
        <f t="shared" si="48"/>
        <v>1</v>
      </c>
      <c r="L621" s="9" t="b">
        <f t="shared" si="49"/>
        <v>1</v>
      </c>
      <c r="M621" s="1" t="b">
        <f>IF(OR(入力シート!$C$5&lt;&gt;入力リスト!$N$4,入力シート!$J$22&lt;&gt;入力リスト!$K$4),TRUE,IF($F$2=入力リスト!$Q$4,IF(F621-INT(F621)&lt;0.6,TRUE,FALSE),TRUE))</f>
        <v>1</v>
      </c>
      <c r="N621" s="9" t="str">
        <f>IF(F621="","",IF($F$2=入力リスト!$Q$4,ROUNDDOWN(INT(F621)+ROUNDDOWN((F621-INT(F621))*100,0)/60,2),従業員の給与情報!F621))</f>
        <v/>
      </c>
      <c r="O621" s="8"/>
      <c r="P621" s="8"/>
    </row>
    <row r="622" spans="1:16">
      <c r="A622" s="119"/>
      <c r="B622" s="2"/>
      <c r="C622" s="369"/>
      <c r="D622" s="369"/>
      <c r="E622" s="369"/>
      <c r="F622" s="370"/>
      <c r="G622" s="248" t="str">
        <f t="shared" si="45"/>
        <v/>
      </c>
      <c r="H622" s="1" t="b">
        <f>IF(B622="",FALSE,COUNTIF('従業員情報(給与以外)'!$A$4:$A$1000000,$B622)=0)</f>
        <v>0</v>
      </c>
      <c r="I622" s="9" t="b">
        <f t="shared" si="46"/>
        <v>1</v>
      </c>
      <c r="J622" s="9" t="b">
        <f t="shared" si="47"/>
        <v>1</v>
      </c>
      <c r="K622" s="9" t="b">
        <f t="shared" si="48"/>
        <v>1</v>
      </c>
      <c r="L622" s="9" t="b">
        <f t="shared" si="49"/>
        <v>1</v>
      </c>
      <c r="M622" s="1" t="b">
        <f>IF(OR(入力シート!$C$5&lt;&gt;入力リスト!$N$4,入力シート!$J$22&lt;&gt;入力リスト!$K$4),TRUE,IF($F$2=入力リスト!$Q$4,IF(F622-INT(F622)&lt;0.6,TRUE,FALSE),TRUE))</f>
        <v>1</v>
      </c>
      <c r="N622" s="9" t="str">
        <f>IF(F622="","",IF($F$2=入力リスト!$Q$4,ROUNDDOWN(INT(F622)+ROUNDDOWN((F622-INT(F622))*100,0)/60,2),従業員の給与情報!F622))</f>
        <v/>
      </c>
      <c r="O622" s="8"/>
      <c r="P622" s="8"/>
    </row>
    <row r="623" spans="1:16">
      <c r="A623" s="119"/>
      <c r="B623" s="2"/>
      <c r="C623" s="369"/>
      <c r="D623" s="369"/>
      <c r="E623" s="369"/>
      <c r="F623" s="370"/>
      <c r="G623" s="248" t="str">
        <f t="shared" si="45"/>
        <v/>
      </c>
      <c r="H623" s="1" t="b">
        <f>IF(B623="",FALSE,COUNTIF('従業員情報(給与以外)'!$A$4:$A$1000000,$B623)=0)</f>
        <v>0</v>
      </c>
      <c r="I623" s="9" t="b">
        <f t="shared" si="46"/>
        <v>1</v>
      </c>
      <c r="J623" s="9" t="b">
        <f t="shared" si="47"/>
        <v>1</v>
      </c>
      <c r="K623" s="9" t="b">
        <f t="shared" si="48"/>
        <v>1</v>
      </c>
      <c r="L623" s="9" t="b">
        <f t="shared" si="49"/>
        <v>1</v>
      </c>
      <c r="M623" s="1" t="b">
        <f>IF(OR(入力シート!$C$5&lt;&gt;入力リスト!$N$4,入力シート!$J$22&lt;&gt;入力リスト!$K$4),TRUE,IF($F$2=入力リスト!$Q$4,IF(F623-INT(F623)&lt;0.6,TRUE,FALSE),TRUE))</f>
        <v>1</v>
      </c>
      <c r="N623" s="9" t="str">
        <f>IF(F623="","",IF($F$2=入力リスト!$Q$4,ROUNDDOWN(INT(F623)+ROUNDDOWN((F623-INT(F623))*100,0)/60,2),従業員の給与情報!F623))</f>
        <v/>
      </c>
      <c r="O623" s="8"/>
      <c r="P623" s="8"/>
    </row>
    <row r="624" spans="1:16">
      <c r="A624" s="119"/>
      <c r="B624" s="2"/>
      <c r="C624" s="369"/>
      <c r="D624" s="369"/>
      <c r="E624" s="369"/>
      <c r="F624" s="370"/>
      <c r="G624" s="248" t="str">
        <f t="shared" si="45"/>
        <v/>
      </c>
      <c r="H624" s="1" t="b">
        <f>IF(B624="",FALSE,COUNTIF('従業員情報(給与以外)'!$A$4:$A$1000000,$B624)=0)</f>
        <v>0</v>
      </c>
      <c r="I624" s="9" t="b">
        <f t="shared" si="46"/>
        <v>1</v>
      </c>
      <c r="J624" s="9" t="b">
        <f t="shared" si="47"/>
        <v>1</v>
      </c>
      <c r="K624" s="9" t="b">
        <f t="shared" si="48"/>
        <v>1</v>
      </c>
      <c r="L624" s="9" t="b">
        <f t="shared" si="49"/>
        <v>1</v>
      </c>
      <c r="M624" s="1" t="b">
        <f>IF(OR(入力シート!$C$5&lt;&gt;入力リスト!$N$4,入力シート!$J$22&lt;&gt;入力リスト!$K$4),TRUE,IF($F$2=入力リスト!$Q$4,IF(F624-INT(F624)&lt;0.6,TRUE,FALSE),TRUE))</f>
        <v>1</v>
      </c>
      <c r="N624" s="9" t="str">
        <f>IF(F624="","",IF($F$2=入力リスト!$Q$4,ROUNDDOWN(INT(F624)+ROUNDDOWN((F624-INT(F624))*100,0)/60,2),従業員の給与情報!F624))</f>
        <v/>
      </c>
      <c r="O624" s="8"/>
      <c r="P624" s="8"/>
    </row>
    <row r="625" spans="1:16">
      <c r="A625" s="119"/>
      <c r="B625" s="2"/>
      <c r="C625" s="369"/>
      <c r="D625" s="369"/>
      <c r="E625" s="369"/>
      <c r="F625" s="370"/>
      <c r="G625" s="248" t="str">
        <f t="shared" si="45"/>
        <v/>
      </c>
      <c r="H625" s="1" t="b">
        <f>IF(B625="",FALSE,COUNTIF('従業員情報(給与以外)'!$A$4:$A$1000000,$B625)=0)</f>
        <v>0</v>
      </c>
      <c r="I625" s="9" t="b">
        <f t="shared" si="46"/>
        <v>1</v>
      </c>
      <c r="J625" s="9" t="b">
        <f t="shared" si="47"/>
        <v>1</v>
      </c>
      <c r="K625" s="9" t="b">
        <f t="shared" si="48"/>
        <v>1</v>
      </c>
      <c r="L625" s="9" t="b">
        <f t="shared" si="49"/>
        <v>1</v>
      </c>
      <c r="M625" s="1" t="b">
        <f>IF(OR(入力シート!$C$5&lt;&gt;入力リスト!$N$4,入力シート!$J$22&lt;&gt;入力リスト!$K$4),TRUE,IF($F$2=入力リスト!$Q$4,IF(F625-INT(F625)&lt;0.6,TRUE,FALSE),TRUE))</f>
        <v>1</v>
      </c>
      <c r="N625" s="9" t="str">
        <f>IF(F625="","",IF($F$2=入力リスト!$Q$4,ROUNDDOWN(INT(F625)+ROUNDDOWN((F625-INT(F625))*100,0)/60,2),従業員の給与情報!F625))</f>
        <v/>
      </c>
      <c r="O625" s="8"/>
      <c r="P625" s="8"/>
    </row>
    <row r="626" spans="1:16">
      <c r="A626" s="119"/>
      <c r="B626" s="2"/>
      <c r="C626" s="369"/>
      <c r="D626" s="369"/>
      <c r="E626" s="369"/>
      <c r="F626" s="370"/>
      <c r="G626" s="248" t="str">
        <f t="shared" si="45"/>
        <v/>
      </c>
      <c r="H626" s="1" t="b">
        <f>IF(B626="",FALSE,COUNTIF('従業員情報(給与以外)'!$A$4:$A$1000000,$B626)=0)</f>
        <v>0</v>
      </c>
      <c r="I626" s="9" t="b">
        <f t="shared" si="46"/>
        <v>1</v>
      </c>
      <c r="J626" s="9" t="b">
        <f t="shared" si="47"/>
        <v>1</v>
      </c>
      <c r="K626" s="9" t="b">
        <f t="shared" si="48"/>
        <v>1</v>
      </c>
      <c r="L626" s="9" t="b">
        <f t="shared" si="49"/>
        <v>1</v>
      </c>
      <c r="M626" s="1" t="b">
        <f>IF(OR(入力シート!$C$5&lt;&gt;入力リスト!$N$4,入力シート!$J$22&lt;&gt;入力リスト!$K$4),TRUE,IF($F$2=入力リスト!$Q$4,IF(F626-INT(F626)&lt;0.6,TRUE,FALSE),TRUE))</f>
        <v>1</v>
      </c>
      <c r="N626" s="9" t="str">
        <f>IF(F626="","",IF($F$2=入力リスト!$Q$4,ROUNDDOWN(INT(F626)+ROUNDDOWN((F626-INT(F626))*100,0)/60,2),従業員の給与情報!F626))</f>
        <v/>
      </c>
      <c r="O626" s="8"/>
      <c r="P626" s="8"/>
    </row>
    <row r="627" spans="1:16">
      <c r="A627" s="119"/>
      <c r="B627" s="2"/>
      <c r="C627" s="369"/>
      <c r="D627" s="369"/>
      <c r="E627" s="369"/>
      <c r="F627" s="370"/>
      <c r="G627" s="248" t="str">
        <f t="shared" si="45"/>
        <v/>
      </c>
      <c r="H627" s="1" t="b">
        <f>IF(B627="",FALSE,COUNTIF('従業員情報(給与以外)'!$A$4:$A$1000000,$B627)=0)</f>
        <v>0</v>
      </c>
      <c r="I627" s="9" t="b">
        <f t="shared" si="46"/>
        <v>1</v>
      </c>
      <c r="J627" s="9" t="b">
        <f t="shared" si="47"/>
        <v>1</v>
      </c>
      <c r="K627" s="9" t="b">
        <f t="shared" si="48"/>
        <v>1</v>
      </c>
      <c r="L627" s="9" t="b">
        <f t="shared" si="49"/>
        <v>1</v>
      </c>
      <c r="M627" s="1" t="b">
        <f>IF(OR(入力シート!$C$5&lt;&gt;入力リスト!$N$4,入力シート!$J$22&lt;&gt;入力リスト!$K$4),TRUE,IF($F$2=入力リスト!$Q$4,IF(F627-INT(F627)&lt;0.6,TRUE,FALSE),TRUE))</f>
        <v>1</v>
      </c>
      <c r="N627" s="9" t="str">
        <f>IF(F627="","",IF($F$2=入力リスト!$Q$4,ROUNDDOWN(INT(F627)+ROUNDDOWN((F627-INT(F627))*100,0)/60,2),従業員の給与情報!F627))</f>
        <v/>
      </c>
      <c r="O627" s="8"/>
      <c r="P627" s="8"/>
    </row>
    <row r="628" spans="1:16">
      <c r="A628" s="119"/>
      <c r="B628" s="2"/>
      <c r="C628" s="369"/>
      <c r="D628" s="369"/>
      <c r="E628" s="369"/>
      <c r="F628" s="370"/>
      <c r="G628" s="248" t="str">
        <f t="shared" si="45"/>
        <v/>
      </c>
      <c r="H628" s="1" t="b">
        <f>IF(B628="",FALSE,COUNTIF('従業員情報(給与以外)'!$A$4:$A$1000000,$B628)=0)</f>
        <v>0</v>
      </c>
      <c r="I628" s="9" t="b">
        <f t="shared" si="46"/>
        <v>1</v>
      </c>
      <c r="J628" s="9" t="b">
        <f t="shared" si="47"/>
        <v>1</v>
      </c>
      <c r="K628" s="9" t="b">
        <f t="shared" si="48"/>
        <v>1</v>
      </c>
      <c r="L628" s="9" t="b">
        <f t="shared" si="49"/>
        <v>1</v>
      </c>
      <c r="M628" s="1" t="b">
        <f>IF(OR(入力シート!$C$5&lt;&gt;入力リスト!$N$4,入力シート!$J$22&lt;&gt;入力リスト!$K$4),TRUE,IF($F$2=入力リスト!$Q$4,IF(F628-INT(F628)&lt;0.6,TRUE,FALSE),TRUE))</f>
        <v>1</v>
      </c>
      <c r="N628" s="9" t="str">
        <f>IF(F628="","",IF($F$2=入力リスト!$Q$4,ROUNDDOWN(INT(F628)+ROUNDDOWN((F628-INT(F628))*100,0)/60,2),従業員の給与情報!F628))</f>
        <v/>
      </c>
      <c r="O628" s="8"/>
      <c r="P628" s="8"/>
    </row>
    <row r="629" spans="1:16">
      <c r="A629" s="119"/>
      <c r="B629" s="2"/>
      <c r="C629" s="369"/>
      <c r="D629" s="369"/>
      <c r="E629" s="369"/>
      <c r="F629" s="370"/>
      <c r="G629" s="248" t="str">
        <f t="shared" si="45"/>
        <v/>
      </c>
      <c r="H629" s="1" t="b">
        <f>IF(B629="",FALSE,COUNTIF('従業員情報(給与以外)'!$A$4:$A$1000000,$B629)=0)</f>
        <v>0</v>
      </c>
      <c r="I629" s="9" t="b">
        <f t="shared" si="46"/>
        <v>1</v>
      </c>
      <c r="J629" s="9" t="b">
        <f t="shared" si="47"/>
        <v>1</v>
      </c>
      <c r="K629" s="9" t="b">
        <f t="shared" si="48"/>
        <v>1</v>
      </c>
      <c r="L629" s="9" t="b">
        <f t="shared" si="49"/>
        <v>1</v>
      </c>
      <c r="M629" s="1" t="b">
        <f>IF(OR(入力シート!$C$5&lt;&gt;入力リスト!$N$4,入力シート!$J$22&lt;&gt;入力リスト!$K$4),TRUE,IF($F$2=入力リスト!$Q$4,IF(F629-INT(F629)&lt;0.6,TRUE,FALSE),TRUE))</f>
        <v>1</v>
      </c>
      <c r="N629" s="9" t="str">
        <f>IF(F629="","",IF($F$2=入力リスト!$Q$4,ROUNDDOWN(INT(F629)+ROUNDDOWN((F629-INT(F629))*100,0)/60,2),従業員の給与情報!F629))</f>
        <v/>
      </c>
      <c r="O629" s="8"/>
      <c r="P629" s="8"/>
    </row>
    <row r="630" spans="1:16">
      <c r="A630" s="119"/>
      <c r="B630" s="2"/>
      <c r="C630" s="369"/>
      <c r="D630" s="369"/>
      <c r="E630" s="369"/>
      <c r="F630" s="370"/>
      <c r="G630" s="248" t="str">
        <f t="shared" si="45"/>
        <v/>
      </c>
      <c r="H630" s="1" t="b">
        <f>IF(B630="",FALSE,COUNTIF('従業員情報(給与以外)'!$A$4:$A$1000000,$B630)=0)</f>
        <v>0</v>
      </c>
      <c r="I630" s="9" t="b">
        <f t="shared" si="46"/>
        <v>1</v>
      </c>
      <c r="J630" s="9" t="b">
        <f t="shared" si="47"/>
        <v>1</v>
      </c>
      <c r="K630" s="9" t="b">
        <f t="shared" si="48"/>
        <v>1</v>
      </c>
      <c r="L630" s="9" t="b">
        <f t="shared" si="49"/>
        <v>1</v>
      </c>
      <c r="M630" s="1" t="b">
        <f>IF(OR(入力シート!$C$5&lt;&gt;入力リスト!$N$4,入力シート!$J$22&lt;&gt;入力リスト!$K$4),TRUE,IF($F$2=入力リスト!$Q$4,IF(F630-INT(F630)&lt;0.6,TRUE,FALSE),TRUE))</f>
        <v>1</v>
      </c>
      <c r="N630" s="9" t="str">
        <f>IF(F630="","",IF($F$2=入力リスト!$Q$4,ROUNDDOWN(INT(F630)+ROUNDDOWN((F630-INT(F630))*100,0)/60,2),従業員の給与情報!F630))</f>
        <v/>
      </c>
      <c r="O630" s="8"/>
      <c r="P630" s="8"/>
    </row>
    <row r="631" spans="1:16">
      <c r="A631" s="119"/>
      <c r="B631" s="2"/>
      <c r="C631" s="369"/>
      <c r="D631" s="369"/>
      <c r="E631" s="369"/>
      <c r="F631" s="370"/>
      <c r="G631" s="248" t="str">
        <f t="shared" si="45"/>
        <v/>
      </c>
      <c r="H631" s="1" t="b">
        <f>IF(B631="",FALSE,COUNTIF('従業員情報(給与以外)'!$A$4:$A$1000000,$B631)=0)</f>
        <v>0</v>
      </c>
      <c r="I631" s="9" t="b">
        <f t="shared" si="46"/>
        <v>1</v>
      </c>
      <c r="J631" s="9" t="b">
        <f t="shared" si="47"/>
        <v>1</v>
      </c>
      <c r="K631" s="9" t="b">
        <f t="shared" si="48"/>
        <v>1</v>
      </c>
      <c r="L631" s="9" t="b">
        <f t="shared" si="49"/>
        <v>1</v>
      </c>
      <c r="M631" s="1" t="b">
        <f>IF(OR(入力シート!$C$5&lt;&gt;入力リスト!$N$4,入力シート!$J$22&lt;&gt;入力リスト!$K$4),TRUE,IF($F$2=入力リスト!$Q$4,IF(F631-INT(F631)&lt;0.6,TRUE,FALSE),TRUE))</f>
        <v>1</v>
      </c>
      <c r="N631" s="9" t="str">
        <f>IF(F631="","",IF($F$2=入力リスト!$Q$4,ROUNDDOWN(INT(F631)+ROUNDDOWN((F631-INT(F631))*100,0)/60,2),従業員の給与情報!F631))</f>
        <v/>
      </c>
      <c r="O631" s="8"/>
      <c r="P631" s="8"/>
    </row>
    <row r="632" spans="1:16">
      <c r="A632" s="119"/>
      <c r="B632" s="2"/>
      <c r="C632" s="369"/>
      <c r="D632" s="369"/>
      <c r="E632" s="369"/>
      <c r="F632" s="370"/>
      <c r="G632" s="248" t="str">
        <f t="shared" si="45"/>
        <v/>
      </c>
      <c r="H632" s="1" t="b">
        <f>IF(B632="",FALSE,COUNTIF('従業員情報(給与以外)'!$A$4:$A$1000000,$B632)=0)</f>
        <v>0</v>
      </c>
      <c r="I632" s="9" t="b">
        <f t="shared" si="46"/>
        <v>1</v>
      </c>
      <c r="J632" s="9" t="b">
        <f t="shared" si="47"/>
        <v>1</v>
      </c>
      <c r="K632" s="9" t="b">
        <f t="shared" si="48"/>
        <v>1</v>
      </c>
      <c r="L632" s="9" t="b">
        <f t="shared" si="49"/>
        <v>1</v>
      </c>
      <c r="M632" s="1" t="b">
        <f>IF(OR(入力シート!$C$5&lt;&gt;入力リスト!$N$4,入力シート!$J$22&lt;&gt;入力リスト!$K$4),TRUE,IF($F$2=入力リスト!$Q$4,IF(F632-INT(F632)&lt;0.6,TRUE,FALSE),TRUE))</f>
        <v>1</v>
      </c>
      <c r="N632" s="9" t="str">
        <f>IF(F632="","",IF($F$2=入力リスト!$Q$4,ROUNDDOWN(INT(F632)+ROUNDDOWN((F632-INT(F632))*100,0)/60,2),従業員の給与情報!F632))</f>
        <v/>
      </c>
      <c r="O632" s="8"/>
      <c r="P632" s="8"/>
    </row>
    <row r="633" spans="1:16">
      <c r="A633" s="119"/>
      <c r="B633" s="2"/>
      <c r="C633" s="369"/>
      <c r="D633" s="369"/>
      <c r="E633" s="369"/>
      <c r="F633" s="370"/>
      <c r="G633" s="248" t="str">
        <f t="shared" si="45"/>
        <v/>
      </c>
      <c r="H633" s="1" t="b">
        <f>IF(B633="",FALSE,COUNTIF('従業員情報(給与以外)'!$A$4:$A$1000000,$B633)=0)</f>
        <v>0</v>
      </c>
      <c r="I633" s="9" t="b">
        <f t="shared" si="46"/>
        <v>1</v>
      </c>
      <c r="J633" s="9" t="b">
        <f t="shared" si="47"/>
        <v>1</v>
      </c>
      <c r="K633" s="9" t="b">
        <f t="shared" si="48"/>
        <v>1</v>
      </c>
      <c r="L633" s="9" t="b">
        <f t="shared" si="49"/>
        <v>1</v>
      </c>
      <c r="M633" s="1" t="b">
        <f>IF(OR(入力シート!$C$5&lt;&gt;入力リスト!$N$4,入力シート!$J$22&lt;&gt;入力リスト!$K$4),TRUE,IF($F$2=入力リスト!$Q$4,IF(F633-INT(F633)&lt;0.6,TRUE,FALSE),TRUE))</f>
        <v>1</v>
      </c>
      <c r="N633" s="9" t="str">
        <f>IF(F633="","",IF($F$2=入力リスト!$Q$4,ROUNDDOWN(INT(F633)+ROUNDDOWN((F633-INT(F633))*100,0)/60,2),従業員の給与情報!F633))</f>
        <v/>
      </c>
      <c r="O633" s="8"/>
      <c r="P633" s="8"/>
    </row>
    <row r="634" spans="1:16">
      <c r="A634" s="119"/>
      <c r="B634" s="2"/>
      <c r="C634" s="369"/>
      <c r="D634" s="369"/>
      <c r="E634" s="369"/>
      <c r="F634" s="370"/>
      <c r="G634" s="248" t="str">
        <f t="shared" si="45"/>
        <v/>
      </c>
      <c r="H634" s="1" t="b">
        <f>IF(B634="",FALSE,COUNTIF('従業員情報(給与以外)'!$A$4:$A$1000000,$B634)=0)</f>
        <v>0</v>
      </c>
      <c r="I634" s="9" t="b">
        <f t="shared" si="46"/>
        <v>1</v>
      </c>
      <c r="J634" s="9" t="b">
        <f t="shared" si="47"/>
        <v>1</v>
      </c>
      <c r="K634" s="9" t="b">
        <f t="shared" si="48"/>
        <v>1</v>
      </c>
      <c r="L634" s="9" t="b">
        <f t="shared" si="49"/>
        <v>1</v>
      </c>
      <c r="M634" s="1" t="b">
        <f>IF(OR(入力シート!$C$5&lt;&gt;入力リスト!$N$4,入力シート!$J$22&lt;&gt;入力リスト!$K$4),TRUE,IF($F$2=入力リスト!$Q$4,IF(F634-INT(F634)&lt;0.6,TRUE,FALSE),TRUE))</f>
        <v>1</v>
      </c>
      <c r="N634" s="9" t="str">
        <f>IF(F634="","",IF($F$2=入力リスト!$Q$4,ROUNDDOWN(INT(F634)+ROUNDDOWN((F634-INT(F634))*100,0)/60,2),従業員の給与情報!F634))</f>
        <v/>
      </c>
      <c r="O634" s="8"/>
      <c r="P634" s="8"/>
    </row>
    <row r="635" spans="1:16">
      <c r="A635" s="119"/>
      <c r="B635" s="2"/>
      <c r="C635" s="369"/>
      <c r="D635" s="369"/>
      <c r="E635" s="369"/>
      <c r="F635" s="370"/>
      <c r="G635" s="248" t="str">
        <f t="shared" si="45"/>
        <v/>
      </c>
      <c r="H635" s="1" t="b">
        <f>IF(B635="",FALSE,COUNTIF('従業員情報(給与以外)'!$A$4:$A$1000000,$B635)=0)</f>
        <v>0</v>
      </c>
      <c r="I635" s="9" t="b">
        <f t="shared" si="46"/>
        <v>1</v>
      </c>
      <c r="J635" s="9" t="b">
        <f t="shared" si="47"/>
        <v>1</v>
      </c>
      <c r="K635" s="9" t="b">
        <f t="shared" si="48"/>
        <v>1</v>
      </c>
      <c r="L635" s="9" t="b">
        <f t="shared" si="49"/>
        <v>1</v>
      </c>
      <c r="M635" s="1" t="b">
        <f>IF(OR(入力シート!$C$5&lt;&gt;入力リスト!$N$4,入力シート!$J$22&lt;&gt;入力リスト!$K$4),TRUE,IF($F$2=入力リスト!$Q$4,IF(F635-INT(F635)&lt;0.6,TRUE,FALSE),TRUE))</f>
        <v>1</v>
      </c>
      <c r="N635" s="9" t="str">
        <f>IF(F635="","",IF($F$2=入力リスト!$Q$4,ROUNDDOWN(INT(F635)+ROUNDDOWN((F635-INT(F635))*100,0)/60,2),従業員の給与情報!F635))</f>
        <v/>
      </c>
      <c r="O635" s="8"/>
      <c r="P635" s="8"/>
    </row>
    <row r="636" spans="1:16">
      <c r="A636" s="119"/>
      <c r="B636" s="2"/>
      <c r="C636" s="369"/>
      <c r="D636" s="369"/>
      <c r="E636" s="369"/>
      <c r="F636" s="370"/>
      <c r="G636" s="248" t="str">
        <f t="shared" si="45"/>
        <v/>
      </c>
      <c r="H636" s="1" t="b">
        <f>IF(B636="",FALSE,COUNTIF('従業員情報(給与以外)'!$A$4:$A$1000000,$B636)=0)</f>
        <v>0</v>
      </c>
      <c r="I636" s="9" t="b">
        <f t="shared" si="46"/>
        <v>1</v>
      </c>
      <c r="J636" s="9" t="b">
        <f t="shared" si="47"/>
        <v>1</v>
      </c>
      <c r="K636" s="9" t="b">
        <f t="shared" si="48"/>
        <v>1</v>
      </c>
      <c r="L636" s="9" t="b">
        <f t="shared" si="49"/>
        <v>1</v>
      </c>
      <c r="M636" s="1" t="b">
        <f>IF(OR(入力シート!$C$5&lt;&gt;入力リスト!$N$4,入力シート!$J$22&lt;&gt;入力リスト!$K$4),TRUE,IF($F$2=入力リスト!$Q$4,IF(F636-INT(F636)&lt;0.6,TRUE,FALSE),TRUE))</f>
        <v>1</v>
      </c>
      <c r="N636" s="9" t="str">
        <f>IF(F636="","",IF($F$2=入力リスト!$Q$4,ROUNDDOWN(INT(F636)+ROUNDDOWN((F636-INT(F636))*100,0)/60,2),従業員の給与情報!F636))</f>
        <v/>
      </c>
      <c r="O636" s="8"/>
      <c r="P636" s="8"/>
    </row>
    <row r="637" spans="1:16">
      <c r="A637" s="119"/>
      <c r="B637" s="2"/>
      <c r="C637" s="369"/>
      <c r="D637" s="369"/>
      <c r="E637" s="369"/>
      <c r="F637" s="370"/>
      <c r="G637" s="248" t="str">
        <f t="shared" si="45"/>
        <v/>
      </c>
      <c r="H637" s="1" t="b">
        <f>IF(B637="",FALSE,COUNTIF('従業員情報(給与以外)'!$A$4:$A$1000000,$B637)=0)</f>
        <v>0</v>
      </c>
      <c r="I637" s="9" t="b">
        <f t="shared" si="46"/>
        <v>1</v>
      </c>
      <c r="J637" s="9" t="b">
        <f t="shared" si="47"/>
        <v>1</v>
      </c>
      <c r="K637" s="9" t="b">
        <f t="shared" si="48"/>
        <v>1</v>
      </c>
      <c r="L637" s="9" t="b">
        <f t="shared" si="49"/>
        <v>1</v>
      </c>
      <c r="M637" s="1" t="b">
        <f>IF(OR(入力シート!$C$5&lt;&gt;入力リスト!$N$4,入力シート!$J$22&lt;&gt;入力リスト!$K$4),TRUE,IF($F$2=入力リスト!$Q$4,IF(F637-INT(F637)&lt;0.6,TRUE,FALSE),TRUE))</f>
        <v>1</v>
      </c>
      <c r="N637" s="9" t="str">
        <f>IF(F637="","",IF($F$2=入力リスト!$Q$4,ROUNDDOWN(INT(F637)+ROUNDDOWN((F637-INT(F637))*100,0)/60,2),従業員の給与情報!F637))</f>
        <v/>
      </c>
      <c r="O637" s="8"/>
      <c r="P637" s="8"/>
    </row>
    <row r="638" spans="1:16">
      <c r="A638" s="119"/>
      <c r="B638" s="2"/>
      <c r="C638" s="369"/>
      <c r="D638" s="369"/>
      <c r="E638" s="369"/>
      <c r="F638" s="370"/>
      <c r="G638" s="248" t="str">
        <f t="shared" si="45"/>
        <v/>
      </c>
      <c r="H638" s="1" t="b">
        <f>IF(B638="",FALSE,COUNTIF('従業員情報(給与以外)'!$A$4:$A$1000000,$B638)=0)</f>
        <v>0</v>
      </c>
      <c r="I638" s="9" t="b">
        <f t="shared" si="46"/>
        <v>1</v>
      </c>
      <c r="J638" s="9" t="b">
        <f t="shared" si="47"/>
        <v>1</v>
      </c>
      <c r="K638" s="9" t="b">
        <f t="shared" si="48"/>
        <v>1</v>
      </c>
      <c r="L638" s="9" t="b">
        <f t="shared" si="49"/>
        <v>1</v>
      </c>
      <c r="M638" s="1" t="b">
        <f>IF(OR(入力シート!$C$5&lt;&gt;入力リスト!$N$4,入力シート!$J$22&lt;&gt;入力リスト!$K$4),TRUE,IF($F$2=入力リスト!$Q$4,IF(F638-INT(F638)&lt;0.6,TRUE,FALSE),TRUE))</f>
        <v>1</v>
      </c>
      <c r="N638" s="9" t="str">
        <f>IF(F638="","",IF($F$2=入力リスト!$Q$4,ROUNDDOWN(INT(F638)+ROUNDDOWN((F638-INT(F638))*100,0)/60,2),従業員の給与情報!F638))</f>
        <v/>
      </c>
      <c r="O638" s="8"/>
      <c r="P638" s="8"/>
    </row>
    <row r="639" spans="1:16">
      <c r="A639" s="119"/>
      <c r="B639" s="2"/>
      <c r="C639" s="369"/>
      <c r="D639" s="369"/>
      <c r="E639" s="369"/>
      <c r="F639" s="370"/>
      <c r="G639" s="248" t="str">
        <f t="shared" si="45"/>
        <v/>
      </c>
      <c r="H639" s="1" t="b">
        <f>IF(B639="",FALSE,COUNTIF('従業員情報(給与以外)'!$A$4:$A$1000000,$B639)=0)</f>
        <v>0</v>
      </c>
      <c r="I639" s="9" t="b">
        <f t="shared" si="46"/>
        <v>1</v>
      </c>
      <c r="J639" s="9" t="b">
        <f t="shared" si="47"/>
        <v>1</v>
      </c>
      <c r="K639" s="9" t="b">
        <f t="shared" si="48"/>
        <v>1</v>
      </c>
      <c r="L639" s="9" t="b">
        <f t="shared" si="49"/>
        <v>1</v>
      </c>
      <c r="M639" s="1" t="b">
        <f>IF(OR(入力シート!$C$5&lt;&gt;入力リスト!$N$4,入力シート!$J$22&lt;&gt;入力リスト!$K$4),TRUE,IF($F$2=入力リスト!$Q$4,IF(F639-INT(F639)&lt;0.6,TRUE,FALSE),TRUE))</f>
        <v>1</v>
      </c>
      <c r="N639" s="9" t="str">
        <f>IF(F639="","",IF($F$2=入力リスト!$Q$4,ROUNDDOWN(INT(F639)+ROUNDDOWN((F639-INT(F639))*100,0)/60,2),従業員の給与情報!F639))</f>
        <v/>
      </c>
      <c r="O639" s="8"/>
      <c r="P639" s="8"/>
    </row>
    <row r="640" spans="1:16">
      <c r="A640" s="119"/>
      <c r="B640" s="2"/>
      <c r="C640" s="369"/>
      <c r="D640" s="369"/>
      <c r="E640" s="369"/>
      <c r="F640" s="370"/>
      <c r="G640" s="248" t="str">
        <f t="shared" si="45"/>
        <v/>
      </c>
      <c r="H640" s="1" t="b">
        <f>IF(B640="",FALSE,COUNTIF('従業員情報(給与以外)'!$A$4:$A$1000000,$B640)=0)</f>
        <v>0</v>
      </c>
      <c r="I640" s="9" t="b">
        <f t="shared" si="46"/>
        <v>1</v>
      </c>
      <c r="J640" s="9" t="b">
        <f t="shared" si="47"/>
        <v>1</v>
      </c>
      <c r="K640" s="9" t="b">
        <f t="shared" si="48"/>
        <v>1</v>
      </c>
      <c r="L640" s="9" t="b">
        <f t="shared" si="49"/>
        <v>1</v>
      </c>
      <c r="M640" s="1" t="b">
        <f>IF(OR(入力シート!$C$5&lt;&gt;入力リスト!$N$4,入力シート!$J$22&lt;&gt;入力リスト!$K$4),TRUE,IF($F$2=入力リスト!$Q$4,IF(F640-INT(F640)&lt;0.6,TRUE,FALSE),TRUE))</f>
        <v>1</v>
      </c>
      <c r="N640" s="9" t="str">
        <f>IF(F640="","",IF($F$2=入力リスト!$Q$4,ROUNDDOWN(INT(F640)+ROUNDDOWN((F640-INT(F640))*100,0)/60,2),従業員の給与情報!F640))</f>
        <v/>
      </c>
      <c r="O640" s="8"/>
      <c r="P640" s="8"/>
    </row>
    <row r="641" spans="1:16">
      <c r="A641" s="119"/>
      <c r="B641" s="2"/>
      <c r="C641" s="369"/>
      <c r="D641" s="369"/>
      <c r="E641" s="369"/>
      <c r="F641" s="370"/>
      <c r="G641" s="248" t="str">
        <f t="shared" si="45"/>
        <v/>
      </c>
      <c r="H641" s="1" t="b">
        <f>IF(B641="",FALSE,COUNTIF('従業員情報(給与以外)'!$A$4:$A$1000000,$B641)=0)</f>
        <v>0</v>
      </c>
      <c r="I641" s="9" t="b">
        <f t="shared" si="46"/>
        <v>1</v>
      </c>
      <c r="J641" s="9" t="b">
        <f t="shared" si="47"/>
        <v>1</v>
      </c>
      <c r="K641" s="9" t="b">
        <f t="shared" si="48"/>
        <v>1</v>
      </c>
      <c r="L641" s="9" t="b">
        <f t="shared" si="49"/>
        <v>1</v>
      </c>
      <c r="M641" s="1" t="b">
        <f>IF(OR(入力シート!$C$5&lt;&gt;入力リスト!$N$4,入力シート!$J$22&lt;&gt;入力リスト!$K$4),TRUE,IF($F$2=入力リスト!$Q$4,IF(F641-INT(F641)&lt;0.6,TRUE,FALSE),TRUE))</f>
        <v>1</v>
      </c>
      <c r="N641" s="9" t="str">
        <f>IF(F641="","",IF($F$2=入力リスト!$Q$4,ROUNDDOWN(INT(F641)+ROUNDDOWN((F641-INT(F641))*100,0)/60,2),従業員の給与情報!F641))</f>
        <v/>
      </c>
      <c r="O641" s="8"/>
      <c r="P641" s="8"/>
    </row>
    <row r="642" spans="1:16">
      <c r="A642" s="119"/>
      <c r="B642" s="2"/>
      <c r="C642" s="369"/>
      <c r="D642" s="369"/>
      <c r="E642" s="369"/>
      <c r="F642" s="370"/>
      <c r="G642" s="248" t="str">
        <f t="shared" si="45"/>
        <v/>
      </c>
      <c r="H642" s="1" t="b">
        <f>IF(B642="",FALSE,COUNTIF('従業員情報(給与以外)'!$A$4:$A$1000000,$B642)=0)</f>
        <v>0</v>
      </c>
      <c r="I642" s="9" t="b">
        <f t="shared" si="46"/>
        <v>1</v>
      </c>
      <c r="J642" s="9" t="b">
        <f t="shared" si="47"/>
        <v>1</v>
      </c>
      <c r="K642" s="9" t="b">
        <f t="shared" si="48"/>
        <v>1</v>
      </c>
      <c r="L642" s="9" t="b">
        <f t="shared" si="49"/>
        <v>1</v>
      </c>
      <c r="M642" s="1" t="b">
        <f>IF(OR(入力シート!$C$5&lt;&gt;入力リスト!$N$4,入力シート!$J$22&lt;&gt;入力リスト!$K$4),TRUE,IF($F$2=入力リスト!$Q$4,IF(F642-INT(F642)&lt;0.6,TRUE,FALSE),TRUE))</f>
        <v>1</v>
      </c>
      <c r="N642" s="9" t="str">
        <f>IF(F642="","",IF($F$2=入力リスト!$Q$4,ROUNDDOWN(INT(F642)+ROUNDDOWN((F642-INT(F642))*100,0)/60,2),従業員の給与情報!F642))</f>
        <v/>
      </c>
      <c r="O642" s="8"/>
      <c r="P642" s="8"/>
    </row>
    <row r="643" spans="1:16">
      <c r="A643" s="119"/>
      <c r="B643" s="2"/>
      <c r="C643" s="369"/>
      <c r="D643" s="369"/>
      <c r="E643" s="369"/>
      <c r="F643" s="370"/>
      <c r="G643" s="248" t="str">
        <f t="shared" si="45"/>
        <v/>
      </c>
      <c r="H643" s="1" t="b">
        <f>IF(B643="",FALSE,COUNTIF('従業員情報(給与以外)'!$A$4:$A$1000000,$B643)=0)</f>
        <v>0</v>
      </c>
      <c r="I643" s="9" t="b">
        <f t="shared" si="46"/>
        <v>1</v>
      </c>
      <c r="J643" s="9" t="b">
        <f t="shared" si="47"/>
        <v>1</v>
      </c>
      <c r="K643" s="9" t="b">
        <f t="shared" si="48"/>
        <v>1</v>
      </c>
      <c r="L643" s="9" t="b">
        <f t="shared" si="49"/>
        <v>1</v>
      </c>
      <c r="M643" s="1" t="b">
        <f>IF(OR(入力シート!$C$5&lt;&gt;入力リスト!$N$4,入力シート!$J$22&lt;&gt;入力リスト!$K$4),TRUE,IF($F$2=入力リスト!$Q$4,IF(F643-INT(F643)&lt;0.6,TRUE,FALSE),TRUE))</f>
        <v>1</v>
      </c>
      <c r="N643" s="9" t="str">
        <f>IF(F643="","",IF($F$2=入力リスト!$Q$4,ROUNDDOWN(INT(F643)+ROUNDDOWN((F643-INT(F643))*100,0)/60,2),従業員の給与情報!F643))</f>
        <v/>
      </c>
      <c r="O643" s="8"/>
      <c r="P643" s="8"/>
    </row>
    <row r="644" spans="1:16">
      <c r="A644" s="119"/>
      <c r="B644" s="2"/>
      <c r="C644" s="369"/>
      <c r="D644" s="369"/>
      <c r="E644" s="369"/>
      <c r="F644" s="370"/>
      <c r="G644" s="248" t="str">
        <f t="shared" si="45"/>
        <v/>
      </c>
      <c r="H644" s="1" t="b">
        <f>IF(B644="",FALSE,COUNTIF('従業員情報(給与以外)'!$A$4:$A$1000000,$B644)=0)</f>
        <v>0</v>
      </c>
      <c r="I644" s="9" t="b">
        <f t="shared" si="46"/>
        <v>1</v>
      </c>
      <c r="J644" s="9" t="b">
        <f t="shared" si="47"/>
        <v>1</v>
      </c>
      <c r="K644" s="9" t="b">
        <f t="shared" si="48"/>
        <v>1</v>
      </c>
      <c r="L644" s="9" t="b">
        <f t="shared" si="49"/>
        <v>1</v>
      </c>
      <c r="M644" s="1" t="b">
        <f>IF(OR(入力シート!$C$5&lt;&gt;入力リスト!$N$4,入力シート!$J$22&lt;&gt;入力リスト!$K$4),TRUE,IF($F$2=入力リスト!$Q$4,IF(F644-INT(F644)&lt;0.6,TRUE,FALSE),TRUE))</f>
        <v>1</v>
      </c>
      <c r="N644" s="9" t="str">
        <f>IF(F644="","",IF($F$2=入力リスト!$Q$4,ROUNDDOWN(INT(F644)+ROUNDDOWN((F644-INT(F644))*100,0)/60,2),従業員の給与情報!F644))</f>
        <v/>
      </c>
      <c r="O644" s="8"/>
      <c r="P644" s="8"/>
    </row>
    <row r="645" spans="1:16">
      <c r="A645" s="119"/>
      <c r="B645" s="2"/>
      <c r="C645" s="369"/>
      <c r="D645" s="369"/>
      <c r="E645" s="369"/>
      <c r="F645" s="370"/>
      <c r="G645" s="248" t="str">
        <f t="shared" ref="G645:G708" si="50">IF(AND($B645="",OR(B645&lt;&gt;"",C645&lt;&gt;"",D645&lt;&gt;"",E645&lt;&gt;"",F645&lt;&gt;"")),"従業員番号が空白です。",IF($H645=TRUE,"この従業員番号は、シート［従業員情報（給与以外）］に存在しません。",IF(I645=FALSE,"「毎月の固定給与額」","")&amp;IF(AND(I645=FALSE,OR(J645=FALSE,K645=FALSE,L645=FALSE)),",","")&amp;IF(J645=FALSE,"「賞与額等」","")&amp;IF(AND(J645=FALSE,OR(K645=FALSE,L645=FALSE)),",","")&amp;IF(K645=FALSE,"「残業手当」","")&amp;IF(AND(K645=FALSE,L645=FALSE),",","")&amp;IF(L645=FALSE,"「残業時間」","")&amp;IF(OR(I645=FALSE,J645=FALSE,K645=FALSE,L645=FALSE),"に数値以外が入力されています。","")&amp;IF(M645,"","「残業時間」を分単位で入力した場合、小数点以下の値は0.6未満にしてください。")))</f>
        <v/>
      </c>
      <c r="H645" s="1" t="b">
        <f>IF(B645="",FALSE,COUNTIF('従業員情報(給与以外)'!$A$4:$A$1000000,$B645)=0)</f>
        <v>0</v>
      </c>
      <c r="I645" s="9" t="b">
        <f t="shared" ref="I645:I708" si="51">OR(C645="",ISNUMBER(C645))</f>
        <v>1</v>
      </c>
      <c r="J645" s="9" t="b">
        <f t="shared" ref="J645:J708" si="52">OR(D645="",ISNUMBER(D645))</f>
        <v>1</v>
      </c>
      <c r="K645" s="9" t="b">
        <f t="shared" ref="K645:K708" si="53">OR(E645="",ISNUMBER(E645))</f>
        <v>1</v>
      </c>
      <c r="L645" s="9" t="b">
        <f t="shared" ref="L645:L708" si="54">OR(F645="",ISNUMBER(F645))</f>
        <v>1</v>
      </c>
      <c r="M645" s="1" t="b">
        <f>IF(OR(入力シート!$C$5&lt;&gt;入力リスト!$N$4,入力シート!$J$22&lt;&gt;入力リスト!$K$4),TRUE,IF($F$2=入力リスト!$Q$4,IF(F645-INT(F645)&lt;0.6,TRUE,FALSE),TRUE))</f>
        <v>1</v>
      </c>
      <c r="N645" s="9" t="str">
        <f>IF(F645="","",IF($F$2=入力リスト!$Q$4,ROUNDDOWN(INT(F645)+ROUNDDOWN((F645-INT(F645))*100,0)/60,2),従業員の給与情報!F645))</f>
        <v/>
      </c>
      <c r="O645" s="8"/>
      <c r="P645" s="8"/>
    </row>
    <row r="646" spans="1:16">
      <c r="A646" s="119"/>
      <c r="B646" s="2"/>
      <c r="C646" s="369"/>
      <c r="D646" s="369"/>
      <c r="E646" s="369"/>
      <c r="F646" s="370"/>
      <c r="G646" s="248" t="str">
        <f t="shared" si="50"/>
        <v/>
      </c>
      <c r="H646" s="1" t="b">
        <f>IF(B646="",FALSE,COUNTIF('従業員情報(給与以外)'!$A$4:$A$1000000,$B646)=0)</f>
        <v>0</v>
      </c>
      <c r="I646" s="9" t="b">
        <f t="shared" si="51"/>
        <v>1</v>
      </c>
      <c r="J646" s="9" t="b">
        <f t="shared" si="52"/>
        <v>1</v>
      </c>
      <c r="K646" s="9" t="b">
        <f t="shared" si="53"/>
        <v>1</v>
      </c>
      <c r="L646" s="9" t="b">
        <f t="shared" si="54"/>
        <v>1</v>
      </c>
      <c r="M646" s="1" t="b">
        <f>IF(OR(入力シート!$C$5&lt;&gt;入力リスト!$N$4,入力シート!$J$22&lt;&gt;入力リスト!$K$4),TRUE,IF($F$2=入力リスト!$Q$4,IF(F646-INT(F646)&lt;0.6,TRUE,FALSE),TRUE))</f>
        <v>1</v>
      </c>
      <c r="N646" s="9" t="str">
        <f>IF(F646="","",IF($F$2=入力リスト!$Q$4,ROUNDDOWN(INT(F646)+ROUNDDOWN((F646-INT(F646))*100,0)/60,2),従業員の給与情報!F646))</f>
        <v/>
      </c>
      <c r="O646" s="8"/>
      <c r="P646" s="8"/>
    </row>
    <row r="647" spans="1:16">
      <c r="A647" s="119"/>
      <c r="B647" s="2"/>
      <c r="C647" s="369"/>
      <c r="D647" s="369"/>
      <c r="E647" s="369"/>
      <c r="F647" s="370"/>
      <c r="G647" s="248" t="str">
        <f t="shared" si="50"/>
        <v/>
      </c>
      <c r="H647" s="1" t="b">
        <f>IF(B647="",FALSE,COUNTIF('従業員情報(給与以外)'!$A$4:$A$1000000,$B647)=0)</f>
        <v>0</v>
      </c>
      <c r="I647" s="9" t="b">
        <f t="shared" si="51"/>
        <v>1</v>
      </c>
      <c r="J647" s="9" t="b">
        <f t="shared" si="52"/>
        <v>1</v>
      </c>
      <c r="K647" s="9" t="b">
        <f t="shared" si="53"/>
        <v>1</v>
      </c>
      <c r="L647" s="9" t="b">
        <f t="shared" si="54"/>
        <v>1</v>
      </c>
      <c r="M647" s="1" t="b">
        <f>IF(OR(入力シート!$C$5&lt;&gt;入力リスト!$N$4,入力シート!$J$22&lt;&gt;入力リスト!$K$4),TRUE,IF($F$2=入力リスト!$Q$4,IF(F647-INT(F647)&lt;0.6,TRUE,FALSE),TRUE))</f>
        <v>1</v>
      </c>
      <c r="N647" s="9" t="str">
        <f>IF(F647="","",IF($F$2=入力リスト!$Q$4,ROUNDDOWN(INT(F647)+ROUNDDOWN((F647-INT(F647))*100,0)/60,2),従業員の給与情報!F647))</f>
        <v/>
      </c>
      <c r="O647" s="8"/>
      <c r="P647" s="8"/>
    </row>
    <row r="648" spans="1:16">
      <c r="A648" s="119"/>
      <c r="B648" s="2"/>
      <c r="C648" s="369"/>
      <c r="D648" s="369"/>
      <c r="E648" s="369"/>
      <c r="F648" s="370"/>
      <c r="G648" s="248" t="str">
        <f t="shared" si="50"/>
        <v/>
      </c>
      <c r="H648" s="1" t="b">
        <f>IF(B648="",FALSE,COUNTIF('従業員情報(給与以外)'!$A$4:$A$1000000,$B648)=0)</f>
        <v>0</v>
      </c>
      <c r="I648" s="9" t="b">
        <f t="shared" si="51"/>
        <v>1</v>
      </c>
      <c r="J648" s="9" t="b">
        <f t="shared" si="52"/>
        <v>1</v>
      </c>
      <c r="K648" s="9" t="b">
        <f t="shared" si="53"/>
        <v>1</v>
      </c>
      <c r="L648" s="9" t="b">
        <f t="shared" si="54"/>
        <v>1</v>
      </c>
      <c r="M648" s="1" t="b">
        <f>IF(OR(入力シート!$C$5&lt;&gt;入力リスト!$N$4,入力シート!$J$22&lt;&gt;入力リスト!$K$4),TRUE,IF($F$2=入力リスト!$Q$4,IF(F648-INT(F648)&lt;0.6,TRUE,FALSE),TRUE))</f>
        <v>1</v>
      </c>
      <c r="N648" s="9" t="str">
        <f>IF(F648="","",IF($F$2=入力リスト!$Q$4,ROUNDDOWN(INT(F648)+ROUNDDOWN((F648-INT(F648))*100,0)/60,2),従業員の給与情報!F648))</f>
        <v/>
      </c>
      <c r="O648" s="8"/>
      <c r="P648" s="8"/>
    </row>
    <row r="649" spans="1:16">
      <c r="A649" s="119"/>
      <c r="B649" s="2"/>
      <c r="C649" s="369"/>
      <c r="D649" s="369"/>
      <c r="E649" s="369"/>
      <c r="F649" s="370"/>
      <c r="G649" s="248" t="str">
        <f t="shared" si="50"/>
        <v/>
      </c>
      <c r="H649" s="1" t="b">
        <f>IF(B649="",FALSE,COUNTIF('従業員情報(給与以外)'!$A$4:$A$1000000,$B649)=0)</f>
        <v>0</v>
      </c>
      <c r="I649" s="9" t="b">
        <f t="shared" si="51"/>
        <v>1</v>
      </c>
      <c r="J649" s="9" t="b">
        <f t="shared" si="52"/>
        <v>1</v>
      </c>
      <c r="K649" s="9" t="b">
        <f t="shared" si="53"/>
        <v>1</v>
      </c>
      <c r="L649" s="9" t="b">
        <f t="shared" si="54"/>
        <v>1</v>
      </c>
      <c r="M649" s="1" t="b">
        <f>IF(OR(入力シート!$C$5&lt;&gt;入力リスト!$N$4,入力シート!$J$22&lt;&gt;入力リスト!$K$4),TRUE,IF($F$2=入力リスト!$Q$4,IF(F649-INT(F649)&lt;0.6,TRUE,FALSE),TRUE))</f>
        <v>1</v>
      </c>
      <c r="N649" s="9" t="str">
        <f>IF(F649="","",IF($F$2=入力リスト!$Q$4,ROUNDDOWN(INT(F649)+ROUNDDOWN((F649-INT(F649))*100,0)/60,2),従業員の給与情報!F649))</f>
        <v/>
      </c>
      <c r="O649" s="8"/>
      <c r="P649" s="8"/>
    </row>
    <row r="650" spans="1:16">
      <c r="A650" s="119"/>
      <c r="B650" s="2"/>
      <c r="C650" s="369"/>
      <c r="D650" s="369"/>
      <c r="E650" s="369"/>
      <c r="F650" s="370"/>
      <c r="G650" s="248" t="str">
        <f t="shared" si="50"/>
        <v/>
      </c>
      <c r="H650" s="1" t="b">
        <f>IF(B650="",FALSE,COUNTIF('従業員情報(給与以外)'!$A$4:$A$1000000,$B650)=0)</f>
        <v>0</v>
      </c>
      <c r="I650" s="9" t="b">
        <f t="shared" si="51"/>
        <v>1</v>
      </c>
      <c r="J650" s="9" t="b">
        <f t="shared" si="52"/>
        <v>1</v>
      </c>
      <c r="K650" s="9" t="b">
        <f t="shared" si="53"/>
        <v>1</v>
      </c>
      <c r="L650" s="9" t="b">
        <f t="shared" si="54"/>
        <v>1</v>
      </c>
      <c r="M650" s="1" t="b">
        <f>IF(OR(入力シート!$C$5&lt;&gt;入力リスト!$N$4,入力シート!$J$22&lt;&gt;入力リスト!$K$4),TRUE,IF($F$2=入力リスト!$Q$4,IF(F650-INT(F650)&lt;0.6,TRUE,FALSE),TRUE))</f>
        <v>1</v>
      </c>
      <c r="N650" s="9" t="str">
        <f>IF(F650="","",IF($F$2=入力リスト!$Q$4,ROUNDDOWN(INT(F650)+ROUNDDOWN((F650-INT(F650))*100,0)/60,2),従業員の給与情報!F650))</f>
        <v/>
      </c>
      <c r="O650" s="8"/>
      <c r="P650" s="8"/>
    </row>
    <row r="651" spans="1:16">
      <c r="A651" s="119"/>
      <c r="B651" s="2"/>
      <c r="C651" s="369"/>
      <c r="D651" s="369"/>
      <c r="E651" s="369"/>
      <c r="F651" s="370"/>
      <c r="G651" s="248" t="str">
        <f t="shared" si="50"/>
        <v/>
      </c>
      <c r="H651" s="1" t="b">
        <f>IF(B651="",FALSE,COUNTIF('従業員情報(給与以外)'!$A$4:$A$1000000,$B651)=0)</f>
        <v>0</v>
      </c>
      <c r="I651" s="9" t="b">
        <f t="shared" si="51"/>
        <v>1</v>
      </c>
      <c r="J651" s="9" t="b">
        <f t="shared" si="52"/>
        <v>1</v>
      </c>
      <c r="K651" s="9" t="b">
        <f t="shared" si="53"/>
        <v>1</v>
      </c>
      <c r="L651" s="9" t="b">
        <f t="shared" si="54"/>
        <v>1</v>
      </c>
      <c r="M651" s="1" t="b">
        <f>IF(OR(入力シート!$C$5&lt;&gt;入力リスト!$N$4,入力シート!$J$22&lt;&gt;入力リスト!$K$4),TRUE,IF($F$2=入力リスト!$Q$4,IF(F651-INT(F651)&lt;0.6,TRUE,FALSE),TRUE))</f>
        <v>1</v>
      </c>
      <c r="N651" s="9" t="str">
        <f>IF(F651="","",IF($F$2=入力リスト!$Q$4,ROUNDDOWN(INT(F651)+ROUNDDOWN((F651-INT(F651))*100,0)/60,2),従業員の給与情報!F651))</f>
        <v/>
      </c>
      <c r="O651" s="8"/>
      <c r="P651" s="8"/>
    </row>
    <row r="652" spans="1:16">
      <c r="A652" s="119"/>
      <c r="B652" s="2"/>
      <c r="C652" s="369"/>
      <c r="D652" s="369"/>
      <c r="E652" s="369"/>
      <c r="F652" s="370"/>
      <c r="G652" s="248" t="str">
        <f t="shared" si="50"/>
        <v/>
      </c>
      <c r="H652" s="1" t="b">
        <f>IF(B652="",FALSE,COUNTIF('従業員情報(給与以外)'!$A$4:$A$1000000,$B652)=0)</f>
        <v>0</v>
      </c>
      <c r="I652" s="9" t="b">
        <f t="shared" si="51"/>
        <v>1</v>
      </c>
      <c r="J652" s="9" t="b">
        <f t="shared" si="52"/>
        <v>1</v>
      </c>
      <c r="K652" s="9" t="b">
        <f t="shared" si="53"/>
        <v>1</v>
      </c>
      <c r="L652" s="9" t="b">
        <f t="shared" si="54"/>
        <v>1</v>
      </c>
      <c r="M652" s="1" t="b">
        <f>IF(OR(入力シート!$C$5&lt;&gt;入力リスト!$N$4,入力シート!$J$22&lt;&gt;入力リスト!$K$4),TRUE,IF($F$2=入力リスト!$Q$4,IF(F652-INT(F652)&lt;0.6,TRUE,FALSE),TRUE))</f>
        <v>1</v>
      </c>
      <c r="N652" s="9" t="str">
        <f>IF(F652="","",IF($F$2=入力リスト!$Q$4,ROUNDDOWN(INT(F652)+ROUNDDOWN((F652-INT(F652))*100,0)/60,2),従業員の給与情報!F652))</f>
        <v/>
      </c>
      <c r="O652" s="8"/>
      <c r="P652" s="8"/>
    </row>
    <row r="653" spans="1:16">
      <c r="A653" s="119"/>
      <c r="B653" s="2"/>
      <c r="C653" s="369"/>
      <c r="D653" s="369"/>
      <c r="E653" s="369"/>
      <c r="F653" s="370"/>
      <c r="G653" s="248" t="str">
        <f t="shared" si="50"/>
        <v/>
      </c>
      <c r="H653" s="1" t="b">
        <f>IF(B653="",FALSE,COUNTIF('従業員情報(給与以外)'!$A$4:$A$1000000,$B653)=0)</f>
        <v>0</v>
      </c>
      <c r="I653" s="9" t="b">
        <f t="shared" si="51"/>
        <v>1</v>
      </c>
      <c r="J653" s="9" t="b">
        <f t="shared" si="52"/>
        <v>1</v>
      </c>
      <c r="K653" s="9" t="b">
        <f t="shared" si="53"/>
        <v>1</v>
      </c>
      <c r="L653" s="9" t="b">
        <f t="shared" si="54"/>
        <v>1</v>
      </c>
      <c r="M653" s="1" t="b">
        <f>IF(OR(入力シート!$C$5&lt;&gt;入力リスト!$N$4,入力シート!$J$22&lt;&gt;入力リスト!$K$4),TRUE,IF($F$2=入力リスト!$Q$4,IF(F653-INT(F653)&lt;0.6,TRUE,FALSE),TRUE))</f>
        <v>1</v>
      </c>
      <c r="N653" s="9" t="str">
        <f>IF(F653="","",IF($F$2=入力リスト!$Q$4,ROUNDDOWN(INT(F653)+ROUNDDOWN((F653-INT(F653))*100,0)/60,2),従業員の給与情報!F653))</f>
        <v/>
      </c>
      <c r="O653" s="8"/>
      <c r="P653" s="8"/>
    </row>
    <row r="654" spans="1:16">
      <c r="A654" s="119"/>
      <c r="B654" s="2"/>
      <c r="C654" s="369"/>
      <c r="D654" s="369"/>
      <c r="E654" s="369"/>
      <c r="F654" s="370"/>
      <c r="G654" s="248" t="str">
        <f t="shared" si="50"/>
        <v/>
      </c>
      <c r="H654" s="1" t="b">
        <f>IF(B654="",FALSE,COUNTIF('従業員情報(給与以外)'!$A$4:$A$1000000,$B654)=0)</f>
        <v>0</v>
      </c>
      <c r="I654" s="9" t="b">
        <f t="shared" si="51"/>
        <v>1</v>
      </c>
      <c r="J654" s="9" t="b">
        <f t="shared" si="52"/>
        <v>1</v>
      </c>
      <c r="K654" s="9" t="b">
        <f t="shared" si="53"/>
        <v>1</v>
      </c>
      <c r="L654" s="9" t="b">
        <f t="shared" si="54"/>
        <v>1</v>
      </c>
      <c r="M654" s="1" t="b">
        <f>IF(OR(入力シート!$C$5&lt;&gt;入力リスト!$N$4,入力シート!$J$22&lt;&gt;入力リスト!$K$4),TRUE,IF($F$2=入力リスト!$Q$4,IF(F654-INT(F654)&lt;0.6,TRUE,FALSE),TRUE))</f>
        <v>1</v>
      </c>
      <c r="N654" s="9" t="str">
        <f>IF(F654="","",IF($F$2=入力リスト!$Q$4,ROUNDDOWN(INT(F654)+ROUNDDOWN((F654-INT(F654))*100,0)/60,2),従業員の給与情報!F654))</f>
        <v/>
      </c>
      <c r="O654" s="8"/>
      <c r="P654" s="8"/>
    </row>
    <row r="655" spans="1:16">
      <c r="A655" s="119"/>
      <c r="B655" s="2"/>
      <c r="C655" s="369"/>
      <c r="D655" s="369"/>
      <c r="E655" s="369"/>
      <c r="F655" s="370"/>
      <c r="G655" s="248" t="str">
        <f t="shared" si="50"/>
        <v/>
      </c>
      <c r="H655" s="1" t="b">
        <f>IF(B655="",FALSE,COUNTIF('従業員情報(給与以外)'!$A$4:$A$1000000,$B655)=0)</f>
        <v>0</v>
      </c>
      <c r="I655" s="9" t="b">
        <f t="shared" si="51"/>
        <v>1</v>
      </c>
      <c r="J655" s="9" t="b">
        <f t="shared" si="52"/>
        <v>1</v>
      </c>
      <c r="K655" s="9" t="b">
        <f t="shared" si="53"/>
        <v>1</v>
      </c>
      <c r="L655" s="9" t="b">
        <f t="shared" si="54"/>
        <v>1</v>
      </c>
      <c r="M655" s="1" t="b">
        <f>IF(OR(入力シート!$C$5&lt;&gt;入力リスト!$N$4,入力シート!$J$22&lt;&gt;入力リスト!$K$4),TRUE,IF($F$2=入力リスト!$Q$4,IF(F655-INT(F655)&lt;0.6,TRUE,FALSE),TRUE))</f>
        <v>1</v>
      </c>
      <c r="N655" s="9" t="str">
        <f>IF(F655="","",IF($F$2=入力リスト!$Q$4,ROUNDDOWN(INT(F655)+ROUNDDOWN((F655-INT(F655))*100,0)/60,2),従業員の給与情報!F655))</f>
        <v/>
      </c>
      <c r="O655" s="8"/>
      <c r="P655" s="8"/>
    </row>
    <row r="656" spans="1:16">
      <c r="A656" s="119"/>
      <c r="B656" s="2"/>
      <c r="C656" s="369"/>
      <c r="D656" s="369"/>
      <c r="E656" s="369"/>
      <c r="F656" s="370"/>
      <c r="G656" s="248" t="str">
        <f t="shared" si="50"/>
        <v/>
      </c>
      <c r="H656" s="1" t="b">
        <f>IF(B656="",FALSE,COUNTIF('従業員情報(給与以外)'!$A$4:$A$1000000,$B656)=0)</f>
        <v>0</v>
      </c>
      <c r="I656" s="9" t="b">
        <f t="shared" si="51"/>
        <v>1</v>
      </c>
      <c r="J656" s="9" t="b">
        <f t="shared" si="52"/>
        <v>1</v>
      </c>
      <c r="K656" s="9" t="b">
        <f t="shared" si="53"/>
        <v>1</v>
      </c>
      <c r="L656" s="9" t="b">
        <f t="shared" si="54"/>
        <v>1</v>
      </c>
      <c r="M656" s="1" t="b">
        <f>IF(OR(入力シート!$C$5&lt;&gt;入力リスト!$N$4,入力シート!$J$22&lt;&gt;入力リスト!$K$4),TRUE,IF($F$2=入力リスト!$Q$4,IF(F656-INT(F656)&lt;0.6,TRUE,FALSE),TRUE))</f>
        <v>1</v>
      </c>
      <c r="N656" s="9" t="str">
        <f>IF(F656="","",IF($F$2=入力リスト!$Q$4,ROUNDDOWN(INT(F656)+ROUNDDOWN((F656-INT(F656))*100,0)/60,2),従業員の給与情報!F656))</f>
        <v/>
      </c>
      <c r="O656" s="8"/>
      <c r="P656" s="8"/>
    </row>
    <row r="657" spans="1:16">
      <c r="A657" s="119"/>
      <c r="B657" s="2"/>
      <c r="C657" s="369"/>
      <c r="D657" s="369"/>
      <c r="E657" s="369"/>
      <c r="F657" s="370"/>
      <c r="G657" s="248" t="str">
        <f t="shared" si="50"/>
        <v/>
      </c>
      <c r="H657" s="1" t="b">
        <f>IF(B657="",FALSE,COUNTIF('従業員情報(給与以外)'!$A$4:$A$1000000,$B657)=0)</f>
        <v>0</v>
      </c>
      <c r="I657" s="9" t="b">
        <f t="shared" si="51"/>
        <v>1</v>
      </c>
      <c r="J657" s="9" t="b">
        <f t="shared" si="52"/>
        <v>1</v>
      </c>
      <c r="K657" s="9" t="b">
        <f t="shared" si="53"/>
        <v>1</v>
      </c>
      <c r="L657" s="9" t="b">
        <f t="shared" si="54"/>
        <v>1</v>
      </c>
      <c r="M657" s="1" t="b">
        <f>IF(OR(入力シート!$C$5&lt;&gt;入力リスト!$N$4,入力シート!$J$22&lt;&gt;入力リスト!$K$4),TRUE,IF($F$2=入力リスト!$Q$4,IF(F657-INT(F657)&lt;0.6,TRUE,FALSE),TRUE))</f>
        <v>1</v>
      </c>
      <c r="N657" s="9" t="str">
        <f>IF(F657="","",IF($F$2=入力リスト!$Q$4,ROUNDDOWN(INT(F657)+ROUNDDOWN((F657-INT(F657))*100,0)/60,2),従業員の給与情報!F657))</f>
        <v/>
      </c>
      <c r="O657" s="8"/>
      <c r="P657" s="8"/>
    </row>
    <row r="658" spans="1:16">
      <c r="A658" s="119"/>
      <c r="B658" s="2"/>
      <c r="C658" s="369"/>
      <c r="D658" s="369"/>
      <c r="E658" s="369"/>
      <c r="F658" s="370"/>
      <c r="G658" s="248" t="str">
        <f t="shared" si="50"/>
        <v/>
      </c>
      <c r="H658" s="1" t="b">
        <f>IF(B658="",FALSE,COUNTIF('従業員情報(給与以外)'!$A$4:$A$1000000,$B658)=0)</f>
        <v>0</v>
      </c>
      <c r="I658" s="9" t="b">
        <f t="shared" si="51"/>
        <v>1</v>
      </c>
      <c r="J658" s="9" t="b">
        <f t="shared" si="52"/>
        <v>1</v>
      </c>
      <c r="K658" s="9" t="b">
        <f t="shared" si="53"/>
        <v>1</v>
      </c>
      <c r="L658" s="9" t="b">
        <f t="shared" si="54"/>
        <v>1</v>
      </c>
      <c r="M658" s="1" t="b">
        <f>IF(OR(入力シート!$C$5&lt;&gt;入力リスト!$N$4,入力シート!$J$22&lt;&gt;入力リスト!$K$4),TRUE,IF($F$2=入力リスト!$Q$4,IF(F658-INT(F658)&lt;0.6,TRUE,FALSE),TRUE))</f>
        <v>1</v>
      </c>
      <c r="N658" s="9" t="str">
        <f>IF(F658="","",IF($F$2=入力リスト!$Q$4,ROUNDDOWN(INT(F658)+ROUNDDOWN((F658-INT(F658))*100,0)/60,2),従業員の給与情報!F658))</f>
        <v/>
      </c>
      <c r="O658" s="8"/>
      <c r="P658" s="8"/>
    </row>
    <row r="659" spans="1:16">
      <c r="A659" s="119"/>
      <c r="B659" s="2"/>
      <c r="C659" s="369"/>
      <c r="D659" s="369"/>
      <c r="E659" s="369"/>
      <c r="F659" s="370"/>
      <c r="G659" s="248" t="str">
        <f t="shared" si="50"/>
        <v/>
      </c>
      <c r="H659" s="1" t="b">
        <f>IF(B659="",FALSE,COUNTIF('従業員情報(給与以外)'!$A$4:$A$1000000,$B659)=0)</f>
        <v>0</v>
      </c>
      <c r="I659" s="9" t="b">
        <f t="shared" si="51"/>
        <v>1</v>
      </c>
      <c r="J659" s="9" t="b">
        <f t="shared" si="52"/>
        <v>1</v>
      </c>
      <c r="K659" s="9" t="b">
        <f t="shared" si="53"/>
        <v>1</v>
      </c>
      <c r="L659" s="9" t="b">
        <f t="shared" si="54"/>
        <v>1</v>
      </c>
      <c r="M659" s="1" t="b">
        <f>IF(OR(入力シート!$C$5&lt;&gt;入力リスト!$N$4,入力シート!$J$22&lt;&gt;入力リスト!$K$4),TRUE,IF($F$2=入力リスト!$Q$4,IF(F659-INT(F659)&lt;0.6,TRUE,FALSE),TRUE))</f>
        <v>1</v>
      </c>
      <c r="N659" s="9" t="str">
        <f>IF(F659="","",IF($F$2=入力リスト!$Q$4,ROUNDDOWN(INT(F659)+ROUNDDOWN((F659-INT(F659))*100,0)/60,2),従業員の給与情報!F659))</f>
        <v/>
      </c>
      <c r="O659" s="8"/>
      <c r="P659" s="8"/>
    </row>
    <row r="660" spans="1:16">
      <c r="A660" s="119"/>
      <c r="B660" s="2"/>
      <c r="C660" s="369"/>
      <c r="D660" s="369"/>
      <c r="E660" s="369"/>
      <c r="F660" s="370"/>
      <c r="G660" s="248" t="str">
        <f t="shared" si="50"/>
        <v/>
      </c>
      <c r="H660" s="1" t="b">
        <f>IF(B660="",FALSE,COUNTIF('従業員情報(給与以外)'!$A$4:$A$1000000,$B660)=0)</f>
        <v>0</v>
      </c>
      <c r="I660" s="9" t="b">
        <f t="shared" si="51"/>
        <v>1</v>
      </c>
      <c r="J660" s="9" t="b">
        <f t="shared" si="52"/>
        <v>1</v>
      </c>
      <c r="K660" s="9" t="b">
        <f t="shared" si="53"/>
        <v>1</v>
      </c>
      <c r="L660" s="9" t="b">
        <f t="shared" si="54"/>
        <v>1</v>
      </c>
      <c r="M660" s="1" t="b">
        <f>IF(OR(入力シート!$C$5&lt;&gt;入力リスト!$N$4,入力シート!$J$22&lt;&gt;入力リスト!$K$4),TRUE,IF($F$2=入力リスト!$Q$4,IF(F660-INT(F660)&lt;0.6,TRUE,FALSE),TRUE))</f>
        <v>1</v>
      </c>
      <c r="N660" s="9" t="str">
        <f>IF(F660="","",IF($F$2=入力リスト!$Q$4,ROUNDDOWN(INT(F660)+ROUNDDOWN((F660-INT(F660))*100,0)/60,2),従業員の給与情報!F660))</f>
        <v/>
      </c>
      <c r="O660" s="8"/>
      <c r="P660" s="8"/>
    </row>
    <row r="661" spans="1:16">
      <c r="A661" s="119"/>
      <c r="B661" s="2"/>
      <c r="C661" s="369"/>
      <c r="D661" s="369"/>
      <c r="E661" s="369"/>
      <c r="F661" s="370"/>
      <c r="G661" s="248" t="str">
        <f t="shared" si="50"/>
        <v/>
      </c>
      <c r="H661" s="1" t="b">
        <f>IF(B661="",FALSE,COUNTIF('従業員情報(給与以外)'!$A$4:$A$1000000,$B661)=0)</f>
        <v>0</v>
      </c>
      <c r="I661" s="9" t="b">
        <f t="shared" si="51"/>
        <v>1</v>
      </c>
      <c r="J661" s="9" t="b">
        <f t="shared" si="52"/>
        <v>1</v>
      </c>
      <c r="K661" s="9" t="b">
        <f t="shared" si="53"/>
        <v>1</v>
      </c>
      <c r="L661" s="9" t="b">
        <f t="shared" si="54"/>
        <v>1</v>
      </c>
      <c r="M661" s="1" t="b">
        <f>IF(OR(入力シート!$C$5&lt;&gt;入力リスト!$N$4,入力シート!$J$22&lt;&gt;入力リスト!$K$4),TRUE,IF($F$2=入力リスト!$Q$4,IF(F661-INT(F661)&lt;0.6,TRUE,FALSE),TRUE))</f>
        <v>1</v>
      </c>
      <c r="N661" s="9" t="str">
        <f>IF(F661="","",IF($F$2=入力リスト!$Q$4,ROUNDDOWN(INT(F661)+ROUNDDOWN((F661-INT(F661))*100,0)/60,2),従業員の給与情報!F661))</f>
        <v/>
      </c>
      <c r="O661" s="8"/>
      <c r="P661" s="8"/>
    </row>
    <row r="662" spans="1:16">
      <c r="A662" s="119"/>
      <c r="B662" s="2"/>
      <c r="C662" s="369"/>
      <c r="D662" s="369"/>
      <c r="E662" s="369"/>
      <c r="F662" s="370"/>
      <c r="G662" s="248" t="str">
        <f t="shared" si="50"/>
        <v/>
      </c>
      <c r="H662" s="1" t="b">
        <f>IF(B662="",FALSE,COUNTIF('従業員情報(給与以外)'!$A$4:$A$1000000,$B662)=0)</f>
        <v>0</v>
      </c>
      <c r="I662" s="9" t="b">
        <f t="shared" si="51"/>
        <v>1</v>
      </c>
      <c r="J662" s="9" t="b">
        <f t="shared" si="52"/>
        <v>1</v>
      </c>
      <c r="K662" s="9" t="b">
        <f t="shared" si="53"/>
        <v>1</v>
      </c>
      <c r="L662" s="9" t="b">
        <f t="shared" si="54"/>
        <v>1</v>
      </c>
      <c r="M662" s="1" t="b">
        <f>IF(OR(入力シート!$C$5&lt;&gt;入力リスト!$N$4,入力シート!$J$22&lt;&gt;入力リスト!$K$4),TRUE,IF($F$2=入力リスト!$Q$4,IF(F662-INT(F662)&lt;0.6,TRUE,FALSE),TRUE))</f>
        <v>1</v>
      </c>
      <c r="N662" s="9" t="str">
        <f>IF(F662="","",IF($F$2=入力リスト!$Q$4,ROUNDDOWN(INT(F662)+ROUNDDOWN((F662-INT(F662))*100,0)/60,2),従業員の給与情報!F662))</f>
        <v/>
      </c>
      <c r="O662" s="8"/>
      <c r="P662" s="8"/>
    </row>
    <row r="663" spans="1:16">
      <c r="A663" s="119"/>
      <c r="B663" s="2"/>
      <c r="C663" s="369"/>
      <c r="D663" s="369"/>
      <c r="E663" s="369"/>
      <c r="F663" s="370"/>
      <c r="G663" s="248" t="str">
        <f t="shared" si="50"/>
        <v/>
      </c>
      <c r="H663" s="1" t="b">
        <f>IF(B663="",FALSE,COUNTIF('従業員情報(給与以外)'!$A$4:$A$1000000,$B663)=0)</f>
        <v>0</v>
      </c>
      <c r="I663" s="9" t="b">
        <f t="shared" si="51"/>
        <v>1</v>
      </c>
      <c r="J663" s="9" t="b">
        <f t="shared" si="52"/>
        <v>1</v>
      </c>
      <c r="K663" s="9" t="b">
        <f t="shared" si="53"/>
        <v>1</v>
      </c>
      <c r="L663" s="9" t="b">
        <f t="shared" si="54"/>
        <v>1</v>
      </c>
      <c r="M663" s="1" t="b">
        <f>IF(OR(入力シート!$C$5&lt;&gt;入力リスト!$N$4,入力シート!$J$22&lt;&gt;入力リスト!$K$4),TRUE,IF($F$2=入力リスト!$Q$4,IF(F663-INT(F663)&lt;0.6,TRUE,FALSE),TRUE))</f>
        <v>1</v>
      </c>
      <c r="N663" s="9" t="str">
        <f>IF(F663="","",IF($F$2=入力リスト!$Q$4,ROUNDDOWN(INT(F663)+ROUNDDOWN((F663-INT(F663))*100,0)/60,2),従業員の給与情報!F663))</f>
        <v/>
      </c>
      <c r="O663" s="8"/>
      <c r="P663" s="8"/>
    </row>
    <row r="664" spans="1:16">
      <c r="A664" s="119"/>
      <c r="B664" s="2"/>
      <c r="C664" s="369"/>
      <c r="D664" s="369"/>
      <c r="E664" s="369"/>
      <c r="F664" s="370"/>
      <c r="G664" s="248" t="str">
        <f t="shared" si="50"/>
        <v/>
      </c>
      <c r="H664" s="1" t="b">
        <f>IF(B664="",FALSE,COUNTIF('従業員情報(給与以外)'!$A$4:$A$1000000,$B664)=0)</f>
        <v>0</v>
      </c>
      <c r="I664" s="9" t="b">
        <f t="shared" si="51"/>
        <v>1</v>
      </c>
      <c r="J664" s="9" t="b">
        <f t="shared" si="52"/>
        <v>1</v>
      </c>
      <c r="K664" s="9" t="b">
        <f t="shared" si="53"/>
        <v>1</v>
      </c>
      <c r="L664" s="9" t="b">
        <f t="shared" si="54"/>
        <v>1</v>
      </c>
      <c r="M664" s="1" t="b">
        <f>IF(OR(入力シート!$C$5&lt;&gt;入力リスト!$N$4,入力シート!$J$22&lt;&gt;入力リスト!$K$4),TRUE,IF($F$2=入力リスト!$Q$4,IF(F664-INT(F664)&lt;0.6,TRUE,FALSE),TRUE))</f>
        <v>1</v>
      </c>
      <c r="N664" s="9" t="str">
        <f>IF(F664="","",IF($F$2=入力リスト!$Q$4,ROUNDDOWN(INT(F664)+ROUNDDOWN((F664-INT(F664))*100,0)/60,2),従業員の給与情報!F664))</f>
        <v/>
      </c>
      <c r="O664" s="8"/>
      <c r="P664" s="8"/>
    </row>
    <row r="665" spans="1:16">
      <c r="A665" s="119"/>
      <c r="B665" s="2"/>
      <c r="C665" s="369"/>
      <c r="D665" s="369"/>
      <c r="E665" s="369"/>
      <c r="F665" s="370"/>
      <c r="G665" s="248" t="str">
        <f t="shared" si="50"/>
        <v/>
      </c>
      <c r="H665" s="1" t="b">
        <f>IF(B665="",FALSE,COUNTIF('従業員情報(給与以外)'!$A$4:$A$1000000,$B665)=0)</f>
        <v>0</v>
      </c>
      <c r="I665" s="9" t="b">
        <f t="shared" si="51"/>
        <v>1</v>
      </c>
      <c r="J665" s="9" t="b">
        <f t="shared" si="52"/>
        <v>1</v>
      </c>
      <c r="K665" s="9" t="b">
        <f t="shared" si="53"/>
        <v>1</v>
      </c>
      <c r="L665" s="9" t="b">
        <f t="shared" si="54"/>
        <v>1</v>
      </c>
      <c r="M665" s="1" t="b">
        <f>IF(OR(入力シート!$C$5&lt;&gt;入力リスト!$N$4,入力シート!$J$22&lt;&gt;入力リスト!$K$4),TRUE,IF($F$2=入力リスト!$Q$4,IF(F665-INT(F665)&lt;0.6,TRUE,FALSE),TRUE))</f>
        <v>1</v>
      </c>
      <c r="N665" s="9" t="str">
        <f>IF(F665="","",IF($F$2=入力リスト!$Q$4,ROUNDDOWN(INT(F665)+ROUNDDOWN((F665-INT(F665))*100,0)/60,2),従業員の給与情報!F665))</f>
        <v/>
      </c>
      <c r="O665" s="8"/>
      <c r="P665" s="8"/>
    </row>
    <row r="666" spans="1:16">
      <c r="A666" s="119"/>
      <c r="B666" s="2"/>
      <c r="C666" s="369"/>
      <c r="D666" s="369"/>
      <c r="E666" s="369"/>
      <c r="F666" s="370"/>
      <c r="G666" s="248" t="str">
        <f t="shared" si="50"/>
        <v/>
      </c>
      <c r="H666" s="1" t="b">
        <f>IF(B666="",FALSE,COUNTIF('従業員情報(給与以外)'!$A$4:$A$1000000,$B666)=0)</f>
        <v>0</v>
      </c>
      <c r="I666" s="9" t="b">
        <f t="shared" si="51"/>
        <v>1</v>
      </c>
      <c r="J666" s="9" t="b">
        <f t="shared" si="52"/>
        <v>1</v>
      </c>
      <c r="K666" s="9" t="b">
        <f t="shared" si="53"/>
        <v>1</v>
      </c>
      <c r="L666" s="9" t="b">
        <f t="shared" si="54"/>
        <v>1</v>
      </c>
      <c r="M666" s="1" t="b">
        <f>IF(OR(入力シート!$C$5&lt;&gt;入力リスト!$N$4,入力シート!$J$22&lt;&gt;入力リスト!$K$4),TRUE,IF($F$2=入力リスト!$Q$4,IF(F666-INT(F666)&lt;0.6,TRUE,FALSE),TRUE))</f>
        <v>1</v>
      </c>
      <c r="N666" s="9" t="str">
        <f>IF(F666="","",IF($F$2=入力リスト!$Q$4,ROUNDDOWN(INT(F666)+ROUNDDOWN((F666-INT(F666))*100,0)/60,2),従業員の給与情報!F666))</f>
        <v/>
      </c>
      <c r="O666" s="8"/>
      <c r="P666" s="8"/>
    </row>
    <row r="667" spans="1:16">
      <c r="A667" s="119"/>
      <c r="B667" s="2"/>
      <c r="C667" s="369"/>
      <c r="D667" s="369"/>
      <c r="E667" s="369"/>
      <c r="F667" s="370"/>
      <c r="G667" s="248" t="str">
        <f t="shared" si="50"/>
        <v/>
      </c>
      <c r="H667" s="1" t="b">
        <f>IF(B667="",FALSE,COUNTIF('従業員情報(給与以外)'!$A$4:$A$1000000,$B667)=0)</f>
        <v>0</v>
      </c>
      <c r="I667" s="9" t="b">
        <f t="shared" si="51"/>
        <v>1</v>
      </c>
      <c r="J667" s="9" t="b">
        <f t="shared" si="52"/>
        <v>1</v>
      </c>
      <c r="K667" s="9" t="b">
        <f t="shared" si="53"/>
        <v>1</v>
      </c>
      <c r="L667" s="9" t="b">
        <f t="shared" si="54"/>
        <v>1</v>
      </c>
      <c r="M667" s="1" t="b">
        <f>IF(OR(入力シート!$C$5&lt;&gt;入力リスト!$N$4,入力シート!$J$22&lt;&gt;入力リスト!$K$4),TRUE,IF($F$2=入力リスト!$Q$4,IF(F667-INT(F667)&lt;0.6,TRUE,FALSE),TRUE))</f>
        <v>1</v>
      </c>
      <c r="N667" s="9" t="str">
        <f>IF(F667="","",IF($F$2=入力リスト!$Q$4,ROUNDDOWN(INT(F667)+ROUNDDOWN((F667-INT(F667))*100,0)/60,2),従業員の給与情報!F667))</f>
        <v/>
      </c>
      <c r="O667" s="8"/>
      <c r="P667" s="8"/>
    </row>
    <row r="668" spans="1:16">
      <c r="A668" s="119"/>
      <c r="B668" s="2"/>
      <c r="C668" s="369"/>
      <c r="D668" s="369"/>
      <c r="E668" s="369"/>
      <c r="F668" s="370"/>
      <c r="G668" s="248" t="str">
        <f t="shared" si="50"/>
        <v/>
      </c>
      <c r="H668" s="1" t="b">
        <f>IF(B668="",FALSE,COUNTIF('従業員情報(給与以外)'!$A$4:$A$1000000,$B668)=0)</f>
        <v>0</v>
      </c>
      <c r="I668" s="9" t="b">
        <f t="shared" si="51"/>
        <v>1</v>
      </c>
      <c r="J668" s="9" t="b">
        <f t="shared" si="52"/>
        <v>1</v>
      </c>
      <c r="K668" s="9" t="b">
        <f t="shared" si="53"/>
        <v>1</v>
      </c>
      <c r="L668" s="9" t="b">
        <f t="shared" si="54"/>
        <v>1</v>
      </c>
      <c r="M668" s="1" t="b">
        <f>IF(OR(入力シート!$C$5&lt;&gt;入力リスト!$N$4,入力シート!$J$22&lt;&gt;入力リスト!$K$4),TRUE,IF($F$2=入力リスト!$Q$4,IF(F668-INT(F668)&lt;0.6,TRUE,FALSE),TRUE))</f>
        <v>1</v>
      </c>
      <c r="N668" s="9" t="str">
        <f>IF(F668="","",IF($F$2=入力リスト!$Q$4,ROUNDDOWN(INT(F668)+ROUNDDOWN((F668-INT(F668))*100,0)/60,2),従業員の給与情報!F668))</f>
        <v/>
      </c>
      <c r="O668" s="8"/>
      <c r="P668" s="8"/>
    </row>
    <row r="669" spans="1:16">
      <c r="A669" s="119"/>
      <c r="B669" s="2"/>
      <c r="C669" s="369"/>
      <c r="D669" s="369"/>
      <c r="E669" s="369"/>
      <c r="F669" s="370"/>
      <c r="G669" s="248" t="str">
        <f t="shared" si="50"/>
        <v/>
      </c>
      <c r="H669" s="1" t="b">
        <f>IF(B669="",FALSE,COUNTIF('従業員情報(給与以外)'!$A$4:$A$1000000,$B669)=0)</f>
        <v>0</v>
      </c>
      <c r="I669" s="9" t="b">
        <f t="shared" si="51"/>
        <v>1</v>
      </c>
      <c r="J669" s="9" t="b">
        <f t="shared" si="52"/>
        <v>1</v>
      </c>
      <c r="K669" s="9" t="b">
        <f t="shared" si="53"/>
        <v>1</v>
      </c>
      <c r="L669" s="9" t="b">
        <f t="shared" si="54"/>
        <v>1</v>
      </c>
      <c r="M669" s="1" t="b">
        <f>IF(OR(入力シート!$C$5&lt;&gt;入力リスト!$N$4,入力シート!$J$22&lt;&gt;入力リスト!$K$4),TRUE,IF($F$2=入力リスト!$Q$4,IF(F669-INT(F669)&lt;0.6,TRUE,FALSE),TRUE))</f>
        <v>1</v>
      </c>
      <c r="N669" s="9" t="str">
        <f>IF(F669="","",IF($F$2=入力リスト!$Q$4,ROUNDDOWN(INT(F669)+ROUNDDOWN((F669-INT(F669))*100,0)/60,2),従業員の給与情報!F669))</f>
        <v/>
      </c>
      <c r="O669" s="8"/>
      <c r="P669" s="8"/>
    </row>
    <row r="670" spans="1:16">
      <c r="A670" s="119"/>
      <c r="B670" s="2"/>
      <c r="C670" s="369"/>
      <c r="D670" s="369"/>
      <c r="E670" s="369"/>
      <c r="F670" s="370"/>
      <c r="G670" s="248" t="str">
        <f t="shared" si="50"/>
        <v/>
      </c>
      <c r="H670" s="1" t="b">
        <f>IF(B670="",FALSE,COUNTIF('従業員情報(給与以外)'!$A$4:$A$1000000,$B670)=0)</f>
        <v>0</v>
      </c>
      <c r="I670" s="9" t="b">
        <f t="shared" si="51"/>
        <v>1</v>
      </c>
      <c r="J670" s="9" t="b">
        <f t="shared" si="52"/>
        <v>1</v>
      </c>
      <c r="K670" s="9" t="b">
        <f t="shared" si="53"/>
        <v>1</v>
      </c>
      <c r="L670" s="9" t="b">
        <f t="shared" si="54"/>
        <v>1</v>
      </c>
      <c r="M670" s="1" t="b">
        <f>IF(OR(入力シート!$C$5&lt;&gt;入力リスト!$N$4,入力シート!$J$22&lt;&gt;入力リスト!$K$4),TRUE,IF($F$2=入力リスト!$Q$4,IF(F670-INT(F670)&lt;0.6,TRUE,FALSE),TRUE))</f>
        <v>1</v>
      </c>
      <c r="N670" s="9" t="str">
        <f>IF(F670="","",IF($F$2=入力リスト!$Q$4,ROUNDDOWN(INT(F670)+ROUNDDOWN((F670-INT(F670))*100,0)/60,2),従業員の給与情報!F670))</f>
        <v/>
      </c>
      <c r="O670" s="8"/>
      <c r="P670" s="8"/>
    </row>
    <row r="671" spans="1:16">
      <c r="A671" s="119"/>
      <c r="B671" s="2"/>
      <c r="C671" s="369"/>
      <c r="D671" s="369"/>
      <c r="E671" s="369"/>
      <c r="F671" s="370"/>
      <c r="G671" s="248" t="str">
        <f t="shared" si="50"/>
        <v/>
      </c>
      <c r="H671" s="1" t="b">
        <f>IF(B671="",FALSE,COUNTIF('従業員情報(給与以外)'!$A$4:$A$1000000,$B671)=0)</f>
        <v>0</v>
      </c>
      <c r="I671" s="9" t="b">
        <f t="shared" si="51"/>
        <v>1</v>
      </c>
      <c r="J671" s="9" t="b">
        <f t="shared" si="52"/>
        <v>1</v>
      </c>
      <c r="K671" s="9" t="b">
        <f t="shared" si="53"/>
        <v>1</v>
      </c>
      <c r="L671" s="9" t="b">
        <f t="shared" si="54"/>
        <v>1</v>
      </c>
      <c r="M671" s="1" t="b">
        <f>IF(OR(入力シート!$C$5&lt;&gt;入力リスト!$N$4,入力シート!$J$22&lt;&gt;入力リスト!$K$4),TRUE,IF($F$2=入力リスト!$Q$4,IF(F671-INT(F671)&lt;0.6,TRUE,FALSE),TRUE))</f>
        <v>1</v>
      </c>
      <c r="N671" s="9" t="str">
        <f>IF(F671="","",IF($F$2=入力リスト!$Q$4,ROUNDDOWN(INT(F671)+ROUNDDOWN((F671-INT(F671))*100,0)/60,2),従業員の給与情報!F671))</f>
        <v/>
      </c>
      <c r="O671" s="8"/>
      <c r="P671" s="8"/>
    </row>
    <row r="672" spans="1:16">
      <c r="A672" s="119"/>
      <c r="B672" s="2"/>
      <c r="C672" s="369"/>
      <c r="D672" s="369"/>
      <c r="E672" s="369"/>
      <c r="F672" s="370"/>
      <c r="G672" s="248" t="str">
        <f t="shared" si="50"/>
        <v/>
      </c>
      <c r="H672" s="1" t="b">
        <f>IF(B672="",FALSE,COUNTIF('従業員情報(給与以外)'!$A$4:$A$1000000,$B672)=0)</f>
        <v>0</v>
      </c>
      <c r="I672" s="9" t="b">
        <f t="shared" si="51"/>
        <v>1</v>
      </c>
      <c r="J672" s="9" t="b">
        <f t="shared" si="52"/>
        <v>1</v>
      </c>
      <c r="K672" s="9" t="b">
        <f t="shared" si="53"/>
        <v>1</v>
      </c>
      <c r="L672" s="9" t="b">
        <f t="shared" si="54"/>
        <v>1</v>
      </c>
      <c r="M672" s="1" t="b">
        <f>IF(OR(入力シート!$C$5&lt;&gt;入力リスト!$N$4,入力シート!$J$22&lt;&gt;入力リスト!$K$4),TRUE,IF($F$2=入力リスト!$Q$4,IF(F672-INT(F672)&lt;0.6,TRUE,FALSE),TRUE))</f>
        <v>1</v>
      </c>
      <c r="N672" s="9" t="str">
        <f>IF(F672="","",IF($F$2=入力リスト!$Q$4,ROUNDDOWN(INT(F672)+ROUNDDOWN((F672-INT(F672))*100,0)/60,2),従業員の給与情報!F672))</f>
        <v/>
      </c>
      <c r="O672" s="8"/>
      <c r="P672" s="8"/>
    </row>
    <row r="673" spans="1:16">
      <c r="A673" s="119"/>
      <c r="B673" s="2"/>
      <c r="C673" s="369"/>
      <c r="D673" s="369"/>
      <c r="E673" s="369"/>
      <c r="F673" s="370"/>
      <c r="G673" s="248" t="str">
        <f t="shared" si="50"/>
        <v/>
      </c>
      <c r="H673" s="1" t="b">
        <f>IF(B673="",FALSE,COUNTIF('従業員情報(給与以外)'!$A$4:$A$1000000,$B673)=0)</f>
        <v>0</v>
      </c>
      <c r="I673" s="9" t="b">
        <f t="shared" si="51"/>
        <v>1</v>
      </c>
      <c r="J673" s="9" t="b">
        <f t="shared" si="52"/>
        <v>1</v>
      </c>
      <c r="K673" s="9" t="b">
        <f t="shared" si="53"/>
        <v>1</v>
      </c>
      <c r="L673" s="9" t="b">
        <f t="shared" si="54"/>
        <v>1</v>
      </c>
      <c r="M673" s="1" t="b">
        <f>IF(OR(入力シート!$C$5&lt;&gt;入力リスト!$N$4,入力シート!$J$22&lt;&gt;入力リスト!$K$4),TRUE,IF($F$2=入力リスト!$Q$4,IF(F673-INT(F673)&lt;0.6,TRUE,FALSE),TRUE))</f>
        <v>1</v>
      </c>
      <c r="N673" s="9" t="str">
        <f>IF(F673="","",IF($F$2=入力リスト!$Q$4,ROUNDDOWN(INT(F673)+ROUNDDOWN((F673-INT(F673))*100,0)/60,2),従業員の給与情報!F673))</f>
        <v/>
      </c>
      <c r="O673" s="8"/>
      <c r="P673" s="8"/>
    </row>
    <row r="674" spans="1:16">
      <c r="A674" s="119"/>
      <c r="B674" s="2"/>
      <c r="C674" s="369"/>
      <c r="D674" s="369"/>
      <c r="E674" s="369"/>
      <c r="F674" s="370"/>
      <c r="G674" s="248" t="str">
        <f t="shared" si="50"/>
        <v/>
      </c>
      <c r="H674" s="1" t="b">
        <f>IF(B674="",FALSE,COUNTIF('従業員情報(給与以外)'!$A$4:$A$1000000,$B674)=0)</f>
        <v>0</v>
      </c>
      <c r="I674" s="9" t="b">
        <f t="shared" si="51"/>
        <v>1</v>
      </c>
      <c r="J674" s="9" t="b">
        <f t="shared" si="52"/>
        <v>1</v>
      </c>
      <c r="K674" s="9" t="b">
        <f t="shared" si="53"/>
        <v>1</v>
      </c>
      <c r="L674" s="9" t="b">
        <f t="shared" si="54"/>
        <v>1</v>
      </c>
      <c r="M674" s="1" t="b">
        <f>IF(OR(入力シート!$C$5&lt;&gt;入力リスト!$N$4,入力シート!$J$22&lt;&gt;入力リスト!$K$4),TRUE,IF($F$2=入力リスト!$Q$4,IF(F674-INT(F674)&lt;0.6,TRUE,FALSE),TRUE))</f>
        <v>1</v>
      </c>
      <c r="N674" s="9" t="str">
        <f>IF(F674="","",IF($F$2=入力リスト!$Q$4,ROUNDDOWN(INT(F674)+ROUNDDOWN((F674-INT(F674))*100,0)/60,2),従業員の給与情報!F674))</f>
        <v/>
      </c>
      <c r="O674" s="8"/>
      <c r="P674" s="8"/>
    </row>
    <row r="675" spans="1:16">
      <c r="A675" s="119"/>
      <c r="B675" s="2"/>
      <c r="C675" s="369"/>
      <c r="D675" s="369"/>
      <c r="E675" s="369"/>
      <c r="F675" s="370"/>
      <c r="G675" s="248" t="str">
        <f t="shared" si="50"/>
        <v/>
      </c>
      <c r="H675" s="1" t="b">
        <f>IF(B675="",FALSE,COUNTIF('従業員情報(給与以外)'!$A$4:$A$1000000,$B675)=0)</f>
        <v>0</v>
      </c>
      <c r="I675" s="9" t="b">
        <f t="shared" si="51"/>
        <v>1</v>
      </c>
      <c r="J675" s="9" t="b">
        <f t="shared" si="52"/>
        <v>1</v>
      </c>
      <c r="K675" s="9" t="b">
        <f t="shared" si="53"/>
        <v>1</v>
      </c>
      <c r="L675" s="9" t="b">
        <f t="shared" si="54"/>
        <v>1</v>
      </c>
      <c r="M675" s="1" t="b">
        <f>IF(OR(入力シート!$C$5&lt;&gt;入力リスト!$N$4,入力シート!$J$22&lt;&gt;入力リスト!$K$4),TRUE,IF($F$2=入力リスト!$Q$4,IF(F675-INT(F675)&lt;0.6,TRUE,FALSE),TRUE))</f>
        <v>1</v>
      </c>
      <c r="N675" s="9" t="str">
        <f>IF(F675="","",IF($F$2=入力リスト!$Q$4,ROUNDDOWN(INT(F675)+ROUNDDOWN((F675-INT(F675))*100,0)/60,2),従業員の給与情報!F675))</f>
        <v/>
      </c>
      <c r="O675" s="8"/>
      <c r="P675" s="8"/>
    </row>
    <row r="676" spans="1:16">
      <c r="A676" s="119"/>
      <c r="B676" s="2"/>
      <c r="C676" s="369"/>
      <c r="D676" s="369"/>
      <c r="E676" s="369"/>
      <c r="F676" s="370"/>
      <c r="G676" s="248" t="str">
        <f t="shared" si="50"/>
        <v/>
      </c>
      <c r="H676" s="1" t="b">
        <f>IF(B676="",FALSE,COUNTIF('従業員情報(給与以外)'!$A$4:$A$1000000,$B676)=0)</f>
        <v>0</v>
      </c>
      <c r="I676" s="9" t="b">
        <f t="shared" si="51"/>
        <v>1</v>
      </c>
      <c r="J676" s="9" t="b">
        <f t="shared" si="52"/>
        <v>1</v>
      </c>
      <c r="K676" s="9" t="b">
        <f t="shared" si="53"/>
        <v>1</v>
      </c>
      <c r="L676" s="9" t="b">
        <f t="shared" si="54"/>
        <v>1</v>
      </c>
      <c r="M676" s="1" t="b">
        <f>IF(OR(入力シート!$C$5&lt;&gt;入力リスト!$N$4,入力シート!$J$22&lt;&gt;入力リスト!$K$4),TRUE,IF($F$2=入力リスト!$Q$4,IF(F676-INT(F676)&lt;0.6,TRUE,FALSE),TRUE))</f>
        <v>1</v>
      </c>
      <c r="N676" s="9" t="str">
        <f>IF(F676="","",IF($F$2=入力リスト!$Q$4,ROUNDDOWN(INT(F676)+ROUNDDOWN((F676-INT(F676))*100,0)/60,2),従業員の給与情報!F676))</f>
        <v/>
      </c>
      <c r="O676" s="8"/>
      <c r="P676" s="8"/>
    </row>
    <row r="677" spans="1:16">
      <c r="A677" s="119"/>
      <c r="B677" s="2"/>
      <c r="C677" s="369"/>
      <c r="D677" s="369"/>
      <c r="E677" s="369"/>
      <c r="F677" s="370"/>
      <c r="G677" s="248" t="str">
        <f t="shared" si="50"/>
        <v/>
      </c>
      <c r="H677" s="1" t="b">
        <f>IF(B677="",FALSE,COUNTIF('従業員情報(給与以外)'!$A$4:$A$1000000,$B677)=0)</f>
        <v>0</v>
      </c>
      <c r="I677" s="9" t="b">
        <f t="shared" si="51"/>
        <v>1</v>
      </c>
      <c r="J677" s="9" t="b">
        <f t="shared" si="52"/>
        <v>1</v>
      </c>
      <c r="K677" s="9" t="b">
        <f t="shared" si="53"/>
        <v>1</v>
      </c>
      <c r="L677" s="9" t="b">
        <f t="shared" si="54"/>
        <v>1</v>
      </c>
      <c r="M677" s="1" t="b">
        <f>IF(OR(入力シート!$C$5&lt;&gt;入力リスト!$N$4,入力シート!$J$22&lt;&gt;入力リスト!$K$4),TRUE,IF($F$2=入力リスト!$Q$4,IF(F677-INT(F677)&lt;0.6,TRUE,FALSE),TRUE))</f>
        <v>1</v>
      </c>
      <c r="N677" s="9" t="str">
        <f>IF(F677="","",IF($F$2=入力リスト!$Q$4,ROUNDDOWN(INT(F677)+ROUNDDOWN((F677-INT(F677))*100,0)/60,2),従業員の給与情報!F677))</f>
        <v/>
      </c>
      <c r="O677" s="8"/>
      <c r="P677" s="8"/>
    </row>
    <row r="678" spans="1:16">
      <c r="A678" s="119"/>
      <c r="B678" s="2"/>
      <c r="C678" s="369"/>
      <c r="D678" s="369"/>
      <c r="E678" s="369"/>
      <c r="F678" s="370"/>
      <c r="G678" s="248" t="str">
        <f t="shared" si="50"/>
        <v/>
      </c>
      <c r="H678" s="1" t="b">
        <f>IF(B678="",FALSE,COUNTIF('従業員情報(給与以外)'!$A$4:$A$1000000,$B678)=0)</f>
        <v>0</v>
      </c>
      <c r="I678" s="9" t="b">
        <f t="shared" si="51"/>
        <v>1</v>
      </c>
      <c r="J678" s="9" t="b">
        <f t="shared" si="52"/>
        <v>1</v>
      </c>
      <c r="K678" s="9" t="b">
        <f t="shared" si="53"/>
        <v>1</v>
      </c>
      <c r="L678" s="9" t="b">
        <f t="shared" si="54"/>
        <v>1</v>
      </c>
      <c r="M678" s="1" t="b">
        <f>IF(OR(入力シート!$C$5&lt;&gt;入力リスト!$N$4,入力シート!$J$22&lt;&gt;入力リスト!$K$4),TRUE,IF($F$2=入力リスト!$Q$4,IF(F678-INT(F678)&lt;0.6,TRUE,FALSE),TRUE))</f>
        <v>1</v>
      </c>
      <c r="N678" s="9" t="str">
        <f>IF(F678="","",IF($F$2=入力リスト!$Q$4,ROUNDDOWN(INT(F678)+ROUNDDOWN((F678-INT(F678))*100,0)/60,2),従業員の給与情報!F678))</f>
        <v/>
      </c>
      <c r="O678" s="8"/>
      <c r="P678" s="8"/>
    </row>
    <row r="679" spans="1:16">
      <c r="A679" s="119"/>
      <c r="B679" s="2"/>
      <c r="C679" s="369"/>
      <c r="D679" s="369"/>
      <c r="E679" s="369"/>
      <c r="F679" s="370"/>
      <c r="G679" s="248" t="str">
        <f t="shared" si="50"/>
        <v/>
      </c>
      <c r="H679" s="1" t="b">
        <f>IF(B679="",FALSE,COUNTIF('従業員情報(給与以外)'!$A$4:$A$1000000,$B679)=0)</f>
        <v>0</v>
      </c>
      <c r="I679" s="9" t="b">
        <f t="shared" si="51"/>
        <v>1</v>
      </c>
      <c r="J679" s="9" t="b">
        <f t="shared" si="52"/>
        <v>1</v>
      </c>
      <c r="K679" s="9" t="b">
        <f t="shared" si="53"/>
        <v>1</v>
      </c>
      <c r="L679" s="9" t="b">
        <f t="shared" si="54"/>
        <v>1</v>
      </c>
      <c r="M679" s="1" t="b">
        <f>IF(OR(入力シート!$C$5&lt;&gt;入力リスト!$N$4,入力シート!$J$22&lt;&gt;入力リスト!$K$4),TRUE,IF($F$2=入力リスト!$Q$4,IF(F679-INT(F679)&lt;0.6,TRUE,FALSE),TRUE))</f>
        <v>1</v>
      </c>
      <c r="N679" s="9" t="str">
        <f>IF(F679="","",IF($F$2=入力リスト!$Q$4,ROUNDDOWN(INT(F679)+ROUNDDOWN((F679-INT(F679))*100,0)/60,2),従業員の給与情報!F679))</f>
        <v/>
      </c>
      <c r="O679" s="8"/>
      <c r="P679" s="8"/>
    </row>
    <row r="680" spans="1:16">
      <c r="A680" s="119"/>
      <c r="B680" s="2"/>
      <c r="C680" s="369"/>
      <c r="D680" s="369"/>
      <c r="E680" s="369"/>
      <c r="F680" s="370"/>
      <c r="G680" s="248" t="str">
        <f t="shared" si="50"/>
        <v/>
      </c>
      <c r="H680" s="1" t="b">
        <f>IF(B680="",FALSE,COUNTIF('従業員情報(給与以外)'!$A$4:$A$1000000,$B680)=0)</f>
        <v>0</v>
      </c>
      <c r="I680" s="9" t="b">
        <f t="shared" si="51"/>
        <v>1</v>
      </c>
      <c r="J680" s="9" t="b">
        <f t="shared" si="52"/>
        <v>1</v>
      </c>
      <c r="K680" s="9" t="b">
        <f t="shared" si="53"/>
        <v>1</v>
      </c>
      <c r="L680" s="9" t="b">
        <f t="shared" si="54"/>
        <v>1</v>
      </c>
      <c r="M680" s="1" t="b">
        <f>IF(OR(入力シート!$C$5&lt;&gt;入力リスト!$N$4,入力シート!$J$22&lt;&gt;入力リスト!$K$4),TRUE,IF($F$2=入力リスト!$Q$4,IF(F680-INT(F680)&lt;0.6,TRUE,FALSE),TRUE))</f>
        <v>1</v>
      </c>
      <c r="N680" s="9" t="str">
        <f>IF(F680="","",IF($F$2=入力リスト!$Q$4,ROUNDDOWN(INT(F680)+ROUNDDOWN((F680-INT(F680))*100,0)/60,2),従業員の給与情報!F680))</f>
        <v/>
      </c>
      <c r="O680" s="8"/>
      <c r="P680" s="8"/>
    </row>
    <row r="681" spans="1:16">
      <c r="A681" s="119"/>
      <c r="B681" s="2"/>
      <c r="C681" s="369"/>
      <c r="D681" s="369"/>
      <c r="E681" s="369"/>
      <c r="F681" s="370"/>
      <c r="G681" s="248" t="str">
        <f t="shared" si="50"/>
        <v/>
      </c>
      <c r="H681" s="1" t="b">
        <f>IF(B681="",FALSE,COUNTIF('従業員情報(給与以外)'!$A$4:$A$1000000,$B681)=0)</f>
        <v>0</v>
      </c>
      <c r="I681" s="9" t="b">
        <f t="shared" si="51"/>
        <v>1</v>
      </c>
      <c r="J681" s="9" t="b">
        <f t="shared" si="52"/>
        <v>1</v>
      </c>
      <c r="K681" s="9" t="b">
        <f t="shared" si="53"/>
        <v>1</v>
      </c>
      <c r="L681" s="9" t="b">
        <f t="shared" si="54"/>
        <v>1</v>
      </c>
      <c r="M681" s="1" t="b">
        <f>IF(OR(入力シート!$C$5&lt;&gt;入力リスト!$N$4,入力シート!$J$22&lt;&gt;入力リスト!$K$4),TRUE,IF($F$2=入力リスト!$Q$4,IF(F681-INT(F681)&lt;0.6,TRUE,FALSE),TRUE))</f>
        <v>1</v>
      </c>
      <c r="N681" s="9" t="str">
        <f>IF(F681="","",IF($F$2=入力リスト!$Q$4,ROUNDDOWN(INT(F681)+ROUNDDOWN((F681-INT(F681))*100,0)/60,2),従業員の給与情報!F681))</f>
        <v/>
      </c>
      <c r="O681" s="8"/>
      <c r="P681" s="8"/>
    </row>
    <row r="682" spans="1:16">
      <c r="A682" s="119"/>
      <c r="B682" s="2"/>
      <c r="C682" s="369"/>
      <c r="D682" s="369"/>
      <c r="E682" s="369"/>
      <c r="F682" s="370"/>
      <c r="G682" s="248" t="str">
        <f t="shared" si="50"/>
        <v/>
      </c>
      <c r="H682" s="1" t="b">
        <f>IF(B682="",FALSE,COUNTIF('従業員情報(給与以外)'!$A$4:$A$1000000,$B682)=0)</f>
        <v>0</v>
      </c>
      <c r="I682" s="9" t="b">
        <f t="shared" si="51"/>
        <v>1</v>
      </c>
      <c r="J682" s="9" t="b">
        <f t="shared" si="52"/>
        <v>1</v>
      </c>
      <c r="K682" s="9" t="b">
        <f t="shared" si="53"/>
        <v>1</v>
      </c>
      <c r="L682" s="9" t="b">
        <f t="shared" si="54"/>
        <v>1</v>
      </c>
      <c r="M682" s="1" t="b">
        <f>IF(OR(入力シート!$C$5&lt;&gt;入力リスト!$N$4,入力シート!$J$22&lt;&gt;入力リスト!$K$4),TRUE,IF($F$2=入力リスト!$Q$4,IF(F682-INT(F682)&lt;0.6,TRUE,FALSE),TRUE))</f>
        <v>1</v>
      </c>
      <c r="N682" s="9" t="str">
        <f>IF(F682="","",IF($F$2=入力リスト!$Q$4,ROUNDDOWN(INT(F682)+ROUNDDOWN((F682-INT(F682))*100,0)/60,2),従業員の給与情報!F682))</f>
        <v/>
      </c>
      <c r="O682" s="8"/>
      <c r="P682" s="8"/>
    </row>
    <row r="683" spans="1:16">
      <c r="A683" s="119"/>
      <c r="B683" s="2"/>
      <c r="C683" s="369"/>
      <c r="D683" s="369"/>
      <c r="E683" s="369"/>
      <c r="F683" s="370"/>
      <c r="G683" s="248" t="str">
        <f t="shared" si="50"/>
        <v/>
      </c>
      <c r="H683" s="1" t="b">
        <f>IF(B683="",FALSE,COUNTIF('従業員情報(給与以外)'!$A$4:$A$1000000,$B683)=0)</f>
        <v>0</v>
      </c>
      <c r="I683" s="9" t="b">
        <f t="shared" si="51"/>
        <v>1</v>
      </c>
      <c r="J683" s="9" t="b">
        <f t="shared" si="52"/>
        <v>1</v>
      </c>
      <c r="K683" s="9" t="b">
        <f t="shared" si="53"/>
        <v>1</v>
      </c>
      <c r="L683" s="9" t="b">
        <f t="shared" si="54"/>
        <v>1</v>
      </c>
      <c r="M683" s="1" t="b">
        <f>IF(OR(入力シート!$C$5&lt;&gt;入力リスト!$N$4,入力シート!$J$22&lt;&gt;入力リスト!$K$4),TRUE,IF($F$2=入力リスト!$Q$4,IF(F683-INT(F683)&lt;0.6,TRUE,FALSE),TRUE))</f>
        <v>1</v>
      </c>
      <c r="N683" s="9" t="str">
        <f>IF(F683="","",IF($F$2=入力リスト!$Q$4,ROUNDDOWN(INT(F683)+ROUNDDOWN((F683-INT(F683))*100,0)/60,2),従業員の給与情報!F683))</f>
        <v/>
      </c>
      <c r="O683" s="8"/>
      <c r="P683" s="8"/>
    </row>
    <row r="684" spans="1:16">
      <c r="A684" s="119"/>
      <c r="B684" s="2"/>
      <c r="C684" s="369"/>
      <c r="D684" s="369"/>
      <c r="E684" s="369"/>
      <c r="F684" s="370"/>
      <c r="G684" s="248" t="str">
        <f t="shared" si="50"/>
        <v/>
      </c>
      <c r="H684" s="1" t="b">
        <f>IF(B684="",FALSE,COUNTIF('従業員情報(給与以外)'!$A$4:$A$1000000,$B684)=0)</f>
        <v>0</v>
      </c>
      <c r="I684" s="9" t="b">
        <f t="shared" si="51"/>
        <v>1</v>
      </c>
      <c r="J684" s="9" t="b">
        <f t="shared" si="52"/>
        <v>1</v>
      </c>
      <c r="K684" s="9" t="b">
        <f t="shared" si="53"/>
        <v>1</v>
      </c>
      <c r="L684" s="9" t="b">
        <f t="shared" si="54"/>
        <v>1</v>
      </c>
      <c r="M684" s="1" t="b">
        <f>IF(OR(入力シート!$C$5&lt;&gt;入力リスト!$N$4,入力シート!$J$22&lt;&gt;入力リスト!$K$4),TRUE,IF($F$2=入力リスト!$Q$4,IF(F684-INT(F684)&lt;0.6,TRUE,FALSE),TRUE))</f>
        <v>1</v>
      </c>
      <c r="N684" s="9" t="str">
        <f>IF(F684="","",IF($F$2=入力リスト!$Q$4,ROUNDDOWN(INT(F684)+ROUNDDOWN((F684-INT(F684))*100,0)/60,2),従業員の給与情報!F684))</f>
        <v/>
      </c>
      <c r="O684" s="8"/>
      <c r="P684" s="8"/>
    </row>
    <row r="685" spans="1:16">
      <c r="A685" s="119"/>
      <c r="B685" s="2"/>
      <c r="C685" s="369"/>
      <c r="D685" s="369"/>
      <c r="E685" s="369"/>
      <c r="F685" s="370"/>
      <c r="G685" s="248" t="str">
        <f t="shared" si="50"/>
        <v/>
      </c>
      <c r="H685" s="1" t="b">
        <f>IF(B685="",FALSE,COUNTIF('従業員情報(給与以外)'!$A$4:$A$1000000,$B685)=0)</f>
        <v>0</v>
      </c>
      <c r="I685" s="9" t="b">
        <f t="shared" si="51"/>
        <v>1</v>
      </c>
      <c r="J685" s="9" t="b">
        <f t="shared" si="52"/>
        <v>1</v>
      </c>
      <c r="K685" s="9" t="b">
        <f t="shared" si="53"/>
        <v>1</v>
      </c>
      <c r="L685" s="9" t="b">
        <f t="shared" si="54"/>
        <v>1</v>
      </c>
      <c r="M685" s="1" t="b">
        <f>IF(OR(入力シート!$C$5&lt;&gt;入力リスト!$N$4,入力シート!$J$22&lt;&gt;入力リスト!$K$4),TRUE,IF($F$2=入力リスト!$Q$4,IF(F685-INT(F685)&lt;0.6,TRUE,FALSE),TRUE))</f>
        <v>1</v>
      </c>
      <c r="N685" s="9" t="str">
        <f>IF(F685="","",IF($F$2=入力リスト!$Q$4,ROUNDDOWN(INT(F685)+ROUNDDOWN((F685-INT(F685))*100,0)/60,2),従業員の給与情報!F685))</f>
        <v/>
      </c>
      <c r="O685" s="8"/>
      <c r="P685" s="8"/>
    </row>
    <row r="686" spans="1:16">
      <c r="A686" s="119"/>
      <c r="B686" s="2"/>
      <c r="C686" s="369"/>
      <c r="D686" s="369"/>
      <c r="E686" s="369"/>
      <c r="F686" s="370"/>
      <c r="G686" s="248" t="str">
        <f t="shared" si="50"/>
        <v/>
      </c>
      <c r="H686" s="1" t="b">
        <f>IF(B686="",FALSE,COUNTIF('従業員情報(給与以外)'!$A$4:$A$1000000,$B686)=0)</f>
        <v>0</v>
      </c>
      <c r="I686" s="9" t="b">
        <f t="shared" si="51"/>
        <v>1</v>
      </c>
      <c r="J686" s="9" t="b">
        <f t="shared" si="52"/>
        <v>1</v>
      </c>
      <c r="K686" s="9" t="b">
        <f t="shared" si="53"/>
        <v>1</v>
      </c>
      <c r="L686" s="9" t="b">
        <f t="shared" si="54"/>
        <v>1</v>
      </c>
      <c r="M686" s="1" t="b">
        <f>IF(OR(入力シート!$C$5&lt;&gt;入力リスト!$N$4,入力シート!$J$22&lt;&gt;入力リスト!$K$4),TRUE,IF($F$2=入力リスト!$Q$4,IF(F686-INT(F686)&lt;0.6,TRUE,FALSE),TRUE))</f>
        <v>1</v>
      </c>
      <c r="N686" s="9" t="str">
        <f>IF(F686="","",IF($F$2=入力リスト!$Q$4,ROUNDDOWN(INT(F686)+ROUNDDOWN((F686-INT(F686))*100,0)/60,2),従業員の給与情報!F686))</f>
        <v/>
      </c>
      <c r="O686" s="8"/>
      <c r="P686" s="8"/>
    </row>
    <row r="687" spans="1:16">
      <c r="A687" s="119"/>
      <c r="B687" s="2"/>
      <c r="C687" s="369"/>
      <c r="D687" s="369"/>
      <c r="E687" s="369"/>
      <c r="F687" s="370"/>
      <c r="G687" s="248" t="str">
        <f t="shared" si="50"/>
        <v/>
      </c>
      <c r="H687" s="1" t="b">
        <f>IF(B687="",FALSE,COUNTIF('従業員情報(給与以外)'!$A$4:$A$1000000,$B687)=0)</f>
        <v>0</v>
      </c>
      <c r="I687" s="9" t="b">
        <f t="shared" si="51"/>
        <v>1</v>
      </c>
      <c r="J687" s="9" t="b">
        <f t="shared" si="52"/>
        <v>1</v>
      </c>
      <c r="K687" s="9" t="b">
        <f t="shared" si="53"/>
        <v>1</v>
      </c>
      <c r="L687" s="9" t="b">
        <f t="shared" si="54"/>
        <v>1</v>
      </c>
      <c r="M687" s="1" t="b">
        <f>IF(OR(入力シート!$C$5&lt;&gt;入力リスト!$N$4,入力シート!$J$22&lt;&gt;入力リスト!$K$4),TRUE,IF($F$2=入力リスト!$Q$4,IF(F687-INT(F687)&lt;0.6,TRUE,FALSE),TRUE))</f>
        <v>1</v>
      </c>
      <c r="N687" s="9" t="str">
        <f>IF(F687="","",IF($F$2=入力リスト!$Q$4,ROUNDDOWN(INT(F687)+ROUNDDOWN((F687-INT(F687))*100,0)/60,2),従業員の給与情報!F687))</f>
        <v/>
      </c>
      <c r="O687" s="8"/>
      <c r="P687" s="8"/>
    </row>
    <row r="688" spans="1:16">
      <c r="A688" s="119"/>
      <c r="B688" s="2"/>
      <c r="C688" s="369"/>
      <c r="D688" s="369"/>
      <c r="E688" s="369"/>
      <c r="F688" s="370"/>
      <c r="G688" s="248" t="str">
        <f t="shared" si="50"/>
        <v/>
      </c>
      <c r="H688" s="1" t="b">
        <f>IF(B688="",FALSE,COUNTIF('従業員情報(給与以外)'!$A$4:$A$1000000,$B688)=0)</f>
        <v>0</v>
      </c>
      <c r="I688" s="9" t="b">
        <f t="shared" si="51"/>
        <v>1</v>
      </c>
      <c r="J688" s="9" t="b">
        <f t="shared" si="52"/>
        <v>1</v>
      </c>
      <c r="K688" s="9" t="b">
        <f t="shared" si="53"/>
        <v>1</v>
      </c>
      <c r="L688" s="9" t="b">
        <f t="shared" si="54"/>
        <v>1</v>
      </c>
      <c r="M688" s="1" t="b">
        <f>IF(OR(入力シート!$C$5&lt;&gt;入力リスト!$N$4,入力シート!$J$22&lt;&gt;入力リスト!$K$4),TRUE,IF($F$2=入力リスト!$Q$4,IF(F688-INT(F688)&lt;0.6,TRUE,FALSE),TRUE))</f>
        <v>1</v>
      </c>
      <c r="N688" s="9" t="str">
        <f>IF(F688="","",IF($F$2=入力リスト!$Q$4,ROUNDDOWN(INT(F688)+ROUNDDOWN((F688-INT(F688))*100,0)/60,2),従業員の給与情報!F688))</f>
        <v/>
      </c>
      <c r="O688" s="8"/>
      <c r="P688" s="8"/>
    </row>
    <row r="689" spans="1:16">
      <c r="A689" s="119"/>
      <c r="B689" s="2"/>
      <c r="C689" s="369"/>
      <c r="D689" s="369"/>
      <c r="E689" s="369"/>
      <c r="F689" s="370"/>
      <c r="G689" s="248" t="str">
        <f t="shared" si="50"/>
        <v/>
      </c>
      <c r="H689" s="1" t="b">
        <f>IF(B689="",FALSE,COUNTIF('従業員情報(給与以外)'!$A$4:$A$1000000,$B689)=0)</f>
        <v>0</v>
      </c>
      <c r="I689" s="9" t="b">
        <f t="shared" si="51"/>
        <v>1</v>
      </c>
      <c r="J689" s="9" t="b">
        <f t="shared" si="52"/>
        <v>1</v>
      </c>
      <c r="K689" s="9" t="b">
        <f t="shared" si="53"/>
        <v>1</v>
      </c>
      <c r="L689" s="9" t="b">
        <f t="shared" si="54"/>
        <v>1</v>
      </c>
      <c r="M689" s="1" t="b">
        <f>IF(OR(入力シート!$C$5&lt;&gt;入力リスト!$N$4,入力シート!$J$22&lt;&gt;入力リスト!$K$4),TRUE,IF($F$2=入力リスト!$Q$4,IF(F689-INT(F689)&lt;0.6,TRUE,FALSE),TRUE))</f>
        <v>1</v>
      </c>
      <c r="N689" s="9" t="str">
        <f>IF(F689="","",IF($F$2=入力リスト!$Q$4,ROUNDDOWN(INT(F689)+ROUNDDOWN((F689-INT(F689))*100,0)/60,2),従業員の給与情報!F689))</f>
        <v/>
      </c>
      <c r="O689" s="8"/>
      <c r="P689" s="8"/>
    </row>
    <row r="690" spans="1:16">
      <c r="A690" s="119"/>
      <c r="B690" s="2"/>
      <c r="C690" s="369"/>
      <c r="D690" s="369"/>
      <c r="E690" s="369"/>
      <c r="F690" s="370"/>
      <c r="G690" s="248" t="str">
        <f t="shared" si="50"/>
        <v/>
      </c>
      <c r="H690" s="1" t="b">
        <f>IF(B690="",FALSE,COUNTIF('従業員情報(給与以外)'!$A$4:$A$1000000,$B690)=0)</f>
        <v>0</v>
      </c>
      <c r="I690" s="9" t="b">
        <f t="shared" si="51"/>
        <v>1</v>
      </c>
      <c r="J690" s="9" t="b">
        <f t="shared" si="52"/>
        <v>1</v>
      </c>
      <c r="K690" s="9" t="b">
        <f t="shared" si="53"/>
        <v>1</v>
      </c>
      <c r="L690" s="9" t="b">
        <f t="shared" si="54"/>
        <v>1</v>
      </c>
      <c r="M690" s="1" t="b">
        <f>IF(OR(入力シート!$C$5&lt;&gt;入力リスト!$N$4,入力シート!$J$22&lt;&gt;入力リスト!$K$4),TRUE,IF($F$2=入力リスト!$Q$4,IF(F690-INT(F690)&lt;0.6,TRUE,FALSE),TRUE))</f>
        <v>1</v>
      </c>
      <c r="N690" s="9" t="str">
        <f>IF(F690="","",IF($F$2=入力リスト!$Q$4,ROUNDDOWN(INT(F690)+ROUNDDOWN((F690-INT(F690))*100,0)/60,2),従業員の給与情報!F690))</f>
        <v/>
      </c>
      <c r="O690" s="8"/>
      <c r="P690" s="8"/>
    </row>
    <row r="691" spans="1:16">
      <c r="A691" s="119"/>
      <c r="B691" s="2"/>
      <c r="C691" s="369"/>
      <c r="D691" s="369"/>
      <c r="E691" s="369"/>
      <c r="F691" s="370"/>
      <c r="G691" s="248" t="str">
        <f t="shared" si="50"/>
        <v/>
      </c>
      <c r="H691" s="1" t="b">
        <f>IF(B691="",FALSE,COUNTIF('従業員情報(給与以外)'!$A$4:$A$1000000,$B691)=0)</f>
        <v>0</v>
      </c>
      <c r="I691" s="9" t="b">
        <f t="shared" si="51"/>
        <v>1</v>
      </c>
      <c r="J691" s="9" t="b">
        <f t="shared" si="52"/>
        <v>1</v>
      </c>
      <c r="K691" s="9" t="b">
        <f t="shared" si="53"/>
        <v>1</v>
      </c>
      <c r="L691" s="9" t="b">
        <f t="shared" si="54"/>
        <v>1</v>
      </c>
      <c r="M691" s="1" t="b">
        <f>IF(OR(入力シート!$C$5&lt;&gt;入力リスト!$N$4,入力シート!$J$22&lt;&gt;入力リスト!$K$4),TRUE,IF($F$2=入力リスト!$Q$4,IF(F691-INT(F691)&lt;0.6,TRUE,FALSE),TRUE))</f>
        <v>1</v>
      </c>
      <c r="N691" s="9" t="str">
        <f>IF(F691="","",IF($F$2=入力リスト!$Q$4,ROUNDDOWN(INT(F691)+ROUNDDOWN((F691-INT(F691))*100,0)/60,2),従業員の給与情報!F691))</f>
        <v/>
      </c>
      <c r="O691" s="8"/>
      <c r="P691" s="8"/>
    </row>
    <row r="692" spans="1:16">
      <c r="A692" s="119"/>
      <c r="B692" s="2"/>
      <c r="C692" s="369"/>
      <c r="D692" s="369"/>
      <c r="E692" s="369"/>
      <c r="F692" s="370"/>
      <c r="G692" s="248" t="str">
        <f t="shared" si="50"/>
        <v/>
      </c>
      <c r="H692" s="1" t="b">
        <f>IF(B692="",FALSE,COUNTIF('従業員情報(給与以外)'!$A$4:$A$1000000,$B692)=0)</f>
        <v>0</v>
      </c>
      <c r="I692" s="9" t="b">
        <f t="shared" si="51"/>
        <v>1</v>
      </c>
      <c r="J692" s="9" t="b">
        <f t="shared" si="52"/>
        <v>1</v>
      </c>
      <c r="K692" s="9" t="b">
        <f t="shared" si="53"/>
        <v>1</v>
      </c>
      <c r="L692" s="9" t="b">
        <f t="shared" si="54"/>
        <v>1</v>
      </c>
      <c r="M692" s="1" t="b">
        <f>IF(OR(入力シート!$C$5&lt;&gt;入力リスト!$N$4,入力シート!$J$22&lt;&gt;入力リスト!$K$4),TRUE,IF($F$2=入力リスト!$Q$4,IF(F692-INT(F692)&lt;0.6,TRUE,FALSE),TRUE))</f>
        <v>1</v>
      </c>
      <c r="N692" s="9" t="str">
        <f>IF(F692="","",IF($F$2=入力リスト!$Q$4,ROUNDDOWN(INT(F692)+ROUNDDOWN((F692-INT(F692))*100,0)/60,2),従業員の給与情報!F692))</f>
        <v/>
      </c>
      <c r="O692" s="8"/>
      <c r="P692" s="8"/>
    </row>
    <row r="693" spans="1:16">
      <c r="A693" s="119"/>
      <c r="B693" s="2"/>
      <c r="C693" s="369"/>
      <c r="D693" s="369"/>
      <c r="E693" s="369"/>
      <c r="F693" s="370"/>
      <c r="G693" s="248" t="str">
        <f t="shared" si="50"/>
        <v/>
      </c>
      <c r="H693" s="1" t="b">
        <f>IF(B693="",FALSE,COUNTIF('従業員情報(給与以外)'!$A$4:$A$1000000,$B693)=0)</f>
        <v>0</v>
      </c>
      <c r="I693" s="9" t="b">
        <f t="shared" si="51"/>
        <v>1</v>
      </c>
      <c r="J693" s="9" t="b">
        <f t="shared" si="52"/>
        <v>1</v>
      </c>
      <c r="K693" s="9" t="b">
        <f t="shared" si="53"/>
        <v>1</v>
      </c>
      <c r="L693" s="9" t="b">
        <f t="shared" si="54"/>
        <v>1</v>
      </c>
      <c r="M693" s="1" t="b">
        <f>IF(OR(入力シート!$C$5&lt;&gt;入力リスト!$N$4,入力シート!$J$22&lt;&gt;入力リスト!$K$4),TRUE,IF($F$2=入力リスト!$Q$4,IF(F693-INT(F693)&lt;0.6,TRUE,FALSE),TRUE))</f>
        <v>1</v>
      </c>
      <c r="N693" s="9" t="str">
        <f>IF(F693="","",IF($F$2=入力リスト!$Q$4,ROUNDDOWN(INT(F693)+ROUNDDOWN((F693-INT(F693))*100,0)/60,2),従業員の給与情報!F693))</f>
        <v/>
      </c>
      <c r="O693" s="8"/>
      <c r="P693" s="8"/>
    </row>
    <row r="694" spans="1:16">
      <c r="A694" s="119"/>
      <c r="B694" s="2"/>
      <c r="C694" s="369"/>
      <c r="D694" s="369"/>
      <c r="E694" s="369"/>
      <c r="F694" s="370"/>
      <c r="G694" s="248" t="str">
        <f t="shared" si="50"/>
        <v/>
      </c>
      <c r="H694" s="1" t="b">
        <f>IF(B694="",FALSE,COUNTIF('従業員情報(給与以外)'!$A$4:$A$1000000,$B694)=0)</f>
        <v>0</v>
      </c>
      <c r="I694" s="9" t="b">
        <f t="shared" si="51"/>
        <v>1</v>
      </c>
      <c r="J694" s="9" t="b">
        <f t="shared" si="52"/>
        <v>1</v>
      </c>
      <c r="K694" s="9" t="b">
        <f t="shared" si="53"/>
        <v>1</v>
      </c>
      <c r="L694" s="9" t="b">
        <f t="shared" si="54"/>
        <v>1</v>
      </c>
      <c r="M694" s="1" t="b">
        <f>IF(OR(入力シート!$C$5&lt;&gt;入力リスト!$N$4,入力シート!$J$22&lt;&gt;入力リスト!$K$4),TRUE,IF($F$2=入力リスト!$Q$4,IF(F694-INT(F694)&lt;0.6,TRUE,FALSE),TRUE))</f>
        <v>1</v>
      </c>
      <c r="N694" s="9" t="str">
        <f>IF(F694="","",IF($F$2=入力リスト!$Q$4,ROUNDDOWN(INT(F694)+ROUNDDOWN((F694-INT(F694))*100,0)/60,2),従業員の給与情報!F694))</f>
        <v/>
      </c>
      <c r="O694" s="8"/>
      <c r="P694" s="8"/>
    </row>
    <row r="695" spans="1:16">
      <c r="A695" s="119"/>
      <c r="B695" s="2"/>
      <c r="C695" s="369"/>
      <c r="D695" s="369"/>
      <c r="E695" s="369"/>
      <c r="F695" s="370"/>
      <c r="G695" s="248" t="str">
        <f t="shared" si="50"/>
        <v/>
      </c>
      <c r="H695" s="1" t="b">
        <f>IF(B695="",FALSE,COUNTIF('従業員情報(給与以外)'!$A$4:$A$1000000,$B695)=0)</f>
        <v>0</v>
      </c>
      <c r="I695" s="9" t="b">
        <f t="shared" si="51"/>
        <v>1</v>
      </c>
      <c r="J695" s="9" t="b">
        <f t="shared" si="52"/>
        <v>1</v>
      </c>
      <c r="K695" s="9" t="b">
        <f t="shared" si="53"/>
        <v>1</v>
      </c>
      <c r="L695" s="9" t="b">
        <f t="shared" si="54"/>
        <v>1</v>
      </c>
      <c r="M695" s="1" t="b">
        <f>IF(OR(入力シート!$C$5&lt;&gt;入力リスト!$N$4,入力シート!$J$22&lt;&gt;入力リスト!$K$4),TRUE,IF($F$2=入力リスト!$Q$4,IF(F695-INT(F695)&lt;0.6,TRUE,FALSE),TRUE))</f>
        <v>1</v>
      </c>
      <c r="N695" s="9" t="str">
        <f>IF(F695="","",IF($F$2=入力リスト!$Q$4,ROUNDDOWN(INT(F695)+ROUNDDOWN((F695-INT(F695))*100,0)/60,2),従業員の給与情報!F695))</f>
        <v/>
      </c>
      <c r="O695" s="8"/>
      <c r="P695" s="8"/>
    </row>
    <row r="696" spans="1:16">
      <c r="A696" s="119"/>
      <c r="B696" s="2"/>
      <c r="C696" s="369"/>
      <c r="D696" s="369"/>
      <c r="E696" s="369"/>
      <c r="F696" s="370"/>
      <c r="G696" s="248" t="str">
        <f t="shared" si="50"/>
        <v/>
      </c>
      <c r="H696" s="1" t="b">
        <f>IF(B696="",FALSE,COUNTIF('従業員情報(給与以外)'!$A$4:$A$1000000,$B696)=0)</f>
        <v>0</v>
      </c>
      <c r="I696" s="9" t="b">
        <f t="shared" si="51"/>
        <v>1</v>
      </c>
      <c r="J696" s="9" t="b">
        <f t="shared" si="52"/>
        <v>1</v>
      </c>
      <c r="K696" s="9" t="b">
        <f t="shared" si="53"/>
        <v>1</v>
      </c>
      <c r="L696" s="9" t="b">
        <f t="shared" si="54"/>
        <v>1</v>
      </c>
      <c r="M696" s="1" t="b">
        <f>IF(OR(入力シート!$C$5&lt;&gt;入力リスト!$N$4,入力シート!$J$22&lt;&gt;入力リスト!$K$4),TRUE,IF($F$2=入力リスト!$Q$4,IF(F696-INT(F696)&lt;0.6,TRUE,FALSE),TRUE))</f>
        <v>1</v>
      </c>
      <c r="N696" s="9" t="str">
        <f>IF(F696="","",IF($F$2=入力リスト!$Q$4,ROUNDDOWN(INT(F696)+ROUNDDOWN((F696-INT(F696))*100,0)/60,2),従業員の給与情報!F696))</f>
        <v/>
      </c>
      <c r="O696" s="8"/>
      <c r="P696" s="8"/>
    </row>
    <row r="697" spans="1:16">
      <c r="A697" s="119"/>
      <c r="B697" s="2"/>
      <c r="C697" s="369"/>
      <c r="D697" s="369"/>
      <c r="E697" s="369"/>
      <c r="F697" s="370"/>
      <c r="G697" s="248" t="str">
        <f t="shared" si="50"/>
        <v/>
      </c>
      <c r="H697" s="1" t="b">
        <f>IF(B697="",FALSE,COUNTIF('従業員情報(給与以外)'!$A$4:$A$1000000,$B697)=0)</f>
        <v>0</v>
      </c>
      <c r="I697" s="9" t="b">
        <f t="shared" si="51"/>
        <v>1</v>
      </c>
      <c r="J697" s="9" t="b">
        <f t="shared" si="52"/>
        <v>1</v>
      </c>
      <c r="K697" s="9" t="b">
        <f t="shared" si="53"/>
        <v>1</v>
      </c>
      <c r="L697" s="9" t="b">
        <f t="shared" si="54"/>
        <v>1</v>
      </c>
      <c r="M697" s="1" t="b">
        <f>IF(OR(入力シート!$C$5&lt;&gt;入力リスト!$N$4,入力シート!$J$22&lt;&gt;入力リスト!$K$4),TRUE,IF($F$2=入力リスト!$Q$4,IF(F697-INT(F697)&lt;0.6,TRUE,FALSE),TRUE))</f>
        <v>1</v>
      </c>
      <c r="N697" s="9" t="str">
        <f>IF(F697="","",IF($F$2=入力リスト!$Q$4,ROUNDDOWN(INT(F697)+ROUNDDOWN((F697-INT(F697))*100,0)/60,2),従業員の給与情報!F697))</f>
        <v/>
      </c>
      <c r="O697" s="8"/>
      <c r="P697" s="8"/>
    </row>
    <row r="698" spans="1:16">
      <c r="A698" s="119"/>
      <c r="B698" s="2"/>
      <c r="C698" s="369"/>
      <c r="D698" s="369"/>
      <c r="E698" s="369"/>
      <c r="F698" s="370"/>
      <c r="G698" s="248" t="str">
        <f t="shared" si="50"/>
        <v/>
      </c>
      <c r="H698" s="1" t="b">
        <f>IF(B698="",FALSE,COUNTIF('従業員情報(給与以外)'!$A$4:$A$1000000,$B698)=0)</f>
        <v>0</v>
      </c>
      <c r="I698" s="9" t="b">
        <f t="shared" si="51"/>
        <v>1</v>
      </c>
      <c r="J698" s="9" t="b">
        <f t="shared" si="52"/>
        <v>1</v>
      </c>
      <c r="K698" s="9" t="b">
        <f t="shared" si="53"/>
        <v>1</v>
      </c>
      <c r="L698" s="9" t="b">
        <f t="shared" si="54"/>
        <v>1</v>
      </c>
      <c r="M698" s="1" t="b">
        <f>IF(OR(入力シート!$C$5&lt;&gt;入力リスト!$N$4,入力シート!$J$22&lt;&gt;入力リスト!$K$4),TRUE,IF($F$2=入力リスト!$Q$4,IF(F698-INT(F698)&lt;0.6,TRUE,FALSE),TRUE))</f>
        <v>1</v>
      </c>
      <c r="N698" s="9" t="str">
        <f>IF(F698="","",IF($F$2=入力リスト!$Q$4,ROUNDDOWN(INT(F698)+ROUNDDOWN((F698-INT(F698))*100,0)/60,2),従業員の給与情報!F698))</f>
        <v/>
      </c>
      <c r="O698" s="8"/>
      <c r="P698" s="8"/>
    </row>
    <row r="699" spans="1:16">
      <c r="A699" s="119"/>
      <c r="B699" s="2"/>
      <c r="C699" s="369"/>
      <c r="D699" s="369"/>
      <c r="E699" s="369"/>
      <c r="F699" s="370"/>
      <c r="G699" s="248" t="str">
        <f t="shared" si="50"/>
        <v/>
      </c>
      <c r="H699" s="1" t="b">
        <f>IF(B699="",FALSE,COUNTIF('従業員情報(給与以外)'!$A$4:$A$1000000,$B699)=0)</f>
        <v>0</v>
      </c>
      <c r="I699" s="9" t="b">
        <f t="shared" si="51"/>
        <v>1</v>
      </c>
      <c r="J699" s="9" t="b">
        <f t="shared" si="52"/>
        <v>1</v>
      </c>
      <c r="K699" s="9" t="b">
        <f t="shared" si="53"/>
        <v>1</v>
      </c>
      <c r="L699" s="9" t="b">
        <f t="shared" si="54"/>
        <v>1</v>
      </c>
      <c r="M699" s="1" t="b">
        <f>IF(OR(入力シート!$C$5&lt;&gt;入力リスト!$N$4,入力シート!$J$22&lt;&gt;入力リスト!$K$4),TRUE,IF($F$2=入力リスト!$Q$4,IF(F699-INT(F699)&lt;0.6,TRUE,FALSE),TRUE))</f>
        <v>1</v>
      </c>
      <c r="N699" s="9" t="str">
        <f>IF(F699="","",IF($F$2=入力リスト!$Q$4,ROUNDDOWN(INT(F699)+ROUNDDOWN((F699-INT(F699))*100,0)/60,2),従業員の給与情報!F699))</f>
        <v/>
      </c>
      <c r="O699" s="8"/>
      <c r="P699" s="8"/>
    </row>
    <row r="700" spans="1:16">
      <c r="A700" s="119"/>
      <c r="B700" s="2"/>
      <c r="C700" s="369"/>
      <c r="D700" s="369"/>
      <c r="E700" s="369"/>
      <c r="F700" s="370"/>
      <c r="G700" s="248" t="str">
        <f t="shared" si="50"/>
        <v/>
      </c>
      <c r="H700" s="1" t="b">
        <f>IF(B700="",FALSE,COUNTIF('従業員情報(給与以外)'!$A$4:$A$1000000,$B700)=0)</f>
        <v>0</v>
      </c>
      <c r="I700" s="9" t="b">
        <f t="shared" si="51"/>
        <v>1</v>
      </c>
      <c r="J700" s="9" t="b">
        <f t="shared" si="52"/>
        <v>1</v>
      </c>
      <c r="K700" s="9" t="b">
        <f t="shared" si="53"/>
        <v>1</v>
      </c>
      <c r="L700" s="9" t="b">
        <f t="shared" si="54"/>
        <v>1</v>
      </c>
      <c r="M700" s="1" t="b">
        <f>IF(OR(入力シート!$C$5&lt;&gt;入力リスト!$N$4,入力シート!$J$22&lt;&gt;入力リスト!$K$4),TRUE,IF($F$2=入力リスト!$Q$4,IF(F700-INT(F700)&lt;0.6,TRUE,FALSE),TRUE))</f>
        <v>1</v>
      </c>
      <c r="N700" s="9" t="str">
        <f>IF(F700="","",IF($F$2=入力リスト!$Q$4,ROUNDDOWN(INT(F700)+ROUNDDOWN((F700-INT(F700))*100,0)/60,2),従業員の給与情報!F700))</f>
        <v/>
      </c>
      <c r="O700" s="8"/>
      <c r="P700" s="8"/>
    </row>
    <row r="701" spans="1:16">
      <c r="A701" s="119"/>
      <c r="B701" s="2"/>
      <c r="C701" s="369"/>
      <c r="D701" s="369"/>
      <c r="E701" s="369"/>
      <c r="F701" s="370"/>
      <c r="G701" s="248" t="str">
        <f t="shared" si="50"/>
        <v/>
      </c>
      <c r="H701" s="1" t="b">
        <f>IF(B701="",FALSE,COUNTIF('従業員情報(給与以外)'!$A$4:$A$1000000,$B701)=0)</f>
        <v>0</v>
      </c>
      <c r="I701" s="9" t="b">
        <f t="shared" si="51"/>
        <v>1</v>
      </c>
      <c r="J701" s="9" t="b">
        <f t="shared" si="52"/>
        <v>1</v>
      </c>
      <c r="K701" s="9" t="b">
        <f t="shared" si="53"/>
        <v>1</v>
      </c>
      <c r="L701" s="9" t="b">
        <f t="shared" si="54"/>
        <v>1</v>
      </c>
      <c r="M701" s="1" t="b">
        <f>IF(OR(入力シート!$C$5&lt;&gt;入力リスト!$N$4,入力シート!$J$22&lt;&gt;入力リスト!$K$4),TRUE,IF($F$2=入力リスト!$Q$4,IF(F701-INT(F701)&lt;0.6,TRUE,FALSE),TRUE))</f>
        <v>1</v>
      </c>
      <c r="N701" s="9" t="str">
        <f>IF(F701="","",IF($F$2=入力リスト!$Q$4,ROUNDDOWN(INT(F701)+ROUNDDOWN((F701-INT(F701))*100,0)/60,2),従業員の給与情報!F701))</f>
        <v/>
      </c>
      <c r="O701" s="8"/>
      <c r="P701" s="8"/>
    </row>
    <row r="702" spans="1:16">
      <c r="A702" s="119"/>
      <c r="B702" s="2"/>
      <c r="C702" s="369"/>
      <c r="D702" s="369"/>
      <c r="E702" s="369"/>
      <c r="F702" s="370"/>
      <c r="G702" s="248" t="str">
        <f t="shared" si="50"/>
        <v/>
      </c>
      <c r="H702" s="1" t="b">
        <f>IF(B702="",FALSE,COUNTIF('従業員情報(給与以外)'!$A$4:$A$1000000,$B702)=0)</f>
        <v>0</v>
      </c>
      <c r="I702" s="9" t="b">
        <f t="shared" si="51"/>
        <v>1</v>
      </c>
      <c r="J702" s="9" t="b">
        <f t="shared" si="52"/>
        <v>1</v>
      </c>
      <c r="K702" s="9" t="b">
        <f t="shared" si="53"/>
        <v>1</v>
      </c>
      <c r="L702" s="9" t="b">
        <f t="shared" si="54"/>
        <v>1</v>
      </c>
      <c r="M702" s="1" t="b">
        <f>IF(OR(入力シート!$C$5&lt;&gt;入力リスト!$N$4,入力シート!$J$22&lt;&gt;入力リスト!$K$4),TRUE,IF($F$2=入力リスト!$Q$4,IF(F702-INT(F702)&lt;0.6,TRUE,FALSE),TRUE))</f>
        <v>1</v>
      </c>
      <c r="N702" s="9" t="str">
        <f>IF(F702="","",IF($F$2=入力リスト!$Q$4,ROUNDDOWN(INT(F702)+ROUNDDOWN((F702-INT(F702))*100,0)/60,2),従業員の給与情報!F702))</f>
        <v/>
      </c>
      <c r="O702" s="8"/>
      <c r="P702" s="8"/>
    </row>
    <row r="703" spans="1:16">
      <c r="A703" s="119"/>
      <c r="B703" s="2"/>
      <c r="C703" s="369"/>
      <c r="D703" s="369"/>
      <c r="E703" s="369"/>
      <c r="F703" s="370"/>
      <c r="G703" s="248" t="str">
        <f t="shared" si="50"/>
        <v/>
      </c>
      <c r="H703" s="1" t="b">
        <f>IF(B703="",FALSE,COUNTIF('従業員情報(給与以外)'!$A$4:$A$1000000,$B703)=0)</f>
        <v>0</v>
      </c>
      <c r="I703" s="9" t="b">
        <f t="shared" si="51"/>
        <v>1</v>
      </c>
      <c r="J703" s="9" t="b">
        <f t="shared" si="52"/>
        <v>1</v>
      </c>
      <c r="K703" s="9" t="b">
        <f t="shared" si="53"/>
        <v>1</v>
      </c>
      <c r="L703" s="9" t="b">
        <f t="shared" si="54"/>
        <v>1</v>
      </c>
      <c r="M703" s="1" t="b">
        <f>IF(OR(入力シート!$C$5&lt;&gt;入力リスト!$N$4,入力シート!$J$22&lt;&gt;入力リスト!$K$4),TRUE,IF($F$2=入力リスト!$Q$4,IF(F703-INT(F703)&lt;0.6,TRUE,FALSE),TRUE))</f>
        <v>1</v>
      </c>
      <c r="N703" s="9" t="str">
        <f>IF(F703="","",IF($F$2=入力リスト!$Q$4,ROUNDDOWN(INT(F703)+ROUNDDOWN((F703-INT(F703))*100,0)/60,2),従業員の給与情報!F703))</f>
        <v/>
      </c>
      <c r="O703" s="8"/>
      <c r="P703" s="8"/>
    </row>
    <row r="704" spans="1:16">
      <c r="A704" s="119"/>
      <c r="B704" s="2"/>
      <c r="C704" s="369"/>
      <c r="D704" s="369"/>
      <c r="E704" s="369"/>
      <c r="F704" s="370"/>
      <c r="G704" s="248" t="str">
        <f t="shared" si="50"/>
        <v/>
      </c>
      <c r="H704" s="1" t="b">
        <f>IF(B704="",FALSE,COUNTIF('従業員情報(給与以外)'!$A$4:$A$1000000,$B704)=0)</f>
        <v>0</v>
      </c>
      <c r="I704" s="9" t="b">
        <f t="shared" si="51"/>
        <v>1</v>
      </c>
      <c r="J704" s="9" t="b">
        <f t="shared" si="52"/>
        <v>1</v>
      </c>
      <c r="K704" s="9" t="b">
        <f t="shared" si="53"/>
        <v>1</v>
      </c>
      <c r="L704" s="9" t="b">
        <f t="shared" si="54"/>
        <v>1</v>
      </c>
      <c r="M704" s="1" t="b">
        <f>IF(OR(入力シート!$C$5&lt;&gt;入力リスト!$N$4,入力シート!$J$22&lt;&gt;入力リスト!$K$4),TRUE,IF($F$2=入力リスト!$Q$4,IF(F704-INT(F704)&lt;0.6,TRUE,FALSE),TRUE))</f>
        <v>1</v>
      </c>
      <c r="N704" s="9" t="str">
        <f>IF(F704="","",IF($F$2=入力リスト!$Q$4,ROUNDDOWN(INT(F704)+ROUNDDOWN((F704-INT(F704))*100,0)/60,2),従業員の給与情報!F704))</f>
        <v/>
      </c>
      <c r="O704" s="8"/>
      <c r="P704" s="8"/>
    </row>
    <row r="705" spans="1:16">
      <c r="A705" s="119"/>
      <c r="B705" s="2"/>
      <c r="C705" s="369"/>
      <c r="D705" s="369"/>
      <c r="E705" s="369"/>
      <c r="F705" s="370"/>
      <c r="G705" s="248" t="str">
        <f t="shared" si="50"/>
        <v/>
      </c>
      <c r="H705" s="1" t="b">
        <f>IF(B705="",FALSE,COUNTIF('従業員情報(給与以外)'!$A$4:$A$1000000,$B705)=0)</f>
        <v>0</v>
      </c>
      <c r="I705" s="9" t="b">
        <f t="shared" si="51"/>
        <v>1</v>
      </c>
      <c r="J705" s="9" t="b">
        <f t="shared" si="52"/>
        <v>1</v>
      </c>
      <c r="K705" s="9" t="b">
        <f t="shared" si="53"/>
        <v>1</v>
      </c>
      <c r="L705" s="9" t="b">
        <f t="shared" si="54"/>
        <v>1</v>
      </c>
      <c r="M705" s="1" t="b">
        <f>IF(OR(入力シート!$C$5&lt;&gt;入力リスト!$N$4,入力シート!$J$22&lt;&gt;入力リスト!$K$4),TRUE,IF($F$2=入力リスト!$Q$4,IF(F705-INT(F705)&lt;0.6,TRUE,FALSE),TRUE))</f>
        <v>1</v>
      </c>
      <c r="N705" s="9" t="str">
        <f>IF(F705="","",IF($F$2=入力リスト!$Q$4,ROUNDDOWN(INT(F705)+ROUNDDOWN((F705-INT(F705))*100,0)/60,2),従業員の給与情報!F705))</f>
        <v/>
      </c>
      <c r="O705" s="8"/>
      <c r="P705" s="8"/>
    </row>
    <row r="706" spans="1:16">
      <c r="A706" s="119"/>
      <c r="B706" s="2"/>
      <c r="C706" s="369"/>
      <c r="D706" s="369"/>
      <c r="E706" s="369"/>
      <c r="F706" s="370"/>
      <c r="G706" s="248" t="str">
        <f t="shared" si="50"/>
        <v/>
      </c>
      <c r="H706" s="1" t="b">
        <f>IF(B706="",FALSE,COUNTIF('従業員情報(給与以外)'!$A$4:$A$1000000,$B706)=0)</f>
        <v>0</v>
      </c>
      <c r="I706" s="9" t="b">
        <f t="shared" si="51"/>
        <v>1</v>
      </c>
      <c r="J706" s="9" t="b">
        <f t="shared" si="52"/>
        <v>1</v>
      </c>
      <c r="K706" s="9" t="b">
        <f t="shared" si="53"/>
        <v>1</v>
      </c>
      <c r="L706" s="9" t="b">
        <f t="shared" si="54"/>
        <v>1</v>
      </c>
      <c r="M706" s="1" t="b">
        <f>IF(OR(入力シート!$C$5&lt;&gt;入力リスト!$N$4,入力シート!$J$22&lt;&gt;入力リスト!$K$4),TRUE,IF($F$2=入力リスト!$Q$4,IF(F706-INT(F706)&lt;0.6,TRUE,FALSE),TRUE))</f>
        <v>1</v>
      </c>
      <c r="N706" s="9" t="str">
        <f>IF(F706="","",IF($F$2=入力リスト!$Q$4,ROUNDDOWN(INT(F706)+ROUNDDOWN((F706-INT(F706))*100,0)/60,2),従業員の給与情報!F706))</f>
        <v/>
      </c>
      <c r="O706" s="8"/>
      <c r="P706" s="8"/>
    </row>
    <row r="707" spans="1:16">
      <c r="A707" s="119"/>
      <c r="B707" s="2"/>
      <c r="C707" s="369"/>
      <c r="D707" s="369"/>
      <c r="E707" s="369"/>
      <c r="F707" s="370"/>
      <c r="G707" s="248" t="str">
        <f t="shared" si="50"/>
        <v/>
      </c>
      <c r="H707" s="1" t="b">
        <f>IF(B707="",FALSE,COUNTIF('従業員情報(給与以外)'!$A$4:$A$1000000,$B707)=0)</f>
        <v>0</v>
      </c>
      <c r="I707" s="9" t="b">
        <f t="shared" si="51"/>
        <v>1</v>
      </c>
      <c r="J707" s="9" t="b">
        <f t="shared" si="52"/>
        <v>1</v>
      </c>
      <c r="K707" s="9" t="b">
        <f t="shared" si="53"/>
        <v>1</v>
      </c>
      <c r="L707" s="9" t="b">
        <f t="shared" si="54"/>
        <v>1</v>
      </c>
      <c r="M707" s="1" t="b">
        <f>IF(OR(入力シート!$C$5&lt;&gt;入力リスト!$N$4,入力シート!$J$22&lt;&gt;入力リスト!$K$4),TRUE,IF($F$2=入力リスト!$Q$4,IF(F707-INT(F707)&lt;0.6,TRUE,FALSE),TRUE))</f>
        <v>1</v>
      </c>
      <c r="N707" s="9" t="str">
        <f>IF(F707="","",IF($F$2=入力リスト!$Q$4,ROUNDDOWN(INT(F707)+ROUNDDOWN((F707-INT(F707))*100,0)/60,2),従業員の給与情報!F707))</f>
        <v/>
      </c>
      <c r="O707" s="8"/>
      <c r="P707" s="8"/>
    </row>
    <row r="708" spans="1:16">
      <c r="A708" s="119"/>
      <c r="B708" s="2"/>
      <c r="C708" s="369"/>
      <c r="D708" s="369"/>
      <c r="E708" s="369"/>
      <c r="F708" s="370"/>
      <c r="G708" s="248" t="str">
        <f t="shared" si="50"/>
        <v/>
      </c>
      <c r="H708" s="1" t="b">
        <f>IF(B708="",FALSE,COUNTIF('従業員情報(給与以外)'!$A$4:$A$1000000,$B708)=0)</f>
        <v>0</v>
      </c>
      <c r="I708" s="9" t="b">
        <f t="shared" si="51"/>
        <v>1</v>
      </c>
      <c r="J708" s="9" t="b">
        <f t="shared" si="52"/>
        <v>1</v>
      </c>
      <c r="K708" s="9" t="b">
        <f t="shared" si="53"/>
        <v>1</v>
      </c>
      <c r="L708" s="9" t="b">
        <f t="shared" si="54"/>
        <v>1</v>
      </c>
      <c r="M708" s="1" t="b">
        <f>IF(OR(入力シート!$C$5&lt;&gt;入力リスト!$N$4,入力シート!$J$22&lt;&gt;入力リスト!$K$4),TRUE,IF($F$2=入力リスト!$Q$4,IF(F708-INT(F708)&lt;0.6,TRUE,FALSE),TRUE))</f>
        <v>1</v>
      </c>
      <c r="N708" s="9" t="str">
        <f>IF(F708="","",IF($F$2=入力リスト!$Q$4,ROUNDDOWN(INT(F708)+ROUNDDOWN((F708-INT(F708))*100,0)/60,2),従業員の給与情報!F708))</f>
        <v/>
      </c>
      <c r="O708" s="8"/>
      <c r="P708" s="8"/>
    </row>
    <row r="709" spans="1:16">
      <c r="A709" s="119"/>
      <c r="B709" s="2"/>
      <c r="C709" s="369"/>
      <c r="D709" s="369"/>
      <c r="E709" s="369"/>
      <c r="F709" s="370"/>
      <c r="G709" s="248" t="str">
        <f t="shared" ref="G709:G772" si="55">IF(AND($B709="",OR(B709&lt;&gt;"",C709&lt;&gt;"",D709&lt;&gt;"",E709&lt;&gt;"",F709&lt;&gt;"")),"従業員番号が空白です。",IF($H709=TRUE,"この従業員番号は、シート［従業員情報（給与以外）］に存在しません。",IF(I709=FALSE,"「毎月の固定給与額」","")&amp;IF(AND(I709=FALSE,OR(J709=FALSE,K709=FALSE,L709=FALSE)),",","")&amp;IF(J709=FALSE,"「賞与額等」","")&amp;IF(AND(J709=FALSE,OR(K709=FALSE,L709=FALSE)),",","")&amp;IF(K709=FALSE,"「残業手当」","")&amp;IF(AND(K709=FALSE,L709=FALSE),",","")&amp;IF(L709=FALSE,"「残業時間」","")&amp;IF(OR(I709=FALSE,J709=FALSE,K709=FALSE,L709=FALSE),"に数値以外が入力されています。","")&amp;IF(M709,"","「残業時間」を分単位で入力した場合、小数点以下の値は0.6未満にしてください。")))</f>
        <v/>
      </c>
      <c r="H709" s="1" t="b">
        <f>IF(B709="",FALSE,COUNTIF('従業員情報(給与以外)'!$A$4:$A$1000000,$B709)=0)</f>
        <v>0</v>
      </c>
      <c r="I709" s="9" t="b">
        <f t="shared" ref="I709:I772" si="56">OR(C709="",ISNUMBER(C709))</f>
        <v>1</v>
      </c>
      <c r="J709" s="9" t="b">
        <f t="shared" ref="J709:J772" si="57">OR(D709="",ISNUMBER(D709))</f>
        <v>1</v>
      </c>
      <c r="K709" s="9" t="b">
        <f t="shared" ref="K709:K772" si="58">OR(E709="",ISNUMBER(E709))</f>
        <v>1</v>
      </c>
      <c r="L709" s="9" t="b">
        <f t="shared" ref="L709:L772" si="59">OR(F709="",ISNUMBER(F709))</f>
        <v>1</v>
      </c>
      <c r="M709" s="1" t="b">
        <f>IF(OR(入力シート!$C$5&lt;&gt;入力リスト!$N$4,入力シート!$J$22&lt;&gt;入力リスト!$K$4),TRUE,IF($F$2=入力リスト!$Q$4,IF(F709-INT(F709)&lt;0.6,TRUE,FALSE),TRUE))</f>
        <v>1</v>
      </c>
      <c r="N709" s="9" t="str">
        <f>IF(F709="","",IF($F$2=入力リスト!$Q$4,ROUNDDOWN(INT(F709)+ROUNDDOWN((F709-INT(F709))*100,0)/60,2),従業員の給与情報!F709))</f>
        <v/>
      </c>
      <c r="O709" s="8"/>
      <c r="P709" s="8"/>
    </row>
    <row r="710" spans="1:16">
      <c r="A710" s="119"/>
      <c r="B710" s="2"/>
      <c r="C710" s="369"/>
      <c r="D710" s="369"/>
      <c r="E710" s="369"/>
      <c r="F710" s="370"/>
      <c r="G710" s="248" t="str">
        <f t="shared" si="55"/>
        <v/>
      </c>
      <c r="H710" s="1" t="b">
        <f>IF(B710="",FALSE,COUNTIF('従業員情報(給与以外)'!$A$4:$A$1000000,$B710)=0)</f>
        <v>0</v>
      </c>
      <c r="I710" s="9" t="b">
        <f t="shared" si="56"/>
        <v>1</v>
      </c>
      <c r="J710" s="9" t="b">
        <f t="shared" si="57"/>
        <v>1</v>
      </c>
      <c r="K710" s="9" t="b">
        <f t="shared" si="58"/>
        <v>1</v>
      </c>
      <c r="L710" s="9" t="b">
        <f t="shared" si="59"/>
        <v>1</v>
      </c>
      <c r="M710" s="1" t="b">
        <f>IF(OR(入力シート!$C$5&lt;&gt;入力リスト!$N$4,入力シート!$J$22&lt;&gt;入力リスト!$K$4),TRUE,IF($F$2=入力リスト!$Q$4,IF(F710-INT(F710)&lt;0.6,TRUE,FALSE),TRUE))</f>
        <v>1</v>
      </c>
      <c r="N710" s="9" t="str">
        <f>IF(F710="","",IF($F$2=入力リスト!$Q$4,ROUNDDOWN(INT(F710)+ROUNDDOWN((F710-INT(F710))*100,0)/60,2),従業員の給与情報!F710))</f>
        <v/>
      </c>
      <c r="O710" s="8"/>
      <c r="P710" s="8"/>
    </row>
    <row r="711" spans="1:16">
      <c r="A711" s="119"/>
      <c r="B711" s="2"/>
      <c r="C711" s="369"/>
      <c r="D711" s="369"/>
      <c r="E711" s="369"/>
      <c r="F711" s="370"/>
      <c r="G711" s="248" t="str">
        <f t="shared" si="55"/>
        <v/>
      </c>
      <c r="H711" s="1" t="b">
        <f>IF(B711="",FALSE,COUNTIF('従業員情報(給与以外)'!$A$4:$A$1000000,$B711)=0)</f>
        <v>0</v>
      </c>
      <c r="I711" s="9" t="b">
        <f t="shared" si="56"/>
        <v>1</v>
      </c>
      <c r="J711" s="9" t="b">
        <f t="shared" si="57"/>
        <v>1</v>
      </c>
      <c r="K711" s="9" t="b">
        <f t="shared" si="58"/>
        <v>1</v>
      </c>
      <c r="L711" s="9" t="b">
        <f t="shared" si="59"/>
        <v>1</v>
      </c>
      <c r="M711" s="1" t="b">
        <f>IF(OR(入力シート!$C$5&lt;&gt;入力リスト!$N$4,入力シート!$J$22&lt;&gt;入力リスト!$K$4),TRUE,IF($F$2=入力リスト!$Q$4,IF(F711-INT(F711)&lt;0.6,TRUE,FALSE),TRUE))</f>
        <v>1</v>
      </c>
      <c r="N711" s="9" t="str">
        <f>IF(F711="","",IF($F$2=入力リスト!$Q$4,ROUNDDOWN(INT(F711)+ROUNDDOWN((F711-INT(F711))*100,0)/60,2),従業員の給与情報!F711))</f>
        <v/>
      </c>
      <c r="O711" s="8"/>
      <c r="P711" s="8"/>
    </row>
    <row r="712" spans="1:16">
      <c r="A712" s="119"/>
      <c r="B712" s="2"/>
      <c r="C712" s="369"/>
      <c r="D712" s="369"/>
      <c r="E712" s="369"/>
      <c r="F712" s="370"/>
      <c r="G712" s="248" t="str">
        <f t="shared" si="55"/>
        <v/>
      </c>
      <c r="H712" s="1" t="b">
        <f>IF(B712="",FALSE,COUNTIF('従業員情報(給与以外)'!$A$4:$A$1000000,$B712)=0)</f>
        <v>0</v>
      </c>
      <c r="I712" s="9" t="b">
        <f t="shared" si="56"/>
        <v>1</v>
      </c>
      <c r="J712" s="9" t="b">
        <f t="shared" si="57"/>
        <v>1</v>
      </c>
      <c r="K712" s="9" t="b">
        <f t="shared" si="58"/>
        <v>1</v>
      </c>
      <c r="L712" s="9" t="b">
        <f t="shared" si="59"/>
        <v>1</v>
      </c>
      <c r="M712" s="1" t="b">
        <f>IF(OR(入力シート!$C$5&lt;&gt;入力リスト!$N$4,入力シート!$J$22&lt;&gt;入力リスト!$K$4),TRUE,IF($F$2=入力リスト!$Q$4,IF(F712-INT(F712)&lt;0.6,TRUE,FALSE),TRUE))</f>
        <v>1</v>
      </c>
      <c r="N712" s="9" t="str">
        <f>IF(F712="","",IF($F$2=入力リスト!$Q$4,ROUNDDOWN(INT(F712)+ROUNDDOWN((F712-INT(F712))*100,0)/60,2),従業員の給与情報!F712))</f>
        <v/>
      </c>
      <c r="O712" s="8"/>
      <c r="P712" s="8"/>
    </row>
    <row r="713" spans="1:16">
      <c r="A713" s="119"/>
      <c r="B713" s="2"/>
      <c r="C713" s="369"/>
      <c r="D713" s="369"/>
      <c r="E713" s="369"/>
      <c r="F713" s="370"/>
      <c r="G713" s="248" t="str">
        <f t="shared" si="55"/>
        <v/>
      </c>
      <c r="H713" s="1" t="b">
        <f>IF(B713="",FALSE,COUNTIF('従業員情報(給与以外)'!$A$4:$A$1000000,$B713)=0)</f>
        <v>0</v>
      </c>
      <c r="I713" s="9" t="b">
        <f t="shared" si="56"/>
        <v>1</v>
      </c>
      <c r="J713" s="9" t="b">
        <f t="shared" si="57"/>
        <v>1</v>
      </c>
      <c r="K713" s="9" t="b">
        <f t="shared" si="58"/>
        <v>1</v>
      </c>
      <c r="L713" s="9" t="b">
        <f t="shared" si="59"/>
        <v>1</v>
      </c>
      <c r="M713" s="1" t="b">
        <f>IF(OR(入力シート!$C$5&lt;&gt;入力リスト!$N$4,入力シート!$J$22&lt;&gt;入力リスト!$K$4),TRUE,IF($F$2=入力リスト!$Q$4,IF(F713-INT(F713)&lt;0.6,TRUE,FALSE),TRUE))</f>
        <v>1</v>
      </c>
      <c r="N713" s="9" t="str">
        <f>IF(F713="","",IF($F$2=入力リスト!$Q$4,ROUNDDOWN(INT(F713)+ROUNDDOWN((F713-INT(F713))*100,0)/60,2),従業員の給与情報!F713))</f>
        <v/>
      </c>
      <c r="O713" s="8"/>
      <c r="P713" s="8"/>
    </row>
    <row r="714" spans="1:16">
      <c r="A714" s="119"/>
      <c r="B714" s="2"/>
      <c r="C714" s="369"/>
      <c r="D714" s="369"/>
      <c r="E714" s="369"/>
      <c r="F714" s="370"/>
      <c r="G714" s="248" t="str">
        <f t="shared" si="55"/>
        <v/>
      </c>
      <c r="H714" s="1" t="b">
        <f>IF(B714="",FALSE,COUNTIF('従業員情報(給与以外)'!$A$4:$A$1000000,$B714)=0)</f>
        <v>0</v>
      </c>
      <c r="I714" s="9" t="b">
        <f t="shared" si="56"/>
        <v>1</v>
      </c>
      <c r="J714" s="9" t="b">
        <f t="shared" si="57"/>
        <v>1</v>
      </c>
      <c r="K714" s="9" t="b">
        <f t="shared" si="58"/>
        <v>1</v>
      </c>
      <c r="L714" s="9" t="b">
        <f t="shared" si="59"/>
        <v>1</v>
      </c>
      <c r="M714" s="1" t="b">
        <f>IF(OR(入力シート!$C$5&lt;&gt;入力リスト!$N$4,入力シート!$J$22&lt;&gt;入力リスト!$K$4),TRUE,IF($F$2=入力リスト!$Q$4,IF(F714-INT(F714)&lt;0.6,TRUE,FALSE),TRUE))</f>
        <v>1</v>
      </c>
      <c r="N714" s="9" t="str">
        <f>IF(F714="","",IF($F$2=入力リスト!$Q$4,ROUNDDOWN(INT(F714)+ROUNDDOWN((F714-INT(F714))*100,0)/60,2),従業員の給与情報!F714))</f>
        <v/>
      </c>
      <c r="O714" s="8"/>
      <c r="P714" s="8"/>
    </row>
    <row r="715" spans="1:16">
      <c r="A715" s="119"/>
      <c r="B715" s="2"/>
      <c r="C715" s="369"/>
      <c r="D715" s="369"/>
      <c r="E715" s="369"/>
      <c r="F715" s="370"/>
      <c r="G715" s="248" t="str">
        <f t="shared" si="55"/>
        <v/>
      </c>
      <c r="H715" s="1" t="b">
        <f>IF(B715="",FALSE,COUNTIF('従業員情報(給与以外)'!$A$4:$A$1000000,$B715)=0)</f>
        <v>0</v>
      </c>
      <c r="I715" s="9" t="b">
        <f t="shared" si="56"/>
        <v>1</v>
      </c>
      <c r="J715" s="9" t="b">
        <f t="shared" si="57"/>
        <v>1</v>
      </c>
      <c r="K715" s="9" t="b">
        <f t="shared" si="58"/>
        <v>1</v>
      </c>
      <c r="L715" s="9" t="b">
        <f t="shared" si="59"/>
        <v>1</v>
      </c>
      <c r="M715" s="1" t="b">
        <f>IF(OR(入力シート!$C$5&lt;&gt;入力リスト!$N$4,入力シート!$J$22&lt;&gt;入力リスト!$K$4),TRUE,IF($F$2=入力リスト!$Q$4,IF(F715-INT(F715)&lt;0.6,TRUE,FALSE),TRUE))</f>
        <v>1</v>
      </c>
      <c r="N715" s="9" t="str">
        <f>IF(F715="","",IF($F$2=入力リスト!$Q$4,ROUNDDOWN(INT(F715)+ROUNDDOWN((F715-INT(F715))*100,0)/60,2),従業員の給与情報!F715))</f>
        <v/>
      </c>
      <c r="O715" s="8"/>
      <c r="P715" s="8"/>
    </row>
    <row r="716" spans="1:16">
      <c r="A716" s="119"/>
      <c r="B716" s="2"/>
      <c r="C716" s="369"/>
      <c r="D716" s="369"/>
      <c r="E716" s="369"/>
      <c r="F716" s="370"/>
      <c r="G716" s="248" t="str">
        <f t="shared" si="55"/>
        <v/>
      </c>
      <c r="H716" s="1" t="b">
        <f>IF(B716="",FALSE,COUNTIF('従業員情報(給与以外)'!$A$4:$A$1000000,$B716)=0)</f>
        <v>0</v>
      </c>
      <c r="I716" s="9" t="b">
        <f t="shared" si="56"/>
        <v>1</v>
      </c>
      <c r="J716" s="9" t="b">
        <f t="shared" si="57"/>
        <v>1</v>
      </c>
      <c r="K716" s="9" t="b">
        <f t="shared" si="58"/>
        <v>1</v>
      </c>
      <c r="L716" s="9" t="b">
        <f t="shared" si="59"/>
        <v>1</v>
      </c>
      <c r="M716" s="1" t="b">
        <f>IF(OR(入力シート!$C$5&lt;&gt;入力リスト!$N$4,入力シート!$J$22&lt;&gt;入力リスト!$K$4),TRUE,IF($F$2=入力リスト!$Q$4,IF(F716-INT(F716)&lt;0.6,TRUE,FALSE),TRUE))</f>
        <v>1</v>
      </c>
      <c r="N716" s="9" t="str">
        <f>IF(F716="","",IF($F$2=入力リスト!$Q$4,ROUNDDOWN(INT(F716)+ROUNDDOWN((F716-INT(F716))*100,0)/60,2),従業員の給与情報!F716))</f>
        <v/>
      </c>
      <c r="O716" s="8"/>
      <c r="P716" s="8"/>
    </row>
    <row r="717" spans="1:16">
      <c r="A717" s="119"/>
      <c r="B717" s="2"/>
      <c r="C717" s="369"/>
      <c r="D717" s="369"/>
      <c r="E717" s="369"/>
      <c r="F717" s="370"/>
      <c r="G717" s="248" t="str">
        <f t="shared" si="55"/>
        <v/>
      </c>
      <c r="H717" s="1" t="b">
        <f>IF(B717="",FALSE,COUNTIF('従業員情報(給与以外)'!$A$4:$A$1000000,$B717)=0)</f>
        <v>0</v>
      </c>
      <c r="I717" s="9" t="b">
        <f t="shared" si="56"/>
        <v>1</v>
      </c>
      <c r="J717" s="9" t="b">
        <f t="shared" si="57"/>
        <v>1</v>
      </c>
      <c r="K717" s="9" t="b">
        <f t="shared" si="58"/>
        <v>1</v>
      </c>
      <c r="L717" s="9" t="b">
        <f t="shared" si="59"/>
        <v>1</v>
      </c>
      <c r="M717" s="1" t="b">
        <f>IF(OR(入力シート!$C$5&lt;&gt;入力リスト!$N$4,入力シート!$J$22&lt;&gt;入力リスト!$K$4),TRUE,IF($F$2=入力リスト!$Q$4,IF(F717-INT(F717)&lt;0.6,TRUE,FALSE),TRUE))</f>
        <v>1</v>
      </c>
      <c r="N717" s="9" t="str">
        <f>IF(F717="","",IF($F$2=入力リスト!$Q$4,ROUNDDOWN(INT(F717)+ROUNDDOWN((F717-INT(F717))*100,0)/60,2),従業員の給与情報!F717))</f>
        <v/>
      </c>
      <c r="O717" s="8"/>
      <c r="P717" s="8"/>
    </row>
    <row r="718" spans="1:16">
      <c r="A718" s="119"/>
      <c r="B718" s="2"/>
      <c r="C718" s="369"/>
      <c r="D718" s="369"/>
      <c r="E718" s="369"/>
      <c r="F718" s="370"/>
      <c r="G718" s="248" t="str">
        <f t="shared" si="55"/>
        <v/>
      </c>
      <c r="H718" s="1" t="b">
        <f>IF(B718="",FALSE,COUNTIF('従業員情報(給与以外)'!$A$4:$A$1000000,$B718)=0)</f>
        <v>0</v>
      </c>
      <c r="I718" s="9" t="b">
        <f t="shared" si="56"/>
        <v>1</v>
      </c>
      <c r="J718" s="9" t="b">
        <f t="shared" si="57"/>
        <v>1</v>
      </c>
      <c r="K718" s="9" t="b">
        <f t="shared" si="58"/>
        <v>1</v>
      </c>
      <c r="L718" s="9" t="b">
        <f t="shared" si="59"/>
        <v>1</v>
      </c>
      <c r="M718" s="1" t="b">
        <f>IF(OR(入力シート!$C$5&lt;&gt;入力リスト!$N$4,入力シート!$J$22&lt;&gt;入力リスト!$K$4),TRUE,IF($F$2=入力リスト!$Q$4,IF(F718-INT(F718)&lt;0.6,TRUE,FALSE),TRUE))</f>
        <v>1</v>
      </c>
      <c r="N718" s="9" t="str">
        <f>IF(F718="","",IF($F$2=入力リスト!$Q$4,ROUNDDOWN(INT(F718)+ROUNDDOWN((F718-INT(F718))*100,0)/60,2),従業員の給与情報!F718))</f>
        <v/>
      </c>
      <c r="O718" s="8"/>
      <c r="P718" s="8"/>
    </row>
    <row r="719" spans="1:16">
      <c r="A719" s="119"/>
      <c r="B719" s="2"/>
      <c r="C719" s="369"/>
      <c r="D719" s="369"/>
      <c r="E719" s="369"/>
      <c r="F719" s="370"/>
      <c r="G719" s="248" t="str">
        <f t="shared" si="55"/>
        <v/>
      </c>
      <c r="H719" s="1" t="b">
        <f>IF(B719="",FALSE,COUNTIF('従業員情報(給与以外)'!$A$4:$A$1000000,$B719)=0)</f>
        <v>0</v>
      </c>
      <c r="I719" s="9" t="b">
        <f t="shared" si="56"/>
        <v>1</v>
      </c>
      <c r="J719" s="9" t="b">
        <f t="shared" si="57"/>
        <v>1</v>
      </c>
      <c r="K719" s="9" t="b">
        <f t="shared" si="58"/>
        <v>1</v>
      </c>
      <c r="L719" s="9" t="b">
        <f t="shared" si="59"/>
        <v>1</v>
      </c>
      <c r="M719" s="1" t="b">
        <f>IF(OR(入力シート!$C$5&lt;&gt;入力リスト!$N$4,入力シート!$J$22&lt;&gt;入力リスト!$K$4),TRUE,IF($F$2=入力リスト!$Q$4,IF(F719-INT(F719)&lt;0.6,TRUE,FALSE),TRUE))</f>
        <v>1</v>
      </c>
      <c r="N719" s="9" t="str">
        <f>IF(F719="","",IF($F$2=入力リスト!$Q$4,ROUNDDOWN(INT(F719)+ROUNDDOWN((F719-INT(F719))*100,0)/60,2),従業員の給与情報!F719))</f>
        <v/>
      </c>
      <c r="O719" s="8"/>
      <c r="P719" s="8"/>
    </row>
    <row r="720" spans="1:16">
      <c r="A720" s="119"/>
      <c r="B720" s="2"/>
      <c r="C720" s="369"/>
      <c r="D720" s="369"/>
      <c r="E720" s="369"/>
      <c r="F720" s="370"/>
      <c r="G720" s="248" t="str">
        <f t="shared" si="55"/>
        <v/>
      </c>
      <c r="H720" s="1" t="b">
        <f>IF(B720="",FALSE,COUNTIF('従業員情報(給与以外)'!$A$4:$A$1000000,$B720)=0)</f>
        <v>0</v>
      </c>
      <c r="I720" s="9" t="b">
        <f t="shared" si="56"/>
        <v>1</v>
      </c>
      <c r="J720" s="9" t="b">
        <f t="shared" si="57"/>
        <v>1</v>
      </c>
      <c r="K720" s="9" t="b">
        <f t="shared" si="58"/>
        <v>1</v>
      </c>
      <c r="L720" s="9" t="b">
        <f t="shared" si="59"/>
        <v>1</v>
      </c>
      <c r="M720" s="1" t="b">
        <f>IF(OR(入力シート!$C$5&lt;&gt;入力リスト!$N$4,入力シート!$J$22&lt;&gt;入力リスト!$K$4),TRUE,IF($F$2=入力リスト!$Q$4,IF(F720-INT(F720)&lt;0.6,TRUE,FALSE),TRUE))</f>
        <v>1</v>
      </c>
      <c r="N720" s="9" t="str">
        <f>IF(F720="","",IF($F$2=入力リスト!$Q$4,ROUNDDOWN(INT(F720)+ROUNDDOWN((F720-INT(F720))*100,0)/60,2),従業員の給与情報!F720))</f>
        <v/>
      </c>
      <c r="O720" s="8"/>
      <c r="P720" s="8"/>
    </row>
    <row r="721" spans="1:16">
      <c r="A721" s="119"/>
      <c r="B721" s="2"/>
      <c r="C721" s="369"/>
      <c r="D721" s="369"/>
      <c r="E721" s="369"/>
      <c r="F721" s="370"/>
      <c r="G721" s="248" t="str">
        <f t="shared" si="55"/>
        <v/>
      </c>
      <c r="H721" s="1" t="b">
        <f>IF(B721="",FALSE,COUNTIF('従業員情報(給与以外)'!$A$4:$A$1000000,$B721)=0)</f>
        <v>0</v>
      </c>
      <c r="I721" s="9" t="b">
        <f t="shared" si="56"/>
        <v>1</v>
      </c>
      <c r="J721" s="9" t="b">
        <f t="shared" si="57"/>
        <v>1</v>
      </c>
      <c r="K721" s="9" t="b">
        <f t="shared" si="58"/>
        <v>1</v>
      </c>
      <c r="L721" s="9" t="b">
        <f t="shared" si="59"/>
        <v>1</v>
      </c>
      <c r="M721" s="1" t="b">
        <f>IF(OR(入力シート!$C$5&lt;&gt;入力リスト!$N$4,入力シート!$J$22&lt;&gt;入力リスト!$K$4),TRUE,IF($F$2=入力リスト!$Q$4,IF(F721-INT(F721)&lt;0.6,TRUE,FALSE),TRUE))</f>
        <v>1</v>
      </c>
      <c r="N721" s="9" t="str">
        <f>IF(F721="","",IF($F$2=入力リスト!$Q$4,ROUNDDOWN(INT(F721)+ROUNDDOWN((F721-INT(F721))*100,0)/60,2),従業員の給与情報!F721))</f>
        <v/>
      </c>
      <c r="O721" s="8"/>
      <c r="P721" s="8"/>
    </row>
    <row r="722" spans="1:16">
      <c r="A722" s="119"/>
      <c r="B722" s="2"/>
      <c r="C722" s="369"/>
      <c r="D722" s="369"/>
      <c r="E722" s="369"/>
      <c r="F722" s="370"/>
      <c r="G722" s="248" t="str">
        <f t="shared" si="55"/>
        <v/>
      </c>
      <c r="H722" s="1" t="b">
        <f>IF(B722="",FALSE,COUNTIF('従業員情報(給与以外)'!$A$4:$A$1000000,$B722)=0)</f>
        <v>0</v>
      </c>
      <c r="I722" s="9" t="b">
        <f t="shared" si="56"/>
        <v>1</v>
      </c>
      <c r="J722" s="9" t="b">
        <f t="shared" si="57"/>
        <v>1</v>
      </c>
      <c r="K722" s="9" t="b">
        <f t="shared" si="58"/>
        <v>1</v>
      </c>
      <c r="L722" s="9" t="b">
        <f t="shared" si="59"/>
        <v>1</v>
      </c>
      <c r="M722" s="1" t="b">
        <f>IF(OR(入力シート!$C$5&lt;&gt;入力リスト!$N$4,入力シート!$J$22&lt;&gt;入力リスト!$K$4),TRUE,IF($F$2=入力リスト!$Q$4,IF(F722-INT(F722)&lt;0.6,TRUE,FALSE),TRUE))</f>
        <v>1</v>
      </c>
      <c r="N722" s="9" t="str">
        <f>IF(F722="","",IF($F$2=入力リスト!$Q$4,ROUNDDOWN(INT(F722)+ROUNDDOWN((F722-INT(F722))*100,0)/60,2),従業員の給与情報!F722))</f>
        <v/>
      </c>
      <c r="O722" s="8"/>
      <c r="P722" s="8"/>
    </row>
    <row r="723" spans="1:16">
      <c r="A723" s="119"/>
      <c r="B723" s="2"/>
      <c r="C723" s="369"/>
      <c r="D723" s="369"/>
      <c r="E723" s="369"/>
      <c r="F723" s="370"/>
      <c r="G723" s="248" t="str">
        <f t="shared" si="55"/>
        <v/>
      </c>
      <c r="H723" s="1" t="b">
        <f>IF(B723="",FALSE,COUNTIF('従業員情報(給与以外)'!$A$4:$A$1000000,$B723)=0)</f>
        <v>0</v>
      </c>
      <c r="I723" s="9" t="b">
        <f t="shared" si="56"/>
        <v>1</v>
      </c>
      <c r="J723" s="9" t="b">
        <f t="shared" si="57"/>
        <v>1</v>
      </c>
      <c r="K723" s="9" t="b">
        <f t="shared" si="58"/>
        <v>1</v>
      </c>
      <c r="L723" s="9" t="b">
        <f t="shared" si="59"/>
        <v>1</v>
      </c>
      <c r="M723" s="1" t="b">
        <f>IF(OR(入力シート!$C$5&lt;&gt;入力リスト!$N$4,入力シート!$J$22&lt;&gt;入力リスト!$K$4),TRUE,IF($F$2=入力リスト!$Q$4,IF(F723-INT(F723)&lt;0.6,TRUE,FALSE),TRUE))</f>
        <v>1</v>
      </c>
      <c r="N723" s="9" t="str">
        <f>IF(F723="","",IF($F$2=入力リスト!$Q$4,ROUNDDOWN(INT(F723)+ROUNDDOWN((F723-INT(F723))*100,0)/60,2),従業員の給与情報!F723))</f>
        <v/>
      </c>
      <c r="O723" s="8"/>
      <c r="P723" s="8"/>
    </row>
    <row r="724" spans="1:16">
      <c r="A724" s="119"/>
      <c r="B724" s="2"/>
      <c r="C724" s="369"/>
      <c r="D724" s="369"/>
      <c r="E724" s="369"/>
      <c r="F724" s="370"/>
      <c r="G724" s="248" t="str">
        <f t="shared" si="55"/>
        <v/>
      </c>
      <c r="H724" s="1" t="b">
        <f>IF(B724="",FALSE,COUNTIF('従業員情報(給与以外)'!$A$4:$A$1000000,$B724)=0)</f>
        <v>0</v>
      </c>
      <c r="I724" s="9" t="b">
        <f t="shared" si="56"/>
        <v>1</v>
      </c>
      <c r="J724" s="9" t="b">
        <f t="shared" si="57"/>
        <v>1</v>
      </c>
      <c r="K724" s="9" t="b">
        <f t="shared" si="58"/>
        <v>1</v>
      </c>
      <c r="L724" s="9" t="b">
        <f t="shared" si="59"/>
        <v>1</v>
      </c>
      <c r="M724" s="1" t="b">
        <f>IF(OR(入力シート!$C$5&lt;&gt;入力リスト!$N$4,入力シート!$J$22&lt;&gt;入力リスト!$K$4),TRUE,IF($F$2=入力リスト!$Q$4,IF(F724-INT(F724)&lt;0.6,TRUE,FALSE),TRUE))</f>
        <v>1</v>
      </c>
      <c r="N724" s="9" t="str">
        <f>IF(F724="","",IF($F$2=入力リスト!$Q$4,ROUNDDOWN(INT(F724)+ROUNDDOWN((F724-INT(F724))*100,0)/60,2),従業員の給与情報!F724))</f>
        <v/>
      </c>
      <c r="O724" s="8"/>
      <c r="P724" s="8"/>
    </row>
    <row r="725" spans="1:16">
      <c r="A725" s="119"/>
      <c r="B725" s="2"/>
      <c r="C725" s="369"/>
      <c r="D725" s="369"/>
      <c r="E725" s="369"/>
      <c r="F725" s="370"/>
      <c r="G725" s="248" t="str">
        <f t="shared" si="55"/>
        <v/>
      </c>
      <c r="H725" s="1" t="b">
        <f>IF(B725="",FALSE,COUNTIF('従業員情報(給与以外)'!$A$4:$A$1000000,$B725)=0)</f>
        <v>0</v>
      </c>
      <c r="I725" s="9" t="b">
        <f t="shared" si="56"/>
        <v>1</v>
      </c>
      <c r="J725" s="9" t="b">
        <f t="shared" si="57"/>
        <v>1</v>
      </c>
      <c r="K725" s="9" t="b">
        <f t="shared" si="58"/>
        <v>1</v>
      </c>
      <c r="L725" s="9" t="b">
        <f t="shared" si="59"/>
        <v>1</v>
      </c>
      <c r="M725" s="1" t="b">
        <f>IF(OR(入力シート!$C$5&lt;&gt;入力リスト!$N$4,入力シート!$J$22&lt;&gt;入力リスト!$K$4),TRUE,IF($F$2=入力リスト!$Q$4,IF(F725-INT(F725)&lt;0.6,TRUE,FALSE),TRUE))</f>
        <v>1</v>
      </c>
      <c r="N725" s="9" t="str">
        <f>IF(F725="","",IF($F$2=入力リスト!$Q$4,ROUNDDOWN(INT(F725)+ROUNDDOWN((F725-INT(F725))*100,0)/60,2),従業員の給与情報!F725))</f>
        <v/>
      </c>
      <c r="O725" s="8"/>
      <c r="P725" s="8"/>
    </row>
    <row r="726" spans="1:16">
      <c r="A726" s="119"/>
      <c r="B726" s="2"/>
      <c r="C726" s="369"/>
      <c r="D726" s="369"/>
      <c r="E726" s="369"/>
      <c r="F726" s="370"/>
      <c r="G726" s="248" t="str">
        <f t="shared" si="55"/>
        <v/>
      </c>
      <c r="H726" s="1" t="b">
        <f>IF(B726="",FALSE,COUNTIF('従業員情報(給与以外)'!$A$4:$A$1000000,$B726)=0)</f>
        <v>0</v>
      </c>
      <c r="I726" s="9" t="b">
        <f t="shared" si="56"/>
        <v>1</v>
      </c>
      <c r="J726" s="9" t="b">
        <f t="shared" si="57"/>
        <v>1</v>
      </c>
      <c r="K726" s="9" t="b">
        <f t="shared" si="58"/>
        <v>1</v>
      </c>
      <c r="L726" s="9" t="b">
        <f t="shared" si="59"/>
        <v>1</v>
      </c>
      <c r="M726" s="1" t="b">
        <f>IF(OR(入力シート!$C$5&lt;&gt;入力リスト!$N$4,入力シート!$J$22&lt;&gt;入力リスト!$K$4),TRUE,IF($F$2=入力リスト!$Q$4,IF(F726-INT(F726)&lt;0.6,TRUE,FALSE),TRUE))</f>
        <v>1</v>
      </c>
      <c r="N726" s="9" t="str">
        <f>IF(F726="","",IF($F$2=入力リスト!$Q$4,ROUNDDOWN(INT(F726)+ROUNDDOWN((F726-INT(F726))*100,0)/60,2),従業員の給与情報!F726))</f>
        <v/>
      </c>
      <c r="O726" s="8"/>
      <c r="P726" s="8"/>
    </row>
    <row r="727" spans="1:16">
      <c r="A727" s="119"/>
      <c r="B727" s="2"/>
      <c r="C727" s="369"/>
      <c r="D727" s="369"/>
      <c r="E727" s="369"/>
      <c r="F727" s="370"/>
      <c r="G727" s="248" t="str">
        <f t="shared" si="55"/>
        <v/>
      </c>
      <c r="H727" s="1" t="b">
        <f>IF(B727="",FALSE,COUNTIF('従業員情報(給与以外)'!$A$4:$A$1000000,$B727)=0)</f>
        <v>0</v>
      </c>
      <c r="I727" s="9" t="b">
        <f t="shared" si="56"/>
        <v>1</v>
      </c>
      <c r="J727" s="9" t="b">
        <f t="shared" si="57"/>
        <v>1</v>
      </c>
      <c r="K727" s="9" t="b">
        <f t="shared" si="58"/>
        <v>1</v>
      </c>
      <c r="L727" s="9" t="b">
        <f t="shared" si="59"/>
        <v>1</v>
      </c>
      <c r="M727" s="1" t="b">
        <f>IF(OR(入力シート!$C$5&lt;&gt;入力リスト!$N$4,入力シート!$J$22&lt;&gt;入力リスト!$K$4),TRUE,IF($F$2=入力リスト!$Q$4,IF(F727-INT(F727)&lt;0.6,TRUE,FALSE),TRUE))</f>
        <v>1</v>
      </c>
      <c r="N727" s="9" t="str">
        <f>IF(F727="","",IF($F$2=入力リスト!$Q$4,ROUNDDOWN(INT(F727)+ROUNDDOWN((F727-INT(F727))*100,0)/60,2),従業員の給与情報!F727))</f>
        <v/>
      </c>
      <c r="O727" s="8"/>
      <c r="P727" s="8"/>
    </row>
    <row r="728" spans="1:16">
      <c r="A728" s="119"/>
      <c r="B728" s="2"/>
      <c r="C728" s="369"/>
      <c r="D728" s="369"/>
      <c r="E728" s="369"/>
      <c r="F728" s="370"/>
      <c r="G728" s="248" t="str">
        <f t="shared" si="55"/>
        <v/>
      </c>
      <c r="H728" s="1" t="b">
        <f>IF(B728="",FALSE,COUNTIF('従業員情報(給与以外)'!$A$4:$A$1000000,$B728)=0)</f>
        <v>0</v>
      </c>
      <c r="I728" s="9" t="b">
        <f t="shared" si="56"/>
        <v>1</v>
      </c>
      <c r="J728" s="9" t="b">
        <f t="shared" si="57"/>
        <v>1</v>
      </c>
      <c r="K728" s="9" t="b">
        <f t="shared" si="58"/>
        <v>1</v>
      </c>
      <c r="L728" s="9" t="b">
        <f t="shared" si="59"/>
        <v>1</v>
      </c>
      <c r="M728" s="1" t="b">
        <f>IF(OR(入力シート!$C$5&lt;&gt;入力リスト!$N$4,入力シート!$J$22&lt;&gt;入力リスト!$K$4),TRUE,IF($F$2=入力リスト!$Q$4,IF(F728-INT(F728)&lt;0.6,TRUE,FALSE),TRUE))</f>
        <v>1</v>
      </c>
      <c r="N728" s="9" t="str">
        <f>IF(F728="","",IF($F$2=入力リスト!$Q$4,ROUNDDOWN(INT(F728)+ROUNDDOWN((F728-INT(F728))*100,0)/60,2),従業員の給与情報!F728))</f>
        <v/>
      </c>
      <c r="O728" s="8"/>
      <c r="P728" s="8"/>
    </row>
    <row r="729" spans="1:16">
      <c r="A729" s="119"/>
      <c r="B729" s="2"/>
      <c r="C729" s="369"/>
      <c r="D729" s="369"/>
      <c r="E729" s="369"/>
      <c r="F729" s="370"/>
      <c r="G729" s="248" t="str">
        <f t="shared" si="55"/>
        <v/>
      </c>
      <c r="H729" s="1" t="b">
        <f>IF(B729="",FALSE,COUNTIF('従業員情報(給与以外)'!$A$4:$A$1000000,$B729)=0)</f>
        <v>0</v>
      </c>
      <c r="I729" s="9" t="b">
        <f t="shared" si="56"/>
        <v>1</v>
      </c>
      <c r="J729" s="9" t="b">
        <f t="shared" si="57"/>
        <v>1</v>
      </c>
      <c r="K729" s="9" t="b">
        <f t="shared" si="58"/>
        <v>1</v>
      </c>
      <c r="L729" s="9" t="b">
        <f t="shared" si="59"/>
        <v>1</v>
      </c>
      <c r="M729" s="1" t="b">
        <f>IF(OR(入力シート!$C$5&lt;&gt;入力リスト!$N$4,入力シート!$J$22&lt;&gt;入力リスト!$K$4),TRUE,IF($F$2=入力リスト!$Q$4,IF(F729-INT(F729)&lt;0.6,TRUE,FALSE),TRUE))</f>
        <v>1</v>
      </c>
      <c r="N729" s="9" t="str">
        <f>IF(F729="","",IF($F$2=入力リスト!$Q$4,ROUNDDOWN(INT(F729)+ROUNDDOWN((F729-INT(F729))*100,0)/60,2),従業員の給与情報!F729))</f>
        <v/>
      </c>
      <c r="O729" s="8"/>
      <c r="P729" s="8"/>
    </row>
    <row r="730" spans="1:16">
      <c r="A730" s="119"/>
      <c r="B730" s="2"/>
      <c r="C730" s="369"/>
      <c r="D730" s="369"/>
      <c r="E730" s="369"/>
      <c r="F730" s="370"/>
      <c r="G730" s="248" t="str">
        <f t="shared" si="55"/>
        <v/>
      </c>
      <c r="H730" s="1" t="b">
        <f>IF(B730="",FALSE,COUNTIF('従業員情報(給与以外)'!$A$4:$A$1000000,$B730)=0)</f>
        <v>0</v>
      </c>
      <c r="I730" s="9" t="b">
        <f t="shared" si="56"/>
        <v>1</v>
      </c>
      <c r="J730" s="9" t="b">
        <f t="shared" si="57"/>
        <v>1</v>
      </c>
      <c r="K730" s="9" t="b">
        <f t="shared" si="58"/>
        <v>1</v>
      </c>
      <c r="L730" s="9" t="b">
        <f t="shared" si="59"/>
        <v>1</v>
      </c>
      <c r="M730" s="1" t="b">
        <f>IF(OR(入力シート!$C$5&lt;&gt;入力リスト!$N$4,入力シート!$J$22&lt;&gt;入力リスト!$K$4),TRUE,IF($F$2=入力リスト!$Q$4,IF(F730-INT(F730)&lt;0.6,TRUE,FALSE),TRUE))</f>
        <v>1</v>
      </c>
      <c r="N730" s="9" t="str">
        <f>IF(F730="","",IF($F$2=入力リスト!$Q$4,ROUNDDOWN(INT(F730)+ROUNDDOWN((F730-INT(F730))*100,0)/60,2),従業員の給与情報!F730))</f>
        <v/>
      </c>
      <c r="O730" s="8"/>
      <c r="P730" s="8"/>
    </row>
    <row r="731" spans="1:16">
      <c r="A731" s="119"/>
      <c r="B731" s="2"/>
      <c r="C731" s="369"/>
      <c r="D731" s="369"/>
      <c r="E731" s="369"/>
      <c r="F731" s="370"/>
      <c r="G731" s="248" t="str">
        <f t="shared" si="55"/>
        <v/>
      </c>
      <c r="H731" s="1" t="b">
        <f>IF(B731="",FALSE,COUNTIF('従業員情報(給与以外)'!$A$4:$A$1000000,$B731)=0)</f>
        <v>0</v>
      </c>
      <c r="I731" s="9" t="b">
        <f t="shared" si="56"/>
        <v>1</v>
      </c>
      <c r="J731" s="9" t="b">
        <f t="shared" si="57"/>
        <v>1</v>
      </c>
      <c r="K731" s="9" t="b">
        <f t="shared" si="58"/>
        <v>1</v>
      </c>
      <c r="L731" s="9" t="b">
        <f t="shared" si="59"/>
        <v>1</v>
      </c>
      <c r="M731" s="1" t="b">
        <f>IF(OR(入力シート!$C$5&lt;&gt;入力リスト!$N$4,入力シート!$J$22&lt;&gt;入力リスト!$K$4),TRUE,IF($F$2=入力リスト!$Q$4,IF(F731-INT(F731)&lt;0.6,TRUE,FALSE),TRUE))</f>
        <v>1</v>
      </c>
      <c r="N731" s="9" t="str">
        <f>IF(F731="","",IF($F$2=入力リスト!$Q$4,ROUNDDOWN(INT(F731)+ROUNDDOWN((F731-INT(F731))*100,0)/60,2),従業員の給与情報!F731))</f>
        <v/>
      </c>
      <c r="O731" s="8"/>
      <c r="P731" s="8"/>
    </row>
    <row r="732" spans="1:16">
      <c r="A732" s="119"/>
      <c r="B732" s="2"/>
      <c r="C732" s="369"/>
      <c r="D732" s="369"/>
      <c r="E732" s="369"/>
      <c r="F732" s="370"/>
      <c r="G732" s="248" t="str">
        <f t="shared" si="55"/>
        <v/>
      </c>
      <c r="H732" s="1" t="b">
        <f>IF(B732="",FALSE,COUNTIF('従業員情報(給与以外)'!$A$4:$A$1000000,$B732)=0)</f>
        <v>0</v>
      </c>
      <c r="I732" s="9" t="b">
        <f t="shared" si="56"/>
        <v>1</v>
      </c>
      <c r="J732" s="9" t="b">
        <f t="shared" si="57"/>
        <v>1</v>
      </c>
      <c r="K732" s="9" t="b">
        <f t="shared" si="58"/>
        <v>1</v>
      </c>
      <c r="L732" s="9" t="b">
        <f t="shared" si="59"/>
        <v>1</v>
      </c>
      <c r="M732" s="1" t="b">
        <f>IF(OR(入力シート!$C$5&lt;&gt;入力リスト!$N$4,入力シート!$J$22&lt;&gt;入力リスト!$K$4),TRUE,IF($F$2=入力リスト!$Q$4,IF(F732-INT(F732)&lt;0.6,TRUE,FALSE),TRUE))</f>
        <v>1</v>
      </c>
      <c r="N732" s="9" t="str">
        <f>IF(F732="","",IF($F$2=入力リスト!$Q$4,ROUNDDOWN(INT(F732)+ROUNDDOWN((F732-INT(F732))*100,0)/60,2),従業員の給与情報!F732))</f>
        <v/>
      </c>
      <c r="O732" s="8"/>
      <c r="P732" s="8"/>
    </row>
    <row r="733" spans="1:16">
      <c r="A733" s="119"/>
      <c r="B733" s="2"/>
      <c r="C733" s="369"/>
      <c r="D733" s="369"/>
      <c r="E733" s="369"/>
      <c r="F733" s="370"/>
      <c r="G733" s="248" t="str">
        <f t="shared" si="55"/>
        <v/>
      </c>
      <c r="H733" s="1" t="b">
        <f>IF(B733="",FALSE,COUNTIF('従業員情報(給与以外)'!$A$4:$A$1000000,$B733)=0)</f>
        <v>0</v>
      </c>
      <c r="I733" s="9" t="b">
        <f t="shared" si="56"/>
        <v>1</v>
      </c>
      <c r="J733" s="9" t="b">
        <f t="shared" si="57"/>
        <v>1</v>
      </c>
      <c r="K733" s="9" t="b">
        <f t="shared" si="58"/>
        <v>1</v>
      </c>
      <c r="L733" s="9" t="b">
        <f t="shared" si="59"/>
        <v>1</v>
      </c>
      <c r="M733" s="1" t="b">
        <f>IF(OR(入力シート!$C$5&lt;&gt;入力リスト!$N$4,入力シート!$J$22&lt;&gt;入力リスト!$K$4),TRUE,IF($F$2=入力リスト!$Q$4,IF(F733-INT(F733)&lt;0.6,TRUE,FALSE),TRUE))</f>
        <v>1</v>
      </c>
      <c r="N733" s="9" t="str">
        <f>IF(F733="","",IF($F$2=入力リスト!$Q$4,ROUNDDOWN(INT(F733)+ROUNDDOWN((F733-INT(F733))*100,0)/60,2),従業員の給与情報!F733))</f>
        <v/>
      </c>
      <c r="O733" s="8"/>
      <c r="P733" s="8"/>
    </row>
    <row r="734" spans="1:16">
      <c r="A734" s="119"/>
      <c r="B734" s="2"/>
      <c r="C734" s="369"/>
      <c r="D734" s="369"/>
      <c r="E734" s="369"/>
      <c r="F734" s="370"/>
      <c r="G734" s="248" t="str">
        <f t="shared" si="55"/>
        <v/>
      </c>
      <c r="H734" s="1" t="b">
        <f>IF(B734="",FALSE,COUNTIF('従業員情報(給与以外)'!$A$4:$A$1000000,$B734)=0)</f>
        <v>0</v>
      </c>
      <c r="I734" s="9" t="b">
        <f t="shared" si="56"/>
        <v>1</v>
      </c>
      <c r="J734" s="9" t="b">
        <f t="shared" si="57"/>
        <v>1</v>
      </c>
      <c r="K734" s="9" t="b">
        <f t="shared" si="58"/>
        <v>1</v>
      </c>
      <c r="L734" s="9" t="b">
        <f t="shared" si="59"/>
        <v>1</v>
      </c>
      <c r="M734" s="1" t="b">
        <f>IF(OR(入力シート!$C$5&lt;&gt;入力リスト!$N$4,入力シート!$J$22&lt;&gt;入力リスト!$K$4),TRUE,IF($F$2=入力リスト!$Q$4,IF(F734-INT(F734)&lt;0.6,TRUE,FALSE),TRUE))</f>
        <v>1</v>
      </c>
      <c r="N734" s="9" t="str">
        <f>IF(F734="","",IF($F$2=入力リスト!$Q$4,ROUNDDOWN(INT(F734)+ROUNDDOWN((F734-INT(F734))*100,0)/60,2),従業員の給与情報!F734))</f>
        <v/>
      </c>
      <c r="O734" s="8"/>
      <c r="P734" s="8"/>
    </row>
    <row r="735" spans="1:16">
      <c r="A735" s="119"/>
      <c r="B735" s="2"/>
      <c r="C735" s="369"/>
      <c r="D735" s="369"/>
      <c r="E735" s="369"/>
      <c r="F735" s="370"/>
      <c r="G735" s="248" t="str">
        <f t="shared" si="55"/>
        <v/>
      </c>
      <c r="H735" s="1" t="b">
        <f>IF(B735="",FALSE,COUNTIF('従業員情報(給与以外)'!$A$4:$A$1000000,$B735)=0)</f>
        <v>0</v>
      </c>
      <c r="I735" s="9" t="b">
        <f t="shared" si="56"/>
        <v>1</v>
      </c>
      <c r="J735" s="9" t="b">
        <f t="shared" si="57"/>
        <v>1</v>
      </c>
      <c r="K735" s="9" t="b">
        <f t="shared" si="58"/>
        <v>1</v>
      </c>
      <c r="L735" s="9" t="b">
        <f t="shared" si="59"/>
        <v>1</v>
      </c>
      <c r="M735" s="1" t="b">
        <f>IF(OR(入力シート!$C$5&lt;&gt;入力リスト!$N$4,入力シート!$J$22&lt;&gt;入力リスト!$K$4),TRUE,IF($F$2=入力リスト!$Q$4,IF(F735-INT(F735)&lt;0.6,TRUE,FALSE),TRUE))</f>
        <v>1</v>
      </c>
      <c r="N735" s="9" t="str">
        <f>IF(F735="","",IF($F$2=入力リスト!$Q$4,ROUNDDOWN(INT(F735)+ROUNDDOWN((F735-INT(F735))*100,0)/60,2),従業員の給与情報!F735))</f>
        <v/>
      </c>
      <c r="O735" s="8"/>
      <c r="P735" s="8"/>
    </row>
    <row r="736" spans="1:16">
      <c r="A736" s="119"/>
      <c r="B736" s="2"/>
      <c r="C736" s="369"/>
      <c r="D736" s="369"/>
      <c r="E736" s="369"/>
      <c r="F736" s="370"/>
      <c r="G736" s="248" t="str">
        <f t="shared" si="55"/>
        <v/>
      </c>
      <c r="H736" s="1" t="b">
        <f>IF(B736="",FALSE,COUNTIF('従業員情報(給与以外)'!$A$4:$A$1000000,$B736)=0)</f>
        <v>0</v>
      </c>
      <c r="I736" s="9" t="b">
        <f t="shared" si="56"/>
        <v>1</v>
      </c>
      <c r="J736" s="9" t="b">
        <f t="shared" si="57"/>
        <v>1</v>
      </c>
      <c r="K736" s="9" t="b">
        <f t="shared" si="58"/>
        <v>1</v>
      </c>
      <c r="L736" s="9" t="b">
        <f t="shared" si="59"/>
        <v>1</v>
      </c>
      <c r="M736" s="1" t="b">
        <f>IF(OR(入力シート!$C$5&lt;&gt;入力リスト!$N$4,入力シート!$J$22&lt;&gt;入力リスト!$K$4),TRUE,IF($F$2=入力リスト!$Q$4,IF(F736-INT(F736)&lt;0.6,TRUE,FALSE),TRUE))</f>
        <v>1</v>
      </c>
      <c r="N736" s="9" t="str">
        <f>IF(F736="","",IF($F$2=入力リスト!$Q$4,ROUNDDOWN(INT(F736)+ROUNDDOWN((F736-INT(F736))*100,0)/60,2),従業員の給与情報!F736))</f>
        <v/>
      </c>
      <c r="O736" s="8"/>
      <c r="P736" s="8"/>
    </row>
    <row r="737" spans="1:16">
      <c r="A737" s="119"/>
      <c r="B737" s="2"/>
      <c r="C737" s="369"/>
      <c r="D737" s="369"/>
      <c r="E737" s="369"/>
      <c r="F737" s="370"/>
      <c r="G737" s="248" t="str">
        <f t="shared" si="55"/>
        <v/>
      </c>
      <c r="H737" s="1" t="b">
        <f>IF(B737="",FALSE,COUNTIF('従業員情報(給与以外)'!$A$4:$A$1000000,$B737)=0)</f>
        <v>0</v>
      </c>
      <c r="I737" s="9" t="b">
        <f t="shared" si="56"/>
        <v>1</v>
      </c>
      <c r="J737" s="9" t="b">
        <f t="shared" si="57"/>
        <v>1</v>
      </c>
      <c r="K737" s="9" t="b">
        <f t="shared" si="58"/>
        <v>1</v>
      </c>
      <c r="L737" s="9" t="b">
        <f t="shared" si="59"/>
        <v>1</v>
      </c>
      <c r="M737" s="1" t="b">
        <f>IF(OR(入力シート!$C$5&lt;&gt;入力リスト!$N$4,入力シート!$J$22&lt;&gt;入力リスト!$K$4),TRUE,IF($F$2=入力リスト!$Q$4,IF(F737-INT(F737)&lt;0.6,TRUE,FALSE),TRUE))</f>
        <v>1</v>
      </c>
      <c r="N737" s="9" t="str">
        <f>IF(F737="","",IF($F$2=入力リスト!$Q$4,ROUNDDOWN(INT(F737)+ROUNDDOWN((F737-INT(F737))*100,0)/60,2),従業員の給与情報!F737))</f>
        <v/>
      </c>
      <c r="O737" s="8"/>
      <c r="P737" s="8"/>
    </row>
    <row r="738" spans="1:16">
      <c r="A738" s="119"/>
      <c r="B738" s="2"/>
      <c r="C738" s="369"/>
      <c r="D738" s="369"/>
      <c r="E738" s="369"/>
      <c r="F738" s="370"/>
      <c r="G738" s="248" t="str">
        <f t="shared" si="55"/>
        <v/>
      </c>
      <c r="H738" s="1" t="b">
        <f>IF(B738="",FALSE,COUNTIF('従業員情報(給与以外)'!$A$4:$A$1000000,$B738)=0)</f>
        <v>0</v>
      </c>
      <c r="I738" s="9" t="b">
        <f t="shared" si="56"/>
        <v>1</v>
      </c>
      <c r="J738" s="9" t="b">
        <f t="shared" si="57"/>
        <v>1</v>
      </c>
      <c r="K738" s="9" t="b">
        <f t="shared" si="58"/>
        <v>1</v>
      </c>
      <c r="L738" s="9" t="b">
        <f t="shared" si="59"/>
        <v>1</v>
      </c>
      <c r="M738" s="1" t="b">
        <f>IF(OR(入力シート!$C$5&lt;&gt;入力リスト!$N$4,入力シート!$J$22&lt;&gt;入力リスト!$K$4),TRUE,IF($F$2=入力リスト!$Q$4,IF(F738-INT(F738)&lt;0.6,TRUE,FALSE),TRUE))</f>
        <v>1</v>
      </c>
      <c r="N738" s="9" t="str">
        <f>IF(F738="","",IF($F$2=入力リスト!$Q$4,ROUNDDOWN(INT(F738)+ROUNDDOWN((F738-INT(F738))*100,0)/60,2),従業員の給与情報!F738))</f>
        <v/>
      </c>
      <c r="O738" s="8"/>
      <c r="P738" s="8"/>
    </row>
    <row r="739" spans="1:16">
      <c r="A739" s="119"/>
      <c r="B739" s="2"/>
      <c r="C739" s="369"/>
      <c r="D739" s="369"/>
      <c r="E739" s="369"/>
      <c r="F739" s="370"/>
      <c r="G739" s="248" t="str">
        <f t="shared" si="55"/>
        <v/>
      </c>
      <c r="H739" s="1" t="b">
        <f>IF(B739="",FALSE,COUNTIF('従業員情報(給与以外)'!$A$4:$A$1000000,$B739)=0)</f>
        <v>0</v>
      </c>
      <c r="I739" s="9" t="b">
        <f t="shared" si="56"/>
        <v>1</v>
      </c>
      <c r="J739" s="9" t="b">
        <f t="shared" si="57"/>
        <v>1</v>
      </c>
      <c r="K739" s="9" t="b">
        <f t="shared" si="58"/>
        <v>1</v>
      </c>
      <c r="L739" s="9" t="b">
        <f t="shared" si="59"/>
        <v>1</v>
      </c>
      <c r="M739" s="1" t="b">
        <f>IF(OR(入力シート!$C$5&lt;&gt;入力リスト!$N$4,入力シート!$J$22&lt;&gt;入力リスト!$K$4),TRUE,IF($F$2=入力リスト!$Q$4,IF(F739-INT(F739)&lt;0.6,TRUE,FALSE),TRUE))</f>
        <v>1</v>
      </c>
      <c r="N739" s="9" t="str">
        <f>IF(F739="","",IF($F$2=入力リスト!$Q$4,ROUNDDOWN(INT(F739)+ROUNDDOWN((F739-INT(F739))*100,0)/60,2),従業員の給与情報!F739))</f>
        <v/>
      </c>
      <c r="O739" s="8"/>
      <c r="P739" s="8"/>
    </row>
    <row r="740" spans="1:16">
      <c r="A740" s="119"/>
      <c r="B740" s="2"/>
      <c r="C740" s="369"/>
      <c r="D740" s="369"/>
      <c r="E740" s="369"/>
      <c r="F740" s="370"/>
      <c r="G740" s="248" t="str">
        <f t="shared" si="55"/>
        <v/>
      </c>
      <c r="H740" s="1" t="b">
        <f>IF(B740="",FALSE,COUNTIF('従業員情報(給与以外)'!$A$4:$A$1000000,$B740)=0)</f>
        <v>0</v>
      </c>
      <c r="I740" s="9" t="b">
        <f t="shared" si="56"/>
        <v>1</v>
      </c>
      <c r="J740" s="9" t="b">
        <f t="shared" si="57"/>
        <v>1</v>
      </c>
      <c r="K740" s="9" t="b">
        <f t="shared" si="58"/>
        <v>1</v>
      </c>
      <c r="L740" s="9" t="b">
        <f t="shared" si="59"/>
        <v>1</v>
      </c>
      <c r="M740" s="1" t="b">
        <f>IF(OR(入力シート!$C$5&lt;&gt;入力リスト!$N$4,入力シート!$J$22&lt;&gt;入力リスト!$K$4),TRUE,IF($F$2=入力リスト!$Q$4,IF(F740-INT(F740)&lt;0.6,TRUE,FALSE),TRUE))</f>
        <v>1</v>
      </c>
      <c r="N740" s="9" t="str">
        <f>IF(F740="","",IF($F$2=入力リスト!$Q$4,ROUNDDOWN(INT(F740)+ROUNDDOWN((F740-INT(F740))*100,0)/60,2),従業員の給与情報!F740))</f>
        <v/>
      </c>
      <c r="O740" s="8"/>
      <c r="P740" s="8"/>
    </row>
    <row r="741" spans="1:16">
      <c r="A741" s="119"/>
      <c r="B741" s="2"/>
      <c r="C741" s="369"/>
      <c r="D741" s="369"/>
      <c r="E741" s="369"/>
      <c r="F741" s="370"/>
      <c r="G741" s="248" t="str">
        <f t="shared" si="55"/>
        <v/>
      </c>
      <c r="H741" s="1" t="b">
        <f>IF(B741="",FALSE,COUNTIF('従業員情報(給与以外)'!$A$4:$A$1000000,$B741)=0)</f>
        <v>0</v>
      </c>
      <c r="I741" s="9" t="b">
        <f t="shared" si="56"/>
        <v>1</v>
      </c>
      <c r="J741" s="9" t="b">
        <f t="shared" si="57"/>
        <v>1</v>
      </c>
      <c r="K741" s="9" t="b">
        <f t="shared" si="58"/>
        <v>1</v>
      </c>
      <c r="L741" s="9" t="b">
        <f t="shared" si="59"/>
        <v>1</v>
      </c>
      <c r="M741" s="1" t="b">
        <f>IF(OR(入力シート!$C$5&lt;&gt;入力リスト!$N$4,入力シート!$J$22&lt;&gt;入力リスト!$K$4),TRUE,IF($F$2=入力リスト!$Q$4,IF(F741-INT(F741)&lt;0.6,TRUE,FALSE),TRUE))</f>
        <v>1</v>
      </c>
      <c r="N741" s="9" t="str">
        <f>IF(F741="","",IF($F$2=入力リスト!$Q$4,ROUNDDOWN(INT(F741)+ROUNDDOWN((F741-INT(F741))*100,0)/60,2),従業員の給与情報!F741))</f>
        <v/>
      </c>
      <c r="O741" s="8"/>
      <c r="P741" s="8"/>
    </row>
    <row r="742" spans="1:16">
      <c r="A742" s="119"/>
      <c r="B742" s="2"/>
      <c r="C742" s="369"/>
      <c r="D742" s="369"/>
      <c r="E742" s="369"/>
      <c r="F742" s="370"/>
      <c r="G742" s="248" t="str">
        <f t="shared" si="55"/>
        <v/>
      </c>
      <c r="H742" s="1" t="b">
        <f>IF(B742="",FALSE,COUNTIF('従業員情報(給与以外)'!$A$4:$A$1000000,$B742)=0)</f>
        <v>0</v>
      </c>
      <c r="I742" s="9" t="b">
        <f t="shared" si="56"/>
        <v>1</v>
      </c>
      <c r="J742" s="9" t="b">
        <f t="shared" si="57"/>
        <v>1</v>
      </c>
      <c r="K742" s="9" t="b">
        <f t="shared" si="58"/>
        <v>1</v>
      </c>
      <c r="L742" s="9" t="b">
        <f t="shared" si="59"/>
        <v>1</v>
      </c>
      <c r="M742" s="1" t="b">
        <f>IF(OR(入力シート!$C$5&lt;&gt;入力リスト!$N$4,入力シート!$J$22&lt;&gt;入力リスト!$K$4),TRUE,IF($F$2=入力リスト!$Q$4,IF(F742-INT(F742)&lt;0.6,TRUE,FALSE),TRUE))</f>
        <v>1</v>
      </c>
      <c r="N742" s="9" t="str">
        <f>IF(F742="","",IF($F$2=入力リスト!$Q$4,ROUNDDOWN(INT(F742)+ROUNDDOWN((F742-INT(F742))*100,0)/60,2),従業員の給与情報!F742))</f>
        <v/>
      </c>
      <c r="O742" s="8"/>
      <c r="P742" s="8"/>
    </row>
    <row r="743" spans="1:16">
      <c r="A743" s="119"/>
      <c r="B743" s="2"/>
      <c r="C743" s="369"/>
      <c r="D743" s="369"/>
      <c r="E743" s="369"/>
      <c r="F743" s="370"/>
      <c r="G743" s="248" t="str">
        <f t="shared" si="55"/>
        <v/>
      </c>
      <c r="H743" s="1" t="b">
        <f>IF(B743="",FALSE,COUNTIF('従業員情報(給与以外)'!$A$4:$A$1000000,$B743)=0)</f>
        <v>0</v>
      </c>
      <c r="I743" s="9" t="b">
        <f t="shared" si="56"/>
        <v>1</v>
      </c>
      <c r="J743" s="9" t="b">
        <f t="shared" si="57"/>
        <v>1</v>
      </c>
      <c r="K743" s="9" t="b">
        <f t="shared" si="58"/>
        <v>1</v>
      </c>
      <c r="L743" s="9" t="b">
        <f t="shared" si="59"/>
        <v>1</v>
      </c>
      <c r="M743" s="1" t="b">
        <f>IF(OR(入力シート!$C$5&lt;&gt;入力リスト!$N$4,入力シート!$J$22&lt;&gt;入力リスト!$K$4),TRUE,IF($F$2=入力リスト!$Q$4,IF(F743-INT(F743)&lt;0.6,TRUE,FALSE),TRUE))</f>
        <v>1</v>
      </c>
      <c r="N743" s="9" t="str">
        <f>IF(F743="","",IF($F$2=入力リスト!$Q$4,ROUNDDOWN(INT(F743)+ROUNDDOWN((F743-INT(F743))*100,0)/60,2),従業員の給与情報!F743))</f>
        <v/>
      </c>
      <c r="O743" s="8"/>
      <c r="P743" s="8"/>
    </row>
    <row r="744" spans="1:16">
      <c r="A744" s="119"/>
      <c r="B744" s="2"/>
      <c r="C744" s="369"/>
      <c r="D744" s="369"/>
      <c r="E744" s="369"/>
      <c r="F744" s="370"/>
      <c r="G744" s="248" t="str">
        <f t="shared" si="55"/>
        <v/>
      </c>
      <c r="H744" s="1" t="b">
        <f>IF(B744="",FALSE,COUNTIF('従業員情報(給与以外)'!$A$4:$A$1000000,$B744)=0)</f>
        <v>0</v>
      </c>
      <c r="I744" s="9" t="b">
        <f t="shared" si="56"/>
        <v>1</v>
      </c>
      <c r="J744" s="9" t="b">
        <f t="shared" si="57"/>
        <v>1</v>
      </c>
      <c r="K744" s="9" t="b">
        <f t="shared" si="58"/>
        <v>1</v>
      </c>
      <c r="L744" s="9" t="b">
        <f t="shared" si="59"/>
        <v>1</v>
      </c>
      <c r="M744" s="1" t="b">
        <f>IF(OR(入力シート!$C$5&lt;&gt;入力リスト!$N$4,入力シート!$J$22&lt;&gt;入力リスト!$K$4),TRUE,IF($F$2=入力リスト!$Q$4,IF(F744-INT(F744)&lt;0.6,TRUE,FALSE),TRUE))</f>
        <v>1</v>
      </c>
      <c r="N744" s="9" t="str">
        <f>IF(F744="","",IF($F$2=入力リスト!$Q$4,ROUNDDOWN(INT(F744)+ROUNDDOWN((F744-INT(F744))*100,0)/60,2),従業員の給与情報!F744))</f>
        <v/>
      </c>
      <c r="O744" s="8"/>
      <c r="P744" s="8"/>
    </row>
    <row r="745" spans="1:16">
      <c r="A745" s="119"/>
      <c r="B745" s="2"/>
      <c r="C745" s="369"/>
      <c r="D745" s="369"/>
      <c r="E745" s="369"/>
      <c r="F745" s="370"/>
      <c r="G745" s="248" t="str">
        <f t="shared" si="55"/>
        <v/>
      </c>
      <c r="H745" s="1" t="b">
        <f>IF(B745="",FALSE,COUNTIF('従業員情報(給与以外)'!$A$4:$A$1000000,$B745)=0)</f>
        <v>0</v>
      </c>
      <c r="I745" s="9" t="b">
        <f t="shared" si="56"/>
        <v>1</v>
      </c>
      <c r="J745" s="9" t="b">
        <f t="shared" si="57"/>
        <v>1</v>
      </c>
      <c r="K745" s="9" t="b">
        <f t="shared" si="58"/>
        <v>1</v>
      </c>
      <c r="L745" s="9" t="b">
        <f t="shared" si="59"/>
        <v>1</v>
      </c>
      <c r="M745" s="1" t="b">
        <f>IF(OR(入力シート!$C$5&lt;&gt;入力リスト!$N$4,入力シート!$J$22&lt;&gt;入力リスト!$K$4),TRUE,IF($F$2=入力リスト!$Q$4,IF(F745-INT(F745)&lt;0.6,TRUE,FALSE),TRUE))</f>
        <v>1</v>
      </c>
      <c r="N745" s="9" t="str">
        <f>IF(F745="","",IF($F$2=入力リスト!$Q$4,ROUNDDOWN(INT(F745)+ROUNDDOWN((F745-INT(F745))*100,0)/60,2),従業員の給与情報!F745))</f>
        <v/>
      </c>
      <c r="O745" s="8"/>
      <c r="P745" s="8"/>
    </row>
    <row r="746" spans="1:16">
      <c r="A746" s="119"/>
      <c r="B746" s="2"/>
      <c r="C746" s="369"/>
      <c r="D746" s="369"/>
      <c r="E746" s="369"/>
      <c r="F746" s="370"/>
      <c r="G746" s="248" t="str">
        <f t="shared" si="55"/>
        <v/>
      </c>
      <c r="H746" s="1" t="b">
        <f>IF(B746="",FALSE,COUNTIF('従業員情報(給与以外)'!$A$4:$A$1000000,$B746)=0)</f>
        <v>0</v>
      </c>
      <c r="I746" s="9" t="b">
        <f t="shared" si="56"/>
        <v>1</v>
      </c>
      <c r="J746" s="9" t="b">
        <f t="shared" si="57"/>
        <v>1</v>
      </c>
      <c r="K746" s="9" t="b">
        <f t="shared" si="58"/>
        <v>1</v>
      </c>
      <c r="L746" s="9" t="b">
        <f t="shared" si="59"/>
        <v>1</v>
      </c>
      <c r="M746" s="1" t="b">
        <f>IF(OR(入力シート!$C$5&lt;&gt;入力リスト!$N$4,入力シート!$J$22&lt;&gt;入力リスト!$K$4),TRUE,IF($F$2=入力リスト!$Q$4,IF(F746-INT(F746)&lt;0.6,TRUE,FALSE),TRUE))</f>
        <v>1</v>
      </c>
      <c r="N746" s="9" t="str">
        <f>IF(F746="","",IF($F$2=入力リスト!$Q$4,ROUNDDOWN(INT(F746)+ROUNDDOWN((F746-INT(F746))*100,0)/60,2),従業員の給与情報!F746))</f>
        <v/>
      </c>
      <c r="O746" s="8"/>
      <c r="P746" s="8"/>
    </row>
    <row r="747" spans="1:16">
      <c r="A747" s="119"/>
      <c r="B747" s="2"/>
      <c r="C747" s="369"/>
      <c r="D747" s="369"/>
      <c r="E747" s="369"/>
      <c r="F747" s="370"/>
      <c r="G747" s="248" t="str">
        <f t="shared" si="55"/>
        <v/>
      </c>
      <c r="H747" s="1" t="b">
        <f>IF(B747="",FALSE,COUNTIF('従業員情報(給与以外)'!$A$4:$A$1000000,$B747)=0)</f>
        <v>0</v>
      </c>
      <c r="I747" s="9" t="b">
        <f t="shared" si="56"/>
        <v>1</v>
      </c>
      <c r="J747" s="9" t="b">
        <f t="shared" si="57"/>
        <v>1</v>
      </c>
      <c r="K747" s="9" t="b">
        <f t="shared" si="58"/>
        <v>1</v>
      </c>
      <c r="L747" s="9" t="b">
        <f t="shared" si="59"/>
        <v>1</v>
      </c>
      <c r="M747" s="1" t="b">
        <f>IF(OR(入力シート!$C$5&lt;&gt;入力リスト!$N$4,入力シート!$J$22&lt;&gt;入力リスト!$K$4),TRUE,IF($F$2=入力リスト!$Q$4,IF(F747-INT(F747)&lt;0.6,TRUE,FALSE),TRUE))</f>
        <v>1</v>
      </c>
      <c r="N747" s="9" t="str">
        <f>IF(F747="","",IF($F$2=入力リスト!$Q$4,ROUNDDOWN(INT(F747)+ROUNDDOWN((F747-INT(F747))*100,0)/60,2),従業員の給与情報!F747))</f>
        <v/>
      </c>
      <c r="O747" s="8"/>
      <c r="P747" s="8"/>
    </row>
    <row r="748" spans="1:16">
      <c r="A748" s="119"/>
      <c r="B748" s="2"/>
      <c r="C748" s="369"/>
      <c r="D748" s="369"/>
      <c r="E748" s="369"/>
      <c r="F748" s="370"/>
      <c r="G748" s="248" t="str">
        <f t="shared" si="55"/>
        <v/>
      </c>
      <c r="H748" s="1" t="b">
        <f>IF(B748="",FALSE,COUNTIF('従業員情報(給与以外)'!$A$4:$A$1000000,$B748)=0)</f>
        <v>0</v>
      </c>
      <c r="I748" s="9" t="b">
        <f t="shared" si="56"/>
        <v>1</v>
      </c>
      <c r="J748" s="9" t="b">
        <f t="shared" si="57"/>
        <v>1</v>
      </c>
      <c r="K748" s="9" t="b">
        <f t="shared" si="58"/>
        <v>1</v>
      </c>
      <c r="L748" s="9" t="b">
        <f t="shared" si="59"/>
        <v>1</v>
      </c>
      <c r="M748" s="1" t="b">
        <f>IF(OR(入力シート!$C$5&lt;&gt;入力リスト!$N$4,入力シート!$J$22&lt;&gt;入力リスト!$K$4),TRUE,IF($F$2=入力リスト!$Q$4,IF(F748-INT(F748)&lt;0.6,TRUE,FALSE),TRUE))</f>
        <v>1</v>
      </c>
      <c r="N748" s="9" t="str">
        <f>IF(F748="","",IF($F$2=入力リスト!$Q$4,ROUNDDOWN(INT(F748)+ROUNDDOWN((F748-INT(F748))*100,0)/60,2),従業員の給与情報!F748))</f>
        <v/>
      </c>
      <c r="O748" s="8"/>
      <c r="P748" s="8"/>
    </row>
    <row r="749" spans="1:16">
      <c r="A749" s="119"/>
      <c r="B749" s="2"/>
      <c r="C749" s="369"/>
      <c r="D749" s="369"/>
      <c r="E749" s="369"/>
      <c r="F749" s="370"/>
      <c r="G749" s="248" t="str">
        <f t="shared" si="55"/>
        <v/>
      </c>
      <c r="H749" s="1" t="b">
        <f>IF(B749="",FALSE,COUNTIF('従業員情報(給与以外)'!$A$4:$A$1000000,$B749)=0)</f>
        <v>0</v>
      </c>
      <c r="I749" s="9" t="b">
        <f t="shared" si="56"/>
        <v>1</v>
      </c>
      <c r="J749" s="9" t="b">
        <f t="shared" si="57"/>
        <v>1</v>
      </c>
      <c r="K749" s="9" t="b">
        <f t="shared" si="58"/>
        <v>1</v>
      </c>
      <c r="L749" s="9" t="b">
        <f t="shared" si="59"/>
        <v>1</v>
      </c>
      <c r="M749" s="1" t="b">
        <f>IF(OR(入力シート!$C$5&lt;&gt;入力リスト!$N$4,入力シート!$J$22&lt;&gt;入力リスト!$K$4),TRUE,IF($F$2=入力リスト!$Q$4,IF(F749-INT(F749)&lt;0.6,TRUE,FALSE),TRUE))</f>
        <v>1</v>
      </c>
      <c r="N749" s="9" t="str">
        <f>IF(F749="","",IF($F$2=入力リスト!$Q$4,ROUNDDOWN(INT(F749)+ROUNDDOWN((F749-INT(F749))*100,0)/60,2),従業員の給与情報!F749))</f>
        <v/>
      </c>
      <c r="O749" s="8"/>
      <c r="P749" s="8"/>
    </row>
    <row r="750" spans="1:16">
      <c r="A750" s="119"/>
      <c r="B750" s="2"/>
      <c r="C750" s="369"/>
      <c r="D750" s="369"/>
      <c r="E750" s="369"/>
      <c r="F750" s="370"/>
      <c r="G750" s="248" t="str">
        <f t="shared" si="55"/>
        <v/>
      </c>
      <c r="H750" s="1" t="b">
        <f>IF(B750="",FALSE,COUNTIF('従業員情報(給与以外)'!$A$4:$A$1000000,$B750)=0)</f>
        <v>0</v>
      </c>
      <c r="I750" s="9" t="b">
        <f t="shared" si="56"/>
        <v>1</v>
      </c>
      <c r="J750" s="9" t="b">
        <f t="shared" si="57"/>
        <v>1</v>
      </c>
      <c r="K750" s="9" t="b">
        <f t="shared" si="58"/>
        <v>1</v>
      </c>
      <c r="L750" s="9" t="b">
        <f t="shared" si="59"/>
        <v>1</v>
      </c>
      <c r="M750" s="1" t="b">
        <f>IF(OR(入力シート!$C$5&lt;&gt;入力リスト!$N$4,入力シート!$J$22&lt;&gt;入力リスト!$K$4),TRUE,IF($F$2=入力リスト!$Q$4,IF(F750-INT(F750)&lt;0.6,TRUE,FALSE),TRUE))</f>
        <v>1</v>
      </c>
      <c r="N750" s="9" t="str">
        <f>IF(F750="","",IF($F$2=入力リスト!$Q$4,ROUNDDOWN(INT(F750)+ROUNDDOWN((F750-INT(F750))*100,0)/60,2),従業員の給与情報!F750))</f>
        <v/>
      </c>
      <c r="O750" s="8"/>
      <c r="P750" s="8"/>
    </row>
    <row r="751" spans="1:16">
      <c r="A751" s="119"/>
      <c r="B751" s="2"/>
      <c r="C751" s="369"/>
      <c r="D751" s="369"/>
      <c r="E751" s="369"/>
      <c r="F751" s="370"/>
      <c r="G751" s="248" t="str">
        <f t="shared" si="55"/>
        <v/>
      </c>
      <c r="H751" s="1" t="b">
        <f>IF(B751="",FALSE,COUNTIF('従業員情報(給与以外)'!$A$4:$A$1000000,$B751)=0)</f>
        <v>0</v>
      </c>
      <c r="I751" s="9" t="b">
        <f t="shared" si="56"/>
        <v>1</v>
      </c>
      <c r="J751" s="9" t="b">
        <f t="shared" si="57"/>
        <v>1</v>
      </c>
      <c r="K751" s="9" t="b">
        <f t="shared" si="58"/>
        <v>1</v>
      </c>
      <c r="L751" s="9" t="b">
        <f t="shared" si="59"/>
        <v>1</v>
      </c>
      <c r="M751" s="1" t="b">
        <f>IF(OR(入力シート!$C$5&lt;&gt;入力リスト!$N$4,入力シート!$J$22&lt;&gt;入力リスト!$K$4),TRUE,IF($F$2=入力リスト!$Q$4,IF(F751-INT(F751)&lt;0.6,TRUE,FALSE),TRUE))</f>
        <v>1</v>
      </c>
      <c r="N751" s="9" t="str">
        <f>IF(F751="","",IF($F$2=入力リスト!$Q$4,ROUNDDOWN(INT(F751)+ROUNDDOWN((F751-INT(F751))*100,0)/60,2),従業員の給与情報!F751))</f>
        <v/>
      </c>
      <c r="O751" s="8"/>
      <c r="P751" s="8"/>
    </row>
    <row r="752" spans="1:16">
      <c r="A752" s="119"/>
      <c r="B752" s="2"/>
      <c r="C752" s="369"/>
      <c r="D752" s="369"/>
      <c r="E752" s="369"/>
      <c r="F752" s="370"/>
      <c r="G752" s="248" t="str">
        <f t="shared" si="55"/>
        <v/>
      </c>
      <c r="H752" s="1" t="b">
        <f>IF(B752="",FALSE,COUNTIF('従業員情報(給与以外)'!$A$4:$A$1000000,$B752)=0)</f>
        <v>0</v>
      </c>
      <c r="I752" s="9" t="b">
        <f t="shared" si="56"/>
        <v>1</v>
      </c>
      <c r="J752" s="9" t="b">
        <f t="shared" si="57"/>
        <v>1</v>
      </c>
      <c r="K752" s="9" t="b">
        <f t="shared" si="58"/>
        <v>1</v>
      </c>
      <c r="L752" s="9" t="b">
        <f t="shared" si="59"/>
        <v>1</v>
      </c>
      <c r="M752" s="1" t="b">
        <f>IF(OR(入力シート!$C$5&lt;&gt;入力リスト!$N$4,入力シート!$J$22&lt;&gt;入力リスト!$K$4),TRUE,IF($F$2=入力リスト!$Q$4,IF(F752-INT(F752)&lt;0.6,TRUE,FALSE),TRUE))</f>
        <v>1</v>
      </c>
      <c r="N752" s="9" t="str">
        <f>IF(F752="","",IF($F$2=入力リスト!$Q$4,ROUNDDOWN(INT(F752)+ROUNDDOWN((F752-INT(F752))*100,0)/60,2),従業員の給与情報!F752))</f>
        <v/>
      </c>
      <c r="O752" s="8"/>
      <c r="P752" s="8"/>
    </row>
    <row r="753" spans="1:16">
      <c r="A753" s="119"/>
      <c r="B753" s="2"/>
      <c r="C753" s="369"/>
      <c r="D753" s="369"/>
      <c r="E753" s="369"/>
      <c r="F753" s="370"/>
      <c r="G753" s="248" t="str">
        <f t="shared" si="55"/>
        <v/>
      </c>
      <c r="H753" s="1" t="b">
        <f>IF(B753="",FALSE,COUNTIF('従業員情報(給与以外)'!$A$4:$A$1000000,$B753)=0)</f>
        <v>0</v>
      </c>
      <c r="I753" s="9" t="b">
        <f t="shared" si="56"/>
        <v>1</v>
      </c>
      <c r="J753" s="9" t="b">
        <f t="shared" si="57"/>
        <v>1</v>
      </c>
      <c r="K753" s="9" t="b">
        <f t="shared" si="58"/>
        <v>1</v>
      </c>
      <c r="L753" s="9" t="b">
        <f t="shared" si="59"/>
        <v>1</v>
      </c>
      <c r="M753" s="1" t="b">
        <f>IF(OR(入力シート!$C$5&lt;&gt;入力リスト!$N$4,入力シート!$J$22&lt;&gt;入力リスト!$K$4),TRUE,IF($F$2=入力リスト!$Q$4,IF(F753-INT(F753)&lt;0.6,TRUE,FALSE),TRUE))</f>
        <v>1</v>
      </c>
      <c r="N753" s="9" t="str">
        <f>IF(F753="","",IF($F$2=入力リスト!$Q$4,ROUNDDOWN(INT(F753)+ROUNDDOWN((F753-INT(F753))*100,0)/60,2),従業員の給与情報!F753))</f>
        <v/>
      </c>
      <c r="O753" s="8"/>
      <c r="P753" s="8"/>
    </row>
    <row r="754" spans="1:16">
      <c r="A754" s="119"/>
      <c r="B754" s="2"/>
      <c r="C754" s="369"/>
      <c r="D754" s="369"/>
      <c r="E754" s="369"/>
      <c r="F754" s="370"/>
      <c r="G754" s="248" t="str">
        <f t="shared" si="55"/>
        <v/>
      </c>
      <c r="H754" s="1" t="b">
        <f>IF(B754="",FALSE,COUNTIF('従業員情報(給与以外)'!$A$4:$A$1000000,$B754)=0)</f>
        <v>0</v>
      </c>
      <c r="I754" s="9" t="b">
        <f t="shared" si="56"/>
        <v>1</v>
      </c>
      <c r="J754" s="9" t="b">
        <f t="shared" si="57"/>
        <v>1</v>
      </c>
      <c r="K754" s="9" t="b">
        <f t="shared" si="58"/>
        <v>1</v>
      </c>
      <c r="L754" s="9" t="b">
        <f t="shared" si="59"/>
        <v>1</v>
      </c>
      <c r="M754" s="1" t="b">
        <f>IF(OR(入力シート!$C$5&lt;&gt;入力リスト!$N$4,入力シート!$J$22&lt;&gt;入力リスト!$K$4),TRUE,IF($F$2=入力リスト!$Q$4,IF(F754-INT(F754)&lt;0.6,TRUE,FALSE),TRUE))</f>
        <v>1</v>
      </c>
      <c r="N754" s="9" t="str">
        <f>IF(F754="","",IF($F$2=入力リスト!$Q$4,ROUNDDOWN(INT(F754)+ROUNDDOWN((F754-INT(F754))*100,0)/60,2),従業員の給与情報!F754))</f>
        <v/>
      </c>
      <c r="O754" s="8"/>
      <c r="P754" s="8"/>
    </row>
    <row r="755" spans="1:16">
      <c r="A755" s="119"/>
      <c r="B755" s="2"/>
      <c r="C755" s="369"/>
      <c r="D755" s="369"/>
      <c r="E755" s="369"/>
      <c r="F755" s="370"/>
      <c r="G755" s="248" t="str">
        <f t="shared" si="55"/>
        <v/>
      </c>
      <c r="H755" s="1" t="b">
        <f>IF(B755="",FALSE,COUNTIF('従業員情報(給与以外)'!$A$4:$A$1000000,$B755)=0)</f>
        <v>0</v>
      </c>
      <c r="I755" s="9" t="b">
        <f t="shared" si="56"/>
        <v>1</v>
      </c>
      <c r="J755" s="9" t="b">
        <f t="shared" si="57"/>
        <v>1</v>
      </c>
      <c r="K755" s="9" t="b">
        <f t="shared" si="58"/>
        <v>1</v>
      </c>
      <c r="L755" s="9" t="b">
        <f t="shared" si="59"/>
        <v>1</v>
      </c>
      <c r="M755" s="1" t="b">
        <f>IF(OR(入力シート!$C$5&lt;&gt;入力リスト!$N$4,入力シート!$J$22&lt;&gt;入力リスト!$K$4),TRUE,IF($F$2=入力リスト!$Q$4,IF(F755-INT(F755)&lt;0.6,TRUE,FALSE),TRUE))</f>
        <v>1</v>
      </c>
      <c r="N755" s="9" t="str">
        <f>IF(F755="","",IF($F$2=入力リスト!$Q$4,ROUNDDOWN(INT(F755)+ROUNDDOWN((F755-INT(F755))*100,0)/60,2),従業員の給与情報!F755))</f>
        <v/>
      </c>
      <c r="O755" s="8"/>
      <c r="P755" s="8"/>
    </row>
    <row r="756" spans="1:16">
      <c r="A756" s="119"/>
      <c r="B756" s="2"/>
      <c r="C756" s="369"/>
      <c r="D756" s="369"/>
      <c r="E756" s="369"/>
      <c r="F756" s="370"/>
      <c r="G756" s="248" t="str">
        <f t="shared" si="55"/>
        <v/>
      </c>
      <c r="H756" s="1" t="b">
        <f>IF(B756="",FALSE,COUNTIF('従業員情報(給与以外)'!$A$4:$A$1000000,$B756)=0)</f>
        <v>0</v>
      </c>
      <c r="I756" s="9" t="b">
        <f t="shared" si="56"/>
        <v>1</v>
      </c>
      <c r="J756" s="9" t="b">
        <f t="shared" si="57"/>
        <v>1</v>
      </c>
      <c r="K756" s="9" t="b">
        <f t="shared" si="58"/>
        <v>1</v>
      </c>
      <c r="L756" s="9" t="b">
        <f t="shared" si="59"/>
        <v>1</v>
      </c>
      <c r="M756" s="1" t="b">
        <f>IF(OR(入力シート!$C$5&lt;&gt;入力リスト!$N$4,入力シート!$J$22&lt;&gt;入力リスト!$K$4),TRUE,IF($F$2=入力リスト!$Q$4,IF(F756-INT(F756)&lt;0.6,TRUE,FALSE),TRUE))</f>
        <v>1</v>
      </c>
      <c r="N756" s="9" t="str">
        <f>IF(F756="","",IF($F$2=入力リスト!$Q$4,ROUNDDOWN(INT(F756)+ROUNDDOWN((F756-INT(F756))*100,0)/60,2),従業員の給与情報!F756))</f>
        <v/>
      </c>
      <c r="O756" s="8"/>
      <c r="P756" s="8"/>
    </row>
    <row r="757" spans="1:16">
      <c r="A757" s="119"/>
      <c r="B757" s="2"/>
      <c r="C757" s="369"/>
      <c r="D757" s="369"/>
      <c r="E757" s="369"/>
      <c r="F757" s="370"/>
      <c r="G757" s="248" t="str">
        <f t="shared" si="55"/>
        <v/>
      </c>
      <c r="H757" s="1" t="b">
        <f>IF(B757="",FALSE,COUNTIF('従業員情報(給与以外)'!$A$4:$A$1000000,$B757)=0)</f>
        <v>0</v>
      </c>
      <c r="I757" s="9" t="b">
        <f t="shared" si="56"/>
        <v>1</v>
      </c>
      <c r="J757" s="9" t="b">
        <f t="shared" si="57"/>
        <v>1</v>
      </c>
      <c r="K757" s="9" t="b">
        <f t="shared" si="58"/>
        <v>1</v>
      </c>
      <c r="L757" s="9" t="b">
        <f t="shared" si="59"/>
        <v>1</v>
      </c>
      <c r="M757" s="1" t="b">
        <f>IF(OR(入力シート!$C$5&lt;&gt;入力リスト!$N$4,入力シート!$J$22&lt;&gt;入力リスト!$K$4),TRUE,IF($F$2=入力リスト!$Q$4,IF(F757-INT(F757)&lt;0.6,TRUE,FALSE),TRUE))</f>
        <v>1</v>
      </c>
      <c r="N757" s="9" t="str">
        <f>IF(F757="","",IF($F$2=入力リスト!$Q$4,ROUNDDOWN(INT(F757)+ROUNDDOWN((F757-INT(F757))*100,0)/60,2),従業員の給与情報!F757))</f>
        <v/>
      </c>
      <c r="O757" s="8"/>
      <c r="P757" s="8"/>
    </row>
    <row r="758" spans="1:16">
      <c r="A758" s="119"/>
      <c r="B758" s="2"/>
      <c r="C758" s="369"/>
      <c r="D758" s="369"/>
      <c r="E758" s="369"/>
      <c r="F758" s="370"/>
      <c r="G758" s="248" t="str">
        <f t="shared" si="55"/>
        <v/>
      </c>
      <c r="H758" s="1" t="b">
        <f>IF(B758="",FALSE,COUNTIF('従業員情報(給与以外)'!$A$4:$A$1000000,$B758)=0)</f>
        <v>0</v>
      </c>
      <c r="I758" s="9" t="b">
        <f t="shared" si="56"/>
        <v>1</v>
      </c>
      <c r="J758" s="9" t="b">
        <f t="shared" si="57"/>
        <v>1</v>
      </c>
      <c r="K758" s="9" t="b">
        <f t="shared" si="58"/>
        <v>1</v>
      </c>
      <c r="L758" s="9" t="b">
        <f t="shared" si="59"/>
        <v>1</v>
      </c>
      <c r="M758" s="1" t="b">
        <f>IF(OR(入力シート!$C$5&lt;&gt;入力リスト!$N$4,入力シート!$J$22&lt;&gt;入力リスト!$K$4),TRUE,IF($F$2=入力リスト!$Q$4,IF(F758-INT(F758)&lt;0.6,TRUE,FALSE),TRUE))</f>
        <v>1</v>
      </c>
      <c r="N758" s="9" t="str">
        <f>IF(F758="","",IF($F$2=入力リスト!$Q$4,ROUNDDOWN(INT(F758)+ROUNDDOWN((F758-INT(F758))*100,0)/60,2),従業員の給与情報!F758))</f>
        <v/>
      </c>
      <c r="O758" s="8"/>
      <c r="P758" s="8"/>
    </row>
    <row r="759" spans="1:16">
      <c r="A759" s="119"/>
      <c r="B759" s="2"/>
      <c r="C759" s="369"/>
      <c r="D759" s="369"/>
      <c r="E759" s="369"/>
      <c r="F759" s="370"/>
      <c r="G759" s="248" t="str">
        <f t="shared" si="55"/>
        <v/>
      </c>
      <c r="H759" s="1" t="b">
        <f>IF(B759="",FALSE,COUNTIF('従業員情報(給与以外)'!$A$4:$A$1000000,$B759)=0)</f>
        <v>0</v>
      </c>
      <c r="I759" s="9" t="b">
        <f t="shared" si="56"/>
        <v>1</v>
      </c>
      <c r="J759" s="9" t="b">
        <f t="shared" si="57"/>
        <v>1</v>
      </c>
      <c r="K759" s="9" t="b">
        <f t="shared" si="58"/>
        <v>1</v>
      </c>
      <c r="L759" s="9" t="b">
        <f t="shared" si="59"/>
        <v>1</v>
      </c>
      <c r="M759" s="1" t="b">
        <f>IF(OR(入力シート!$C$5&lt;&gt;入力リスト!$N$4,入力シート!$J$22&lt;&gt;入力リスト!$K$4),TRUE,IF($F$2=入力リスト!$Q$4,IF(F759-INT(F759)&lt;0.6,TRUE,FALSE),TRUE))</f>
        <v>1</v>
      </c>
      <c r="N759" s="9" t="str">
        <f>IF(F759="","",IF($F$2=入力リスト!$Q$4,ROUNDDOWN(INT(F759)+ROUNDDOWN((F759-INT(F759))*100,0)/60,2),従業員の給与情報!F759))</f>
        <v/>
      </c>
      <c r="O759" s="8"/>
      <c r="P759" s="8"/>
    </row>
    <row r="760" spans="1:16">
      <c r="A760" s="119"/>
      <c r="B760" s="2"/>
      <c r="C760" s="369"/>
      <c r="D760" s="369"/>
      <c r="E760" s="369"/>
      <c r="F760" s="370"/>
      <c r="G760" s="248" t="str">
        <f t="shared" si="55"/>
        <v/>
      </c>
      <c r="H760" s="1" t="b">
        <f>IF(B760="",FALSE,COUNTIF('従業員情報(給与以外)'!$A$4:$A$1000000,$B760)=0)</f>
        <v>0</v>
      </c>
      <c r="I760" s="9" t="b">
        <f t="shared" si="56"/>
        <v>1</v>
      </c>
      <c r="J760" s="9" t="b">
        <f t="shared" si="57"/>
        <v>1</v>
      </c>
      <c r="K760" s="9" t="b">
        <f t="shared" si="58"/>
        <v>1</v>
      </c>
      <c r="L760" s="9" t="b">
        <f t="shared" si="59"/>
        <v>1</v>
      </c>
      <c r="M760" s="1" t="b">
        <f>IF(OR(入力シート!$C$5&lt;&gt;入力リスト!$N$4,入力シート!$J$22&lt;&gt;入力リスト!$K$4),TRUE,IF($F$2=入力リスト!$Q$4,IF(F760-INT(F760)&lt;0.6,TRUE,FALSE),TRUE))</f>
        <v>1</v>
      </c>
      <c r="N760" s="9" t="str">
        <f>IF(F760="","",IF($F$2=入力リスト!$Q$4,ROUNDDOWN(INT(F760)+ROUNDDOWN((F760-INT(F760))*100,0)/60,2),従業員の給与情報!F760))</f>
        <v/>
      </c>
      <c r="O760" s="8"/>
      <c r="P760" s="8"/>
    </row>
    <row r="761" spans="1:16">
      <c r="A761" s="119"/>
      <c r="B761" s="2"/>
      <c r="C761" s="369"/>
      <c r="D761" s="369"/>
      <c r="E761" s="369"/>
      <c r="F761" s="370"/>
      <c r="G761" s="248" t="str">
        <f t="shared" si="55"/>
        <v/>
      </c>
      <c r="H761" s="1" t="b">
        <f>IF(B761="",FALSE,COUNTIF('従業員情報(給与以外)'!$A$4:$A$1000000,$B761)=0)</f>
        <v>0</v>
      </c>
      <c r="I761" s="9" t="b">
        <f t="shared" si="56"/>
        <v>1</v>
      </c>
      <c r="J761" s="9" t="b">
        <f t="shared" si="57"/>
        <v>1</v>
      </c>
      <c r="K761" s="9" t="b">
        <f t="shared" si="58"/>
        <v>1</v>
      </c>
      <c r="L761" s="9" t="b">
        <f t="shared" si="59"/>
        <v>1</v>
      </c>
      <c r="M761" s="1" t="b">
        <f>IF(OR(入力シート!$C$5&lt;&gt;入力リスト!$N$4,入力シート!$J$22&lt;&gt;入力リスト!$K$4),TRUE,IF($F$2=入力リスト!$Q$4,IF(F761-INT(F761)&lt;0.6,TRUE,FALSE),TRUE))</f>
        <v>1</v>
      </c>
      <c r="N761" s="9" t="str">
        <f>IF(F761="","",IF($F$2=入力リスト!$Q$4,ROUNDDOWN(INT(F761)+ROUNDDOWN((F761-INT(F761))*100,0)/60,2),従業員の給与情報!F761))</f>
        <v/>
      </c>
      <c r="O761" s="8"/>
      <c r="P761" s="8"/>
    </row>
    <row r="762" spans="1:16">
      <c r="A762" s="119"/>
      <c r="B762" s="2"/>
      <c r="C762" s="369"/>
      <c r="D762" s="369"/>
      <c r="E762" s="369"/>
      <c r="F762" s="370"/>
      <c r="G762" s="248" t="str">
        <f t="shared" si="55"/>
        <v/>
      </c>
      <c r="H762" s="1" t="b">
        <f>IF(B762="",FALSE,COUNTIF('従業員情報(給与以外)'!$A$4:$A$1000000,$B762)=0)</f>
        <v>0</v>
      </c>
      <c r="I762" s="9" t="b">
        <f t="shared" si="56"/>
        <v>1</v>
      </c>
      <c r="J762" s="9" t="b">
        <f t="shared" si="57"/>
        <v>1</v>
      </c>
      <c r="K762" s="9" t="b">
        <f t="shared" si="58"/>
        <v>1</v>
      </c>
      <c r="L762" s="9" t="b">
        <f t="shared" si="59"/>
        <v>1</v>
      </c>
      <c r="M762" s="1" t="b">
        <f>IF(OR(入力シート!$C$5&lt;&gt;入力リスト!$N$4,入力シート!$J$22&lt;&gt;入力リスト!$K$4),TRUE,IF($F$2=入力リスト!$Q$4,IF(F762-INT(F762)&lt;0.6,TRUE,FALSE),TRUE))</f>
        <v>1</v>
      </c>
      <c r="N762" s="9" t="str">
        <f>IF(F762="","",IF($F$2=入力リスト!$Q$4,ROUNDDOWN(INT(F762)+ROUNDDOWN((F762-INT(F762))*100,0)/60,2),従業員の給与情報!F762))</f>
        <v/>
      </c>
      <c r="O762" s="8"/>
      <c r="P762" s="8"/>
    </row>
    <row r="763" spans="1:16">
      <c r="A763" s="119"/>
      <c r="B763" s="2"/>
      <c r="C763" s="369"/>
      <c r="D763" s="369"/>
      <c r="E763" s="369"/>
      <c r="F763" s="370"/>
      <c r="G763" s="248" t="str">
        <f t="shared" si="55"/>
        <v/>
      </c>
      <c r="H763" s="1" t="b">
        <f>IF(B763="",FALSE,COUNTIF('従業員情報(給与以外)'!$A$4:$A$1000000,$B763)=0)</f>
        <v>0</v>
      </c>
      <c r="I763" s="9" t="b">
        <f t="shared" si="56"/>
        <v>1</v>
      </c>
      <c r="J763" s="9" t="b">
        <f t="shared" si="57"/>
        <v>1</v>
      </c>
      <c r="K763" s="9" t="b">
        <f t="shared" si="58"/>
        <v>1</v>
      </c>
      <c r="L763" s="9" t="b">
        <f t="shared" si="59"/>
        <v>1</v>
      </c>
      <c r="M763" s="1" t="b">
        <f>IF(OR(入力シート!$C$5&lt;&gt;入力リスト!$N$4,入力シート!$J$22&lt;&gt;入力リスト!$K$4),TRUE,IF($F$2=入力リスト!$Q$4,IF(F763-INT(F763)&lt;0.6,TRUE,FALSE),TRUE))</f>
        <v>1</v>
      </c>
      <c r="N763" s="9" t="str">
        <f>IF(F763="","",IF($F$2=入力リスト!$Q$4,ROUNDDOWN(INT(F763)+ROUNDDOWN((F763-INT(F763))*100,0)/60,2),従業員の給与情報!F763))</f>
        <v/>
      </c>
      <c r="O763" s="8"/>
      <c r="P763" s="8"/>
    </row>
    <row r="764" spans="1:16">
      <c r="A764" s="119"/>
      <c r="B764" s="2"/>
      <c r="C764" s="369"/>
      <c r="D764" s="369"/>
      <c r="E764" s="369"/>
      <c r="F764" s="370"/>
      <c r="G764" s="248" t="str">
        <f t="shared" si="55"/>
        <v/>
      </c>
      <c r="H764" s="1" t="b">
        <f>IF(B764="",FALSE,COUNTIF('従業員情報(給与以外)'!$A$4:$A$1000000,$B764)=0)</f>
        <v>0</v>
      </c>
      <c r="I764" s="9" t="b">
        <f t="shared" si="56"/>
        <v>1</v>
      </c>
      <c r="J764" s="9" t="b">
        <f t="shared" si="57"/>
        <v>1</v>
      </c>
      <c r="K764" s="9" t="b">
        <f t="shared" si="58"/>
        <v>1</v>
      </c>
      <c r="L764" s="9" t="b">
        <f t="shared" si="59"/>
        <v>1</v>
      </c>
      <c r="M764" s="1" t="b">
        <f>IF(OR(入力シート!$C$5&lt;&gt;入力リスト!$N$4,入力シート!$J$22&lt;&gt;入力リスト!$K$4),TRUE,IF($F$2=入力リスト!$Q$4,IF(F764-INT(F764)&lt;0.6,TRUE,FALSE),TRUE))</f>
        <v>1</v>
      </c>
      <c r="N764" s="9" t="str">
        <f>IF(F764="","",IF($F$2=入力リスト!$Q$4,ROUNDDOWN(INT(F764)+ROUNDDOWN((F764-INT(F764))*100,0)/60,2),従業員の給与情報!F764))</f>
        <v/>
      </c>
      <c r="O764" s="8"/>
      <c r="P764" s="8"/>
    </row>
    <row r="765" spans="1:16">
      <c r="A765" s="119"/>
      <c r="B765" s="2"/>
      <c r="C765" s="369"/>
      <c r="D765" s="369"/>
      <c r="E765" s="369"/>
      <c r="F765" s="370"/>
      <c r="G765" s="248" t="str">
        <f t="shared" si="55"/>
        <v/>
      </c>
      <c r="H765" s="1" t="b">
        <f>IF(B765="",FALSE,COUNTIF('従業員情報(給与以外)'!$A$4:$A$1000000,$B765)=0)</f>
        <v>0</v>
      </c>
      <c r="I765" s="9" t="b">
        <f t="shared" si="56"/>
        <v>1</v>
      </c>
      <c r="J765" s="9" t="b">
        <f t="shared" si="57"/>
        <v>1</v>
      </c>
      <c r="K765" s="9" t="b">
        <f t="shared" si="58"/>
        <v>1</v>
      </c>
      <c r="L765" s="9" t="b">
        <f t="shared" si="59"/>
        <v>1</v>
      </c>
      <c r="M765" s="1" t="b">
        <f>IF(OR(入力シート!$C$5&lt;&gt;入力リスト!$N$4,入力シート!$J$22&lt;&gt;入力リスト!$K$4),TRUE,IF($F$2=入力リスト!$Q$4,IF(F765-INT(F765)&lt;0.6,TRUE,FALSE),TRUE))</f>
        <v>1</v>
      </c>
      <c r="N765" s="9" t="str">
        <f>IF(F765="","",IF($F$2=入力リスト!$Q$4,ROUNDDOWN(INT(F765)+ROUNDDOWN((F765-INT(F765))*100,0)/60,2),従業員の給与情報!F765))</f>
        <v/>
      </c>
      <c r="O765" s="8"/>
      <c r="P765" s="8"/>
    </row>
    <row r="766" spans="1:16">
      <c r="A766" s="119"/>
      <c r="B766" s="2"/>
      <c r="C766" s="369"/>
      <c r="D766" s="369"/>
      <c r="E766" s="369"/>
      <c r="F766" s="370"/>
      <c r="G766" s="248" t="str">
        <f t="shared" si="55"/>
        <v/>
      </c>
      <c r="H766" s="1" t="b">
        <f>IF(B766="",FALSE,COUNTIF('従業員情報(給与以外)'!$A$4:$A$1000000,$B766)=0)</f>
        <v>0</v>
      </c>
      <c r="I766" s="9" t="b">
        <f t="shared" si="56"/>
        <v>1</v>
      </c>
      <c r="J766" s="9" t="b">
        <f t="shared" si="57"/>
        <v>1</v>
      </c>
      <c r="K766" s="9" t="b">
        <f t="shared" si="58"/>
        <v>1</v>
      </c>
      <c r="L766" s="9" t="b">
        <f t="shared" si="59"/>
        <v>1</v>
      </c>
      <c r="M766" s="1" t="b">
        <f>IF(OR(入力シート!$C$5&lt;&gt;入力リスト!$N$4,入力シート!$J$22&lt;&gt;入力リスト!$K$4),TRUE,IF($F$2=入力リスト!$Q$4,IF(F766-INT(F766)&lt;0.6,TRUE,FALSE),TRUE))</f>
        <v>1</v>
      </c>
      <c r="N766" s="9" t="str">
        <f>IF(F766="","",IF($F$2=入力リスト!$Q$4,ROUNDDOWN(INT(F766)+ROUNDDOWN((F766-INT(F766))*100,0)/60,2),従業員の給与情報!F766))</f>
        <v/>
      </c>
      <c r="O766" s="8"/>
      <c r="P766" s="8"/>
    </row>
    <row r="767" spans="1:16">
      <c r="A767" s="119"/>
      <c r="B767" s="2"/>
      <c r="C767" s="369"/>
      <c r="D767" s="369"/>
      <c r="E767" s="369"/>
      <c r="F767" s="370"/>
      <c r="G767" s="248" t="str">
        <f t="shared" si="55"/>
        <v/>
      </c>
      <c r="H767" s="1" t="b">
        <f>IF(B767="",FALSE,COUNTIF('従業員情報(給与以外)'!$A$4:$A$1000000,$B767)=0)</f>
        <v>0</v>
      </c>
      <c r="I767" s="9" t="b">
        <f t="shared" si="56"/>
        <v>1</v>
      </c>
      <c r="J767" s="9" t="b">
        <f t="shared" si="57"/>
        <v>1</v>
      </c>
      <c r="K767" s="9" t="b">
        <f t="shared" si="58"/>
        <v>1</v>
      </c>
      <c r="L767" s="9" t="b">
        <f t="shared" si="59"/>
        <v>1</v>
      </c>
      <c r="M767" s="1" t="b">
        <f>IF(OR(入力シート!$C$5&lt;&gt;入力リスト!$N$4,入力シート!$J$22&lt;&gt;入力リスト!$K$4),TRUE,IF($F$2=入力リスト!$Q$4,IF(F767-INT(F767)&lt;0.6,TRUE,FALSE),TRUE))</f>
        <v>1</v>
      </c>
      <c r="N767" s="9" t="str">
        <f>IF(F767="","",IF($F$2=入力リスト!$Q$4,ROUNDDOWN(INT(F767)+ROUNDDOWN((F767-INT(F767))*100,0)/60,2),従業員の給与情報!F767))</f>
        <v/>
      </c>
      <c r="O767" s="8"/>
      <c r="P767" s="8"/>
    </row>
    <row r="768" spans="1:16">
      <c r="A768" s="119"/>
      <c r="B768" s="2"/>
      <c r="C768" s="369"/>
      <c r="D768" s="369"/>
      <c r="E768" s="369"/>
      <c r="F768" s="370"/>
      <c r="G768" s="248" t="str">
        <f t="shared" si="55"/>
        <v/>
      </c>
      <c r="H768" s="1" t="b">
        <f>IF(B768="",FALSE,COUNTIF('従業員情報(給与以外)'!$A$4:$A$1000000,$B768)=0)</f>
        <v>0</v>
      </c>
      <c r="I768" s="9" t="b">
        <f t="shared" si="56"/>
        <v>1</v>
      </c>
      <c r="J768" s="9" t="b">
        <f t="shared" si="57"/>
        <v>1</v>
      </c>
      <c r="K768" s="9" t="b">
        <f t="shared" si="58"/>
        <v>1</v>
      </c>
      <c r="L768" s="9" t="b">
        <f t="shared" si="59"/>
        <v>1</v>
      </c>
      <c r="M768" s="1" t="b">
        <f>IF(OR(入力シート!$C$5&lt;&gt;入力リスト!$N$4,入力シート!$J$22&lt;&gt;入力リスト!$K$4),TRUE,IF($F$2=入力リスト!$Q$4,IF(F768-INT(F768)&lt;0.6,TRUE,FALSE),TRUE))</f>
        <v>1</v>
      </c>
      <c r="N768" s="9" t="str">
        <f>IF(F768="","",IF($F$2=入力リスト!$Q$4,ROUNDDOWN(INT(F768)+ROUNDDOWN((F768-INT(F768))*100,0)/60,2),従業員の給与情報!F768))</f>
        <v/>
      </c>
      <c r="O768" s="8"/>
      <c r="P768" s="8"/>
    </row>
    <row r="769" spans="1:16">
      <c r="A769" s="119"/>
      <c r="B769" s="2"/>
      <c r="C769" s="369"/>
      <c r="D769" s="369"/>
      <c r="E769" s="369"/>
      <c r="F769" s="370"/>
      <c r="G769" s="248" t="str">
        <f t="shared" si="55"/>
        <v/>
      </c>
      <c r="H769" s="1" t="b">
        <f>IF(B769="",FALSE,COUNTIF('従業員情報(給与以外)'!$A$4:$A$1000000,$B769)=0)</f>
        <v>0</v>
      </c>
      <c r="I769" s="9" t="b">
        <f t="shared" si="56"/>
        <v>1</v>
      </c>
      <c r="J769" s="9" t="b">
        <f t="shared" si="57"/>
        <v>1</v>
      </c>
      <c r="K769" s="9" t="b">
        <f t="shared" si="58"/>
        <v>1</v>
      </c>
      <c r="L769" s="9" t="b">
        <f t="shared" si="59"/>
        <v>1</v>
      </c>
      <c r="M769" s="1" t="b">
        <f>IF(OR(入力シート!$C$5&lt;&gt;入力リスト!$N$4,入力シート!$J$22&lt;&gt;入力リスト!$K$4),TRUE,IF($F$2=入力リスト!$Q$4,IF(F769-INT(F769)&lt;0.6,TRUE,FALSE),TRUE))</f>
        <v>1</v>
      </c>
      <c r="N769" s="9" t="str">
        <f>IF(F769="","",IF($F$2=入力リスト!$Q$4,ROUNDDOWN(INT(F769)+ROUNDDOWN((F769-INT(F769))*100,0)/60,2),従業員の給与情報!F769))</f>
        <v/>
      </c>
      <c r="O769" s="8"/>
      <c r="P769" s="8"/>
    </row>
    <row r="770" spans="1:16">
      <c r="A770" s="119"/>
      <c r="B770" s="2"/>
      <c r="C770" s="369"/>
      <c r="D770" s="369"/>
      <c r="E770" s="369"/>
      <c r="F770" s="370"/>
      <c r="G770" s="248" t="str">
        <f t="shared" si="55"/>
        <v/>
      </c>
      <c r="H770" s="1" t="b">
        <f>IF(B770="",FALSE,COUNTIF('従業員情報(給与以外)'!$A$4:$A$1000000,$B770)=0)</f>
        <v>0</v>
      </c>
      <c r="I770" s="9" t="b">
        <f t="shared" si="56"/>
        <v>1</v>
      </c>
      <c r="J770" s="9" t="b">
        <f t="shared" si="57"/>
        <v>1</v>
      </c>
      <c r="K770" s="9" t="b">
        <f t="shared" si="58"/>
        <v>1</v>
      </c>
      <c r="L770" s="9" t="b">
        <f t="shared" si="59"/>
        <v>1</v>
      </c>
      <c r="M770" s="1" t="b">
        <f>IF(OR(入力シート!$C$5&lt;&gt;入力リスト!$N$4,入力シート!$J$22&lt;&gt;入力リスト!$K$4),TRUE,IF($F$2=入力リスト!$Q$4,IF(F770-INT(F770)&lt;0.6,TRUE,FALSE),TRUE))</f>
        <v>1</v>
      </c>
      <c r="N770" s="9" t="str">
        <f>IF(F770="","",IF($F$2=入力リスト!$Q$4,ROUNDDOWN(INT(F770)+ROUNDDOWN((F770-INT(F770))*100,0)/60,2),従業員の給与情報!F770))</f>
        <v/>
      </c>
      <c r="O770" s="8"/>
      <c r="P770" s="8"/>
    </row>
    <row r="771" spans="1:16">
      <c r="A771" s="119"/>
      <c r="B771" s="2"/>
      <c r="C771" s="369"/>
      <c r="D771" s="369"/>
      <c r="E771" s="369"/>
      <c r="F771" s="370"/>
      <c r="G771" s="248" t="str">
        <f t="shared" si="55"/>
        <v/>
      </c>
      <c r="H771" s="1" t="b">
        <f>IF(B771="",FALSE,COUNTIF('従業員情報(給与以外)'!$A$4:$A$1000000,$B771)=0)</f>
        <v>0</v>
      </c>
      <c r="I771" s="9" t="b">
        <f t="shared" si="56"/>
        <v>1</v>
      </c>
      <c r="J771" s="9" t="b">
        <f t="shared" si="57"/>
        <v>1</v>
      </c>
      <c r="K771" s="9" t="b">
        <f t="shared" si="58"/>
        <v>1</v>
      </c>
      <c r="L771" s="9" t="b">
        <f t="shared" si="59"/>
        <v>1</v>
      </c>
      <c r="M771" s="1" t="b">
        <f>IF(OR(入力シート!$C$5&lt;&gt;入力リスト!$N$4,入力シート!$J$22&lt;&gt;入力リスト!$K$4),TRUE,IF($F$2=入力リスト!$Q$4,IF(F771-INT(F771)&lt;0.6,TRUE,FALSE),TRUE))</f>
        <v>1</v>
      </c>
      <c r="N771" s="9" t="str">
        <f>IF(F771="","",IF($F$2=入力リスト!$Q$4,ROUNDDOWN(INT(F771)+ROUNDDOWN((F771-INT(F771))*100,0)/60,2),従業員の給与情報!F771))</f>
        <v/>
      </c>
      <c r="O771" s="8"/>
      <c r="P771" s="8"/>
    </row>
    <row r="772" spans="1:16">
      <c r="A772" s="119"/>
      <c r="B772" s="2"/>
      <c r="C772" s="369"/>
      <c r="D772" s="369"/>
      <c r="E772" s="369"/>
      <c r="F772" s="370"/>
      <c r="G772" s="248" t="str">
        <f t="shared" si="55"/>
        <v/>
      </c>
      <c r="H772" s="1" t="b">
        <f>IF(B772="",FALSE,COUNTIF('従業員情報(給与以外)'!$A$4:$A$1000000,$B772)=0)</f>
        <v>0</v>
      </c>
      <c r="I772" s="9" t="b">
        <f t="shared" si="56"/>
        <v>1</v>
      </c>
      <c r="J772" s="9" t="b">
        <f t="shared" si="57"/>
        <v>1</v>
      </c>
      <c r="K772" s="9" t="b">
        <f t="shared" si="58"/>
        <v>1</v>
      </c>
      <c r="L772" s="9" t="b">
        <f t="shared" si="59"/>
        <v>1</v>
      </c>
      <c r="M772" s="1" t="b">
        <f>IF(OR(入力シート!$C$5&lt;&gt;入力リスト!$N$4,入力シート!$J$22&lt;&gt;入力リスト!$K$4),TRUE,IF($F$2=入力リスト!$Q$4,IF(F772-INT(F772)&lt;0.6,TRUE,FALSE),TRUE))</f>
        <v>1</v>
      </c>
      <c r="N772" s="9" t="str">
        <f>IF(F772="","",IF($F$2=入力リスト!$Q$4,ROUNDDOWN(INT(F772)+ROUNDDOWN((F772-INT(F772))*100,0)/60,2),従業員の給与情報!F772))</f>
        <v/>
      </c>
      <c r="O772" s="8"/>
      <c r="P772" s="8"/>
    </row>
    <row r="773" spans="1:16">
      <c r="A773" s="119"/>
      <c r="B773" s="2"/>
      <c r="C773" s="369"/>
      <c r="D773" s="369"/>
      <c r="E773" s="369"/>
      <c r="F773" s="370"/>
      <c r="G773" s="248" t="str">
        <f t="shared" ref="G773:G836" si="60">IF(AND($B773="",OR(B773&lt;&gt;"",C773&lt;&gt;"",D773&lt;&gt;"",E773&lt;&gt;"",F773&lt;&gt;"")),"従業員番号が空白です。",IF($H773=TRUE,"この従業員番号は、シート［従業員情報（給与以外）］に存在しません。",IF(I773=FALSE,"「毎月の固定給与額」","")&amp;IF(AND(I773=FALSE,OR(J773=FALSE,K773=FALSE,L773=FALSE)),",","")&amp;IF(J773=FALSE,"「賞与額等」","")&amp;IF(AND(J773=FALSE,OR(K773=FALSE,L773=FALSE)),",","")&amp;IF(K773=FALSE,"「残業手当」","")&amp;IF(AND(K773=FALSE,L773=FALSE),",","")&amp;IF(L773=FALSE,"「残業時間」","")&amp;IF(OR(I773=FALSE,J773=FALSE,K773=FALSE,L773=FALSE),"に数値以外が入力されています。","")&amp;IF(M773,"","「残業時間」を分単位で入力した場合、小数点以下の値は0.6未満にしてください。")))</f>
        <v/>
      </c>
      <c r="H773" s="1" t="b">
        <f>IF(B773="",FALSE,COUNTIF('従業員情報(給与以外)'!$A$4:$A$1000000,$B773)=0)</f>
        <v>0</v>
      </c>
      <c r="I773" s="9" t="b">
        <f t="shared" ref="I773:I836" si="61">OR(C773="",ISNUMBER(C773))</f>
        <v>1</v>
      </c>
      <c r="J773" s="9" t="b">
        <f t="shared" ref="J773:J836" si="62">OR(D773="",ISNUMBER(D773))</f>
        <v>1</v>
      </c>
      <c r="K773" s="9" t="b">
        <f t="shared" ref="K773:K836" si="63">OR(E773="",ISNUMBER(E773))</f>
        <v>1</v>
      </c>
      <c r="L773" s="9" t="b">
        <f t="shared" ref="L773:L836" si="64">OR(F773="",ISNUMBER(F773))</f>
        <v>1</v>
      </c>
      <c r="M773" s="1" t="b">
        <f>IF(OR(入力シート!$C$5&lt;&gt;入力リスト!$N$4,入力シート!$J$22&lt;&gt;入力リスト!$K$4),TRUE,IF($F$2=入力リスト!$Q$4,IF(F773-INT(F773)&lt;0.6,TRUE,FALSE),TRUE))</f>
        <v>1</v>
      </c>
      <c r="N773" s="9" t="str">
        <f>IF(F773="","",IF($F$2=入力リスト!$Q$4,ROUNDDOWN(INT(F773)+ROUNDDOWN((F773-INT(F773))*100,0)/60,2),従業員の給与情報!F773))</f>
        <v/>
      </c>
      <c r="O773" s="8"/>
      <c r="P773" s="8"/>
    </row>
    <row r="774" spans="1:16">
      <c r="A774" s="119"/>
      <c r="B774" s="2"/>
      <c r="C774" s="369"/>
      <c r="D774" s="369"/>
      <c r="E774" s="369"/>
      <c r="F774" s="370"/>
      <c r="G774" s="248" t="str">
        <f t="shared" si="60"/>
        <v/>
      </c>
      <c r="H774" s="1" t="b">
        <f>IF(B774="",FALSE,COUNTIF('従業員情報(給与以外)'!$A$4:$A$1000000,$B774)=0)</f>
        <v>0</v>
      </c>
      <c r="I774" s="9" t="b">
        <f t="shared" si="61"/>
        <v>1</v>
      </c>
      <c r="J774" s="9" t="b">
        <f t="shared" si="62"/>
        <v>1</v>
      </c>
      <c r="K774" s="9" t="b">
        <f t="shared" si="63"/>
        <v>1</v>
      </c>
      <c r="L774" s="9" t="b">
        <f t="shared" si="64"/>
        <v>1</v>
      </c>
      <c r="M774" s="1" t="b">
        <f>IF(OR(入力シート!$C$5&lt;&gt;入力リスト!$N$4,入力シート!$J$22&lt;&gt;入力リスト!$K$4),TRUE,IF($F$2=入力リスト!$Q$4,IF(F774-INT(F774)&lt;0.6,TRUE,FALSE),TRUE))</f>
        <v>1</v>
      </c>
      <c r="N774" s="9" t="str">
        <f>IF(F774="","",IF($F$2=入力リスト!$Q$4,ROUNDDOWN(INT(F774)+ROUNDDOWN((F774-INT(F774))*100,0)/60,2),従業員の給与情報!F774))</f>
        <v/>
      </c>
      <c r="O774" s="8"/>
      <c r="P774" s="8"/>
    </row>
    <row r="775" spans="1:16">
      <c r="A775" s="119"/>
      <c r="B775" s="2"/>
      <c r="C775" s="369"/>
      <c r="D775" s="369"/>
      <c r="E775" s="369"/>
      <c r="F775" s="370"/>
      <c r="G775" s="248" t="str">
        <f t="shared" si="60"/>
        <v/>
      </c>
      <c r="H775" s="1" t="b">
        <f>IF(B775="",FALSE,COUNTIF('従業員情報(給与以外)'!$A$4:$A$1000000,$B775)=0)</f>
        <v>0</v>
      </c>
      <c r="I775" s="9" t="b">
        <f t="shared" si="61"/>
        <v>1</v>
      </c>
      <c r="J775" s="9" t="b">
        <f t="shared" si="62"/>
        <v>1</v>
      </c>
      <c r="K775" s="9" t="b">
        <f t="shared" si="63"/>
        <v>1</v>
      </c>
      <c r="L775" s="9" t="b">
        <f t="shared" si="64"/>
        <v>1</v>
      </c>
      <c r="M775" s="1" t="b">
        <f>IF(OR(入力シート!$C$5&lt;&gt;入力リスト!$N$4,入力シート!$J$22&lt;&gt;入力リスト!$K$4),TRUE,IF($F$2=入力リスト!$Q$4,IF(F775-INT(F775)&lt;0.6,TRUE,FALSE),TRUE))</f>
        <v>1</v>
      </c>
      <c r="N775" s="9" t="str">
        <f>IF(F775="","",IF($F$2=入力リスト!$Q$4,ROUNDDOWN(INT(F775)+ROUNDDOWN((F775-INT(F775))*100,0)/60,2),従業員の給与情報!F775))</f>
        <v/>
      </c>
      <c r="O775" s="8"/>
      <c r="P775" s="8"/>
    </row>
    <row r="776" spans="1:16">
      <c r="A776" s="119"/>
      <c r="B776" s="2"/>
      <c r="C776" s="369"/>
      <c r="D776" s="369"/>
      <c r="E776" s="369"/>
      <c r="F776" s="370"/>
      <c r="G776" s="248" t="str">
        <f t="shared" si="60"/>
        <v/>
      </c>
      <c r="H776" s="1" t="b">
        <f>IF(B776="",FALSE,COUNTIF('従業員情報(給与以外)'!$A$4:$A$1000000,$B776)=0)</f>
        <v>0</v>
      </c>
      <c r="I776" s="9" t="b">
        <f t="shared" si="61"/>
        <v>1</v>
      </c>
      <c r="J776" s="9" t="b">
        <f t="shared" si="62"/>
        <v>1</v>
      </c>
      <c r="K776" s="9" t="b">
        <f t="shared" si="63"/>
        <v>1</v>
      </c>
      <c r="L776" s="9" t="b">
        <f t="shared" si="64"/>
        <v>1</v>
      </c>
      <c r="M776" s="1" t="b">
        <f>IF(OR(入力シート!$C$5&lt;&gt;入力リスト!$N$4,入力シート!$J$22&lt;&gt;入力リスト!$K$4),TRUE,IF($F$2=入力リスト!$Q$4,IF(F776-INT(F776)&lt;0.6,TRUE,FALSE),TRUE))</f>
        <v>1</v>
      </c>
      <c r="N776" s="9" t="str">
        <f>IF(F776="","",IF($F$2=入力リスト!$Q$4,ROUNDDOWN(INT(F776)+ROUNDDOWN((F776-INT(F776))*100,0)/60,2),従業員の給与情報!F776))</f>
        <v/>
      </c>
      <c r="O776" s="8"/>
      <c r="P776" s="8"/>
    </row>
    <row r="777" spans="1:16">
      <c r="A777" s="119"/>
      <c r="B777" s="2"/>
      <c r="C777" s="369"/>
      <c r="D777" s="369"/>
      <c r="E777" s="369"/>
      <c r="F777" s="370"/>
      <c r="G777" s="248" t="str">
        <f t="shared" si="60"/>
        <v/>
      </c>
      <c r="H777" s="1" t="b">
        <f>IF(B777="",FALSE,COUNTIF('従業員情報(給与以外)'!$A$4:$A$1000000,$B777)=0)</f>
        <v>0</v>
      </c>
      <c r="I777" s="9" t="b">
        <f t="shared" si="61"/>
        <v>1</v>
      </c>
      <c r="J777" s="9" t="b">
        <f t="shared" si="62"/>
        <v>1</v>
      </c>
      <c r="K777" s="9" t="b">
        <f t="shared" si="63"/>
        <v>1</v>
      </c>
      <c r="L777" s="9" t="b">
        <f t="shared" si="64"/>
        <v>1</v>
      </c>
      <c r="M777" s="1" t="b">
        <f>IF(OR(入力シート!$C$5&lt;&gt;入力リスト!$N$4,入力シート!$J$22&lt;&gt;入力リスト!$K$4),TRUE,IF($F$2=入力リスト!$Q$4,IF(F777-INT(F777)&lt;0.6,TRUE,FALSE),TRUE))</f>
        <v>1</v>
      </c>
      <c r="N777" s="9" t="str">
        <f>IF(F777="","",IF($F$2=入力リスト!$Q$4,ROUNDDOWN(INT(F777)+ROUNDDOWN((F777-INT(F777))*100,0)/60,2),従業員の給与情報!F777))</f>
        <v/>
      </c>
      <c r="O777" s="8"/>
      <c r="P777" s="8"/>
    </row>
    <row r="778" spans="1:16">
      <c r="A778" s="119"/>
      <c r="B778" s="2"/>
      <c r="C778" s="369"/>
      <c r="D778" s="369"/>
      <c r="E778" s="369"/>
      <c r="F778" s="370"/>
      <c r="G778" s="248" t="str">
        <f t="shared" si="60"/>
        <v/>
      </c>
      <c r="H778" s="1" t="b">
        <f>IF(B778="",FALSE,COUNTIF('従業員情報(給与以外)'!$A$4:$A$1000000,$B778)=0)</f>
        <v>0</v>
      </c>
      <c r="I778" s="9" t="b">
        <f t="shared" si="61"/>
        <v>1</v>
      </c>
      <c r="J778" s="9" t="b">
        <f t="shared" si="62"/>
        <v>1</v>
      </c>
      <c r="K778" s="9" t="b">
        <f t="shared" si="63"/>
        <v>1</v>
      </c>
      <c r="L778" s="9" t="b">
        <f t="shared" si="64"/>
        <v>1</v>
      </c>
      <c r="M778" s="1" t="b">
        <f>IF(OR(入力シート!$C$5&lt;&gt;入力リスト!$N$4,入力シート!$J$22&lt;&gt;入力リスト!$K$4),TRUE,IF($F$2=入力リスト!$Q$4,IF(F778-INT(F778)&lt;0.6,TRUE,FALSE),TRUE))</f>
        <v>1</v>
      </c>
      <c r="N778" s="9" t="str">
        <f>IF(F778="","",IF($F$2=入力リスト!$Q$4,ROUNDDOWN(INT(F778)+ROUNDDOWN((F778-INT(F778))*100,0)/60,2),従業員の給与情報!F778))</f>
        <v/>
      </c>
      <c r="O778" s="8"/>
      <c r="P778" s="8"/>
    </row>
    <row r="779" spans="1:16">
      <c r="A779" s="119"/>
      <c r="B779" s="2"/>
      <c r="C779" s="369"/>
      <c r="D779" s="369"/>
      <c r="E779" s="369"/>
      <c r="F779" s="370"/>
      <c r="G779" s="248" t="str">
        <f t="shared" si="60"/>
        <v/>
      </c>
      <c r="H779" s="1" t="b">
        <f>IF(B779="",FALSE,COUNTIF('従業員情報(給与以外)'!$A$4:$A$1000000,$B779)=0)</f>
        <v>0</v>
      </c>
      <c r="I779" s="9" t="b">
        <f t="shared" si="61"/>
        <v>1</v>
      </c>
      <c r="J779" s="9" t="b">
        <f t="shared" si="62"/>
        <v>1</v>
      </c>
      <c r="K779" s="9" t="b">
        <f t="shared" si="63"/>
        <v>1</v>
      </c>
      <c r="L779" s="9" t="b">
        <f t="shared" si="64"/>
        <v>1</v>
      </c>
      <c r="M779" s="1" t="b">
        <f>IF(OR(入力シート!$C$5&lt;&gt;入力リスト!$N$4,入力シート!$J$22&lt;&gt;入力リスト!$K$4),TRUE,IF($F$2=入力リスト!$Q$4,IF(F779-INT(F779)&lt;0.6,TRUE,FALSE),TRUE))</f>
        <v>1</v>
      </c>
      <c r="N779" s="9" t="str">
        <f>IF(F779="","",IF($F$2=入力リスト!$Q$4,ROUNDDOWN(INT(F779)+ROUNDDOWN((F779-INT(F779))*100,0)/60,2),従業員の給与情報!F779))</f>
        <v/>
      </c>
      <c r="O779" s="8"/>
      <c r="P779" s="8"/>
    </row>
    <row r="780" spans="1:16">
      <c r="A780" s="119"/>
      <c r="B780" s="2"/>
      <c r="C780" s="369"/>
      <c r="D780" s="369"/>
      <c r="E780" s="369"/>
      <c r="F780" s="370"/>
      <c r="G780" s="248" t="str">
        <f t="shared" si="60"/>
        <v/>
      </c>
      <c r="H780" s="1" t="b">
        <f>IF(B780="",FALSE,COUNTIF('従業員情報(給与以外)'!$A$4:$A$1000000,$B780)=0)</f>
        <v>0</v>
      </c>
      <c r="I780" s="9" t="b">
        <f t="shared" si="61"/>
        <v>1</v>
      </c>
      <c r="J780" s="9" t="b">
        <f t="shared" si="62"/>
        <v>1</v>
      </c>
      <c r="K780" s="9" t="b">
        <f t="shared" si="63"/>
        <v>1</v>
      </c>
      <c r="L780" s="9" t="b">
        <f t="shared" si="64"/>
        <v>1</v>
      </c>
      <c r="M780" s="1" t="b">
        <f>IF(OR(入力シート!$C$5&lt;&gt;入力リスト!$N$4,入力シート!$J$22&lt;&gt;入力リスト!$K$4),TRUE,IF($F$2=入力リスト!$Q$4,IF(F780-INT(F780)&lt;0.6,TRUE,FALSE),TRUE))</f>
        <v>1</v>
      </c>
      <c r="N780" s="9" t="str">
        <f>IF(F780="","",IF($F$2=入力リスト!$Q$4,ROUNDDOWN(INT(F780)+ROUNDDOWN((F780-INT(F780))*100,0)/60,2),従業員の給与情報!F780))</f>
        <v/>
      </c>
      <c r="O780" s="8"/>
      <c r="P780" s="8"/>
    </row>
    <row r="781" spans="1:16">
      <c r="A781" s="119"/>
      <c r="B781" s="2"/>
      <c r="C781" s="369"/>
      <c r="D781" s="369"/>
      <c r="E781" s="369"/>
      <c r="F781" s="370"/>
      <c r="G781" s="248" t="str">
        <f t="shared" si="60"/>
        <v/>
      </c>
      <c r="H781" s="1" t="b">
        <f>IF(B781="",FALSE,COUNTIF('従業員情報(給与以外)'!$A$4:$A$1000000,$B781)=0)</f>
        <v>0</v>
      </c>
      <c r="I781" s="9" t="b">
        <f t="shared" si="61"/>
        <v>1</v>
      </c>
      <c r="J781" s="9" t="b">
        <f t="shared" si="62"/>
        <v>1</v>
      </c>
      <c r="K781" s="9" t="b">
        <f t="shared" si="63"/>
        <v>1</v>
      </c>
      <c r="L781" s="9" t="b">
        <f t="shared" si="64"/>
        <v>1</v>
      </c>
      <c r="M781" s="1" t="b">
        <f>IF(OR(入力シート!$C$5&lt;&gt;入力リスト!$N$4,入力シート!$J$22&lt;&gt;入力リスト!$K$4),TRUE,IF($F$2=入力リスト!$Q$4,IF(F781-INT(F781)&lt;0.6,TRUE,FALSE),TRUE))</f>
        <v>1</v>
      </c>
      <c r="N781" s="9" t="str">
        <f>IF(F781="","",IF($F$2=入力リスト!$Q$4,ROUNDDOWN(INT(F781)+ROUNDDOWN((F781-INT(F781))*100,0)/60,2),従業員の給与情報!F781))</f>
        <v/>
      </c>
      <c r="O781" s="8"/>
      <c r="P781" s="8"/>
    </row>
    <row r="782" spans="1:16">
      <c r="A782" s="119"/>
      <c r="B782" s="2"/>
      <c r="C782" s="369"/>
      <c r="D782" s="369"/>
      <c r="E782" s="369"/>
      <c r="F782" s="370"/>
      <c r="G782" s="248" t="str">
        <f t="shared" si="60"/>
        <v/>
      </c>
      <c r="H782" s="1" t="b">
        <f>IF(B782="",FALSE,COUNTIF('従業員情報(給与以外)'!$A$4:$A$1000000,$B782)=0)</f>
        <v>0</v>
      </c>
      <c r="I782" s="9" t="b">
        <f t="shared" si="61"/>
        <v>1</v>
      </c>
      <c r="J782" s="9" t="b">
        <f t="shared" si="62"/>
        <v>1</v>
      </c>
      <c r="K782" s="9" t="b">
        <f t="shared" si="63"/>
        <v>1</v>
      </c>
      <c r="L782" s="9" t="b">
        <f t="shared" si="64"/>
        <v>1</v>
      </c>
      <c r="M782" s="1" t="b">
        <f>IF(OR(入力シート!$C$5&lt;&gt;入力リスト!$N$4,入力シート!$J$22&lt;&gt;入力リスト!$K$4),TRUE,IF($F$2=入力リスト!$Q$4,IF(F782-INT(F782)&lt;0.6,TRUE,FALSE),TRUE))</f>
        <v>1</v>
      </c>
      <c r="N782" s="9" t="str">
        <f>IF(F782="","",IF($F$2=入力リスト!$Q$4,ROUNDDOWN(INT(F782)+ROUNDDOWN((F782-INT(F782))*100,0)/60,2),従業員の給与情報!F782))</f>
        <v/>
      </c>
      <c r="O782" s="8"/>
      <c r="P782" s="8"/>
    </row>
    <row r="783" spans="1:16">
      <c r="A783" s="119"/>
      <c r="B783" s="2"/>
      <c r="C783" s="369"/>
      <c r="D783" s="369"/>
      <c r="E783" s="369"/>
      <c r="F783" s="370"/>
      <c r="G783" s="248" t="str">
        <f t="shared" si="60"/>
        <v/>
      </c>
      <c r="H783" s="1" t="b">
        <f>IF(B783="",FALSE,COUNTIF('従業員情報(給与以外)'!$A$4:$A$1000000,$B783)=0)</f>
        <v>0</v>
      </c>
      <c r="I783" s="9" t="b">
        <f t="shared" si="61"/>
        <v>1</v>
      </c>
      <c r="J783" s="9" t="b">
        <f t="shared" si="62"/>
        <v>1</v>
      </c>
      <c r="K783" s="9" t="b">
        <f t="shared" si="63"/>
        <v>1</v>
      </c>
      <c r="L783" s="9" t="b">
        <f t="shared" si="64"/>
        <v>1</v>
      </c>
      <c r="M783" s="1" t="b">
        <f>IF(OR(入力シート!$C$5&lt;&gt;入力リスト!$N$4,入力シート!$J$22&lt;&gt;入力リスト!$K$4),TRUE,IF($F$2=入力リスト!$Q$4,IF(F783-INT(F783)&lt;0.6,TRUE,FALSE),TRUE))</f>
        <v>1</v>
      </c>
      <c r="N783" s="9" t="str">
        <f>IF(F783="","",IF($F$2=入力リスト!$Q$4,ROUNDDOWN(INT(F783)+ROUNDDOWN((F783-INT(F783))*100,0)/60,2),従業員の給与情報!F783))</f>
        <v/>
      </c>
      <c r="O783" s="8"/>
      <c r="P783" s="8"/>
    </row>
    <row r="784" spans="1:16">
      <c r="A784" s="119"/>
      <c r="B784" s="2"/>
      <c r="C784" s="369"/>
      <c r="D784" s="369"/>
      <c r="E784" s="369"/>
      <c r="F784" s="370"/>
      <c r="G784" s="248" t="str">
        <f t="shared" si="60"/>
        <v/>
      </c>
      <c r="H784" s="1" t="b">
        <f>IF(B784="",FALSE,COUNTIF('従業員情報(給与以外)'!$A$4:$A$1000000,$B784)=0)</f>
        <v>0</v>
      </c>
      <c r="I784" s="9" t="b">
        <f t="shared" si="61"/>
        <v>1</v>
      </c>
      <c r="J784" s="9" t="b">
        <f t="shared" si="62"/>
        <v>1</v>
      </c>
      <c r="K784" s="9" t="b">
        <f t="shared" si="63"/>
        <v>1</v>
      </c>
      <c r="L784" s="9" t="b">
        <f t="shared" si="64"/>
        <v>1</v>
      </c>
      <c r="M784" s="1" t="b">
        <f>IF(OR(入力シート!$C$5&lt;&gt;入力リスト!$N$4,入力シート!$J$22&lt;&gt;入力リスト!$K$4),TRUE,IF($F$2=入力リスト!$Q$4,IF(F784-INT(F784)&lt;0.6,TRUE,FALSE),TRUE))</f>
        <v>1</v>
      </c>
      <c r="N784" s="9" t="str">
        <f>IF(F784="","",IF($F$2=入力リスト!$Q$4,ROUNDDOWN(INT(F784)+ROUNDDOWN((F784-INT(F784))*100,0)/60,2),従業員の給与情報!F784))</f>
        <v/>
      </c>
      <c r="O784" s="8"/>
      <c r="P784" s="8"/>
    </row>
    <row r="785" spans="1:16">
      <c r="A785" s="119"/>
      <c r="B785" s="2"/>
      <c r="C785" s="369"/>
      <c r="D785" s="369"/>
      <c r="E785" s="369"/>
      <c r="F785" s="370"/>
      <c r="G785" s="248" t="str">
        <f t="shared" si="60"/>
        <v/>
      </c>
      <c r="H785" s="1" t="b">
        <f>IF(B785="",FALSE,COUNTIF('従業員情報(給与以外)'!$A$4:$A$1000000,$B785)=0)</f>
        <v>0</v>
      </c>
      <c r="I785" s="9" t="b">
        <f t="shared" si="61"/>
        <v>1</v>
      </c>
      <c r="J785" s="9" t="b">
        <f t="shared" si="62"/>
        <v>1</v>
      </c>
      <c r="K785" s="9" t="b">
        <f t="shared" si="63"/>
        <v>1</v>
      </c>
      <c r="L785" s="9" t="b">
        <f t="shared" si="64"/>
        <v>1</v>
      </c>
      <c r="M785" s="1" t="b">
        <f>IF(OR(入力シート!$C$5&lt;&gt;入力リスト!$N$4,入力シート!$J$22&lt;&gt;入力リスト!$K$4),TRUE,IF($F$2=入力リスト!$Q$4,IF(F785-INT(F785)&lt;0.6,TRUE,FALSE),TRUE))</f>
        <v>1</v>
      </c>
      <c r="N785" s="9" t="str">
        <f>IF(F785="","",IF($F$2=入力リスト!$Q$4,ROUNDDOWN(INT(F785)+ROUNDDOWN((F785-INT(F785))*100,0)/60,2),従業員の給与情報!F785))</f>
        <v/>
      </c>
      <c r="O785" s="8"/>
      <c r="P785" s="8"/>
    </row>
    <row r="786" spans="1:16">
      <c r="A786" s="119"/>
      <c r="B786" s="2"/>
      <c r="C786" s="369"/>
      <c r="D786" s="369"/>
      <c r="E786" s="369"/>
      <c r="F786" s="370"/>
      <c r="G786" s="248" t="str">
        <f t="shared" si="60"/>
        <v/>
      </c>
      <c r="H786" s="1" t="b">
        <f>IF(B786="",FALSE,COUNTIF('従業員情報(給与以外)'!$A$4:$A$1000000,$B786)=0)</f>
        <v>0</v>
      </c>
      <c r="I786" s="9" t="b">
        <f t="shared" si="61"/>
        <v>1</v>
      </c>
      <c r="J786" s="9" t="b">
        <f t="shared" si="62"/>
        <v>1</v>
      </c>
      <c r="K786" s="9" t="b">
        <f t="shared" si="63"/>
        <v>1</v>
      </c>
      <c r="L786" s="9" t="b">
        <f t="shared" si="64"/>
        <v>1</v>
      </c>
      <c r="M786" s="1" t="b">
        <f>IF(OR(入力シート!$C$5&lt;&gt;入力リスト!$N$4,入力シート!$J$22&lt;&gt;入力リスト!$K$4),TRUE,IF($F$2=入力リスト!$Q$4,IF(F786-INT(F786)&lt;0.6,TRUE,FALSE),TRUE))</f>
        <v>1</v>
      </c>
      <c r="N786" s="9" t="str">
        <f>IF(F786="","",IF($F$2=入力リスト!$Q$4,ROUNDDOWN(INT(F786)+ROUNDDOWN((F786-INT(F786))*100,0)/60,2),従業員の給与情報!F786))</f>
        <v/>
      </c>
      <c r="O786" s="8"/>
      <c r="P786" s="8"/>
    </row>
    <row r="787" spans="1:16">
      <c r="A787" s="119"/>
      <c r="B787" s="2"/>
      <c r="C787" s="369"/>
      <c r="D787" s="369"/>
      <c r="E787" s="369"/>
      <c r="F787" s="370"/>
      <c r="G787" s="248" t="str">
        <f t="shared" si="60"/>
        <v/>
      </c>
      <c r="H787" s="1" t="b">
        <f>IF(B787="",FALSE,COUNTIF('従業員情報(給与以外)'!$A$4:$A$1000000,$B787)=0)</f>
        <v>0</v>
      </c>
      <c r="I787" s="9" t="b">
        <f t="shared" si="61"/>
        <v>1</v>
      </c>
      <c r="J787" s="9" t="b">
        <f t="shared" si="62"/>
        <v>1</v>
      </c>
      <c r="K787" s="9" t="b">
        <f t="shared" si="63"/>
        <v>1</v>
      </c>
      <c r="L787" s="9" t="b">
        <f t="shared" si="64"/>
        <v>1</v>
      </c>
      <c r="M787" s="1" t="b">
        <f>IF(OR(入力シート!$C$5&lt;&gt;入力リスト!$N$4,入力シート!$J$22&lt;&gt;入力リスト!$K$4),TRUE,IF($F$2=入力リスト!$Q$4,IF(F787-INT(F787)&lt;0.6,TRUE,FALSE),TRUE))</f>
        <v>1</v>
      </c>
      <c r="N787" s="9" t="str">
        <f>IF(F787="","",IF($F$2=入力リスト!$Q$4,ROUNDDOWN(INT(F787)+ROUNDDOWN((F787-INT(F787))*100,0)/60,2),従業員の給与情報!F787))</f>
        <v/>
      </c>
      <c r="O787" s="8"/>
      <c r="P787" s="8"/>
    </row>
    <row r="788" spans="1:16">
      <c r="A788" s="119"/>
      <c r="B788" s="2"/>
      <c r="C788" s="369"/>
      <c r="D788" s="369"/>
      <c r="E788" s="369"/>
      <c r="F788" s="370"/>
      <c r="G788" s="248" t="str">
        <f t="shared" si="60"/>
        <v/>
      </c>
      <c r="H788" s="1" t="b">
        <f>IF(B788="",FALSE,COUNTIF('従業員情報(給与以外)'!$A$4:$A$1000000,$B788)=0)</f>
        <v>0</v>
      </c>
      <c r="I788" s="9" t="b">
        <f t="shared" si="61"/>
        <v>1</v>
      </c>
      <c r="J788" s="9" t="b">
        <f t="shared" si="62"/>
        <v>1</v>
      </c>
      <c r="K788" s="9" t="b">
        <f t="shared" si="63"/>
        <v>1</v>
      </c>
      <c r="L788" s="9" t="b">
        <f t="shared" si="64"/>
        <v>1</v>
      </c>
      <c r="M788" s="1" t="b">
        <f>IF(OR(入力シート!$C$5&lt;&gt;入力リスト!$N$4,入力シート!$J$22&lt;&gt;入力リスト!$K$4),TRUE,IF($F$2=入力リスト!$Q$4,IF(F788-INT(F788)&lt;0.6,TRUE,FALSE),TRUE))</f>
        <v>1</v>
      </c>
      <c r="N788" s="9" t="str">
        <f>IF(F788="","",IF($F$2=入力リスト!$Q$4,ROUNDDOWN(INT(F788)+ROUNDDOWN((F788-INT(F788))*100,0)/60,2),従業員の給与情報!F788))</f>
        <v/>
      </c>
      <c r="O788" s="8"/>
      <c r="P788" s="8"/>
    </row>
    <row r="789" spans="1:16">
      <c r="A789" s="119"/>
      <c r="B789" s="2"/>
      <c r="C789" s="369"/>
      <c r="D789" s="369"/>
      <c r="E789" s="369"/>
      <c r="F789" s="370"/>
      <c r="G789" s="248" t="str">
        <f t="shared" si="60"/>
        <v/>
      </c>
      <c r="H789" s="1" t="b">
        <f>IF(B789="",FALSE,COUNTIF('従業員情報(給与以外)'!$A$4:$A$1000000,$B789)=0)</f>
        <v>0</v>
      </c>
      <c r="I789" s="9" t="b">
        <f t="shared" si="61"/>
        <v>1</v>
      </c>
      <c r="J789" s="9" t="b">
        <f t="shared" si="62"/>
        <v>1</v>
      </c>
      <c r="K789" s="9" t="b">
        <f t="shared" si="63"/>
        <v>1</v>
      </c>
      <c r="L789" s="9" t="b">
        <f t="shared" si="64"/>
        <v>1</v>
      </c>
      <c r="M789" s="1" t="b">
        <f>IF(OR(入力シート!$C$5&lt;&gt;入力リスト!$N$4,入力シート!$J$22&lt;&gt;入力リスト!$K$4),TRUE,IF($F$2=入力リスト!$Q$4,IF(F789-INT(F789)&lt;0.6,TRUE,FALSE),TRUE))</f>
        <v>1</v>
      </c>
      <c r="N789" s="9" t="str">
        <f>IF(F789="","",IF($F$2=入力リスト!$Q$4,ROUNDDOWN(INT(F789)+ROUNDDOWN((F789-INT(F789))*100,0)/60,2),従業員の給与情報!F789))</f>
        <v/>
      </c>
      <c r="O789" s="8"/>
      <c r="P789" s="8"/>
    </row>
    <row r="790" spans="1:16">
      <c r="A790" s="119"/>
      <c r="B790" s="2"/>
      <c r="C790" s="369"/>
      <c r="D790" s="369"/>
      <c r="E790" s="369"/>
      <c r="F790" s="370"/>
      <c r="G790" s="248" t="str">
        <f t="shared" si="60"/>
        <v/>
      </c>
      <c r="H790" s="1" t="b">
        <f>IF(B790="",FALSE,COUNTIF('従業員情報(給与以外)'!$A$4:$A$1000000,$B790)=0)</f>
        <v>0</v>
      </c>
      <c r="I790" s="9" t="b">
        <f t="shared" si="61"/>
        <v>1</v>
      </c>
      <c r="J790" s="9" t="b">
        <f t="shared" si="62"/>
        <v>1</v>
      </c>
      <c r="K790" s="9" t="b">
        <f t="shared" si="63"/>
        <v>1</v>
      </c>
      <c r="L790" s="9" t="b">
        <f t="shared" si="64"/>
        <v>1</v>
      </c>
      <c r="M790" s="1" t="b">
        <f>IF(OR(入力シート!$C$5&lt;&gt;入力リスト!$N$4,入力シート!$J$22&lt;&gt;入力リスト!$K$4),TRUE,IF($F$2=入力リスト!$Q$4,IF(F790-INT(F790)&lt;0.6,TRUE,FALSE),TRUE))</f>
        <v>1</v>
      </c>
      <c r="N790" s="9" t="str">
        <f>IF(F790="","",IF($F$2=入力リスト!$Q$4,ROUNDDOWN(INT(F790)+ROUNDDOWN((F790-INT(F790))*100,0)/60,2),従業員の給与情報!F790))</f>
        <v/>
      </c>
      <c r="O790" s="8"/>
      <c r="P790" s="8"/>
    </row>
    <row r="791" spans="1:16">
      <c r="A791" s="119"/>
      <c r="B791" s="2"/>
      <c r="C791" s="369"/>
      <c r="D791" s="369"/>
      <c r="E791" s="369"/>
      <c r="F791" s="370"/>
      <c r="G791" s="248" t="str">
        <f t="shared" si="60"/>
        <v/>
      </c>
      <c r="H791" s="1" t="b">
        <f>IF(B791="",FALSE,COUNTIF('従業員情報(給与以外)'!$A$4:$A$1000000,$B791)=0)</f>
        <v>0</v>
      </c>
      <c r="I791" s="9" t="b">
        <f t="shared" si="61"/>
        <v>1</v>
      </c>
      <c r="J791" s="9" t="b">
        <f t="shared" si="62"/>
        <v>1</v>
      </c>
      <c r="K791" s="9" t="b">
        <f t="shared" si="63"/>
        <v>1</v>
      </c>
      <c r="L791" s="9" t="b">
        <f t="shared" si="64"/>
        <v>1</v>
      </c>
      <c r="M791" s="1" t="b">
        <f>IF(OR(入力シート!$C$5&lt;&gt;入力リスト!$N$4,入力シート!$J$22&lt;&gt;入力リスト!$K$4),TRUE,IF($F$2=入力リスト!$Q$4,IF(F791-INT(F791)&lt;0.6,TRUE,FALSE),TRUE))</f>
        <v>1</v>
      </c>
      <c r="N791" s="9" t="str">
        <f>IF(F791="","",IF($F$2=入力リスト!$Q$4,ROUNDDOWN(INT(F791)+ROUNDDOWN((F791-INT(F791))*100,0)/60,2),従業員の給与情報!F791))</f>
        <v/>
      </c>
      <c r="O791" s="8"/>
      <c r="P791" s="8"/>
    </row>
    <row r="792" spans="1:16">
      <c r="A792" s="119"/>
      <c r="B792" s="2"/>
      <c r="C792" s="369"/>
      <c r="D792" s="369"/>
      <c r="E792" s="369"/>
      <c r="F792" s="370"/>
      <c r="G792" s="248" t="str">
        <f t="shared" si="60"/>
        <v/>
      </c>
      <c r="H792" s="1" t="b">
        <f>IF(B792="",FALSE,COUNTIF('従業員情報(給与以外)'!$A$4:$A$1000000,$B792)=0)</f>
        <v>0</v>
      </c>
      <c r="I792" s="9" t="b">
        <f t="shared" si="61"/>
        <v>1</v>
      </c>
      <c r="J792" s="9" t="b">
        <f t="shared" si="62"/>
        <v>1</v>
      </c>
      <c r="K792" s="9" t="b">
        <f t="shared" si="63"/>
        <v>1</v>
      </c>
      <c r="L792" s="9" t="b">
        <f t="shared" si="64"/>
        <v>1</v>
      </c>
      <c r="M792" s="1" t="b">
        <f>IF(OR(入力シート!$C$5&lt;&gt;入力リスト!$N$4,入力シート!$J$22&lt;&gt;入力リスト!$K$4),TRUE,IF($F$2=入力リスト!$Q$4,IF(F792-INT(F792)&lt;0.6,TRUE,FALSE),TRUE))</f>
        <v>1</v>
      </c>
      <c r="N792" s="9" t="str">
        <f>IF(F792="","",IF($F$2=入力リスト!$Q$4,ROUNDDOWN(INT(F792)+ROUNDDOWN((F792-INT(F792))*100,0)/60,2),従業員の給与情報!F792))</f>
        <v/>
      </c>
      <c r="O792" s="8"/>
      <c r="P792" s="8"/>
    </row>
    <row r="793" spans="1:16">
      <c r="A793" s="119"/>
      <c r="B793" s="2"/>
      <c r="C793" s="369"/>
      <c r="D793" s="369"/>
      <c r="E793" s="369"/>
      <c r="F793" s="370"/>
      <c r="G793" s="248" t="str">
        <f t="shared" si="60"/>
        <v/>
      </c>
      <c r="H793" s="1" t="b">
        <f>IF(B793="",FALSE,COUNTIF('従業員情報(給与以外)'!$A$4:$A$1000000,$B793)=0)</f>
        <v>0</v>
      </c>
      <c r="I793" s="9" t="b">
        <f t="shared" si="61"/>
        <v>1</v>
      </c>
      <c r="J793" s="9" t="b">
        <f t="shared" si="62"/>
        <v>1</v>
      </c>
      <c r="K793" s="9" t="b">
        <f t="shared" si="63"/>
        <v>1</v>
      </c>
      <c r="L793" s="9" t="b">
        <f t="shared" si="64"/>
        <v>1</v>
      </c>
      <c r="M793" s="1" t="b">
        <f>IF(OR(入力シート!$C$5&lt;&gt;入力リスト!$N$4,入力シート!$J$22&lt;&gt;入力リスト!$K$4),TRUE,IF($F$2=入力リスト!$Q$4,IF(F793-INT(F793)&lt;0.6,TRUE,FALSE),TRUE))</f>
        <v>1</v>
      </c>
      <c r="N793" s="9" t="str">
        <f>IF(F793="","",IF($F$2=入力リスト!$Q$4,ROUNDDOWN(INT(F793)+ROUNDDOWN((F793-INT(F793))*100,0)/60,2),従業員の給与情報!F793))</f>
        <v/>
      </c>
      <c r="O793" s="8"/>
      <c r="P793" s="8"/>
    </row>
    <row r="794" spans="1:16">
      <c r="A794" s="119"/>
      <c r="B794" s="2"/>
      <c r="C794" s="369"/>
      <c r="D794" s="369"/>
      <c r="E794" s="369"/>
      <c r="F794" s="370"/>
      <c r="G794" s="248" t="str">
        <f t="shared" si="60"/>
        <v/>
      </c>
      <c r="H794" s="1" t="b">
        <f>IF(B794="",FALSE,COUNTIF('従業員情報(給与以外)'!$A$4:$A$1000000,$B794)=0)</f>
        <v>0</v>
      </c>
      <c r="I794" s="9" t="b">
        <f t="shared" si="61"/>
        <v>1</v>
      </c>
      <c r="J794" s="9" t="b">
        <f t="shared" si="62"/>
        <v>1</v>
      </c>
      <c r="K794" s="9" t="b">
        <f t="shared" si="63"/>
        <v>1</v>
      </c>
      <c r="L794" s="9" t="b">
        <f t="shared" si="64"/>
        <v>1</v>
      </c>
      <c r="M794" s="1" t="b">
        <f>IF(OR(入力シート!$C$5&lt;&gt;入力リスト!$N$4,入力シート!$J$22&lt;&gt;入力リスト!$K$4),TRUE,IF($F$2=入力リスト!$Q$4,IF(F794-INT(F794)&lt;0.6,TRUE,FALSE),TRUE))</f>
        <v>1</v>
      </c>
      <c r="N794" s="9" t="str">
        <f>IF(F794="","",IF($F$2=入力リスト!$Q$4,ROUNDDOWN(INT(F794)+ROUNDDOWN((F794-INT(F794))*100,0)/60,2),従業員の給与情報!F794))</f>
        <v/>
      </c>
      <c r="O794" s="8"/>
      <c r="P794" s="8"/>
    </row>
    <row r="795" spans="1:16">
      <c r="A795" s="119"/>
      <c r="B795" s="2"/>
      <c r="C795" s="369"/>
      <c r="D795" s="369"/>
      <c r="E795" s="369"/>
      <c r="F795" s="370"/>
      <c r="G795" s="248" t="str">
        <f t="shared" si="60"/>
        <v/>
      </c>
      <c r="H795" s="1" t="b">
        <f>IF(B795="",FALSE,COUNTIF('従業員情報(給与以外)'!$A$4:$A$1000000,$B795)=0)</f>
        <v>0</v>
      </c>
      <c r="I795" s="9" t="b">
        <f t="shared" si="61"/>
        <v>1</v>
      </c>
      <c r="J795" s="9" t="b">
        <f t="shared" si="62"/>
        <v>1</v>
      </c>
      <c r="K795" s="9" t="b">
        <f t="shared" si="63"/>
        <v>1</v>
      </c>
      <c r="L795" s="9" t="b">
        <f t="shared" si="64"/>
        <v>1</v>
      </c>
      <c r="M795" s="1" t="b">
        <f>IF(OR(入力シート!$C$5&lt;&gt;入力リスト!$N$4,入力シート!$J$22&lt;&gt;入力リスト!$K$4),TRUE,IF($F$2=入力リスト!$Q$4,IF(F795-INT(F795)&lt;0.6,TRUE,FALSE),TRUE))</f>
        <v>1</v>
      </c>
      <c r="N795" s="9" t="str">
        <f>IF(F795="","",IF($F$2=入力リスト!$Q$4,ROUNDDOWN(INT(F795)+ROUNDDOWN((F795-INT(F795))*100,0)/60,2),従業員の給与情報!F795))</f>
        <v/>
      </c>
      <c r="O795" s="8"/>
      <c r="P795" s="8"/>
    </row>
    <row r="796" spans="1:16">
      <c r="A796" s="119"/>
      <c r="B796" s="2"/>
      <c r="C796" s="369"/>
      <c r="D796" s="369"/>
      <c r="E796" s="369"/>
      <c r="F796" s="370"/>
      <c r="G796" s="248" t="str">
        <f t="shared" si="60"/>
        <v/>
      </c>
      <c r="H796" s="1" t="b">
        <f>IF(B796="",FALSE,COUNTIF('従業員情報(給与以外)'!$A$4:$A$1000000,$B796)=0)</f>
        <v>0</v>
      </c>
      <c r="I796" s="9" t="b">
        <f t="shared" si="61"/>
        <v>1</v>
      </c>
      <c r="J796" s="9" t="b">
        <f t="shared" si="62"/>
        <v>1</v>
      </c>
      <c r="K796" s="9" t="b">
        <f t="shared" si="63"/>
        <v>1</v>
      </c>
      <c r="L796" s="9" t="b">
        <f t="shared" si="64"/>
        <v>1</v>
      </c>
      <c r="M796" s="1" t="b">
        <f>IF(OR(入力シート!$C$5&lt;&gt;入力リスト!$N$4,入力シート!$J$22&lt;&gt;入力リスト!$K$4),TRUE,IF($F$2=入力リスト!$Q$4,IF(F796-INT(F796)&lt;0.6,TRUE,FALSE),TRUE))</f>
        <v>1</v>
      </c>
      <c r="N796" s="9" t="str">
        <f>IF(F796="","",IF($F$2=入力リスト!$Q$4,ROUNDDOWN(INT(F796)+ROUNDDOWN((F796-INT(F796))*100,0)/60,2),従業員の給与情報!F796))</f>
        <v/>
      </c>
      <c r="O796" s="8"/>
      <c r="P796" s="8"/>
    </row>
    <row r="797" spans="1:16">
      <c r="A797" s="119"/>
      <c r="B797" s="2"/>
      <c r="C797" s="369"/>
      <c r="D797" s="369"/>
      <c r="E797" s="369"/>
      <c r="F797" s="370"/>
      <c r="G797" s="248" t="str">
        <f t="shared" si="60"/>
        <v/>
      </c>
      <c r="H797" s="1" t="b">
        <f>IF(B797="",FALSE,COUNTIF('従業員情報(給与以外)'!$A$4:$A$1000000,$B797)=0)</f>
        <v>0</v>
      </c>
      <c r="I797" s="9" t="b">
        <f t="shared" si="61"/>
        <v>1</v>
      </c>
      <c r="J797" s="9" t="b">
        <f t="shared" si="62"/>
        <v>1</v>
      </c>
      <c r="K797" s="9" t="b">
        <f t="shared" si="63"/>
        <v>1</v>
      </c>
      <c r="L797" s="9" t="b">
        <f t="shared" si="64"/>
        <v>1</v>
      </c>
      <c r="M797" s="1" t="b">
        <f>IF(OR(入力シート!$C$5&lt;&gt;入力リスト!$N$4,入力シート!$J$22&lt;&gt;入力リスト!$K$4),TRUE,IF($F$2=入力リスト!$Q$4,IF(F797-INT(F797)&lt;0.6,TRUE,FALSE),TRUE))</f>
        <v>1</v>
      </c>
      <c r="N797" s="9" t="str">
        <f>IF(F797="","",IF($F$2=入力リスト!$Q$4,ROUNDDOWN(INT(F797)+ROUNDDOWN((F797-INT(F797))*100,0)/60,2),従業員の給与情報!F797))</f>
        <v/>
      </c>
      <c r="O797" s="8"/>
      <c r="P797" s="8"/>
    </row>
    <row r="798" spans="1:16">
      <c r="A798" s="119"/>
      <c r="B798" s="2"/>
      <c r="C798" s="369"/>
      <c r="D798" s="369"/>
      <c r="E798" s="369"/>
      <c r="F798" s="370"/>
      <c r="G798" s="248" t="str">
        <f t="shared" si="60"/>
        <v/>
      </c>
      <c r="H798" s="1" t="b">
        <f>IF(B798="",FALSE,COUNTIF('従業員情報(給与以外)'!$A$4:$A$1000000,$B798)=0)</f>
        <v>0</v>
      </c>
      <c r="I798" s="9" t="b">
        <f t="shared" si="61"/>
        <v>1</v>
      </c>
      <c r="J798" s="9" t="b">
        <f t="shared" si="62"/>
        <v>1</v>
      </c>
      <c r="K798" s="9" t="b">
        <f t="shared" si="63"/>
        <v>1</v>
      </c>
      <c r="L798" s="9" t="b">
        <f t="shared" si="64"/>
        <v>1</v>
      </c>
      <c r="M798" s="1" t="b">
        <f>IF(OR(入力シート!$C$5&lt;&gt;入力リスト!$N$4,入力シート!$J$22&lt;&gt;入力リスト!$K$4),TRUE,IF($F$2=入力リスト!$Q$4,IF(F798-INT(F798)&lt;0.6,TRUE,FALSE),TRUE))</f>
        <v>1</v>
      </c>
      <c r="N798" s="9" t="str">
        <f>IF(F798="","",IF($F$2=入力リスト!$Q$4,ROUNDDOWN(INT(F798)+ROUNDDOWN((F798-INT(F798))*100,0)/60,2),従業員の給与情報!F798))</f>
        <v/>
      </c>
      <c r="O798" s="8"/>
      <c r="P798" s="8"/>
    </row>
    <row r="799" spans="1:16">
      <c r="A799" s="119"/>
      <c r="B799" s="2"/>
      <c r="C799" s="369"/>
      <c r="D799" s="369"/>
      <c r="E799" s="369"/>
      <c r="F799" s="370"/>
      <c r="G799" s="248" t="str">
        <f t="shared" si="60"/>
        <v/>
      </c>
      <c r="H799" s="1" t="b">
        <f>IF(B799="",FALSE,COUNTIF('従業員情報(給与以外)'!$A$4:$A$1000000,$B799)=0)</f>
        <v>0</v>
      </c>
      <c r="I799" s="9" t="b">
        <f t="shared" si="61"/>
        <v>1</v>
      </c>
      <c r="J799" s="9" t="b">
        <f t="shared" si="62"/>
        <v>1</v>
      </c>
      <c r="K799" s="9" t="b">
        <f t="shared" si="63"/>
        <v>1</v>
      </c>
      <c r="L799" s="9" t="b">
        <f t="shared" si="64"/>
        <v>1</v>
      </c>
      <c r="M799" s="1" t="b">
        <f>IF(OR(入力シート!$C$5&lt;&gt;入力リスト!$N$4,入力シート!$J$22&lt;&gt;入力リスト!$K$4),TRUE,IF($F$2=入力リスト!$Q$4,IF(F799-INT(F799)&lt;0.6,TRUE,FALSE),TRUE))</f>
        <v>1</v>
      </c>
      <c r="N799" s="9" t="str">
        <f>IF(F799="","",IF($F$2=入力リスト!$Q$4,ROUNDDOWN(INT(F799)+ROUNDDOWN((F799-INT(F799))*100,0)/60,2),従業員の給与情報!F799))</f>
        <v/>
      </c>
      <c r="O799" s="8"/>
      <c r="P799" s="8"/>
    </row>
    <row r="800" spans="1:16">
      <c r="A800" s="119"/>
      <c r="B800" s="2"/>
      <c r="C800" s="369"/>
      <c r="D800" s="369"/>
      <c r="E800" s="369"/>
      <c r="F800" s="370"/>
      <c r="G800" s="248" t="str">
        <f t="shared" si="60"/>
        <v/>
      </c>
      <c r="H800" s="1" t="b">
        <f>IF(B800="",FALSE,COUNTIF('従業員情報(給与以外)'!$A$4:$A$1000000,$B800)=0)</f>
        <v>0</v>
      </c>
      <c r="I800" s="9" t="b">
        <f t="shared" si="61"/>
        <v>1</v>
      </c>
      <c r="J800" s="9" t="b">
        <f t="shared" si="62"/>
        <v>1</v>
      </c>
      <c r="K800" s="9" t="b">
        <f t="shared" si="63"/>
        <v>1</v>
      </c>
      <c r="L800" s="9" t="b">
        <f t="shared" si="64"/>
        <v>1</v>
      </c>
      <c r="M800" s="1" t="b">
        <f>IF(OR(入力シート!$C$5&lt;&gt;入力リスト!$N$4,入力シート!$J$22&lt;&gt;入力リスト!$K$4),TRUE,IF($F$2=入力リスト!$Q$4,IF(F800-INT(F800)&lt;0.6,TRUE,FALSE),TRUE))</f>
        <v>1</v>
      </c>
      <c r="N800" s="9" t="str">
        <f>IF(F800="","",IF($F$2=入力リスト!$Q$4,ROUNDDOWN(INT(F800)+ROUNDDOWN((F800-INT(F800))*100,0)/60,2),従業員の給与情報!F800))</f>
        <v/>
      </c>
      <c r="O800" s="8"/>
      <c r="P800" s="8"/>
    </row>
    <row r="801" spans="1:16">
      <c r="A801" s="119"/>
      <c r="B801" s="2"/>
      <c r="C801" s="369"/>
      <c r="D801" s="369"/>
      <c r="E801" s="369"/>
      <c r="F801" s="370"/>
      <c r="G801" s="248" t="str">
        <f t="shared" si="60"/>
        <v/>
      </c>
      <c r="H801" s="1" t="b">
        <f>IF(B801="",FALSE,COUNTIF('従業員情報(給与以外)'!$A$4:$A$1000000,$B801)=0)</f>
        <v>0</v>
      </c>
      <c r="I801" s="9" t="b">
        <f t="shared" si="61"/>
        <v>1</v>
      </c>
      <c r="J801" s="9" t="b">
        <f t="shared" si="62"/>
        <v>1</v>
      </c>
      <c r="K801" s="9" t="b">
        <f t="shared" si="63"/>
        <v>1</v>
      </c>
      <c r="L801" s="9" t="b">
        <f t="shared" si="64"/>
        <v>1</v>
      </c>
      <c r="M801" s="1" t="b">
        <f>IF(OR(入力シート!$C$5&lt;&gt;入力リスト!$N$4,入力シート!$J$22&lt;&gt;入力リスト!$K$4),TRUE,IF($F$2=入力リスト!$Q$4,IF(F801-INT(F801)&lt;0.6,TRUE,FALSE),TRUE))</f>
        <v>1</v>
      </c>
      <c r="N801" s="9" t="str">
        <f>IF(F801="","",IF($F$2=入力リスト!$Q$4,ROUNDDOWN(INT(F801)+ROUNDDOWN((F801-INT(F801))*100,0)/60,2),従業員の給与情報!F801))</f>
        <v/>
      </c>
      <c r="O801" s="8"/>
      <c r="P801" s="8"/>
    </row>
    <row r="802" spans="1:16">
      <c r="A802" s="119"/>
      <c r="B802" s="2"/>
      <c r="C802" s="369"/>
      <c r="D802" s="369"/>
      <c r="E802" s="369"/>
      <c r="F802" s="370"/>
      <c r="G802" s="248" t="str">
        <f t="shared" si="60"/>
        <v/>
      </c>
      <c r="H802" s="1" t="b">
        <f>IF(B802="",FALSE,COUNTIF('従業員情報(給与以外)'!$A$4:$A$1000000,$B802)=0)</f>
        <v>0</v>
      </c>
      <c r="I802" s="9" t="b">
        <f t="shared" si="61"/>
        <v>1</v>
      </c>
      <c r="J802" s="9" t="b">
        <f t="shared" si="62"/>
        <v>1</v>
      </c>
      <c r="K802" s="9" t="b">
        <f t="shared" si="63"/>
        <v>1</v>
      </c>
      <c r="L802" s="9" t="b">
        <f t="shared" si="64"/>
        <v>1</v>
      </c>
      <c r="M802" s="1" t="b">
        <f>IF(OR(入力シート!$C$5&lt;&gt;入力リスト!$N$4,入力シート!$J$22&lt;&gt;入力リスト!$K$4),TRUE,IF($F$2=入力リスト!$Q$4,IF(F802-INT(F802)&lt;0.6,TRUE,FALSE),TRUE))</f>
        <v>1</v>
      </c>
      <c r="N802" s="9" t="str">
        <f>IF(F802="","",IF($F$2=入力リスト!$Q$4,ROUNDDOWN(INT(F802)+ROUNDDOWN((F802-INT(F802))*100,0)/60,2),従業員の給与情報!F802))</f>
        <v/>
      </c>
      <c r="O802" s="8"/>
      <c r="P802" s="8"/>
    </row>
    <row r="803" spans="1:16">
      <c r="A803" s="119"/>
      <c r="B803" s="2"/>
      <c r="C803" s="369"/>
      <c r="D803" s="369"/>
      <c r="E803" s="369"/>
      <c r="F803" s="370"/>
      <c r="G803" s="248" t="str">
        <f t="shared" si="60"/>
        <v/>
      </c>
      <c r="H803" s="1" t="b">
        <f>IF(B803="",FALSE,COUNTIF('従業員情報(給与以外)'!$A$4:$A$1000000,$B803)=0)</f>
        <v>0</v>
      </c>
      <c r="I803" s="9" t="b">
        <f t="shared" si="61"/>
        <v>1</v>
      </c>
      <c r="J803" s="9" t="b">
        <f t="shared" si="62"/>
        <v>1</v>
      </c>
      <c r="K803" s="9" t="b">
        <f t="shared" si="63"/>
        <v>1</v>
      </c>
      <c r="L803" s="9" t="b">
        <f t="shared" si="64"/>
        <v>1</v>
      </c>
      <c r="M803" s="1" t="b">
        <f>IF(OR(入力シート!$C$5&lt;&gt;入力リスト!$N$4,入力シート!$J$22&lt;&gt;入力リスト!$K$4),TRUE,IF($F$2=入力リスト!$Q$4,IF(F803-INT(F803)&lt;0.6,TRUE,FALSE),TRUE))</f>
        <v>1</v>
      </c>
      <c r="N803" s="9" t="str">
        <f>IF(F803="","",IF($F$2=入力リスト!$Q$4,ROUNDDOWN(INT(F803)+ROUNDDOWN((F803-INT(F803))*100,0)/60,2),従業員の給与情報!F803))</f>
        <v/>
      </c>
      <c r="O803" s="8"/>
      <c r="P803" s="8"/>
    </row>
    <row r="804" spans="1:16">
      <c r="A804" s="119"/>
      <c r="B804" s="2"/>
      <c r="C804" s="369"/>
      <c r="D804" s="369"/>
      <c r="E804" s="369"/>
      <c r="F804" s="370"/>
      <c r="G804" s="248" t="str">
        <f t="shared" si="60"/>
        <v/>
      </c>
      <c r="H804" s="1" t="b">
        <f>IF(B804="",FALSE,COUNTIF('従業員情報(給与以外)'!$A$4:$A$1000000,$B804)=0)</f>
        <v>0</v>
      </c>
      <c r="I804" s="9" t="b">
        <f t="shared" si="61"/>
        <v>1</v>
      </c>
      <c r="J804" s="9" t="b">
        <f t="shared" si="62"/>
        <v>1</v>
      </c>
      <c r="K804" s="9" t="b">
        <f t="shared" si="63"/>
        <v>1</v>
      </c>
      <c r="L804" s="9" t="b">
        <f t="shared" si="64"/>
        <v>1</v>
      </c>
      <c r="M804" s="1" t="b">
        <f>IF(OR(入力シート!$C$5&lt;&gt;入力リスト!$N$4,入力シート!$J$22&lt;&gt;入力リスト!$K$4),TRUE,IF($F$2=入力リスト!$Q$4,IF(F804-INT(F804)&lt;0.6,TRUE,FALSE),TRUE))</f>
        <v>1</v>
      </c>
      <c r="N804" s="9" t="str">
        <f>IF(F804="","",IF($F$2=入力リスト!$Q$4,ROUNDDOWN(INT(F804)+ROUNDDOWN((F804-INT(F804))*100,0)/60,2),従業員の給与情報!F804))</f>
        <v/>
      </c>
      <c r="O804" s="8"/>
      <c r="P804" s="8"/>
    </row>
    <row r="805" spans="1:16">
      <c r="A805" s="119"/>
      <c r="B805" s="2"/>
      <c r="C805" s="369"/>
      <c r="D805" s="369"/>
      <c r="E805" s="369"/>
      <c r="F805" s="370"/>
      <c r="G805" s="248" t="str">
        <f t="shared" si="60"/>
        <v/>
      </c>
      <c r="H805" s="1" t="b">
        <f>IF(B805="",FALSE,COUNTIF('従業員情報(給与以外)'!$A$4:$A$1000000,$B805)=0)</f>
        <v>0</v>
      </c>
      <c r="I805" s="9" t="b">
        <f t="shared" si="61"/>
        <v>1</v>
      </c>
      <c r="J805" s="9" t="b">
        <f t="shared" si="62"/>
        <v>1</v>
      </c>
      <c r="K805" s="9" t="b">
        <f t="shared" si="63"/>
        <v>1</v>
      </c>
      <c r="L805" s="9" t="b">
        <f t="shared" si="64"/>
        <v>1</v>
      </c>
      <c r="M805" s="1" t="b">
        <f>IF(OR(入力シート!$C$5&lt;&gt;入力リスト!$N$4,入力シート!$J$22&lt;&gt;入力リスト!$K$4),TRUE,IF($F$2=入力リスト!$Q$4,IF(F805-INT(F805)&lt;0.6,TRUE,FALSE),TRUE))</f>
        <v>1</v>
      </c>
      <c r="N805" s="9" t="str">
        <f>IF(F805="","",IF($F$2=入力リスト!$Q$4,ROUNDDOWN(INT(F805)+ROUNDDOWN((F805-INT(F805))*100,0)/60,2),従業員の給与情報!F805))</f>
        <v/>
      </c>
      <c r="O805" s="8"/>
      <c r="P805" s="8"/>
    </row>
    <row r="806" spans="1:16">
      <c r="A806" s="119"/>
      <c r="B806" s="2"/>
      <c r="C806" s="369"/>
      <c r="D806" s="369"/>
      <c r="E806" s="369"/>
      <c r="F806" s="370"/>
      <c r="G806" s="248" t="str">
        <f t="shared" si="60"/>
        <v/>
      </c>
      <c r="H806" s="1" t="b">
        <f>IF(B806="",FALSE,COUNTIF('従業員情報(給与以外)'!$A$4:$A$1000000,$B806)=0)</f>
        <v>0</v>
      </c>
      <c r="I806" s="9" t="b">
        <f t="shared" si="61"/>
        <v>1</v>
      </c>
      <c r="J806" s="9" t="b">
        <f t="shared" si="62"/>
        <v>1</v>
      </c>
      <c r="K806" s="9" t="b">
        <f t="shared" si="63"/>
        <v>1</v>
      </c>
      <c r="L806" s="9" t="b">
        <f t="shared" si="64"/>
        <v>1</v>
      </c>
      <c r="M806" s="1" t="b">
        <f>IF(OR(入力シート!$C$5&lt;&gt;入力リスト!$N$4,入力シート!$J$22&lt;&gt;入力リスト!$K$4),TRUE,IF($F$2=入力リスト!$Q$4,IF(F806-INT(F806)&lt;0.6,TRUE,FALSE),TRUE))</f>
        <v>1</v>
      </c>
      <c r="N806" s="9" t="str">
        <f>IF(F806="","",IF($F$2=入力リスト!$Q$4,ROUNDDOWN(INT(F806)+ROUNDDOWN((F806-INT(F806))*100,0)/60,2),従業員の給与情報!F806))</f>
        <v/>
      </c>
      <c r="O806" s="8"/>
      <c r="P806" s="8"/>
    </row>
    <row r="807" spans="1:16">
      <c r="A807" s="119"/>
      <c r="B807" s="2"/>
      <c r="C807" s="369"/>
      <c r="D807" s="369"/>
      <c r="E807" s="369"/>
      <c r="F807" s="370"/>
      <c r="G807" s="248" t="str">
        <f t="shared" si="60"/>
        <v/>
      </c>
      <c r="H807" s="1" t="b">
        <f>IF(B807="",FALSE,COUNTIF('従業員情報(給与以外)'!$A$4:$A$1000000,$B807)=0)</f>
        <v>0</v>
      </c>
      <c r="I807" s="9" t="b">
        <f t="shared" si="61"/>
        <v>1</v>
      </c>
      <c r="J807" s="9" t="b">
        <f t="shared" si="62"/>
        <v>1</v>
      </c>
      <c r="K807" s="9" t="b">
        <f t="shared" si="63"/>
        <v>1</v>
      </c>
      <c r="L807" s="9" t="b">
        <f t="shared" si="64"/>
        <v>1</v>
      </c>
      <c r="M807" s="1" t="b">
        <f>IF(OR(入力シート!$C$5&lt;&gt;入力リスト!$N$4,入力シート!$J$22&lt;&gt;入力リスト!$K$4),TRUE,IF($F$2=入力リスト!$Q$4,IF(F807-INT(F807)&lt;0.6,TRUE,FALSE),TRUE))</f>
        <v>1</v>
      </c>
      <c r="N807" s="9" t="str">
        <f>IF(F807="","",IF($F$2=入力リスト!$Q$4,ROUNDDOWN(INT(F807)+ROUNDDOWN((F807-INT(F807))*100,0)/60,2),従業員の給与情報!F807))</f>
        <v/>
      </c>
      <c r="O807" s="8"/>
      <c r="P807" s="8"/>
    </row>
    <row r="808" spans="1:16">
      <c r="A808" s="119"/>
      <c r="B808" s="2"/>
      <c r="C808" s="369"/>
      <c r="D808" s="369"/>
      <c r="E808" s="369"/>
      <c r="F808" s="370"/>
      <c r="G808" s="248" t="str">
        <f t="shared" si="60"/>
        <v/>
      </c>
      <c r="H808" s="1" t="b">
        <f>IF(B808="",FALSE,COUNTIF('従業員情報(給与以外)'!$A$4:$A$1000000,$B808)=0)</f>
        <v>0</v>
      </c>
      <c r="I808" s="9" t="b">
        <f t="shared" si="61"/>
        <v>1</v>
      </c>
      <c r="J808" s="9" t="b">
        <f t="shared" si="62"/>
        <v>1</v>
      </c>
      <c r="K808" s="9" t="b">
        <f t="shared" si="63"/>
        <v>1</v>
      </c>
      <c r="L808" s="9" t="b">
        <f t="shared" si="64"/>
        <v>1</v>
      </c>
      <c r="M808" s="1" t="b">
        <f>IF(OR(入力シート!$C$5&lt;&gt;入力リスト!$N$4,入力シート!$J$22&lt;&gt;入力リスト!$K$4),TRUE,IF($F$2=入力リスト!$Q$4,IF(F808-INT(F808)&lt;0.6,TRUE,FALSE),TRUE))</f>
        <v>1</v>
      </c>
      <c r="N808" s="9" t="str">
        <f>IF(F808="","",IF($F$2=入力リスト!$Q$4,ROUNDDOWN(INT(F808)+ROUNDDOWN((F808-INT(F808))*100,0)/60,2),従業員の給与情報!F808))</f>
        <v/>
      </c>
      <c r="O808" s="8"/>
      <c r="P808" s="8"/>
    </row>
    <row r="809" spans="1:16">
      <c r="A809" s="119"/>
      <c r="B809" s="2"/>
      <c r="C809" s="369"/>
      <c r="D809" s="369"/>
      <c r="E809" s="369"/>
      <c r="F809" s="370"/>
      <c r="G809" s="248" t="str">
        <f t="shared" si="60"/>
        <v/>
      </c>
      <c r="H809" s="1" t="b">
        <f>IF(B809="",FALSE,COUNTIF('従業員情報(給与以外)'!$A$4:$A$1000000,$B809)=0)</f>
        <v>0</v>
      </c>
      <c r="I809" s="9" t="b">
        <f t="shared" si="61"/>
        <v>1</v>
      </c>
      <c r="J809" s="9" t="b">
        <f t="shared" si="62"/>
        <v>1</v>
      </c>
      <c r="K809" s="9" t="b">
        <f t="shared" si="63"/>
        <v>1</v>
      </c>
      <c r="L809" s="9" t="b">
        <f t="shared" si="64"/>
        <v>1</v>
      </c>
      <c r="M809" s="1" t="b">
        <f>IF(OR(入力シート!$C$5&lt;&gt;入力リスト!$N$4,入力シート!$J$22&lt;&gt;入力リスト!$K$4),TRUE,IF($F$2=入力リスト!$Q$4,IF(F809-INT(F809)&lt;0.6,TRUE,FALSE),TRUE))</f>
        <v>1</v>
      </c>
      <c r="N809" s="9" t="str">
        <f>IF(F809="","",IF($F$2=入力リスト!$Q$4,ROUNDDOWN(INT(F809)+ROUNDDOWN((F809-INT(F809))*100,0)/60,2),従業員の給与情報!F809))</f>
        <v/>
      </c>
      <c r="O809" s="8"/>
      <c r="P809" s="8"/>
    </row>
    <row r="810" spans="1:16">
      <c r="A810" s="119"/>
      <c r="B810" s="2"/>
      <c r="C810" s="369"/>
      <c r="D810" s="369"/>
      <c r="E810" s="369"/>
      <c r="F810" s="370"/>
      <c r="G810" s="248" t="str">
        <f t="shared" si="60"/>
        <v/>
      </c>
      <c r="H810" s="1" t="b">
        <f>IF(B810="",FALSE,COUNTIF('従業員情報(給与以外)'!$A$4:$A$1000000,$B810)=0)</f>
        <v>0</v>
      </c>
      <c r="I810" s="9" t="b">
        <f t="shared" si="61"/>
        <v>1</v>
      </c>
      <c r="J810" s="9" t="b">
        <f t="shared" si="62"/>
        <v>1</v>
      </c>
      <c r="K810" s="9" t="b">
        <f t="shared" si="63"/>
        <v>1</v>
      </c>
      <c r="L810" s="9" t="b">
        <f t="shared" si="64"/>
        <v>1</v>
      </c>
      <c r="M810" s="1" t="b">
        <f>IF(OR(入力シート!$C$5&lt;&gt;入力リスト!$N$4,入力シート!$J$22&lt;&gt;入力リスト!$K$4),TRUE,IF($F$2=入力リスト!$Q$4,IF(F810-INT(F810)&lt;0.6,TRUE,FALSE),TRUE))</f>
        <v>1</v>
      </c>
      <c r="N810" s="9" t="str">
        <f>IF(F810="","",IF($F$2=入力リスト!$Q$4,ROUNDDOWN(INT(F810)+ROUNDDOWN((F810-INT(F810))*100,0)/60,2),従業員の給与情報!F810))</f>
        <v/>
      </c>
      <c r="O810" s="8"/>
      <c r="P810" s="8"/>
    </row>
    <row r="811" spans="1:16">
      <c r="A811" s="119"/>
      <c r="B811" s="2"/>
      <c r="C811" s="369"/>
      <c r="D811" s="369"/>
      <c r="E811" s="369"/>
      <c r="F811" s="370"/>
      <c r="G811" s="248" t="str">
        <f t="shared" si="60"/>
        <v/>
      </c>
      <c r="H811" s="1" t="b">
        <f>IF(B811="",FALSE,COUNTIF('従業員情報(給与以外)'!$A$4:$A$1000000,$B811)=0)</f>
        <v>0</v>
      </c>
      <c r="I811" s="9" t="b">
        <f t="shared" si="61"/>
        <v>1</v>
      </c>
      <c r="J811" s="9" t="b">
        <f t="shared" si="62"/>
        <v>1</v>
      </c>
      <c r="K811" s="9" t="b">
        <f t="shared" si="63"/>
        <v>1</v>
      </c>
      <c r="L811" s="9" t="b">
        <f t="shared" si="64"/>
        <v>1</v>
      </c>
      <c r="M811" s="1" t="b">
        <f>IF(OR(入力シート!$C$5&lt;&gt;入力リスト!$N$4,入力シート!$J$22&lt;&gt;入力リスト!$K$4),TRUE,IF($F$2=入力リスト!$Q$4,IF(F811-INT(F811)&lt;0.6,TRUE,FALSE),TRUE))</f>
        <v>1</v>
      </c>
      <c r="N811" s="9" t="str">
        <f>IF(F811="","",IF($F$2=入力リスト!$Q$4,ROUNDDOWN(INT(F811)+ROUNDDOWN((F811-INT(F811))*100,0)/60,2),従業員の給与情報!F811))</f>
        <v/>
      </c>
      <c r="O811" s="8"/>
      <c r="P811" s="8"/>
    </row>
    <row r="812" spans="1:16">
      <c r="A812" s="119"/>
      <c r="B812" s="2"/>
      <c r="C812" s="369"/>
      <c r="D812" s="369"/>
      <c r="E812" s="369"/>
      <c r="F812" s="370"/>
      <c r="G812" s="248" t="str">
        <f t="shared" si="60"/>
        <v/>
      </c>
      <c r="H812" s="1" t="b">
        <f>IF(B812="",FALSE,COUNTIF('従業員情報(給与以外)'!$A$4:$A$1000000,$B812)=0)</f>
        <v>0</v>
      </c>
      <c r="I812" s="9" t="b">
        <f t="shared" si="61"/>
        <v>1</v>
      </c>
      <c r="J812" s="9" t="b">
        <f t="shared" si="62"/>
        <v>1</v>
      </c>
      <c r="K812" s="9" t="b">
        <f t="shared" si="63"/>
        <v>1</v>
      </c>
      <c r="L812" s="9" t="b">
        <f t="shared" si="64"/>
        <v>1</v>
      </c>
      <c r="M812" s="1" t="b">
        <f>IF(OR(入力シート!$C$5&lt;&gt;入力リスト!$N$4,入力シート!$J$22&lt;&gt;入力リスト!$K$4),TRUE,IF($F$2=入力リスト!$Q$4,IF(F812-INT(F812)&lt;0.6,TRUE,FALSE),TRUE))</f>
        <v>1</v>
      </c>
      <c r="N812" s="9" t="str">
        <f>IF(F812="","",IF($F$2=入力リスト!$Q$4,ROUNDDOWN(INT(F812)+ROUNDDOWN((F812-INT(F812))*100,0)/60,2),従業員の給与情報!F812))</f>
        <v/>
      </c>
      <c r="O812" s="8"/>
      <c r="P812" s="8"/>
    </row>
    <row r="813" spans="1:16">
      <c r="A813" s="119"/>
      <c r="B813" s="2"/>
      <c r="C813" s="369"/>
      <c r="D813" s="369"/>
      <c r="E813" s="369"/>
      <c r="F813" s="370"/>
      <c r="G813" s="248" t="str">
        <f t="shared" si="60"/>
        <v/>
      </c>
      <c r="H813" s="1" t="b">
        <f>IF(B813="",FALSE,COUNTIF('従業員情報(給与以外)'!$A$4:$A$1000000,$B813)=0)</f>
        <v>0</v>
      </c>
      <c r="I813" s="9" t="b">
        <f t="shared" si="61"/>
        <v>1</v>
      </c>
      <c r="J813" s="9" t="b">
        <f t="shared" si="62"/>
        <v>1</v>
      </c>
      <c r="K813" s="9" t="b">
        <f t="shared" si="63"/>
        <v>1</v>
      </c>
      <c r="L813" s="9" t="b">
        <f t="shared" si="64"/>
        <v>1</v>
      </c>
      <c r="M813" s="1" t="b">
        <f>IF(OR(入力シート!$C$5&lt;&gt;入力リスト!$N$4,入力シート!$J$22&lt;&gt;入力リスト!$K$4),TRUE,IF($F$2=入力リスト!$Q$4,IF(F813-INT(F813)&lt;0.6,TRUE,FALSE),TRUE))</f>
        <v>1</v>
      </c>
      <c r="N813" s="9" t="str">
        <f>IF(F813="","",IF($F$2=入力リスト!$Q$4,ROUNDDOWN(INT(F813)+ROUNDDOWN((F813-INT(F813))*100,0)/60,2),従業員の給与情報!F813))</f>
        <v/>
      </c>
      <c r="O813" s="8"/>
      <c r="P813" s="8"/>
    </row>
    <row r="814" spans="1:16">
      <c r="A814" s="119"/>
      <c r="B814" s="2"/>
      <c r="C814" s="369"/>
      <c r="D814" s="369"/>
      <c r="E814" s="369"/>
      <c r="F814" s="370"/>
      <c r="G814" s="248" t="str">
        <f t="shared" si="60"/>
        <v/>
      </c>
      <c r="H814" s="1" t="b">
        <f>IF(B814="",FALSE,COUNTIF('従業員情報(給与以外)'!$A$4:$A$1000000,$B814)=0)</f>
        <v>0</v>
      </c>
      <c r="I814" s="9" t="b">
        <f t="shared" si="61"/>
        <v>1</v>
      </c>
      <c r="J814" s="9" t="b">
        <f t="shared" si="62"/>
        <v>1</v>
      </c>
      <c r="K814" s="9" t="b">
        <f t="shared" si="63"/>
        <v>1</v>
      </c>
      <c r="L814" s="9" t="b">
        <f t="shared" si="64"/>
        <v>1</v>
      </c>
      <c r="M814" s="1" t="b">
        <f>IF(OR(入力シート!$C$5&lt;&gt;入力リスト!$N$4,入力シート!$J$22&lt;&gt;入力リスト!$K$4),TRUE,IF($F$2=入力リスト!$Q$4,IF(F814-INT(F814)&lt;0.6,TRUE,FALSE),TRUE))</f>
        <v>1</v>
      </c>
      <c r="N814" s="9" t="str">
        <f>IF(F814="","",IF($F$2=入力リスト!$Q$4,ROUNDDOWN(INT(F814)+ROUNDDOWN((F814-INT(F814))*100,0)/60,2),従業員の給与情報!F814))</f>
        <v/>
      </c>
      <c r="O814" s="8"/>
      <c r="P814" s="8"/>
    </row>
    <row r="815" spans="1:16">
      <c r="A815" s="119"/>
      <c r="B815" s="2"/>
      <c r="C815" s="369"/>
      <c r="D815" s="369"/>
      <c r="E815" s="369"/>
      <c r="F815" s="370"/>
      <c r="G815" s="248" t="str">
        <f t="shared" si="60"/>
        <v/>
      </c>
      <c r="H815" s="1" t="b">
        <f>IF(B815="",FALSE,COUNTIF('従業員情報(給与以外)'!$A$4:$A$1000000,$B815)=0)</f>
        <v>0</v>
      </c>
      <c r="I815" s="9" t="b">
        <f t="shared" si="61"/>
        <v>1</v>
      </c>
      <c r="J815" s="9" t="b">
        <f t="shared" si="62"/>
        <v>1</v>
      </c>
      <c r="K815" s="9" t="b">
        <f t="shared" si="63"/>
        <v>1</v>
      </c>
      <c r="L815" s="9" t="b">
        <f t="shared" si="64"/>
        <v>1</v>
      </c>
      <c r="M815" s="1" t="b">
        <f>IF(OR(入力シート!$C$5&lt;&gt;入力リスト!$N$4,入力シート!$J$22&lt;&gt;入力リスト!$K$4),TRUE,IF($F$2=入力リスト!$Q$4,IF(F815-INT(F815)&lt;0.6,TRUE,FALSE),TRUE))</f>
        <v>1</v>
      </c>
      <c r="N815" s="9" t="str">
        <f>IF(F815="","",IF($F$2=入力リスト!$Q$4,ROUNDDOWN(INT(F815)+ROUNDDOWN((F815-INT(F815))*100,0)/60,2),従業員の給与情報!F815))</f>
        <v/>
      </c>
      <c r="O815" s="8"/>
      <c r="P815" s="8"/>
    </row>
    <row r="816" spans="1:16">
      <c r="A816" s="119"/>
      <c r="B816" s="2"/>
      <c r="C816" s="369"/>
      <c r="D816" s="369"/>
      <c r="E816" s="369"/>
      <c r="F816" s="370"/>
      <c r="G816" s="248" t="str">
        <f t="shared" si="60"/>
        <v/>
      </c>
      <c r="H816" s="1" t="b">
        <f>IF(B816="",FALSE,COUNTIF('従業員情報(給与以外)'!$A$4:$A$1000000,$B816)=0)</f>
        <v>0</v>
      </c>
      <c r="I816" s="9" t="b">
        <f t="shared" si="61"/>
        <v>1</v>
      </c>
      <c r="J816" s="9" t="b">
        <f t="shared" si="62"/>
        <v>1</v>
      </c>
      <c r="K816" s="9" t="b">
        <f t="shared" si="63"/>
        <v>1</v>
      </c>
      <c r="L816" s="9" t="b">
        <f t="shared" si="64"/>
        <v>1</v>
      </c>
      <c r="M816" s="1" t="b">
        <f>IF(OR(入力シート!$C$5&lt;&gt;入力リスト!$N$4,入力シート!$J$22&lt;&gt;入力リスト!$K$4),TRUE,IF($F$2=入力リスト!$Q$4,IF(F816-INT(F816)&lt;0.6,TRUE,FALSE),TRUE))</f>
        <v>1</v>
      </c>
      <c r="N816" s="9" t="str">
        <f>IF(F816="","",IF($F$2=入力リスト!$Q$4,ROUNDDOWN(INT(F816)+ROUNDDOWN((F816-INT(F816))*100,0)/60,2),従業員の給与情報!F816))</f>
        <v/>
      </c>
      <c r="O816" s="8"/>
      <c r="P816" s="8"/>
    </row>
    <row r="817" spans="1:16">
      <c r="A817" s="119"/>
      <c r="B817" s="2"/>
      <c r="C817" s="369"/>
      <c r="D817" s="369"/>
      <c r="E817" s="369"/>
      <c r="F817" s="370"/>
      <c r="G817" s="248" t="str">
        <f t="shared" si="60"/>
        <v/>
      </c>
      <c r="H817" s="1" t="b">
        <f>IF(B817="",FALSE,COUNTIF('従業員情報(給与以外)'!$A$4:$A$1000000,$B817)=0)</f>
        <v>0</v>
      </c>
      <c r="I817" s="9" t="b">
        <f t="shared" si="61"/>
        <v>1</v>
      </c>
      <c r="J817" s="9" t="b">
        <f t="shared" si="62"/>
        <v>1</v>
      </c>
      <c r="K817" s="9" t="b">
        <f t="shared" si="63"/>
        <v>1</v>
      </c>
      <c r="L817" s="9" t="b">
        <f t="shared" si="64"/>
        <v>1</v>
      </c>
      <c r="M817" s="1" t="b">
        <f>IF(OR(入力シート!$C$5&lt;&gt;入力リスト!$N$4,入力シート!$J$22&lt;&gt;入力リスト!$K$4),TRUE,IF($F$2=入力リスト!$Q$4,IF(F817-INT(F817)&lt;0.6,TRUE,FALSE),TRUE))</f>
        <v>1</v>
      </c>
      <c r="N817" s="9" t="str">
        <f>IF(F817="","",IF($F$2=入力リスト!$Q$4,ROUNDDOWN(INT(F817)+ROUNDDOWN((F817-INT(F817))*100,0)/60,2),従業員の給与情報!F817))</f>
        <v/>
      </c>
      <c r="O817" s="8"/>
      <c r="P817" s="8"/>
    </row>
    <row r="818" spans="1:16">
      <c r="A818" s="119"/>
      <c r="B818" s="2"/>
      <c r="C818" s="369"/>
      <c r="D818" s="369"/>
      <c r="E818" s="369"/>
      <c r="F818" s="370"/>
      <c r="G818" s="248" t="str">
        <f t="shared" si="60"/>
        <v/>
      </c>
      <c r="H818" s="1" t="b">
        <f>IF(B818="",FALSE,COUNTIF('従業員情報(給与以外)'!$A$4:$A$1000000,$B818)=0)</f>
        <v>0</v>
      </c>
      <c r="I818" s="9" t="b">
        <f t="shared" si="61"/>
        <v>1</v>
      </c>
      <c r="J818" s="9" t="b">
        <f t="shared" si="62"/>
        <v>1</v>
      </c>
      <c r="K818" s="9" t="b">
        <f t="shared" si="63"/>
        <v>1</v>
      </c>
      <c r="L818" s="9" t="b">
        <f t="shared" si="64"/>
        <v>1</v>
      </c>
      <c r="M818" s="1" t="b">
        <f>IF(OR(入力シート!$C$5&lt;&gt;入力リスト!$N$4,入力シート!$J$22&lt;&gt;入力リスト!$K$4),TRUE,IF($F$2=入力リスト!$Q$4,IF(F818-INT(F818)&lt;0.6,TRUE,FALSE),TRUE))</f>
        <v>1</v>
      </c>
      <c r="N818" s="9" t="str">
        <f>IF(F818="","",IF($F$2=入力リスト!$Q$4,ROUNDDOWN(INT(F818)+ROUNDDOWN((F818-INT(F818))*100,0)/60,2),従業員の給与情報!F818))</f>
        <v/>
      </c>
      <c r="O818" s="8"/>
      <c r="P818" s="8"/>
    </row>
    <row r="819" spans="1:16">
      <c r="A819" s="119"/>
      <c r="B819" s="2"/>
      <c r="C819" s="369"/>
      <c r="D819" s="369"/>
      <c r="E819" s="369"/>
      <c r="F819" s="370"/>
      <c r="G819" s="248" t="str">
        <f t="shared" si="60"/>
        <v/>
      </c>
      <c r="H819" s="1" t="b">
        <f>IF(B819="",FALSE,COUNTIF('従業員情報(給与以外)'!$A$4:$A$1000000,$B819)=0)</f>
        <v>0</v>
      </c>
      <c r="I819" s="9" t="b">
        <f t="shared" si="61"/>
        <v>1</v>
      </c>
      <c r="J819" s="9" t="b">
        <f t="shared" si="62"/>
        <v>1</v>
      </c>
      <c r="K819" s="9" t="b">
        <f t="shared" si="63"/>
        <v>1</v>
      </c>
      <c r="L819" s="9" t="b">
        <f t="shared" si="64"/>
        <v>1</v>
      </c>
      <c r="M819" s="1" t="b">
        <f>IF(OR(入力シート!$C$5&lt;&gt;入力リスト!$N$4,入力シート!$J$22&lt;&gt;入力リスト!$K$4),TRUE,IF($F$2=入力リスト!$Q$4,IF(F819-INT(F819)&lt;0.6,TRUE,FALSE),TRUE))</f>
        <v>1</v>
      </c>
      <c r="N819" s="9" t="str">
        <f>IF(F819="","",IF($F$2=入力リスト!$Q$4,ROUNDDOWN(INT(F819)+ROUNDDOWN((F819-INT(F819))*100,0)/60,2),従業員の給与情報!F819))</f>
        <v/>
      </c>
      <c r="O819" s="8"/>
      <c r="P819" s="8"/>
    </row>
    <row r="820" spans="1:16">
      <c r="A820" s="119"/>
      <c r="B820" s="2"/>
      <c r="C820" s="369"/>
      <c r="D820" s="369"/>
      <c r="E820" s="369"/>
      <c r="F820" s="370"/>
      <c r="G820" s="248" t="str">
        <f t="shared" si="60"/>
        <v/>
      </c>
      <c r="H820" s="1" t="b">
        <f>IF(B820="",FALSE,COUNTIF('従業員情報(給与以外)'!$A$4:$A$1000000,$B820)=0)</f>
        <v>0</v>
      </c>
      <c r="I820" s="9" t="b">
        <f t="shared" si="61"/>
        <v>1</v>
      </c>
      <c r="J820" s="9" t="b">
        <f t="shared" si="62"/>
        <v>1</v>
      </c>
      <c r="K820" s="9" t="b">
        <f t="shared" si="63"/>
        <v>1</v>
      </c>
      <c r="L820" s="9" t="b">
        <f t="shared" si="64"/>
        <v>1</v>
      </c>
      <c r="M820" s="1" t="b">
        <f>IF(OR(入力シート!$C$5&lt;&gt;入力リスト!$N$4,入力シート!$J$22&lt;&gt;入力リスト!$K$4),TRUE,IF($F$2=入力リスト!$Q$4,IF(F820-INT(F820)&lt;0.6,TRUE,FALSE),TRUE))</f>
        <v>1</v>
      </c>
      <c r="N820" s="9" t="str">
        <f>IF(F820="","",IF($F$2=入力リスト!$Q$4,ROUNDDOWN(INT(F820)+ROUNDDOWN((F820-INT(F820))*100,0)/60,2),従業員の給与情報!F820))</f>
        <v/>
      </c>
      <c r="O820" s="8"/>
      <c r="P820" s="8"/>
    </row>
    <row r="821" spans="1:16">
      <c r="A821" s="119"/>
      <c r="B821" s="2"/>
      <c r="C821" s="369"/>
      <c r="D821" s="369"/>
      <c r="E821" s="369"/>
      <c r="F821" s="370"/>
      <c r="G821" s="248" t="str">
        <f t="shared" si="60"/>
        <v/>
      </c>
      <c r="H821" s="1" t="b">
        <f>IF(B821="",FALSE,COUNTIF('従業員情報(給与以外)'!$A$4:$A$1000000,$B821)=0)</f>
        <v>0</v>
      </c>
      <c r="I821" s="9" t="b">
        <f t="shared" si="61"/>
        <v>1</v>
      </c>
      <c r="J821" s="9" t="b">
        <f t="shared" si="62"/>
        <v>1</v>
      </c>
      <c r="K821" s="9" t="b">
        <f t="shared" si="63"/>
        <v>1</v>
      </c>
      <c r="L821" s="9" t="b">
        <f t="shared" si="64"/>
        <v>1</v>
      </c>
      <c r="M821" s="1" t="b">
        <f>IF(OR(入力シート!$C$5&lt;&gt;入力リスト!$N$4,入力シート!$J$22&lt;&gt;入力リスト!$K$4),TRUE,IF($F$2=入力リスト!$Q$4,IF(F821-INT(F821)&lt;0.6,TRUE,FALSE),TRUE))</f>
        <v>1</v>
      </c>
      <c r="N821" s="9" t="str">
        <f>IF(F821="","",IF($F$2=入力リスト!$Q$4,ROUNDDOWN(INT(F821)+ROUNDDOWN((F821-INT(F821))*100,0)/60,2),従業員の給与情報!F821))</f>
        <v/>
      </c>
      <c r="O821" s="8"/>
      <c r="P821" s="8"/>
    </row>
    <row r="822" spans="1:16">
      <c r="A822" s="119"/>
      <c r="B822" s="2"/>
      <c r="C822" s="369"/>
      <c r="D822" s="369"/>
      <c r="E822" s="369"/>
      <c r="F822" s="370"/>
      <c r="G822" s="248" t="str">
        <f t="shared" si="60"/>
        <v/>
      </c>
      <c r="H822" s="1" t="b">
        <f>IF(B822="",FALSE,COUNTIF('従業員情報(給与以外)'!$A$4:$A$1000000,$B822)=0)</f>
        <v>0</v>
      </c>
      <c r="I822" s="9" t="b">
        <f t="shared" si="61"/>
        <v>1</v>
      </c>
      <c r="J822" s="9" t="b">
        <f t="shared" si="62"/>
        <v>1</v>
      </c>
      <c r="K822" s="9" t="b">
        <f t="shared" si="63"/>
        <v>1</v>
      </c>
      <c r="L822" s="9" t="b">
        <f t="shared" si="64"/>
        <v>1</v>
      </c>
      <c r="M822" s="1" t="b">
        <f>IF(OR(入力シート!$C$5&lt;&gt;入力リスト!$N$4,入力シート!$J$22&lt;&gt;入力リスト!$K$4),TRUE,IF($F$2=入力リスト!$Q$4,IF(F822-INT(F822)&lt;0.6,TRUE,FALSE),TRUE))</f>
        <v>1</v>
      </c>
      <c r="N822" s="9" t="str">
        <f>IF(F822="","",IF($F$2=入力リスト!$Q$4,ROUNDDOWN(INT(F822)+ROUNDDOWN((F822-INT(F822))*100,0)/60,2),従業員の給与情報!F822))</f>
        <v/>
      </c>
      <c r="O822" s="8"/>
      <c r="P822" s="8"/>
    </row>
    <row r="823" spans="1:16">
      <c r="A823" s="119"/>
      <c r="B823" s="2"/>
      <c r="C823" s="369"/>
      <c r="D823" s="369"/>
      <c r="E823" s="369"/>
      <c r="F823" s="370"/>
      <c r="G823" s="248" t="str">
        <f t="shared" si="60"/>
        <v/>
      </c>
      <c r="H823" s="1" t="b">
        <f>IF(B823="",FALSE,COUNTIF('従業員情報(給与以外)'!$A$4:$A$1000000,$B823)=0)</f>
        <v>0</v>
      </c>
      <c r="I823" s="9" t="b">
        <f t="shared" si="61"/>
        <v>1</v>
      </c>
      <c r="J823" s="9" t="b">
        <f t="shared" si="62"/>
        <v>1</v>
      </c>
      <c r="K823" s="9" t="b">
        <f t="shared" si="63"/>
        <v>1</v>
      </c>
      <c r="L823" s="9" t="b">
        <f t="shared" si="64"/>
        <v>1</v>
      </c>
      <c r="M823" s="1" t="b">
        <f>IF(OR(入力シート!$C$5&lt;&gt;入力リスト!$N$4,入力シート!$J$22&lt;&gt;入力リスト!$K$4),TRUE,IF($F$2=入力リスト!$Q$4,IF(F823-INT(F823)&lt;0.6,TRUE,FALSE),TRUE))</f>
        <v>1</v>
      </c>
      <c r="N823" s="9" t="str">
        <f>IF(F823="","",IF($F$2=入力リスト!$Q$4,ROUNDDOWN(INT(F823)+ROUNDDOWN((F823-INT(F823))*100,0)/60,2),従業員の給与情報!F823))</f>
        <v/>
      </c>
      <c r="O823" s="8"/>
      <c r="P823" s="8"/>
    </row>
    <row r="824" spans="1:16">
      <c r="A824" s="119"/>
      <c r="B824" s="2"/>
      <c r="C824" s="369"/>
      <c r="D824" s="369"/>
      <c r="E824" s="369"/>
      <c r="F824" s="370"/>
      <c r="G824" s="248" t="str">
        <f t="shared" si="60"/>
        <v/>
      </c>
      <c r="H824" s="1" t="b">
        <f>IF(B824="",FALSE,COUNTIF('従業員情報(給与以外)'!$A$4:$A$1000000,$B824)=0)</f>
        <v>0</v>
      </c>
      <c r="I824" s="9" t="b">
        <f t="shared" si="61"/>
        <v>1</v>
      </c>
      <c r="J824" s="9" t="b">
        <f t="shared" si="62"/>
        <v>1</v>
      </c>
      <c r="K824" s="9" t="b">
        <f t="shared" si="63"/>
        <v>1</v>
      </c>
      <c r="L824" s="9" t="b">
        <f t="shared" si="64"/>
        <v>1</v>
      </c>
      <c r="M824" s="1" t="b">
        <f>IF(OR(入力シート!$C$5&lt;&gt;入力リスト!$N$4,入力シート!$J$22&lt;&gt;入力リスト!$K$4),TRUE,IF($F$2=入力リスト!$Q$4,IF(F824-INT(F824)&lt;0.6,TRUE,FALSE),TRUE))</f>
        <v>1</v>
      </c>
      <c r="N824" s="9" t="str">
        <f>IF(F824="","",IF($F$2=入力リスト!$Q$4,ROUNDDOWN(INT(F824)+ROUNDDOWN((F824-INT(F824))*100,0)/60,2),従業員の給与情報!F824))</f>
        <v/>
      </c>
      <c r="O824" s="8"/>
      <c r="P824" s="8"/>
    </row>
    <row r="825" spans="1:16">
      <c r="A825" s="119"/>
      <c r="B825" s="2"/>
      <c r="C825" s="369"/>
      <c r="D825" s="369"/>
      <c r="E825" s="369"/>
      <c r="F825" s="370"/>
      <c r="G825" s="248" t="str">
        <f t="shared" si="60"/>
        <v/>
      </c>
      <c r="H825" s="1" t="b">
        <f>IF(B825="",FALSE,COUNTIF('従業員情報(給与以外)'!$A$4:$A$1000000,$B825)=0)</f>
        <v>0</v>
      </c>
      <c r="I825" s="9" t="b">
        <f t="shared" si="61"/>
        <v>1</v>
      </c>
      <c r="J825" s="9" t="b">
        <f t="shared" si="62"/>
        <v>1</v>
      </c>
      <c r="K825" s="9" t="b">
        <f t="shared" si="63"/>
        <v>1</v>
      </c>
      <c r="L825" s="9" t="b">
        <f t="shared" si="64"/>
        <v>1</v>
      </c>
      <c r="M825" s="1" t="b">
        <f>IF(OR(入力シート!$C$5&lt;&gt;入力リスト!$N$4,入力シート!$J$22&lt;&gt;入力リスト!$K$4),TRUE,IF($F$2=入力リスト!$Q$4,IF(F825-INT(F825)&lt;0.6,TRUE,FALSE),TRUE))</f>
        <v>1</v>
      </c>
      <c r="N825" s="9" t="str">
        <f>IF(F825="","",IF($F$2=入力リスト!$Q$4,ROUNDDOWN(INT(F825)+ROUNDDOWN((F825-INT(F825))*100,0)/60,2),従業員の給与情報!F825))</f>
        <v/>
      </c>
      <c r="O825" s="8"/>
      <c r="P825" s="8"/>
    </row>
    <row r="826" spans="1:16">
      <c r="A826" s="119"/>
      <c r="B826" s="2"/>
      <c r="C826" s="369"/>
      <c r="D826" s="369"/>
      <c r="E826" s="369"/>
      <c r="F826" s="370"/>
      <c r="G826" s="248" t="str">
        <f t="shared" si="60"/>
        <v/>
      </c>
      <c r="H826" s="1" t="b">
        <f>IF(B826="",FALSE,COUNTIF('従業員情報(給与以外)'!$A$4:$A$1000000,$B826)=0)</f>
        <v>0</v>
      </c>
      <c r="I826" s="9" t="b">
        <f t="shared" si="61"/>
        <v>1</v>
      </c>
      <c r="J826" s="9" t="b">
        <f t="shared" si="62"/>
        <v>1</v>
      </c>
      <c r="K826" s="9" t="b">
        <f t="shared" si="63"/>
        <v>1</v>
      </c>
      <c r="L826" s="9" t="b">
        <f t="shared" si="64"/>
        <v>1</v>
      </c>
      <c r="M826" s="1" t="b">
        <f>IF(OR(入力シート!$C$5&lt;&gt;入力リスト!$N$4,入力シート!$J$22&lt;&gt;入力リスト!$K$4),TRUE,IF($F$2=入力リスト!$Q$4,IF(F826-INT(F826)&lt;0.6,TRUE,FALSE),TRUE))</f>
        <v>1</v>
      </c>
      <c r="N826" s="9" t="str">
        <f>IF(F826="","",IF($F$2=入力リスト!$Q$4,ROUNDDOWN(INT(F826)+ROUNDDOWN((F826-INT(F826))*100,0)/60,2),従業員の給与情報!F826))</f>
        <v/>
      </c>
      <c r="O826" s="8"/>
      <c r="P826" s="8"/>
    </row>
    <row r="827" spans="1:16">
      <c r="A827" s="119"/>
      <c r="B827" s="2"/>
      <c r="C827" s="369"/>
      <c r="D827" s="369"/>
      <c r="E827" s="369"/>
      <c r="F827" s="370"/>
      <c r="G827" s="248" t="str">
        <f t="shared" si="60"/>
        <v/>
      </c>
      <c r="H827" s="1" t="b">
        <f>IF(B827="",FALSE,COUNTIF('従業員情報(給与以外)'!$A$4:$A$1000000,$B827)=0)</f>
        <v>0</v>
      </c>
      <c r="I827" s="9" t="b">
        <f t="shared" si="61"/>
        <v>1</v>
      </c>
      <c r="J827" s="9" t="b">
        <f t="shared" si="62"/>
        <v>1</v>
      </c>
      <c r="K827" s="9" t="b">
        <f t="shared" si="63"/>
        <v>1</v>
      </c>
      <c r="L827" s="9" t="b">
        <f t="shared" si="64"/>
        <v>1</v>
      </c>
      <c r="M827" s="1" t="b">
        <f>IF(OR(入力シート!$C$5&lt;&gt;入力リスト!$N$4,入力シート!$J$22&lt;&gt;入力リスト!$K$4),TRUE,IF($F$2=入力リスト!$Q$4,IF(F827-INT(F827)&lt;0.6,TRUE,FALSE),TRUE))</f>
        <v>1</v>
      </c>
      <c r="N827" s="9" t="str">
        <f>IF(F827="","",IF($F$2=入力リスト!$Q$4,ROUNDDOWN(INT(F827)+ROUNDDOWN((F827-INT(F827))*100,0)/60,2),従業員の給与情報!F827))</f>
        <v/>
      </c>
      <c r="O827" s="8"/>
      <c r="P827" s="8"/>
    </row>
    <row r="828" spans="1:16">
      <c r="A828" s="119"/>
      <c r="B828" s="2"/>
      <c r="C828" s="369"/>
      <c r="D828" s="369"/>
      <c r="E828" s="369"/>
      <c r="F828" s="370"/>
      <c r="G828" s="248" t="str">
        <f t="shared" si="60"/>
        <v/>
      </c>
      <c r="H828" s="1" t="b">
        <f>IF(B828="",FALSE,COUNTIF('従業員情報(給与以外)'!$A$4:$A$1000000,$B828)=0)</f>
        <v>0</v>
      </c>
      <c r="I828" s="9" t="b">
        <f t="shared" si="61"/>
        <v>1</v>
      </c>
      <c r="J828" s="9" t="b">
        <f t="shared" si="62"/>
        <v>1</v>
      </c>
      <c r="K828" s="9" t="b">
        <f t="shared" si="63"/>
        <v>1</v>
      </c>
      <c r="L828" s="9" t="b">
        <f t="shared" si="64"/>
        <v>1</v>
      </c>
      <c r="M828" s="1" t="b">
        <f>IF(OR(入力シート!$C$5&lt;&gt;入力リスト!$N$4,入力シート!$J$22&lt;&gt;入力リスト!$K$4),TRUE,IF($F$2=入力リスト!$Q$4,IF(F828-INT(F828)&lt;0.6,TRUE,FALSE),TRUE))</f>
        <v>1</v>
      </c>
      <c r="N828" s="9" t="str">
        <f>IF(F828="","",IF($F$2=入力リスト!$Q$4,ROUNDDOWN(INT(F828)+ROUNDDOWN((F828-INT(F828))*100,0)/60,2),従業員の給与情報!F828))</f>
        <v/>
      </c>
      <c r="O828" s="8"/>
      <c r="P828" s="8"/>
    </row>
    <row r="829" spans="1:16">
      <c r="A829" s="119"/>
      <c r="B829" s="2"/>
      <c r="C829" s="369"/>
      <c r="D829" s="369"/>
      <c r="E829" s="369"/>
      <c r="F829" s="370"/>
      <c r="G829" s="248" t="str">
        <f t="shared" si="60"/>
        <v/>
      </c>
      <c r="H829" s="1" t="b">
        <f>IF(B829="",FALSE,COUNTIF('従業員情報(給与以外)'!$A$4:$A$1000000,$B829)=0)</f>
        <v>0</v>
      </c>
      <c r="I829" s="9" t="b">
        <f t="shared" si="61"/>
        <v>1</v>
      </c>
      <c r="J829" s="9" t="b">
        <f t="shared" si="62"/>
        <v>1</v>
      </c>
      <c r="K829" s="9" t="b">
        <f t="shared" si="63"/>
        <v>1</v>
      </c>
      <c r="L829" s="9" t="b">
        <f t="shared" si="64"/>
        <v>1</v>
      </c>
      <c r="M829" s="1" t="b">
        <f>IF(OR(入力シート!$C$5&lt;&gt;入力リスト!$N$4,入力シート!$J$22&lt;&gt;入力リスト!$K$4),TRUE,IF($F$2=入力リスト!$Q$4,IF(F829-INT(F829)&lt;0.6,TRUE,FALSE),TRUE))</f>
        <v>1</v>
      </c>
      <c r="N829" s="9" t="str">
        <f>IF(F829="","",IF($F$2=入力リスト!$Q$4,ROUNDDOWN(INT(F829)+ROUNDDOWN((F829-INT(F829))*100,0)/60,2),従業員の給与情報!F829))</f>
        <v/>
      </c>
      <c r="O829" s="8"/>
      <c r="P829" s="8"/>
    </row>
    <row r="830" spans="1:16">
      <c r="A830" s="119"/>
      <c r="B830" s="2"/>
      <c r="C830" s="369"/>
      <c r="D830" s="369"/>
      <c r="E830" s="369"/>
      <c r="F830" s="370"/>
      <c r="G830" s="248" t="str">
        <f t="shared" si="60"/>
        <v/>
      </c>
      <c r="H830" s="1" t="b">
        <f>IF(B830="",FALSE,COUNTIF('従業員情報(給与以外)'!$A$4:$A$1000000,$B830)=0)</f>
        <v>0</v>
      </c>
      <c r="I830" s="9" t="b">
        <f t="shared" si="61"/>
        <v>1</v>
      </c>
      <c r="J830" s="9" t="b">
        <f t="shared" si="62"/>
        <v>1</v>
      </c>
      <c r="K830" s="9" t="b">
        <f t="shared" si="63"/>
        <v>1</v>
      </c>
      <c r="L830" s="9" t="b">
        <f t="shared" si="64"/>
        <v>1</v>
      </c>
      <c r="M830" s="1" t="b">
        <f>IF(OR(入力シート!$C$5&lt;&gt;入力リスト!$N$4,入力シート!$J$22&lt;&gt;入力リスト!$K$4),TRUE,IF($F$2=入力リスト!$Q$4,IF(F830-INT(F830)&lt;0.6,TRUE,FALSE),TRUE))</f>
        <v>1</v>
      </c>
      <c r="N830" s="9" t="str">
        <f>IF(F830="","",IF($F$2=入力リスト!$Q$4,ROUNDDOWN(INT(F830)+ROUNDDOWN((F830-INT(F830))*100,0)/60,2),従業員の給与情報!F830))</f>
        <v/>
      </c>
      <c r="O830" s="8"/>
      <c r="P830" s="8"/>
    </row>
    <row r="831" spans="1:16">
      <c r="A831" s="119"/>
      <c r="B831" s="2"/>
      <c r="C831" s="369"/>
      <c r="D831" s="369"/>
      <c r="E831" s="369"/>
      <c r="F831" s="370"/>
      <c r="G831" s="248" t="str">
        <f t="shared" si="60"/>
        <v/>
      </c>
      <c r="H831" s="1" t="b">
        <f>IF(B831="",FALSE,COUNTIF('従業員情報(給与以外)'!$A$4:$A$1000000,$B831)=0)</f>
        <v>0</v>
      </c>
      <c r="I831" s="9" t="b">
        <f t="shared" si="61"/>
        <v>1</v>
      </c>
      <c r="J831" s="9" t="b">
        <f t="shared" si="62"/>
        <v>1</v>
      </c>
      <c r="K831" s="9" t="b">
        <f t="shared" si="63"/>
        <v>1</v>
      </c>
      <c r="L831" s="9" t="b">
        <f t="shared" si="64"/>
        <v>1</v>
      </c>
      <c r="M831" s="1" t="b">
        <f>IF(OR(入力シート!$C$5&lt;&gt;入力リスト!$N$4,入力シート!$J$22&lt;&gt;入力リスト!$K$4),TRUE,IF($F$2=入力リスト!$Q$4,IF(F831-INT(F831)&lt;0.6,TRUE,FALSE),TRUE))</f>
        <v>1</v>
      </c>
      <c r="N831" s="9" t="str">
        <f>IF(F831="","",IF($F$2=入力リスト!$Q$4,ROUNDDOWN(INT(F831)+ROUNDDOWN((F831-INT(F831))*100,0)/60,2),従業員の給与情報!F831))</f>
        <v/>
      </c>
      <c r="O831" s="8"/>
      <c r="P831" s="8"/>
    </row>
    <row r="832" spans="1:16">
      <c r="A832" s="119"/>
      <c r="B832" s="2"/>
      <c r="C832" s="369"/>
      <c r="D832" s="369"/>
      <c r="E832" s="369"/>
      <c r="F832" s="370"/>
      <c r="G832" s="248" t="str">
        <f t="shared" si="60"/>
        <v/>
      </c>
      <c r="H832" s="1" t="b">
        <f>IF(B832="",FALSE,COUNTIF('従業員情報(給与以外)'!$A$4:$A$1000000,$B832)=0)</f>
        <v>0</v>
      </c>
      <c r="I832" s="9" t="b">
        <f t="shared" si="61"/>
        <v>1</v>
      </c>
      <c r="J832" s="9" t="b">
        <f t="shared" si="62"/>
        <v>1</v>
      </c>
      <c r="K832" s="9" t="b">
        <f t="shared" si="63"/>
        <v>1</v>
      </c>
      <c r="L832" s="9" t="b">
        <f t="shared" si="64"/>
        <v>1</v>
      </c>
      <c r="M832" s="1" t="b">
        <f>IF(OR(入力シート!$C$5&lt;&gt;入力リスト!$N$4,入力シート!$J$22&lt;&gt;入力リスト!$K$4),TRUE,IF($F$2=入力リスト!$Q$4,IF(F832-INT(F832)&lt;0.6,TRUE,FALSE),TRUE))</f>
        <v>1</v>
      </c>
      <c r="N832" s="9" t="str">
        <f>IF(F832="","",IF($F$2=入力リスト!$Q$4,ROUNDDOWN(INT(F832)+ROUNDDOWN((F832-INT(F832))*100,0)/60,2),従業員の給与情報!F832))</f>
        <v/>
      </c>
      <c r="O832" s="8"/>
      <c r="P832" s="8"/>
    </row>
    <row r="833" spans="1:16">
      <c r="A833" s="119"/>
      <c r="B833" s="2"/>
      <c r="C833" s="369"/>
      <c r="D833" s="369"/>
      <c r="E833" s="369"/>
      <c r="F833" s="370"/>
      <c r="G833" s="248" t="str">
        <f t="shared" si="60"/>
        <v/>
      </c>
      <c r="H833" s="1" t="b">
        <f>IF(B833="",FALSE,COUNTIF('従業員情報(給与以外)'!$A$4:$A$1000000,$B833)=0)</f>
        <v>0</v>
      </c>
      <c r="I833" s="9" t="b">
        <f t="shared" si="61"/>
        <v>1</v>
      </c>
      <c r="J833" s="9" t="b">
        <f t="shared" si="62"/>
        <v>1</v>
      </c>
      <c r="K833" s="9" t="b">
        <f t="shared" si="63"/>
        <v>1</v>
      </c>
      <c r="L833" s="9" t="b">
        <f t="shared" si="64"/>
        <v>1</v>
      </c>
      <c r="M833" s="1" t="b">
        <f>IF(OR(入力シート!$C$5&lt;&gt;入力リスト!$N$4,入力シート!$J$22&lt;&gt;入力リスト!$K$4),TRUE,IF($F$2=入力リスト!$Q$4,IF(F833-INT(F833)&lt;0.6,TRUE,FALSE),TRUE))</f>
        <v>1</v>
      </c>
      <c r="N833" s="9" t="str">
        <f>IF(F833="","",IF($F$2=入力リスト!$Q$4,ROUNDDOWN(INT(F833)+ROUNDDOWN((F833-INT(F833))*100,0)/60,2),従業員の給与情報!F833))</f>
        <v/>
      </c>
      <c r="O833" s="8"/>
      <c r="P833" s="8"/>
    </row>
    <row r="834" spans="1:16">
      <c r="A834" s="119"/>
      <c r="B834" s="2"/>
      <c r="C834" s="369"/>
      <c r="D834" s="369"/>
      <c r="E834" s="369"/>
      <c r="F834" s="370"/>
      <c r="G834" s="248" t="str">
        <f t="shared" si="60"/>
        <v/>
      </c>
      <c r="H834" s="1" t="b">
        <f>IF(B834="",FALSE,COUNTIF('従業員情報(給与以外)'!$A$4:$A$1000000,$B834)=0)</f>
        <v>0</v>
      </c>
      <c r="I834" s="9" t="b">
        <f t="shared" si="61"/>
        <v>1</v>
      </c>
      <c r="J834" s="9" t="b">
        <f t="shared" si="62"/>
        <v>1</v>
      </c>
      <c r="K834" s="9" t="b">
        <f t="shared" si="63"/>
        <v>1</v>
      </c>
      <c r="L834" s="9" t="b">
        <f t="shared" si="64"/>
        <v>1</v>
      </c>
      <c r="M834" s="1" t="b">
        <f>IF(OR(入力シート!$C$5&lt;&gt;入力リスト!$N$4,入力シート!$J$22&lt;&gt;入力リスト!$K$4),TRUE,IF($F$2=入力リスト!$Q$4,IF(F834-INT(F834)&lt;0.6,TRUE,FALSE),TRUE))</f>
        <v>1</v>
      </c>
      <c r="N834" s="9" t="str">
        <f>IF(F834="","",IF($F$2=入力リスト!$Q$4,ROUNDDOWN(INT(F834)+ROUNDDOWN((F834-INT(F834))*100,0)/60,2),従業員の給与情報!F834))</f>
        <v/>
      </c>
      <c r="O834" s="8"/>
      <c r="P834" s="8"/>
    </row>
    <row r="835" spans="1:16">
      <c r="A835" s="119"/>
      <c r="B835" s="2"/>
      <c r="C835" s="369"/>
      <c r="D835" s="369"/>
      <c r="E835" s="369"/>
      <c r="F835" s="370"/>
      <c r="G835" s="248" t="str">
        <f t="shared" si="60"/>
        <v/>
      </c>
      <c r="H835" s="1" t="b">
        <f>IF(B835="",FALSE,COUNTIF('従業員情報(給与以外)'!$A$4:$A$1000000,$B835)=0)</f>
        <v>0</v>
      </c>
      <c r="I835" s="9" t="b">
        <f t="shared" si="61"/>
        <v>1</v>
      </c>
      <c r="J835" s="9" t="b">
        <f t="shared" si="62"/>
        <v>1</v>
      </c>
      <c r="K835" s="9" t="b">
        <f t="shared" si="63"/>
        <v>1</v>
      </c>
      <c r="L835" s="9" t="b">
        <f t="shared" si="64"/>
        <v>1</v>
      </c>
      <c r="M835" s="1" t="b">
        <f>IF(OR(入力シート!$C$5&lt;&gt;入力リスト!$N$4,入力シート!$J$22&lt;&gt;入力リスト!$K$4),TRUE,IF($F$2=入力リスト!$Q$4,IF(F835-INT(F835)&lt;0.6,TRUE,FALSE),TRUE))</f>
        <v>1</v>
      </c>
      <c r="N835" s="9" t="str">
        <f>IF(F835="","",IF($F$2=入力リスト!$Q$4,ROUNDDOWN(INT(F835)+ROUNDDOWN((F835-INT(F835))*100,0)/60,2),従業員の給与情報!F835))</f>
        <v/>
      </c>
      <c r="O835" s="8"/>
      <c r="P835" s="8"/>
    </row>
    <row r="836" spans="1:16">
      <c r="A836" s="119"/>
      <c r="B836" s="2"/>
      <c r="C836" s="369"/>
      <c r="D836" s="369"/>
      <c r="E836" s="369"/>
      <c r="F836" s="370"/>
      <c r="G836" s="248" t="str">
        <f t="shared" si="60"/>
        <v/>
      </c>
      <c r="H836" s="1" t="b">
        <f>IF(B836="",FALSE,COUNTIF('従業員情報(給与以外)'!$A$4:$A$1000000,$B836)=0)</f>
        <v>0</v>
      </c>
      <c r="I836" s="9" t="b">
        <f t="shared" si="61"/>
        <v>1</v>
      </c>
      <c r="J836" s="9" t="b">
        <f t="shared" si="62"/>
        <v>1</v>
      </c>
      <c r="K836" s="9" t="b">
        <f t="shared" si="63"/>
        <v>1</v>
      </c>
      <c r="L836" s="9" t="b">
        <f t="shared" si="64"/>
        <v>1</v>
      </c>
      <c r="M836" s="1" t="b">
        <f>IF(OR(入力シート!$C$5&lt;&gt;入力リスト!$N$4,入力シート!$J$22&lt;&gt;入力リスト!$K$4),TRUE,IF($F$2=入力リスト!$Q$4,IF(F836-INT(F836)&lt;0.6,TRUE,FALSE),TRUE))</f>
        <v>1</v>
      </c>
      <c r="N836" s="9" t="str">
        <f>IF(F836="","",IF($F$2=入力リスト!$Q$4,ROUNDDOWN(INT(F836)+ROUNDDOWN((F836-INT(F836))*100,0)/60,2),従業員の給与情報!F836))</f>
        <v/>
      </c>
      <c r="O836" s="8"/>
      <c r="P836" s="8"/>
    </row>
    <row r="837" spans="1:16">
      <c r="A837" s="119"/>
      <c r="B837" s="2"/>
      <c r="C837" s="369"/>
      <c r="D837" s="369"/>
      <c r="E837" s="369"/>
      <c r="F837" s="370"/>
      <c r="G837" s="248" t="str">
        <f t="shared" ref="G837:G900" si="65">IF(AND($B837="",OR(B837&lt;&gt;"",C837&lt;&gt;"",D837&lt;&gt;"",E837&lt;&gt;"",F837&lt;&gt;"")),"従業員番号が空白です。",IF($H837=TRUE,"この従業員番号は、シート［従業員情報（給与以外）］に存在しません。",IF(I837=FALSE,"「毎月の固定給与額」","")&amp;IF(AND(I837=FALSE,OR(J837=FALSE,K837=FALSE,L837=FALSE)),",","")&amp;IF(J837=FALSE,"「賞与額等」","")&amp;IF(AND(J837=FALSE,OR(K837=FALSE,L837=FALSE)),",","")&amp;IF(K837=FALSE,"「残業手当」","")&amp;IF(AND(K837=FALSE,L837=FALSE),",","")&amp;IF(L837=FALSE,"「残業時間」","")&amp;IF(OR(I837=FALSE,J837=FALSE,K837=FALSE,L837=FALSE),"に数値以外が入力されています。","")&amp;IF(M837,"","「残業時間」を分単位で入力した場合、小数点以下の値は0.6未満にしてください。")))</f>
        <v/>
      </c>
      <c r="H837" s="1" t="b">
        <f>IF(B837="",FALSE,COUNTIF('従業員情報(給与以外)'!$A$4:$A$1000000,$B837)=0)</f>
        <v>0</v>
      </c>
      <c r="I837" s="9" t="b">
        <f t="shared" ref="I837:I900" si="66">OR(C837="",ISNUMBER(C837))</f>
        <v>1</v>
      </c>
      <c r="J837" s="9" t="b">
        <f t="shared" ref="J837:J900" si="67">OR(D837="",ISNUMBER(D837))</f>
        <v>1</v>
      </c>
      <c r="K837" s="9" t="b">
        <f t="shared" ref="K837:K900" si="68">OR(E837="",ISNUMBER(E837))</f>
        <v>1</v>
      </c>
      <c r="L837" s="9" t="b">
        <f t="shared" ref="L837:L900" si="69">OR(F837="",ISNUMBER(F837))</f>
        <v>1</v>
      </c>
      <c r="M837" s="1" t="b">
        <f>IF(OR(入力シート!$C$5&lt;&gt;入力リスト!$N$4,入力シート!$J$22&lt;&gt;入力リスト!$K$4),TRUE,IF($F$2=入力リスト!$Q$4,IF(F837-INT(F837)&lt;0.6,TRUE,FALSE),TRUE))</f>
        <v>1</v>
      </c>
      <c r="N837" s="9" t="str">
        <f>IF(F837="","",IF($F$2=入力リスト!$Q$4,ROUNDDOWN(INT(F837)+ROUNDDOWN((F837-INT(F837))*100,0)/60,2),従業員の給与情報!F837))</f>
        <v/>
      </c>
      <c r="O837" s="8"/>
      <c r="P837" s="8"/>
    </row>
    <row r="838" spans="1:16">
      <c r="A838" s="119"/>
      <c r="B838" s="2"/>
      <c r="C838" s="369"/>
      <c r="D838" s="369"/>
      <c r="E838" s="369"/>
      <c r="F838" s="370"/>
      <c r="G838" s="248" t="str">
        <f t="shared" si="65"/>
        <v/>
      </c>
      <c r="H838" s="1" t="b">
        <f>IF(B838="",FALSE,COUNTIF('従業員情報(給与以外)'!$A$4:$A$1000000,$B838)=0)</f>
        <v>0</v>
      </c>
      <c r="I838" s="9" t="b">
        <f t="shared" si="66"/>
        <v>1</v>
      </c>
      <c r="J838" s="9" t="b">
        <f t="shared" si="67"/>
        <v>1</v>
      </c>
      <c r="K838" s="9" t="b">
        <f t="shared" si="68"/>
        <v>1</v>
      </c>
      <c r="L838" s="9" t="b">
        <f t="shared" si="69"/>
        <v>1</v>
      </c>
      <c r="M838" s="1" t="b">
        <f>IF(OR(入力シート!$C$5&lt;&gt;入力リスト!$N$4,入力シート!$J$22&lt;&gt;入力リスト!$K$4),TRUE,IF($F$2=入力リスト!$Q$4,IF(F838-INT(F838)&lt;0.6,TRUE,FALSE),TRUE))</f>
        <v>1</v>
      </c>
      <c r="N838" s="9" t="str">
        <f>IF(F838="","",IF($F$2=入力リスト!$Q$4,ROUNDDOWN(INT(F838)+ROUNDDOWN((F838-INT(F838))*100,0)/60,2),従業員の給与情報!F838))</f>
        <v/>
      </c>
      <c r="O838" s="8"/>
      <c r="P838" s="8"/>
    </row>
    <row r="839" spans="1:16">
      <c r="A839" s="119"/>
      <c r="B839" s="2"/>
      <c r="C839" s="369"/>
      <c r="D839" s="369"/>
      <c r="E839" s="369"/>
      <c r="F839" s="370"/>
      <c r="G839" s="248" t="str">
        <f t="shared" si="65"/>
        <v/>
      </c>
      <c r="H839" s="1" t="b">
        <f>IF(B839="",FALSE,COUNTIF('従業員情報(給与以外)'!$A$4:$A$1000000,$B839)=0)</f>
        <v>0</v>
      </c>
      <c r="I839" s="9" t="b">
        <f t="shared" si="66"/>
        <v>1</v>
      </c>
      <c r="J839" s="9" t="b">
        <f t="shared" si="67"/>
        <v>1</v>
      </c>
      <c r="K839" s="9" t="b">
        <f t="shared" si="68"/>
        <v>1</v>
      </c>
      <c r="L839" s="9" t="b">
        <f t="shared" si="69"/>
        <v>1</v>
      </c>
      <c r="M839" s="1" t="b">
        <f>IF(OR(入力シート!$C$5&lt;&gt;入力リスト!$N$4,入力シート!$J$22&lt;&gt;入力リスト!$K$4),TRUE,IF($F$2=入力リスト!$Q$4,IF(F839-INT(F839)&lt;0.6,TRUE,FALSE),TRUE))</f>
        <v>1</v>
      </c>
      <c r="N839" s="9" t="str">
        <f>IF(F839="","",IF($F$2=入力リスト!$Q$4,ROUNDDOWN(INT(F839)+ROUNDDOWN((F839-INT(F839))*100,0)/60,2),従業員の給与情報!F839))</f>
        <v/>
      </c>
      <c r="O839" s="8"/>
      <c r="P839" s="8"/>
    </row>
    <row r="840" spans="1:16">
      <c r="A840" s="119"/>
      <c r="B840" s="2"/>
      <c r="C840" s="369"/>
      <c r="D840" s="369"/>
      <c r="E840" s="369"/>
      <c r="F840" s="370"/>
      <c r="G840" s="248" t="str">
        <f t="shared" si="65"/>
        <v/>
      </c>
      <c r="H840" s="1" t="b">
        <f>IF(B840="",FALSE,COUNTIF('従業員情報(給与以外)'!$A$4:$A$1000000,$B840)=0)</f>
        <v>0</v>
      </c>
      <c r="I840" s="9" t="b">
        <f t="shared" si="66"/>
        <v>1</v>
      </c>
      <c r="J840" s="9" t="b">
        <f t="shared" si="67"/>
        <v>1</v>
      </c>
      <c r="K840" s="9" t="b">
        <f t="shared" si="68"/>
        <v>1</v>
      </c>
      <c r="L840" s="9" t="b">
        <f t="shared" si="69"/>
        <v>1</v>
      </c>
      <c r="M840" s="1" t="b">
        <f>IF(OR(入力シート!$C$5&lt;&gt;入力リスト!$N$4,入力シート!$J$22&lt;&gt;入力リスト!$K$4),TRUE,IF($F$2=入力リスト!$Q$4,IF(F840-INT(F840)&lt;0.6,TRUE,FALSE),TRUE))</f>
        <v>1</v>
      </c>
      <c r="N840" s="9" t="str">
        <f>IF(F840="","",IF($F$2=入力リスト!$Q$4,ROUNDDOWN(INT(F840)+ROUNDDOWN((F840-INT(F840))*100,0)/60,2),従業員の給与情報!F840))</f>
        <v/>
      </c>
      <c r="O840" s="8"/>
      <c r="P840" s="8"/>
    </row>
    <row r="841" spans="1:16">
      <c r="A841" s="119"/>
      <c r="B841" s="2"/>
      <c r="C841" s="369"/>
      <c r="D841" s="369"/>
      <c r="E841" s="369"/>
      <c r="F841" s="370"/>
      <c r="G841" s="248" t="str">
        <f t="shared" si="65"/>
        <v/>
      </c>
      <c r="H841" s="1" t="b">
        <f>IF(B841="",FALSE,COUNTIF('従業員情報(給与以外)'!$A$4:$A$1000000,$B841)=0)</f>
        <v>0</v>
      </c>
      <c r="I841" s="9" t="b">
        <f t="shared" si="66"/>
        <v>1</v>
      </c>
      <c r="J841" s="9" t="b">
        <f t="shared" si="67"/>
        <v>1</v>
      </c>
      <c r="K841" s="9" t="b">
        <f t="shared" si="68"/>
        <v>1</v>
      </c>
      <c r="L841" s="9" t="b">
        <f t="shared" si="69"/>
        <v>1</v>
      </c>
      <c r="M841" s="1" t="b">
        <f>IF(OR(入力シート!$C$5&lt;&gt;入力リスト!$N$4,入力シート!$J$22&lt;&gt;入力リスト!$K$4),TRUE,IF($F$2=入力リスト!$Q$4,IF(F841-INT(F841)&lt;0.6,TRUE,FALSE),TRUE))</f>
        <v>1</v>
      </c>
      <c r="N841" s="9" t="str">
        <f>IF(F841="","",IF($F$2=入力リスト!$Q$4,ROUNDDOWN(INT(F841)+ROUNDDOWN((F841-INT(F841))*100,0)/60,2),従業員の給与情報!F841))</f>
        <v/>
      </c>
      <c r="O841" s="8"/>
      <c r="P841" s="8"/>
    </row>
    <row r="842" spans="1:16">
      <c r="A842" s="119"/>
      <c r="B842" s="2"/>
      <c r="C842" s="369"/>
      <c r="D842" s="369"/>
      <c r="E842" s="369"/>
      <c r="F842" s="370"/>
      <c r="G842" s="248" t="str">
        <f t="shared" si="65"/>
        <v/>
      </c>
      <c r="H842" s="1" t="b">
        <f>IF(B842="",FALSE,COUNTIF('従業員情報(給与以外)'!$A$4:$A$1000000,$B842)=0)</f>
        <v>0</v>
      </c>
      <c r="I842" s="9" t="b">
        <f t="shared" si="66"/>
        <v>1</v>
      </c>
      <c r="J842" s="9" t="b">
        <f t="shared" si="67"/>
        <v>1</v>
      </c>
      <c r="K842" s="9" t="b">
        <f t="shared" si="68"/>
        <v>1</v>
      </c>
      <c r="L842" s="9" t="b">
        <f t="shared" si="69"/>
        <v>1</v>
      </c>
      <c r="M842" s="1" t="b">
        <f>IF(OR(入力シート!$C$5&lt;&gt;入力リスト!$N$4,入力シート!$J$22&lt;&gt;入力リスト!$K$4),TRUE,IF($F$2=入力リスト!$Q$4,IF(F842-INT(F842)&lt;0.6,TRUE,FALSE),TRUE))</f>
        <v>1</v>
      </c>
      <c r="N842" s="9" t="str">
        <f>IF(F842="","",IF($F$2=入力リスト!$Q$4,ROUNDDOWN(INT(F842)+ROUNDDOWN((F842-INT(F842))*100,0)/60,2),従業員の給与情報!F842))</f>
        <v/>
      </c>
      <c r="O842" s="8"/>
      <c r="P842" s="8"/>
    </row>
    <row r="843" spans="1:16">
      <c r="A843" s="119"/>
      <c r="B843" s="2"/>
      <c r="C843" s="369"/>
      <c r="D843" s="369"/>
      <c r="E843" s="369"/>
      <c r="F843" s="370"/>
      <c r="G843" s="248" t="str">
        <f t="shared" si="65"/>
        <v/>
      </c>
      <c r="H843" s="1" t="b">
        <f>IF(B843="",FALSE,COUNTIF('従業員情報(給与以外)'!$A$4:$A$1000000,$B843)=0)</f>
        <v>0</v>
      </c>
      <c r="I843" s="9" t="b">
        <f t="shared" si="66"/>
        <v>1</v>
      </c>
      <c r="J843" s="9" t="b">
        <f t="shared" si="67"/>
        <v>1</v>
      </c>
      <c r="K843" s="9" t="b">
        <f t="shared" si="68"/>
        <v>1</v>
      </c>
      <c r="L843" s="9" t="b">
        <f t="shared" si="69"/>
        <v>1</v>
      </c>
      <c r="M843" s="1" t="b">
        <f>IF(OR(入力シート!$C$5&lt;&gt;入力リスト!$N$4,入力シート!$J$22&lt;&gt;入力リスト!$K$4),TRUE,IF($F$2=入力リスト!$Q$4,IF(F843-INT(F843)&lt;0.6,TRUE,FALSE),TRUE))</f>
        <v>1</v>
      </c>
      <c r="N843" s="9" t="str">
        <f>IF(F843="","",IF($F$2=入力リスト!$Q$4,ROUNDDOWN(INT(F843)+ROUNDDOWN((F843-INT(F843))*100,0)/60,2),従業員の給与情報!F843))</f>
        <v/>
      </c>
      <c r="O843" s="8"/>
      <c r="P843" s="8"/>
    </row>
    <row r="844" spans="1:16">
      <c r="A844" s="119"/>
      <c r="B844" s="2"/>
      <c r="C844" s="369"/>
      <c r="D844" s="369"/>
      <c r="E844" s="369"/>
      <c r="F844" s="370"/>
      <c r="G844" s="248" t="str">
        <f t="shared" si="65"/>
        <v/>
      </c>
      <c r="H844" s="1" t="b">
        <f>IF(B844="",FALSE,COUNTIF('従業員情報(給与以外)'!$A$4:$A$1000000,$B844)=0)</f>
        <v>0</v>
      </c>
      <c r="I844" s="9" t="b">
        <f t="shared" si="66"/>
        <v>1</v>
      </c>
      <c r="J844" s="9" t="b">
        <f t="shared" si="67"/>
        <v>1</v>
      </c>
      <c r="K844" s="9" t="b">
        <f t="shared" si="68"/>
        <v>1</v>
      </c>
      <c r="L844" s="9" t="b">
        <f t="shared" si="69"/>
        <v>1</v>
      </c>
      <c r="M844" s="1" t="b">
        <f>IF(OR(入力シート!$C$5&lt;&gt;入力リスト!$N$4,入力シート!$J$22&lt;&gt;入力リスト!$K$4),TRUE,IF($F$2=入力リスト!$Q$4,IF(F844-INT(F844)&lt;0.6,TRUE,FALSE),TRUE))</f>
        <v>1</v>
      </c>
      <c r="N844" s="9" t="str">
        <f>IF(F844="","",IF($F$2=入力リスト!$Q$4,ROUNDDOWN(INT(F844)+ROUNDDOWN((F844-INT(F844))*100,0)/60,2),従業員の給与情報!F844))</f>
        <v/>
      </c>
      <c r="O844" s="8"/>
      <c r="P844" s="8"/>
    </row>
    <row r="845" spans="1:16">
      <c r="A845" s="119"/>
      <c r="B845" s="2"/>
      <c r="C845" s="369"/>
      <c r="D845" s="369"/>
      <c r="E845" s="369"/>
      <c r="F845" s="370"/>
      <c r="G845" s="248" t="str">
        <f t="shared" si="65"/>
        <v/>
      </c>
      <c r="H845" s="1" t="b">
        <f>IF(B845="",FALSE,COUNTIF('従業員情報(給与以外)'!$A$4:$A$1000000,$B845)=0)</f>
        <v>0</v>
      </c>
      <c r="I845" s="9" t="b">
        <f t="shared" si="66"/>
        <v>1</v>
      </c>
      <c r="J845" s="9" t="b">
        <f t="shared" si="67"/>
        <v>1</v>
      </c>
      <c r="K845" s="9" t="b">
        <f t="shared" si="68"/>
        <v>1</v>
      </c>
      <c r="L845" s="9" t="b">
        <f t="shared" si="69"/>
        <v>1</v>
      </c>
      <c r="M845" s="1" t="b">
        <f>IF(OR(入力シート!$C$5&lt;&gt;入力リスト!$N$4,入力シート!$J$22&lt;&gt;入力リスト!$K$4),TRUE,IF($F$2=入力リスト!$Q$4,IF(F845-INT(F845)&lt;0.6,TRUE,FALSE),TRUE))</f>
        <v>1</v>
      </c>
      <c r="N845" s="9" t="str">
        <f>IF(F845="","",IF($F$2=入力リスト!$Q$4,ROUNDDOWN(INT(F845)+ROUNDDOWN((F845-INT(F845))*100,0)/60,2),従業員の給与情報!F845))</f>
        <v/>
      </c>
      <c r="O845" s="8"/>
      <c r="P845" s="8"/>
    </row>
    <row r="846" spans="1:16">
      <c r="A846" s="119"/>
      <c r="B846" s="2"/>
      <c r="C846" s="369"/>
      <c r="D846" s="369"/>
      <c r="E846" s="369"/>
      <c r="F846" s="370"/>
      <c r="G846" s="248" t="str">
        <f t="shared" si="65"/>
        <v/>
      </c>
      <c r="H846" s="1" t="b">
        <f>IF(B846="",FALSE,COUNTIF('従業員情報(給与以外)'!$A$4:$A$1000000,$B846)=0)</f>
        <v>0</v>
      </c>
      <c r="I846" s="9" t="b">
        <f t="shared" si="66"/>
        <v>1</v>
      </c>
      <c r="J846" s="9" t="b">
        <f t="shared" si="67"/>
        <v>1</v>
      </c>
      <c r="K846" s="9" t="b">
        <f t="shared" si="68"/>
        <v>1</v>
      </c>
      <c r="L846" s="9" t="b">
        <f t="shared" si="69"/>
        <v>1</v>
      </c>
      <c r="M846" s="1" t="b">
        <f>IF(OR(入力シート!$C$5&lt;&gt;入力リスト!$N$4,入力シート!$J$22&lt;&gt;入力リスト!$K$4),TRUE,IF($F$2=入力リスト!$Q$4,IF(F846-INT(F846)&lt;0.6,TRUE,FALSE),TRUE))</f>
        <v>1</v>
      </c>
      <c r="N846" s="9" t="str">
        <f>IF(F846="","",IF($F$2=入力リスト!$Q$4,ROUNDDOWN(INT(F846)+ROUNDDOWN((F846-INT(F846))*100,0)/60,2),従業員の給与情報!F846))</f>
        <v/>
      </c>
      <c r="O846" s="8"/>
      <c r="P846" s="8"/>
    </row>
    <row r="847" spans="1:16">
      <c r="A847" s="119"/>
      <c r="B847" s="2"/>
      <c r="C847" s="369"/>
      <c r="D847" s="369"/>
      <c r="E847" s="369"/>
      <c r="F847" s="370"/>
      <c r="G847" s="248" t="str">
        <f t="shared" si="65"/>
        <v/>
      </c>
      <c r="H847" s="1" t="b">
        <f>IF(B847="",FALSE,COUNTIF('従業員情報(給与以外)'!$A$4:$A$1000000,$B847)=0)</f>
        <v>0</v>
      </c>
      <c r="I847" s="9" t="b">
        <f t="shared" si="66"/>
        <v>1</v>
      </c>
      <c r="J847" s="9" t="b">
        <f t="shared" si="67"/>
        <v>1</v>
      </c>
      <c r="K847" s="9" t="b">
        <f t="shared" si="68"/>
        <v>1</v>
      </c>
      <c r="L847" s="9" t="b">
        <f t="shared" si="69"/>
        <v>1</v>
      </c>
      <c r="M847" s="1" t="b">
        <f>IF(OR(入力シート!$C$5&lt;&gt;入力リスト!$N$4,入力シート!$J$22&lt;&gt;入力リスト!$K$4),TRUE,IF($F$2=入力リスト!$Q$4,IF(F847-INT(F847)&lt;0.6,TRUE,FALSE),TRUE))</f>
        <v>1</v>
      </c>
      <c r="N847" s="9" t="str">
        <f>IF(F847="","",IF($F$2=入力リスト!$Q$4,ROUNDDOWN(INT(F847)+ROUNDDOWN((F847-INT(F847))*100,0)/60,2),従業員の給与情報!F847))</f>
        <v/>
      </c>
      <c r="O847" s="8"/>
      <c r="P847" s="8"/>
    </row>
    <row r="848" spans="1:16">
      <c r="A848" s="119"/>
      <c r="B848" s="2"/>
      <c r="C848" s="369"/>
      <c r="D848" s="369"/>
      <c r="E848" s="369"/>
      <c r="F848" s="370"/>
      <c r="G848" s="248" t="str">
        <f t="shared" si="65"/>
        <v/>
      </c>
      <c r="H848" s="1" t="b">
        <f>IF(B848="",FALSE,COUNTIF('従業員情報(給与以外)'!$A$4:$A$1000000,$B848)=0)</f>
        <v>0</v>
      </c>
      <c r="I848" s="9" t="b">
        <f t="shared" si="66"/>
        <v>1</v>
      </c>
      <c r="J848" s="9" t="b">
        <f t="shared" si="67"/>
        <v>1</v>
      </c>
      <c r="K848" s="9" t="b">
        <f t="shared" si="68"/>
        <v>1</v>
      </c>
      <c r="L848" s="9" t="b">
        <f t="shared" si="69"/>
        <v>1</v>
      </c>
      <c r="M848" s="1" t="b">
        <f>IF(OR(入力シート!$C$5&lt;&gt;入力リスト!$N$4,入力シート!$J$22&lt;&gt;入力リスト!$K$4),TRUE,IF($F$2=入力リスト!$Q$4,IF(F848-INT(F848)&lt;0.6,TRUE,FALSE),TRUE))</f>
        <v>1</v>
      </c>
      <c r="N848" s="9" t="str">
        <f>IF(F848="","",IF($F$2=入力リスト!$Q$4,ROUNDDOWN(INT(F848)+ROUNDDOWN((F848-INT(F848))*100,0)/60,2),従業員の給与情報!F848))</f>
        <v/>
      </c>
      <c r="O848" s="8"/>
      <c r="P848" s="8"/>
    </row>
    <row r="849" spans="1:16">
      <c r="A849" s="119"/>
      <c r="B849" s="2"/>
      <c r="C849" s="369"/>
      <c r="D849" s="369"/>
      <c r="E849" s="369"/>
      <c r="F849" s="370"/>
      <c r="G849" s="248" t="str">
        <f t="shared" si="65"/>
        <v/>
      </c>
      <c r="H849" s="1" t="b">
        <f>IF(B849="",FALSE,COUNTIF('従業員情報(給与以外)'!$A$4:$A$1000000,$B849)=0)</f>
        <v>0</v>
      </c>
      <c r="I849" s="9" t="b">
        <f t="shared" si="66"/>
        <v>1</v>
      </c>
      <c r="J849" s="9" t="b">
        <f t="shared" si="67"/>
        <v>1</v>
      </c>
      <c r="K849" s="9" t="b">
        <f t="shared" si="68"/>
        <v>1</v>
      </c>
      <c r="L849" s="9" t="b">
        <f t="shared" si="69"/>
        <v>1</v>
      </c>
      <c r="M849" s="1" t="b">
        <f>IF(OR(入力シート!$C$5&lt;&gt;入力リスト!$N$4,入力シート!$J$22&lt;&gt;入力リスト!$K$4),TRUE,IF($F$2=入力リスト!$Q$4,IF(F849-INT(F849)&lt;0.6,TRUE,FALSE),TRUE))</f>
        <v>1</v>
      </c>
      <c r="N849" s="9" t="str">
        <f>IF(F849="","",IF($F$2=入力リスト!$Q$4,ROUNDDOWN(INT(F849)+ROUNDDOWN((F849-INT(F849))*100,0)/60,2),従業員の給与情報!F849))</f>
        <v/>
      </c>
      <c r="O849" s="8"/>
      <c r="P849" s="8"/>
    </row>
    <row r="850" spans="1:16">
      <c r="A850" s="119"/>
      <c r="B850" s="2"/>
      <c r="C850" s="369"/>
      <c r="D850" s="369"/>
      <c r="E850" s="369"/>
      <c r="F850" s="370"/>
      <c r="G850" s="248" t="str">
        <f t="shared" si="65"/>
        <v/>
      </c>
      <c r="H850" s="1" t="b">
        <f>IF(B850="",FALSE,COUNTIF('従業員情報(給与以外)'!$A$4:$A$1000000,$B850)=0)</f>
        <v>0</v>
      </c>
      <c r="I850" s="9" t="b">
        <f t="shared" si="66"/>
        <v>1</v>
      </c>
      <c r="J850" s="9" t="b">
        <f t="shared" si="67"/>
        <v>1</v>
      </c>
      <c r="K850" s="9" t="b">
        <f t="shared" si="68"/>
        <v>1</v>
      </c>
      <c r="L850" s="9" t="b">
        <f t="shared" si="69"/>
        <v>1</v>
      </c>
      <c r="M850" s="1" t="b">
        <f>IF(OR(入力シート!$C$5&lt;&gt;入力リスト!$N$4,入力シート!$J$22&lt;&gt;入力リスト!$K$4),TRUE,IF($F$2=入力リスト!$Q$4,IF(F850-INT(F850)&lt;0.6,TRUE,FALSE),TRUE))</f>
        <v>1</v>
      </c>
      <c r="N850" s="9" t="str">
        <f>IF(F850="","",IF($F$2=入力リスト!$Q$4,ROUNDDOWN(INT(F850)+ROUNDDOWN((F850-INT(F850))*100,0)/60,2),従業員の給与情報!F850))</f>
        <v/>
      </c>
      <c r="O850" s="8"/>
      <c r="P850" s="8"/>
    </row>
    <row r="851" spans="1:16">
      <c r="A851" s="119"/>
      <c r="B851" s="2"/>
      <c r="C851" s="369"/>
      <c r="D851" s="369"/>
      <c r="E851" s="369"/>
      <c r="F851" s="370"/>
      <c r="G851" s="248" t="str">
        <f t="shared" si="65"/>
        <v/>
      </c>
      <c r="H851" s="1" t="b">
        <f>IF(B851="",FALSE,COUNTIF('従業員情報(給与以外)'!$A$4:$A$1000000,$B851)=0)</f>
        <v>0</v>
      </c>
      <c r="I851" s="9" t="b">
        <f t="shared" si="66"/>
        <v>1</v>
      </c>
      <c r="J851" s="9" t="b">
        <f t="shared" si="67"/>
        <v>1</v>
      </c>
      <c r="K851" s="9" t="b">
        <f t="shared" si="68"/>
        <v>1</v>
      </c>
      <c r="L851" s="9" t="b">
        <f t="shared" si="69"/>
        <v>1</v>
      </c>
      <c r="M851" s="1" t="b">
        <f>IF(OR(入力シート!$C$5&lt;&gt;入力リスト!$N$4,入力シート!$J$22&lt;&gt;入力リスト!$K$4),TRUE,IF($F$2=入力リスト!$Q$4,IF(F851-INT(F851)&lt;0.6,TRUE,FALSE),TRUE))</f>
        <v>1</v>
      </c>
      <c r="N851" s="9" t="str">
        <f>IF(F851="","",IF($F$2=入力リスト!$Q$4,ROUNDDOWN(INT(F851)+ROUNDDOWN((F851-INT(F851))*100,0)/60,2),従業員の給与情報!F851))</f>
        <v/>
      </c>
      <c r="O851" s="8"/>
      <c r="P851" s="8"/>
    </row>
    <row r="852" spans="1:16">
      <c r="A852" s="119"/>
      <c r="B852" s="2"/>
      <c r="C852" s="369"/>
      <c r="D852" s="369"/>
      <c r="E852" s="369"/>
      <c r="F852" s="370"/>
      <c r="G852" s="248" t="str">
        <f t="shared" si="65"/>
        <v/>
      </c>
      <c r="H852" s="1" t="b">
        <f>IF(B852="",FALSE,COUNTIF('従業員情報(給与以外)'!$A$4:$A$1000000,$B852)=0)</f>
        <v>0</v>
      </c>
      <c r="I852" s="9" t="b">
        <f t="shared" si="66"/>
        <v>1</v>
      </c>
      <c r="J852" s="9" t="b">
        <f t="shared" si="67"/>
        <v>1</v>
      </c>
      <c r="K852" s="9" t="b">
        <f t="shared" si="68"/>
        <v>1</v>
      </c>
      <c r="L852" s="9" t="b">
        <f t="shared" si="69"/>
        <v>1</v>
      </c>
      <c r="M852" s="1" t="b">
        <f>IF(OR(入力シート!$C$5&lt;&gt;入力リスト!$N$4,入力シート!$J$22&lt;&gt;入力リスト!$K$4),TRUE,IF($F$2=入力リスト!$Q$4,IF(F852-INT(F852)&lt;0.6,TRUE,FALSE),TRUE))</f>
        <v>1</v>
      </c>
      <c r="N852" s="9" t="str">
        <f>IF(F852="","",IF($F$2=入力リスト!$Q$4,ROUNDDOWN(INT(F852)+ROUNDDOWN((F852-INT(F852))*100,0)/60,2),従業員の給与情報!F852))</f>
        <v/>
      </c>
      <c r="O852" s="8"/>
      <c r="P852" s="8"/>
    </row>
    <row r="853" spans="1:16">
      <c r="A853" s="119"/>
      <c r="B853" s="2"/>
      <c r="C853" s="369"/>
      <c r="D853" s="369"/>
      <c r="E853" s="369"/>
      <c r="F853" s="370"/>
      <c r="G853" s="248" t="str">
        <f t="shared" si="65"/>
        <v/>
      </c>
      <c r="H853" s="1" t="b">
        <f>IF(B853="",FALSE,COUNTIF('従業員情報(給与以外)'!$A$4:$A$1000000,$B853)=0)</f>
        <v>0</v>
      </c>
      <c r="I853" s="9" t="b">
        <f t="shared" si="66"/>
        <v>1</v>
      </c>
      <c r="J853" s="9" t="b">
        <f t="shared" si="67"/>
        <v>1</v>
      </c>
      <c r="K853" s="9" t="b">
        <f t="shared" si="68"/>
        <v>1</v>
      </c>
      <c r="L853" s="9" t="b">
        <f t="shared" si="69"/>
        <v>1</v>
      </c>
      <c r="M853" s="1" t="b">
        <f>IF(OR(入力シート!$C$5&lt;&gt;入力リスト!$N$4,入力シート!$J$22&lt;&gt;入力リスト!$K$4),TRUE,IF($F$2=入力リスト!$Q$4,IF(F853-INT(F853)&lt;0.6,TRUE,FALSE),TRUE))</f>
        <v>1</v>
      </c>
      <c r="N853" s="9" t="str">
        <f>IF(F853="","",IF($F$2=入力リスト!$Q$4,ROUNDDOWN(INT(F853)+ROUNDDOWN((F853-INT(F853))*100,0)/60,2),従業員の給与情報!F853))</f>
        <v/>
      </c>
      <c r="O853" s="8"/>
      <c r="P853" s="8"/>
    </row>
    <row r="854" spans="1:16">
      <c r="A854" s="119"/>
      <c r="B854" s="2"/>
      <c r="C854" s="369"/>
      <c r="D854" s="369"/>
      <c r="E854" s="369"/>
      <c r="F854" s="370"/>
      <c r="G854" s="248" t="str">
        <f t="shared" si="65"/>
        <v/>
      </c>
      <c r="H854" s="1" t="b">
        <f>IF(B854="",FALSE,COUNTIF('従業員情報(給与以外)'!$A$4:$A$1000000,$B854)=0)</f>
        <v>0</v>
      </c>
      <c r="I854" s="9" t="b">
        <f t="shared" si="66"/>
        <v>1</v>
      </c>
      <c r="J854" s="9" t="b">
        <f t="shared" si="67"/>
        <v>1</v>
      </c>
      <c r="K854" s="9" t="b">
        <f t="shared" si="68"/>
        <v>1</v>
      </c>
      <c r="L854" s="9" t="b">
        <f t="shared" si="69"/>
        <v>1</v>
      </c>
      <c r="M854" s="1" t="b">
        <f>IF(OR(入力シート!$C$5&lt;&gt;入力リスト!$N$4,入力シート!$J$22&lt;&gt;入力リスト!$K$4),TRUE,IF($F$2=入力リスト!$Q$4,IF(F854-INT(F854)&lt;0.6,TRUE,FALSE),TRUE))</f>
        <v>1</v>
      </c>
      <c r="N854" s="9" t="str">
        <f>IF(F854="","",IF($F$2=入力リスト!$Q$4,ROUNDDOWN(INT(F854)+ROUNDDOWN((F854-INT(F854))*100,0)/60,2),従業員の給与情報!F854))</f>
        <v/>
      </c>
      <c r="O854" s="8"/>
      <c r="P854" s="8"/>
    </row>
    <row r="855" spans="1:16">
      <c r="A855" s="119"/>
      <c r="B855" s="2"/>
      <c r="C855" s="369"/>
      <c r="D855" s="369"/>
      <c r="E855" s="369"/>
      <c r="F855" s="370"/>
      <c r="G855" s="248" t="str">
        <f t="shared" si="65"/>
        <v/>
      </c>
      <c r="H855" s="1" t="b">
        <f>IF(B855="",FALSE,COUNTIF('従業員情報(給与以外)'!$A$4:$A$1000000,$B855)=0)</f>
        <v>0</v>
      </c>
      <c r="I855" s="9" t="b">
        <f t="shared" si="66"/>
        <v>1</v>
      </c>
      <c r="J855" s="9" t="b">
        <f t="shared" si="67"/>
        <v>1</v>
      </c>
      <c r="K855" s="9" t="b">
        <f t="shared" si="68"/>
        <v>1</v>
      </c>
      <c r="L855" s="9" t="b">
        <f t="shared" si="69"/>
        <v>1</v>
      </c>
      <c r="M855" s="1" t="b">
        <f>IF(OR(入力シート!$C$5&lt;&gt;入力リスト!$N$4,入力シート!$J$22&lt;&gt;入力リスト!$K$4),TRUE,IF($F$2=入力リスト!$Q$4,IF(F855-INT(F855)&lt;0.6,TRUE,FALSE),TRUE))</f>
        <v>1</v>
      </c>
      <c r="N855" s="9" t="str">
        <f>IF(F855="","",IF($F$2=入力リスト!$Q$4,ROUNDDOWN(INT(F855)+ROUNDDOWN((F855-INT(F855))*100,0)/60,2),従業員の給与情報!F855))</f>
        <v/>
      </c>
      <c r="O855" s="8"/>
      <c r="P855" s="8"/>
    </row>
    <row r="856" spans="1:16">
      <c r="A856" s="119"/>
      <c r="B856" s="2"/>
      <c r="C856" s="369"/>
      <c r="D856" s="369"/>
      <c r="E856" s="369"/>
      <c r="F856" s="370"/>
      <c r="G856" s="248" t="str">
        <f t="shared" si="65"/>
        <v/>
      </c>
      <c r="H856" s="1" t="b">
        <f>IF(B856="",FALSE,COUNTIF('従業員情報(給与以外)'!$A$4:$A$1000000,$B856)=0)</f>
        <v>0</v>
      </c>
      <c r="I856" s="9" t="b">
        <f t="shared" si="66"/>
        <v>1</v>
      </c>
      <c r="J856" s="9" t="b">
        <f t="shared" si="67"/>
        <v>1</v>
      </c>
      <c r="K856" s="9" t="b">
        <f t="shared" si="68"/>
        <v>1</v>
      </c>
      <c r="L856" s="9" t="b">
        <f t="shared" si="69"/>
        <v>1</v>
      </c>
      <c r="M856" s="1" t="b">
        <f>IF(OR(入力シート!$C$5&lt;&gt;入力リスト!$N$4,入力シート!$J$22&lt;&gt;入力リスト!$K$4),TRUE,IF($F$2=入力リスト!$Q$4,IF(F856-INT(F856)&lt;0.6,TRUE,FALSE),TRUE))</f>
        <v>1</v>
      </c>
      <c r="N856" s="9" t="str">
        <f>IF(F856="","",IF($F$2=入力リスト!$Q$4,ROUNDDOWN(INT(F856)+ROUNDDOWN((F856-INT(F856))*100,0)/60,2),従業員の給与情報!F856))</f>
        <v/>
      </c>
      <c r="O856" s="8"/>
      <c r="P856" s="8"/>
    </row>
    <row r="857" spans="1:16">
      <c r="A857" s="119"/>
      <c r="B857" s="2"/>
      <c r="C857" s="369"/>
      <c r="D857" s="369"/>
      <c r="E857" s="369"/>
      <c r="F857" s="370"/>
      <c r="G857" s="248" t="str">
        <f t="shared" si="65"/>
        <v/>
      </c>
      <c r="H857" s="1" t="b">
        <f>IF(B857="",FALSE,COUNTIF('従業員情報(給与以外)'!$A$4:$A$1000000,$B857)=0)</f>
        <v>0</v>
      </c>
      <c r="I857" s="9" t="b">
        <f t="shared" si="66"/>
        <v>1</v>
      </c>
      <c r="J857" s="9" t="b">
        <f t="shared" si="67"/>
        <v>1</v>
      </c>
      <c r="K857" s="9" t="b">
        <f t="shared" si="68"/>
        <v>1</v>
      </c>
      <c r="L857" s="9" t="b">
        <f t="shared" si="69"/>
        <v>1</v>
      </c>
      <c r="M857" s="1" t="b">
        <f>IF(OR(入力シート!$C$5&lt;&gt;入力リスト!$N$4,入力シート!$J$22&lt;&gt;入力リスト!$K$4),TRUE,IF($F$2=入力リスト!$Q$4,IF(F857-INT(F857)&lt;0.6,TRUE,FALSE),TRUE))</f>
        <v>1</v>
      </c>
      <c r="N857" s="9" t="str">
        <f>IF(F857="","",IF($F$2=入力リスト!$Q$4,ROUNDDOWN(INT(F857)+ROUNDDOWN((F857-INT(F857))*100,0)/60,2),従業員の給与情報!F857))</f>
        <v/>
      </c>
      <c r="O857" s="8"/>
      <c r="P857" s="8"/>
    </row>
    <row r="858" spans="1:16">
      <c r="A858" s="119"/>
      <c r="B858" s="2"/>
      <c r="C858" s="369"/>
      <c r="D858" s="369"/>
      <c r="E858" s="369"/>
      <c r="F858" s="370"/>
      <c r="G858" s="248" t="str">
        <f t="shared" si="65"/>
        <v/>
      </c>
      <c r="H858" s="1" t="b">
        <f>IF(B858="",FALSE,COUNTIF('従業員情報(給与以外)'!$A$4:$A$1000000,$B858)=0)</f>
        <v>0</v>
      </c>
      <c r="I858" s="9" t="b">
        <f t="shared" si="66"/>
        <v>1</v>
      </c>
      <c r="J858" s="9" t="b">
        <f t="shared" si="67"/>
        <v>1</v>
      </c>
      <c r="K858" s="9" t="b">
        <f t="shared" si="68"/>
        <v>1</v>
      </c>
      <c r="L858" s="9" t="b">
        <f t="shared" si="69"/>
        <v>1</v>
      </c>
      <c r="M858" s="1" t="b">
        <f>IF(OR(入力シート!$C$5&lt;&gt;入力リスト!$N$4,入力シート!$J$22&lt;&gt;入力リスト!$K$4),TRUE,IF($F$2=入力リスト!$Q$4,IF(F858-INT(F858)&lt;0.6,TRUE,FALSE),TRUE))</f>
        <v>1</v>
      </c>
      <c r="N858" s="9" t="str">
        <f>IF(F858="","",IF($F$2=入力リスト!$Q$4,ROUNDDOWN(INT(F858)+ROUNDDOWN((F858-INT(F858))*100,0)/60,2),従業員の給与情報!F858))</f>
        <v/>
      </c>
      <c r="O858" s="8"/>
      <c r="P858" s="8"/>
    </row>
    <row r="859" spans="1:16">
      <c r="A859" s="119"/>
      <c r="B859" s="2"/>
      <c r="C859" s="369"/>
      <c r="D859" s="369"/>
      <c r="E859" s="369"/>
      <c r="F859" s="370"/>
      <c r="G859" s="248" t="str">
        <f t="shared" si="65"/>
        <v/>
      </c>
      <c r="H859" s="1" t="b">
        <f>IF(B859="",FALSE,COUNTIF('従業員情報(給与以外)'!$A$4:$A$1000000,$B859)=0)</f>
        <v>0</v>
      </c>
      <c r="I859" s="9" t="b">
        <f t="shared" si="66"/>
        <v>1</v>
      </c>
      <c r="J859" s="9" t="b">
        <f t="shared" si="67"/>
        <v>1</v>
      </c>
      <c r="K859" s="9" t="b">
        <f t="shared" si="68"/>
        <v>1</v>
      </c>
      <c r="L859" s="9" t="b">
        <f t="shared" si="69"/>
        <v>1</v>
      </c>
      <c r="M859" s="1" t="b">
        <f>IF(OR(入力シート!$C$5&lt;&gt;入力リスト!$N$4,入力シート!$J$22&lt;&gt;入力リスト!$K$4),TRUE,IF($F$2=入力リスト!$Q$4,IF(F859-INT(F859)&lt;0.6,TRUE,FALSE),TRUE))</f>
        <v>1</v>
      </c>
      <c r="N859" s="9" t="str">
        <f>IF(F859="","",IF($F$2=入力リスト!$Q$4,ROUNDDOWN(INT(F859)+ROUNDDOWN((F859-INT(F859))*100,0)/60,2),従業員の給与情報!F859))</f>
        <v/>
      </c>
      <c r="O859" s="8"/>
      <c r="P859" s="8"/>
    </row>
    <row r="860" spans="1:16">
      <c r="A860" s="119"/>
      <c r="B860" s="2"/>
      <c r="C860" s="369"/>
      <c r="D860" s="369"/>
      <c r="E860" s="369"/>
      <c r="F860" s="370"/>
      <c r="G860" s="248" t="str">
        <f t="shared" si="65"/>
        <v/>
      </c>
      <c r="H860" s="1" t="b">
        <f>IF(B860="",FALSE,COUNTIF('従業員情報(給与以外)'!$A$4:$A$1000000,$B860)=0)</f>
        <v>0</v>
      </c>
      <c r="I860" s="9" t="b">
        <f t="shared" si="66"/>
        <v>1</v>
      </c>
      <c r="J860" s="9" t="b">
        <f t="shared" si="67"/>
        <v>1</v>
      </c>
      <c r="K860" s="9" t="b">
        <f t="shared" si="68"/>
        <v>1</v>
      </c>
      <c r="L860" s="9" t="b">
        <f t="shared" si="69"/>
        <v>1</v>
      </c>
      <c r="M860" s="1" t="b">
        <f>IF(OR(入力シート!$C$5&lt;&gt;入力リスト!$N$4,入力シート!$J$22&lt;&gt;入力リスト!$K$4),TRUE,IF($F$2=入力リスト!$Q$4,IF(F860-INT(F860)&lt;0.6,TRUE,FALSE),TRUE))</f>
        <v>1</v>
      </c>
      <c r="N860" s="9" t="str">
        <f>IF(F860="","",IF($F$2=入力リスト!$Q$4,ROUNDDOWN(INT(F860)+ROUNDDOWN((F860-INT(F860))*100,0)/60,2),従業員の給与情報!F860))</f>
        <v/>
      </c>
      <c r="O860" s="8"/>
      <c r="P860" s="8"/>
    </row>
    <row r="861" spans="1:16">
      <c r="A861" s="119"/>
      <c r="B861" s="2"/>
      <c r="C861" s="369"/>
      <c r="D861" s="369"/>
      <c r="E861" s="369"/>
      <c r="F861" s="370"/>
      <c r="G861" s="248" t="str">
        <f t="shared" si="65"/>
        <v/>
      </c>
      <c r="H861" s="1" t="b">
        <f>IF(B861="",FALSE,COUNTIF('従業員情報(給与以外)'!$A$4:$A$1000000,$B861)=0)</f>
        <v>0</v>
      </c>
      <c r="I861" s="9" t="b">
        <f t="shared" si="66"/>
        <v>1</v>
      </c>
      <c r="J861" s="9" t="b">
        <f t="shared" si="67"/>
        <v>1</v>
      </c>
      <c r="K861" s="9" t="b">
        <f t="shared" si="68"/>
        <v>1</v>
      </c>
      <c r="L861" s="9" t="b">
        <f t="shared" si="69"/>
        <v>1</v>
      </c>
      <c r="M861" s="1" t="b">
        <f>IF(OR(入力シート!$C$5&lt;&gt;入力リスト!$N$4,入力シート!$J$22&lt;&gt;入力リスト!$K$4),TRUE,IF($F$2=入力リスト!$Q$4,IF(F861-INT(F861)&lt;0.6,TRUE,FALSE),TRUE))</f>
        <v>1</v>
      </c>
      <c r="N861" s="9" t="str">
        <f>IF(F861="","",IF($F$2=入力リスト!$Q$4,ROUNDDOWN(INT(F861)+ROUNDDOWN((F861-INT(F861))*100,0)/60,2),従業員の給与情報!F861))</f>
        <v/>
      </c>
      <c r="O861" s="8"/>
      <c r="P861" s="8"/>
    </row>
    <row r="862" spans="1:16">
      <c r="A862" s="119"/>
      <c r="B862" s="2"/>
      <c r="C862" s="369"/>
      <c r="D862" s="369"/>
      <c r="E862" s="369"/>
      <c r="F862" s="370"/>
      <c r="G862" s="248" t="str">
        <f t="shared" si="65"/>
        <v/>
      </c>
      <c r="H862" s="1" t="b">
        <f>IF(B862="",FALSE,COUNTIF('従業員情報(給与以外)'!$A$4:$A$1000000,$B862)=0)</f>
        <v>0</v>
      </c>
      <c r="I862" s="9" t="b">
        <f t="shared" si="66"/>
        <v>1</v>
      </c>
      <c r="J862" s="9" t="b">
        <f t="shared" si="67"/>
        <v>1</v>
      </c>
      <c r="K862" s="9" t="b">
        <f t="shared" si="68"/>
        <v>1</v>
      </c>
      <c r="L862" s="9" t="b">
        <f t="shared" si="69"/>
        <v>1</v>
      </c>
      <c r="M862" s="1" t="b">
        <f>IF(OR(入力シート!$C$5&lt;&gt;入力リスト!$N$4,入力シート!$J$22&lt;&gt;入力リスト!$K$4),TRUE,IF($F$2=入力リスト!$Q$4,IF(F862-INT(F862)&lt;0.6,TRUE,FALSE),TRUE))</f>
        <v>1</v>
      </c>
      <c r="N862" s="9" t="str">
        <f>IF(F862="","",IF($F$2=入力リスト!$Q$4,ROUNDDOWN(INT(F862)+ROUNDDOWN((F862-INT(F862))*100,0)/60,2),従業員の給与情報!F862))</f>
        <v/>
      </c>
      <c r="O862" s="8"/>
      <c r="P862" s="8"/>
    </row>
    <row r="863" spans="1:16">
      <c r="A863" s="119"/>
      <c r="B863" s="2"/>
      <c r="C863" s="369"/>
      <c r="D863" s="369"/>
      <c r="E863" s="369"/>
      <c r="F863" s="370"/>
      <c r="G863" s="248" t="str">
        <f t="shared" si="65"/>
        <v/>
      </c>
      <c r="H863" s="1" t="b">
        <f>IF(B863="",FALSE,COUNTIF('従業員情報(給与以外)'!$A$4:$A$1000000,$B863)=0)</f>
        <v>0</v>
      </c>
      <c r="I863" s="9" t="b">
        <f t="shared" si="66"/>
        <v>1</v>
      </c>
      <c r="J863" s="9" t="b">
        <f t="shared" si="67"/>
        <v>1</v>
      </c>
      <c r="K863" s="9" t="b">
        <f t="shared" si="68"/>
        <v>1</v>
      </c>
      <c r="L863" s="9" t="b">
        <f t="shared" si="69"/>
        <v>1</v>
      </c>
      <c r="M863" s="1" t="b">
        <f>IF(OR(入力シート!$C$5&lt;&gt;入力リスト!$N$4,入力シート!$J$22&lt;&gt;入力リスト!$K$4),TRUE,IF($F$2=入力リスト!$Q$4,IF(F863-INT(F863)&lt;0.6,TRUE,FALSE),TRUE))</f>
        <v>1</v>
      </c>
      <c r="N863" s="9" t="str">
        <f>IF(F863="","",IF($F$2=入力リスト!$Q$4,ROUNDDOWN(INT(F863)+ROUNDDOWN((F863-INT(F863))*100,0)/60,2),従業員の給与情報!F863))</f>
        <v/>
      </c>
      <c r="O863" s="8"/>
      <c r="P863" s="8"/>
    </row>
    <row r="864" spans="1:16">
      <c r="A864" s="119"/>
      <c r="B864" s="2"/>
      <c r="C864" s="369"/>
      <c r="D864" s="369"/>
      <c r="E864" s="369"/>
      <c r="F864" s="370"/>
      <c r="G864" s="248" t="str">
        <f t="shared" si="65"/>
        <v/>
      </c>
      <c r="H864" s="1" t="b">
        <f>IF(B864="",FALSE,COUNTIF('従業員情報(給与以外)'!$A$4:$A$1000000,$B864)=0)</f>
        <v>0</v>
      </c>
      <c r="I864" s="9" t="b">
        <f t="shared" si="66"/>
        <v>1</v>
      </c>
      <c r="J864" s="9" t="b">
        <f t="shared" si="67"/>
        <v>1</v>
      </c>
      <c r="K864" s="9" t="b">
        <f t="shared" si="68"/>
        <v>1</v>
      </c>
      <c r="L864" s="9" t="b">
        <f t="shared" si="69"/>
        <v>1</v>
      </c>
      <c r="M864" s="1" t="b">
        <f>IF(OR(入力シート!$C$5&lt;&gt;入力リスト!$N$4,入力シート!$J$22&lt;&gt;入力リスト!$K$4),TRUE,IF($F$2=入力リスト!$Q$4,IF(F864-INT(F864)&lt;0.6,TRUE,FALSE),TRUE))</f>
        <v>1</v>
      </c>
      <c r="N864" s="9" t="str">
        <f>IF(F864="","",IF($F$2=入力リスト!$Q$4,ROUNDDOWN(INT(F864)+ROUNDDOWN((F864-INT(F864))*100,0)/60,2),従業員の給与情報!F864))</f>
        <v/>
      </c>
      <c r="O864" s="8"/>
      <c r="P864" s="8"/>
    </row>
    <row r="865" spans="1:16">
      <c r="A865" s="119"/>
      <c r="B865" s="2"/>
      <c r="C865" s="369"/>
      <c r="D865" s="369"/>
      <c r="E865" s="369"/>
      <c r="F865" s="370"/>
      <c r="G865" s="248" t="str">
        <f t="shared" si="65"/>
        <v/>
      </c>
      <c r="H865" s="1" t="b">
        <f>IF(B865="",FALSE,COUNTIF('従業員情報(給与以外)'!$A$4:$A$1000000,$B865)=0)</f>
        <v>0</v>
      </c>
      <c r="I865" s="9" t="b">
        <f t="shared" si="66"/>
        <v>1</v>
      </c>
      <c r="J865" s="9" t="b">
        <f t="shared" si="67"/>
        <v>1</v>
      </c>
      <c r="K865" s="9" t="b">
        <f t="shared" si="68"/>
        <v>1</v>
      </c>
      <c r="L865" s="9" t="b">
        <f t="shared" si="69"/>
        <v>1</v>
      </c>
      <c r="M865" s="1" t="b">
        <f>IF(OR(入力シート!$C$5&lt;&gt;入力リスト!$N$4,入力シート!$J$22&lt;&gt;入力リスト!$K$4),TRUE,IF($F$2=入力リスト!$Q$4,IF(F865-INT(F865)&lt;0.6,TRUE,FALSE),TRUE))</f>
        <v>1</v>
      </c>
      <c r="N865" s="9" t="str">
        <f>IF(F865="","",IF($F$2=入力リスト!$Q$4,ROUNDDOWN(INT(F865)+ROUNDDOWN((F865-INT(F865))*100,0)/60,2),従業員の給与情報!F865))</f>
        <v/>
      </c>
      <c r="O865" s="8"/>
      <c r="P865" s="8"/>
    </row>
    <row r="866" spans="1:16">
      <c r="A866" s="119"/>
      <c r="B866" s="2"/>
      <c r="C866" s="369"/>
      <c r="D866" s="369"/>
      <c r="E866" s="369"/>
      <c r="F866" s="370"/>
      <c r="G866" s="248" t="str">
        <f t="shared" si="65"/>
        <v/>
      </c>
      <c r="H866" s="1" t="b">
        <f>IF(B866="",FALSE,COUNTIF('従業員情報(給与以外)'!$A$4:$A$1000000,$B866)=0)</f>
        <v>0</v>
      </c>
      <c r="I866" s="9" t="b">
        <f t="shared" si="66"/>
        <v>1</v>
      </c>
      <c r="J866" s="9" t="b">
        <f t="shared" si="67"/>
        <v>1</v>
      </c>
      <c r="K866" s="9" t="b">
        <f t="shared" si="68"/>
        <v>1</v>
      </c>
      <c r="L866" s="9" t="b">
        <f t="shared" si="69"/>
        <v>1</v>
      </c>
      <c r="M866" s="1" t="b">
        <f>IF(OR(入力シート!$C$5&lt;&gt;入力リスト!$N$4,入力シート!$J$22&lt;&gt;入力リスト!$K$4),TRUE,IF($F$2=入力リスト!$Q$4,IF(F866-INT(F866)&lt;0.6,TRUE,FALSE),TRUE))</f>
        <v>1</v>
      </c>
      <c r="N866" s="9" t="str">
        <f>IF(F866="","",IF($F$2=入力リスト!$Q$4,ROUNDDOWN(INT(F866)+ROUNDDOWN((F866-INT(F866))*100,0)/60,2),従業員の給与情報!F866))</f>
        <v/>
      </c>
      <c r="O866" s="8"/>
      <c r="P866" s="8"/>
    </row>
    <row r="867" spans="1:16">
      <c r="A867" s="119"/>
      <c r="B867" s="2"/>
      <c r="C867" s="369"/>
      <c r="D867" s="369"/>
      <c r="E867" s="369"/>
      <c r="F867" s="370"/>
      <c r="G867" s="248" t="str">
        <f t="shared" si="65"/>
        <v/>
      </c>
      <c r="H867" s="1" t="b">
        <f>IF(B867="",FALSE,COUNTIF('従業員情報(給与以外)'!$A$4:$A$1000000,$B867)=0)</f>
        <v>0</v>
      </c>
      <c r="I867" s="9" t="b">
        <f t="shared" si="66"/>
        <v>1</v>
      </c>
      <c r="J867" s="9" t="b">
        <f t="shared" si="67"/>
        <v>1</v>
      </c>
      <c r="K867" s="9" t="b">
        <f t="shared" si="68"/>
        <v>1</v>
      </c>
      <c r="L867" s="9" t="b">
        <f t="shared" si="69"/>
        <v>1</v>
      </c>
      <c r="M867" s="1" t="b">
        <f>IF(OR(入力シート!$C$5&lt;&gt;入力リスト!$N$4,入力シート!$J$22&lt;&gt;入力リスト!$K$4),TRUE,IF($F$2=入力リスト!$Q$4,IF(F867-INT(F867)&lt;0.6,TRUE,FALSE),TRUE))</f>
        <v>1</v>
      </c>
      <c r="N867" s="9" t="str">
        <f>IF(F867="","",IF($F$2=入力リスト!$Q$4,ROUNDDOWN(INT(F867)+ROUNDDOWN((F867-INT(F867))*100,0)/60,2),従業員の給与情報!F867))</f>
        <v/>
      </c>
      <c r="O867" s="8"/>
      <c r="P867" s="8"/>
    </row>
    <row r="868" spans="1:16">
      <c r="A868" s="119"/>
      <c r="B868" s="2"/>
      <c r="C868" s="369"/>
      <c r="D868" s="369"/>
      <c r="E868" s="369"/>
      <c r="F868" s="370"/>
      <c r="G868" s="248" t="str">
        <f t="shared" si="65"/>
        <v/>
      </c>
      <c r="H868" s="1" t="b">
        <f>IF(B868="",FALSE,COUNTIF('従業員情報(給与以外)'!$A$4:$A$1000000,$B868)=0)</f>
        <v>0</v>
      </c>
      <c r="I868" s="9" t="b">
        <f t="shared" si="66"/>
        <v>1</v>
      </c>
      <c r="J868" s="9" t="b">
        <f t="shared" si="67"/>
        <v>1</v>
      </c>
      <c r="K868" s="9" t="b">
        <f t="shared" si="68"/>
        <v>1</v>
      </c>
      <c r="L868" s="9" t="b">
        <f t="shared" si="69"/>
        <v>1</v>
      </c>
      <c r="M868" s="1" t="b">
        <f>IF(OR(入力シート!$C$5&lt;&gt;入力リスト!$N$4,入力シート!$J$22&lt;&gt;入力リスト!$K$4),TRUE,IF($F$2=入力リスト!$Q$4,IF(F868-INT(F868)&lt;0.6,TRUE,FALSE),TRUE))</f>
        <v>1</v>
      </c>
      <c r="N868" s="9" t="str">
        <f>IF(F868="","",IF($F$2=入力リスト!$Q$4,ROUNDDOWN(INT(F868)+ROUNDDOWN((F868-INT(F868))*100,0)/60,2),従業員の給与情報!F868))</f>
        <v/>
      </c>
      <c r="O868" s="8"/>
      <c r="P868" s="8"/>
    </row>
    <row r="869" spans="1:16">
      <c r="A869" s="119"/>
      <c r="B869" s="2"/>
      <c r="C869" s="369"/>
      <c r="D869" s="369"/>
      <c r="E869" s="369"/>
      <c r="F869" s="370"/>
      <c r="G869" s="248" t="str">
        <f t="shared" si="65"/>
        <v/>
      </c>
      <c r="H869" s="1" t="b">
        <f>IF(B869="",FALSE,COUNTIF('従業員情報(給与以外)'!$A$4:$A$1000000,$B869)=0)</f>
        <v>0</v>
      </c>
      <c r="I869" s="9" t="b">
        <f t="shared" si="66"/>
        <v>1</v>
      </c>
      <c r="J869" s="9" t="b">
        <f t="shared" si="67"/>
        <v>1</v>
      </c>
      <c r="K869" s="9" t="b">
        <f t="shared" si="68"/>
        <v>1</v>
      </c>
      <c r="L869" s="9" t="b">
        <f t="shared" si="69"/>
        <v>1</v>
      </c>
      <c r="M869" s="1" t="b">
        <f>IF(OR(入力シート!$C$5&lt;&gt;入力リスト!$N$4,入力シート!$J$22&lt;&gt;入力リスト!$K$4),TRUE,IF($F$2=入力リスト!$Q$4,IF(F869-INT(F869)&lt;0.6,TRUE,FALSE),TRUE))</f>
        <v>1</v>
      </c>
      <c r="N869" s="9" t="str">
        <f>IF(F869="","",IF($F$2=入力リスト!$Q$4,ROUNDDOWN(INT(F869)+ROUNDDOWN((F869-INT(F869))*100,0)/60,2),従業員の給与情報!F869))</f>
        <v/>
      </c>
      <c r="O869" s="8"/>
      <c r="P869" s="8"/>
    </row>
    <row r="870" spans="1:16">
      <c r="A870" s="119"/>
      <c r="B870" s="2"/>
      <c r="C870" s="369"/>
      <c r="D870" s="369"/>
      <c r="E870" s="369"/>
      <c r="F870" s="370"/>
      <c r="G870" s="248" t="str">
        <f t="shared" si="65"/>
        <v/>
      </c>
      <c r="H870" s="1" t="b">
        <f>IF(B870="",FALSE,COUNTIF('従業員情報(給与以外)'!$A$4:$A$1000000,$B870)=0)</f>
        <v>0</v>
      </c>
      <c r="I870" s="9" t="b">
        <f t="shared" si="66"/>
        <v>1</v>
      </c>
      <c r="J870" s="9" t="b">
        <f t="shared" si="67"/>
        <v>1</v>
      </c>
      <c r="K870" s="9" t="b">
        <f t="shared" si="68"/>
        <v>1</v>
      </c>
      <c r="L870" s="9" t="b">
        <f t="shared" si="69"/>
        <v>1</v>
      </c>
      <c r="M870" s="1" t="b">
        <f>IF(OR(入力シート!$C$5&lt;&gt;入力リスト!$N$4,入力シート!$J$22&lt;&gt;入力リスト!$K$4),TRUE,IF($F$2=入力リスト!$Q$4,IF(F870-INT(F870)&lt;0.6,TRUE,FALSE),TRUE))</f>
        <v>1</v>
      </c>
      <c r="N870" s="9" t="str">
        <f>IF(F870="","",IF($F$2=入力リスト!$Q$4,ROUNDDOWN(INT(F870)+ROUNDDOWN((F870-INT(F870))*100,0)/60,2),従業員の給与情報!F870))</f>
        <v/>
      </c>
      <c r="O870" s="8"/>
      <c r="P870" s="8"/>
    </row>
    <row r="871" spans="1:16">
      <c r="A871" s="119"/>
      <c r="B871" s="2"/>
      <c r="C871" s="3"/>
      <c r="D871" s="3"/>
      <c r="E871" s="3"/>
      <c r="F871" s="9"/>
      <c r="G871" s="248" t="str">
        <f t="shared" si="65"/>
        <v/>
      </c>
      <c r="H871" s="1" t="b">
        <f>IF(B871="",FALSE,COUNTIF('従業員情報(給与以外)'!$A$4:$A$1000000,$B871)=0)</f>
        <v>0</v>
      </c>
      <c r="I871" s="9" t="b">
        <f t="shared" si="66"/>
        <v>1</v>
      </c>
      <c r="J871" s="9" t="b">
        <f t="shared" si="67"/>
        <v>1</v>
      </c>
      <c r="K871" s="9" t="b">
        <f t="shared" si="68"/>
        <v>1</v>
      </c>
      <c r="L871" s="9" t="b">
        <f t="shared" si="69"/>
        <v>1</v>
      </c>
      <c r="M871" s="1" t="b">
        <f>IF(OR(入力シート!$C$5&lt;&gt;入力リスト!$N$4,入力シート!$J$22&lt;&gt;入力リスト!$K$4),TRUE,IF($F$2=入力リスト!$Q$4,IF(F871-INT(F871)&lt;0.6,TRUE,FALSE),TRUE))</f>
        <v>1</v>
      </c>
      <c r="N871" s="9" t="str">
        <f>IF(F871="","",IF($F$2=入力リスト!$Q$4,ROUNDDOWN(INT(F871)+ROUNDDOWN((F871-INT(F871))*100,0)/60,2),従業員の給与情報!F871))</f>
        <v/>
      </c>
      <c r="O871" s="8"/>
      <c r="P871" s="8"/>
    </row>
    <row r="872" spans="1:16">
      <c r="A872" s="119"/>
      <c r="B872" s="2"/>
      <c r="C872" s="3"/>
      <c r="D872" s="3"/>
      <c r="E872" s="3"/>
      <c r="F872" s="9"/>
      <c r="G872" s="248" t="str">
        <f t="shared" si="65"/>
        <v/>
      </c>
      <c r="H872" s="1" t="b">
        <f>IF(B872="",FALSE,COUNTIF('従業員情報(給与以外)'!$A$4:$A$1000000,$B872)=0)</f>
        <v>0</v>
      </c>
      <c r="I872" s="9" t="b">
        <f t="shared" si="66"/>
        <v>1</v>
      </c>
      <c r="J872" s="9" t="b">
        <f t="shared" si="67"/>
        <v>1</v>
      </c>
      <c r="K872" s="9" t="b">
        <f t="shared" si="68"/>
        <v>1</v>
      </c>
      <c r="L872" s="9" t="b">
        <f t="shared" si="69"/>
        <v>1</v>
      </c>
      <c r="M872" s="1" t="b">
        <f>IF(OR(入力シート!$C$5&lt;&gt;入力リスト!$N$4,入力シート!$J$22&lt;&gt;入力リスト!$K$4),TRUE,IF($F$2=入力リスト!$Q$4,IF(F872-INT(F872)&lt;0.6,TRUE,FALSE),TRUE))</f>
        <v>1</v>
      </c>
      <c r="N872" s="9" t="str">
        <f>IF(F872="","",IF($F$2=入力リスト!$Q$4,ROUNDDOWN(INT(F872)+ROUNDDOWN((F872-INT(F872))*100,0)/60,2),従業員の給与情報!F872))</f>
        <v/>
      </c>
      <c r="O872" s="8"/>
      <c r="P872" s="8"/>
    </row>
    <row r="873" spans="1:16">
      <c r="A873" s="119"/>
      <c r="B873" s="2"/>
      <c r="C873" s="3"/>
      <c r="D873" s="3"/>
      <c r="E873" s="3"/>
      <c r="F873" s="9"/>
      <c r="G873" s="248" t="str">
        <f t="shared" si="65"/>
        <v/>
      </c>
      <c r="H873" s="1" t="b">
        <f>IF(B873="",FALSE,COUNTIF('従業員情報(給与以外)'!$A$4:$A$1000000,$B873)=0)</f>
        <v>0</v>
      </c>
      <c r="I873" s="9" t="b">
        <f t="shared" si="66"/>
        <v>1</v>
      </c>
      <c r="J873" s="9" t="b">
        <f t="shared" si="67"/>
        <v>1</v>
      </c>
      <c r="K873" s="9" t="b">
        <f t="shared" si="68"/>
        <v>1</v>
      </c>
      <c r="L873" s="9" t="b">
        <f t="shared" si="69"/>
        <v>1</v>
      </c>
      <c r="M873" s="1" t="b">
        <f>IF(OR(入力シート!$C$5&lt;&gt;入力リスト!$N$4,入力シート!$J$22&lt;&gt;入力リスト!$K$4),TRUE,IF($F$2=入力リスト!$Q$4,IF(F873-INT(F873)&lt;0.6,TRUE,FALSE),TRUE))</f>
        <v>1</v>
      </c>
      <c r="N873" s="9" t="str">
        <f>IF(F873="","",IF($F$2=入力リスト!$Q$4,ROUNDDOWN(INT(F873)+ROUNDDOWN((F873-INT(F873))*100,0)/60,2),従業員の給与情報!F873))</f>
        <v/>
      </c>
      <c r="O873" s="8"/>
      <c r="P873" s="8"/>
    </row>
    <row r="874" spans="1:16">
      <c r="A874" s="119"/>
      <c r="B874" s="2"/>
      <c r="C874" s="3"/>
      <c r="D874" s="3"/>
      <c r="E874" s="3"/>
      <c r="F874" s="9"/>
      <c r="G874" s="248" t="str">
        <f t="shared" si="65"/>
        <v/>
      </c>
      <c r="H874" s="1" t="b">
        <f>IF(B874="",FALSE,COUNTIF('従業員情報(給与以外)'!$A$4:$A$1000000,$B874)=0)</f>
        <v>0</v>
      </c>
      <c r="I874" s="9" t="b">
        <f t="shared" si="66"/>
        <v>1</v>
      </c>
      <c r="J874" s="9" t="b">
        <f t="shared" si="67"/>
        <v>1</v>
      </c>
      <c r="K874" s="9" t="b">
        <f t="shared" si="68"/>
        <v>1</v>
      </c>
      <c r="L874" s="9" t="b">
        <f t="shared" si="69"/>
        <v>1</v>
      </c>
      <c r="M874" s="1" t="b">
        <f>IF(OR(入力シート!$C$5&lt;&gt;入力リスト!$N$4,入力シート!$J$22&lt;&gt;入力リスト!$K$4),TRUE,IF($F$2=入力リスト!$Q$4,IF(F874-INT(F874)&lt;0.6,TRUE,FALSE),TRUE))</f>
        <v>1</v>
      </c>
      <c r="N874" s="9" t="str">
        <f>IF(F874="","",IF($F$2=入力リスト!$Q$4,ROUNDDOWN(INT(F874)+ROUNDDOWN((F874-INT(F874))*100,0)/60,2),従業員の給与情報!F874))</f>
        <v/>
      </c>
      <c r="O874" s="8"/>
      <c r="P874" s="8"/>
    </row>
    <row r="875" spans="1:16">
      <c r="A875" s="119"/>
      <c r="B875" s="2"/>
      <c r="C875" s="3"/>
      <c r="D875" s="3"/>
      <c r="E875" s="3"/>
      <c r="F875" s="9"/>
      <c r="G875" s="248" t="str">
        <f t="shared" si="65"/>
        <v/>
      </c>
      <c r="H875" s="1" t="b">
        <f>IF(B875="",FALSE,COUNTIF('従業員情報(給与以外)'!$A$4:$A$1000000,$B875)=0)</f>
        <v>0</v>
      </c>
      <c r="I875" s="9" t="b">
        <f t="shared" si="66"/>
        <v>1</v>
      </c>
      <c r="J875" s="9" t="b">
        <f t="shared" si="67"/>
        <v>1</v>
      </c>
      <c r="K875" s="9" t="b">
        <f t="shared" si="68"/>
        <v>1</v>
      </c>
      <c r="L875" s="9" t="b">
        <f t="shared" si="69"/>
        <v>1</v>
      </c>
      <c r="M875" s="1" t="b">
        <f>IF(OR(入力シート!$C$5&lt;&gt;入力リスト!$N$4,入力シート!$J$22&lt;&gt;入力リスト!$K$4),TRUE,IF($F$2=入力リスト!$Q$4,IF(F875-INT(F875)&lt;0.6,TRUE,FALSE),TRUE))</f>
        <v>1</v>
      </c>
      <c r="N875" s="9" t="str">
        <f>IF(F875="","",IF($F$2=入力リスト!$Q$4,ROUNDDOWN(INT(F875)+ROUNDDOWN((F875-INT(F875))*100,0)/60,2),従業員の給与情報!F875))</f>
        <v/>
      </c>
      <c r="O875" s="8"/>
      <c r="P875" s="8"/>
    </row>
    <row r="876" spans="1:16">
      <c r="A876" s="119"/>
      <c r="B876" s="2"/>
      <c r="C876" s="3"/>
      <c r="D876" s="3"/>
      <c r="E876" s="3"/>
      <c r="F876" s="9"/>
      <c r="G876" s="248" t="str">
        <f t="shared" si="65"/>
        <v/>
      </c>
      <c r="H876" s="1" t="b">
        <f>IF(B876="",FALSE,COUNTIF('従業員情報(給与以外)'!$A$4:$A$1000000,$B876)=0)</f>
        <v>0</v>
      </c>
      <c r="I876" s="9" t="b">
        <f t="shared" si="66"/>
        <v>1</v>
      </c>
      <c r="J876" s="9" t="b">
        <f t="shared" si="67"/>
        <v>1</v>
      </c>
      <c r="K876" s="9" t="b">
        <f t="shared" si="68"/>
        <v>1</v>
      </c>
      <c r="L876" s="9" t="b">
        <f t="shared" si="69"/>
        <v>1</v>
      </c>
      <c r="M876" s="1" t="b">
        <f>IF(OR(入力シート!$C$5&lt;&gt;入力リスト!$N$4,入力シート!$J$22&lt;&gt;入力リスト!$K$4),TRUE,IF($F$2=入力リスト!$Q$4,IF(F876-INT(F876)&lt;0.6,TRUE,FALSE),TRUE))</f>
        <v>1</v>
      </c>
      <c r="N876" s="9" t="str">
        <f>IF(F876="","",IF($F$2=入力リスト!$Q$4,ROUNDDOWN(INT(F876)+ROUNDDOWN((F876-INT(F876))*100,0)/60,2),従業員の給与情報!F876))</f>
        <v/>
      </c>
      <c r="O876" s="8"/>
      <c r="P876" s="8"/>
    </row>
    <row r="877" spans="1:16">
      <c r="A877" s="119"/>
      <c r="B877" s="2"/>
      <c r="C877" s="3"/>
      <c r="D877" s="3"/>
      <c r="E877" s="3"/>
      <c r="F877" s="9"/>
      <c r="G877" s="248" t="str">
        <f t="shared" si="65"/>
        <v/>
      </c>
      <c r="H877" s="1" t="b">
        <f>IF(B877="",FALSE,COUNTIF('従業員情報(給与以外)'!$A$4:$A$1000000,$B877)=0)</f>
        <v>0</v>
      </c>
      <c r="I877" s="9" t="b">
        <f t="shared" si="66"/>
        <v>1</v>
      </c>
      <c r="J877" s="9" t="b">
        <f t="shared" si="67"/>
        <v>1</v>
      </c>
      <c r="K877" s="9" t="b">
        <f t="shared" si="68"/>
        <v>1</v>
      </c>
      <c r="L877" s="9" t="b">
        <f t="shared" si="69"/>
        <v>1</v>
      </c>
      <c r="M877" s="1" t="b">
        <f>IF(OR(入力シート!$C$5&lt;&gt;入力リスト!$N$4,入力シート!$J$22&lt;&gt;入力リスト!$K$4),TRUE,IF($F$2=入力リスト!$Q$4,IF(F877-INT(F877)&lt;0.6,TRUE,FALSE),TRUE))</f>
        <v>1</v>
      </c>
      <c r="N877" s="9" t="str">
        <f>IF(F877="","",IF($F$2=入力リスト!$Q$4,ROUNDDOWN(INT(F877)+ROUNDDOWN((F877-INT(F877))*100,0)/60,2),従業員の給与情報!F877))</f>
        <v/>
      </c>
      <c r="O877" s="8"/>
      <c r="P877" s="8"/>
    </row>
    <row r="878" spans="1:16">
      <c r="A878" s="119"/>
      <c r="B878" s="2"/>
      <c r="C878" s="3"/>
      <c r="D878" s="3"/>
      <c r="E878" s="3"/>
      <c r="F878" s="9"/>
      <c r="G878" s="248" t="str">
        <f t="shared" si="65"/>
        <v/>
      </c>
      <c r="H878" s="1" t="b">
        <f>IF(B878="",FALSE,COUNTIF('従業員情報(給与以外)'!$A$4:$A$1000000,$B878)=0)</f>
        <v>0</v>
      </c>
      <c r="I878" s="9" t="b">
        <f t="shared" si="66"/>
        <v>1</v>
      </c>
      <c r="J878" s="9" t="b">
        <f t="shared" si="67"/>
        <v>1</v>
      </c>
      <c r="K878" s="9" t="b">
        <f t="shared" si="68"/>
        <v>1</v>
      </c>
      <c r="L878" s="9" t="b">
        <f t="shared" si="69"/>
        <v>1</v>
      </c>
      <c r="M878" s="1" t="b">
        <f>IF(OR(入力シート!$C$5&lt;&gt;入力リスト!$N$4,入力シート!$J$22&lt;&gt;入力リスト!$K$4),TRUE,IF($F$2=入力リスト!$Q$4,IF(F878-INT(F878)&lt;0.6,TRUE,FALSE),TRUE))</f>
        <v>1</v>
      </c>
      <c r="N878" s="9" t="str">
        <f>IF(F878="","",IF($F$2=入力リスト!$Q$4,ROUNDDOWN(INT(F878)+ROUNDDOWN((F878-INT(F878))*100,0)/60,2),従業員の給与情報!F878))</f>
        <v/>
      </c>
      <c r="O878" s="8"/>
      <c r="P878" s="8"/>
    </row>
    <row r="879" spans="1:16">
      <c r="A879" s="119"/>
      <c r="B879" s="2"/>
      <c r="C879" s="3"/>
      <c r="D879" s="3"/>
      <c r="E879" s="3"/>
      <c r="F879" s="9"/>
      <c r="G879" s="248" t="str">
        <f t="shared" si="65"/>
        <v/>
      </c>
      <c r="H879" s="1" t="b">
        <f>IF(B879="",FALSE,COUNTIF('従業員情報(給与以外)'!$A$4:$A$1000000,$B879)=0)</f>
        <v>0</v>
      </c>
      <c r="I879" s="9" t="b">
        <f t="shared" si="66"/>
        <v>1</v>
      </c>
      <c r="J879" s="9" t="b">
        <f t="shared" si="67"/>
        <v>1</v>
      </c>
      <c r="K879" s="9" t="b">
        <f t="shared" si="68"/>
        <v>1</v>
      </c>
      <c r="L879" s="9" t="b">
        <f t="shared" si="69"/>
        <v>1</v>
      </c>
      <c r="M879" s="1" t="b">
        <f>IF(OR(入力シート!$C$5&lt;&gt;入力リスト!$N$4,入力シート!$J$22&lt;&gt;入力リスト!$K$4),TRUE,IF($F$2=入力リスト!$Q$4,IF(F879-INT(F879)&lt;0.6,TRUE,FALSE),TRUE))</f>
        <v>1</v>
      </c>
      <c r="N879" s="9" t="str">
        <f>IF(F879="","",IF($F$2=入力リスト!$Q$4,ROUNDDOWN(INT(F879)+ROUNDDOWN((F879-INT(F879))*100,0)/60,2),従業員の給与情報!F879))</f>
        <v/>
      </c>
      <c r="O879" s="8"/>
      <c r="P879" s="8"/>
    </row>
    <row r="880" spans="1:16">
      <c r="A880" s="119"/>
      <c r="B880" s="2"/>
      <c r="C880" s="3"/>
      <c r="D880" s="3"/>
      <c r="E880" s="3"/>
      <c r="F880" s="9"/>
      <c r="G880" s="248" t="str">
        <f t="shared" si="65"/>
        <v/>
      </c>
      <c r="H880" s="1" t="b">
        <f>IF(B880="",FALSE,COUNTIF('従業員情報(給与以外)'!$A$4:$A$1000000,$B880)=0)</f>
        <v>0</v>
      </c>
      <c r="I880" s="9" t="b">
        <f t="shared" si="66"/>
        <v>1</v>
      </c>
      <c r="J880" s="9" t="b">
        <f t="shared" si="67"/>
        <v>1</v>
      </c>
      <c r="K880" s="9" t="b">
        <f t="shared" si="68"/>
        <v>1</v>
      </c>
      <c r="L880" s="9" t="b">
        <f t="shared" si="69"/>
        <v>1</v>
      </c>
      <c r="M880" s="1" t="b">
        <f>IF(OR(入力シート!$C$5&lt;&gt;入力リスト!$N$4,入力シート!$J$22&lt;&gt;入力リスト!$K$4),TRUE,IF($F$2=入力リスト!$Q$4,IF(F880-INT(F880)&lt;0.6,TRUE,FALSE),TRUE))</f>
        <v>1</v>
      </c>
      <c r="N880" s="9" t="str">
        <f>IF(F880="","",IF($F$2=入力リスト!$Q$4,ROUNDDOWN(INT(F880)+ROUNDDOWN((F880-INT(F880))*100,0)/60,2),従業員の給与情報!F880))</f>
        <v/>
      </c>
      <c r="O880" s="8"/>
      <c r="P880" s="8"/>
    </row>
    <row r="881" spans="1:16">
      <c r="A881" s="119"/>
      <c r="B881" s="2"/>
      <c r="C881" s="3"/>
      <c r="D881" s="3"/>
      <c r="E881" s="3"/>
      <c r="F881" s="9"/>
      <c r="G881" s="248" t="str">
        <f t="shared" si="65"/>
        <v/>
      </c>
      <c r="H881" s="1" t="b">
        <f>IF(B881="",FALSE,COUNTIF('従業員情報(給与以外)'!$A$4:$A$1000000,$B881)=0)</f>
        <v>0</v>
      </c>
      <c r="I881" s="9" t="b">
        <f t="shared" si="66"/>
        <v>1</v>
      </c>
      <c r="J881" s="9" t="b">
        <f t="shared" si="67"/>
        <v>1</v>
      </c>
      <c r="K881" s="9" t="b">
        <f t="shared" si="68"/>
        <v>1</v>
      </c>
      <c r="L881" s="9" t="b">
        <f t="shared" si="69"/>
        <v>1</v>
      </c>
      <c r="M881" s="1" t="b">
        <f>IF(OR(入力シート!$C$5&lt;&gt;入力リスト!$N$4,入力シート!$J$22&lt;&gt;入力リスト!$K$4),TRUE,IF($F$2=入力リスト!$Q$4,IF(F881-INT(F881)&lt;0.6,TRUE,FALSE),TRUE))</f>
        <v>1</v>
      </c>
      <c r="N881" s="9" t="str">
        <f>IF(F881="","",IF($F$2=入力リスト!$Q$4,ROUNDDOWN(INT(F881)+ROUNDDOWN((F881-INT(F881))*100,0)/60,2),従業員の給与情報!F881))</f>
        <v/>
      </c>
      <c r="O881" s="8"/>
      <c r="P881" s="8"/>
    </row>
    <row r="882" spans="1:16">
      <c r="A882" s="119"/>
      <c r="B882" s="2"/>
      <c r="C882" s="3"/>
      <c r="D882" s="3"/>
      <c r="E882" s="3"/>
      <c r="F882" s="9"/>
      <c r="G882" s="248" t="str">
        <f t="shared" si="65"/>
        <v/>
      </c>
      <c r="H882" s="1" t="b">
        <f>IF(B882="",FALSE,COUNTIF('従業員情報(給与以外)'!$A$4:$A$1000000,$B882)=0)</f>
        <v>0</v>
      </c>
      <c r="I882" s="9" t="b">
        <f t="shared" si="66"/>
        <v>1</v>
      </c>
      <c r="J882" s="9" t="b">
        <f t="shared" si="67"/>
        <v>1</v>
      </c>
      <c r="K882" s="9" t="b">
        <f t="shared" si="68"/>
        <v>1</v>
      </c>
      <c r="L882" s="9" t="b">
        <f t="shared" si="69"/>
        <v>1</v>
      </c>
      <c r="M882" s="1" t="b">
        <f>IF(OR(入力シート!$C$5&lt;&gt;入力リスト!$N$4,入力シート!$J$22&lt;&gt;入力リスト!$K$4),TRUE,IF($F$2=入力リスト!$Q$4,IF(F882-INT(F882)&lt;0.6,TRUE,FALSE),TRUE))</f>
        <v>1</v>
      </c>
      <c r="N882" s="9" t="str">
        <f>IF(F882="","",IF($F$2=入力リスト!$Q$4,ROUNDDOWN(INT(F882)+ROUNDDOWN((F882-INT(F882))*100,0)/60,2),従業員の給与情報!F882))</f>
        <v/>
      </c>
      <c r="O882" s="8"/>
      <c r="P882" s="8"/>
    </row>
    <row r="883" spans="1:16">
      <c r="A883" s="119"/>
      <c r="B883" s="2"/>
      <c r="C883" s="3"/>
      <c r="D883" s="3"/>
      <c r="E883" s="3"/>
      <c r="F883" s="9"/>
      <c r="G883" s="248" t="str">
        <f t="shared" si="65"/>
        <v/>
      </c>
      <c r="H883" s="1" t="b">
        <f>IF(B883="",FALSE,COUNTIF('従業員情報(給与以外)'!$A$4:$A$1000000,$B883)=0)</f>
        <v>0</v>
      </c>
      <c r="I883" s="9" t="b">
        <f t="shared" si="66"/>
        <v>1</v>
      </c>
      <c r="J883" s="9" t="b">
        <f t="shared" si="67"/>
        <v>1</v>
      </c>
      <c r="K883" s="9" t="b">
        <f t="shared" si="68"/>
        <v>1</v>
      </c>
      <c r="L883" s="9" t="b">
        <f t="shared" si="69"/>
        <v>1</v>
      </c>
      <c r="M883" s="1" t="b">
        <f>IF(OR(入力シート!$C$5&lt;&gt;入力リスト!$N$4,入力シート!$J$22&lt;&gt;入力リスト!$K$4),TRUE,IF($F$2=入力リスト!$Q$4,IF(F883-INT(F883)&lt;0.6,TRUE,FALSE),TRUE))</f>
        <v>1</v>
      </c>
      <c r="N883" s="9" t="str">
        <f>IF(F883="","",IF($F$2=入力リスト!$Q$4,ROUNDDOWN(INT(F883)+ROUNDDOWN((F883-INT(F883))*100,0)/60,2),従業員の給与情報!F883))</f>
        <v/>
      </c>
      <c r="O883" s="8"/>
      <c r="P883" s="8"/>
    </row>
    <row r="884" spans="1:16">
      <c r="A884" s="119"/>
      <c r="B884" s="2"/>
      <c r="C884" s="3"/>
      <c r="D884" s="3"/>
      <c r="E884" s="3"/>
      <c r="F884" s="9"/>
      <c r="G884" s="248" t="str">
        <f t="shared" si="65"/>
        <v/>
      </c>
      <c r="H884" s="1" t="b">
        <f>IF(B884="",FALSE,COUNTIF('従業員情報(給与以外)'!$A$4:$A$1000000,$B884)=0)</f>
        <v>0</v>
      </c>
      <c r="I884" s="9" t="b">
        <f t="shared" si="66"/>
        <v>1</v>
      </c>
      <c r="J884" s="9" t="b">
        <f t="shared" si="67"/>
        <v>1</v>
      </c>
      <c r="K884" s="9" t="b">
        <f t="shared" si="68"/>
        <v>1</v>
      </c>
      <c r="L884" s="9" t="b">
        <f t="shared" si="69"/>
        <v>1</v>
      </c>
      <c r="M884" s="1" t="b">
        <f>IF(OR(入力シート!$C$5&lt;&gt;入力リスト!$N$4,入力シート!$J$22&lt;&gt;入力リスト!$K$4),TRUE,IF($F$2=入力リスト!$Q$4,IF(F884-INT(F884)&lt;0.6,TRUE,FALSE),TRUE))</f>
        <v>1</v>
      </c>
      <c r="N884" s="9" t="str">
        <f>IF(F884="","",IF($F$2=入力リスト!$Q$4,ROUNDDOWN(INT(F884)+ROUNDDOWN((F884-INT(F884))*100,0)/60,2),従業員の給与情報!F884))</f>
        <v/>
      </c>
      <c r="O884" s="8"/>
      <c r="P884" s="8"/>
    </row>
    <row r="885" spans="1:16">
      <c r="A885" s="119"/>
      <c r="B885" s="2"/>
      <c r="C885" s="3"/>
      <c r="D885" s="3"/>
      <c r="E885" s="3"/>
      <c r="F885" s="9"/>
      <c r="G885" s="248" t="str">
        <f t="shared" si="65"/>
        <v/>
      </c>
      <c r="H885" s="1" t="b">
        <f>IF(B885="",FALSE,COUNTIF('従業員情報(給与以外)'!$A$4:$A$1000000,$B885)=0)</f>
        <v>0</v>
      </c>
      <c r="I885" s="9" t="b">
        <f t="shared" si="66"/>
        <v>1</v>
      </c>
      <c r="J885" s="9" t="b">
        <f t="shared" si="67"/>
        <v>1</v>
      </c>
      <c r="K885" s="9" t="b">
        <f t="shared" si="68"/>
        <v>1</v>
      </c>
      <c r="L885" s="9" t="b">
        <f t="shared" si="69"/>
        <v>1</v>
      </c>
      <c r="M885" s="1" t="b">
        <f>IF(OR(入力シート!$C$5&lt;&gt;入力リスト!$N$4,入力シート!$J$22&lt;&gt;入力リスト!$K$4),TRUE,IF($F$2=入力リスト!$Q$4,IF(F885-INT(F885)&lt;0.6,TRUE,FALSE),TRUE))</f>
        <v>1</v>
      </c>
      <c r="N885" s="9" t="str">
        <f>IF(F885="","",IF($F$2=入力リスト!$Q$4,ROUNDDOWN(INT(F885)+ROUNDDOWN((F885-INT(F885))*100,0)/60,2),従業員の給与情報!F885))</f>
        <v/>
      </c>
      <c r="O885" s="8"/>
      <c r="P885" s="8"/>
    </row>
    <row r="886" spans="1:16">
      <c r="A886" s="119"/>
      <c r="B886" s="2"/>
      <c r="C886" s="3"/>
      <c r="D886" s="3"/>
      <c r="E886" s="3"/>
      <c r="F886" s="9"/>
      <c r="G886" s="248" t="str">
        <f t="shared" si="65"/>
        <v/>
      </c>
      <c r="H886" s="1" t="b">
        <f>IF(B886="",FALSE,COUNTIF('従業員情報(給与以外)'!$A$4:$A$1000000,$B886)=0)</f>
        <v>0</v>
      </c>
      <c r="I886" s="9" t="b">
        <f t="shared" si="66"/>
        <v>1</v>
      </c>
      <c r="J886" s="9" t="b">
        <f t="shared" si="67"/>
        <v>1</v>
      </c>
      <c r="K886" s="9" t="b">
        <f t="shared" si="68"/>
        <v>1</v>
      </c>
      <c r="L886" s="9" t="b">
        <f t="shared" si="69"/>
        <v>1</v>
      </c>
      <c r="M886" s="1" t="b">
        <f>IF(OR(入力シート!$C$5&lt;&gt;入力リスト!$N$4,入力シート!$J$22&lt;&gt;入力リスト!$K$4),TRUE,IF($F$2=入力リスト!$Q$4,IF(F886-INT(F886)&lt;0.6,TRUE,FALSE),TRUE))</f>
        <v>1</v>
      </c>
      <c r="N886" s="9" t="str">
        <f>IF(F886="","",IF($F$2=入力リスト!$Q$4,ROUNDDOWN(INT(F886)+ROUNDDOWN((F886-INT(F886))*100,0)/60,2),従業員の給与情報!F886))</f>
        <v/>
      </c>
      <c r="O886" s="8"/>
      <c r="P886" s="8"/>
    </row>
    <row r="887" spans="1:16">
      <c r="A887" s="119"/>
      <c r="B887" s="2"/>
      <c r="C887" s="3"/>
      <c r="D887" s="3"/>
      <c r="E887" s="3"/>
      <c r="F887" s="9"/>
      <c r="G887" s="248" t="str">
        <f t="shared" si="65"/>
        <v/>
      </c>
      <c r="H887" s="1" t="b">
        <f>IF(B887="",FALSE,COUNTIF('従業員情報(給与以外)'!$A$4:$A$1000000,$B887)=0)</f>
        <v>0</v>
      </c>
      <c r="I887" s="9" t="b">
        <f t="shared" si="66"/>
        <v>1</v>
      </c>
      <c r="J887" s="9" t="b">
        <f t="shared" si="67"/>
        <v>1</v>
      </c>
      <c r="K887" s="9" t="b">
        <f t="shared" si="68"/>
        <v>1</v>
      </c>
      <c r="L887" s="9" t="b">
        <f t="shared" si="69"/>
        <v>1</v>
      </c>
      <c r="M887" s="1" t="b">
        <f>IF(OR(入力シート!$C$5&lt;&gt;入力リスト!$N$4,入力シート!$J$22&lt;&gt;入力リスト!$K$4),TRUE,IF($F$2=入力リスト!$Q$4,IF(F887-INT(F887)&lt;0.6,TRUE,FALSE),TRUE))</f>
        <v>1</v>
      </c>
      <c r="N887" s="9" t="str">
        <f>IF(F887="","",IF($F$2=入力リスト!$Q$4,ROUNDDOWN(INT(F887)+ROUNDDOWN((F887-INT(F887))*100,0)/60,2),従業員の給与情報!F887))</f>
        <v/>
      </c>
      <c r="O887" s="8"/>
      <c r="P887" s="8"/>
    </row>
    <row r="888" spans="1:16">
      <c r="A888" s="119"/>
      <c r="B888" s="2"/>
      <c r="C888" s="3"/>
      <c r="D888" s="3"/>
      <c r="E888" s="3"/>
      <c r="F888" s="9"/>
      <c r="G888" s="248" t="str">
        <f t="shared" si="65"/>
        <v/>
      </c>
      <c r="H888" s="1" t="b">
        <f>IF(B888="",FALSE,COUNTIF('従業員情報(給与以外)'!$A$4:$A$1000000,$B888)=0)</f>
        <v>0</v>
      </c>
      <c r="I888" s="9" t="b">
        <f t="shared" si="66"/>
        <v>1</v>
      </c>
      <c r="J888" s="9" t="b">
        <f t="shared" si="67"/>
        <v>1</v>
      </c>
      <c r="K888" s="9" t="b">
        <f t="shared" si="68"/>
        <v>1</v>
      </c>
      <c r="L888" s="9" t="b">
        <f t="shared" si="69"/>
        <v>1</v>
      </c>
      <c r="M888" s="1" t="b">
        <f>IF(OR(入力シート!$C$5&lt;&gt;入力リスト!$N$4,入力シート!$J$22&lt;&gt;入力リスト!$K$4),TRUE,IF($F$2=入力リスト!$Q$4,IF(F888-INT(F888)&lt;0.6,TRUE,FALSE),TRUE))</f>
        <v>1</v>
      </c>
      <c r="N888" s="9" t="str">
        <f>IF(F888="","",IF($F$2=入力リスト!$Q$4,ROUNDDOWN(INT(F888)+ROUNDDOWN((F888-INT(F888))*100,0)/60,2),従業員の給与情報!F888))</f>
        <v/>
      </c>
      <c r="O888" s="8"/>
      <c r="P888" s="8"/>
    </row>
    <row r="889" spans="1:16">
      <c r="A889" s="119"/>
      <c r="B889" s="2"/>
      <c r="C889" s="3"/>
      <c r="D889" s="3"/>
      <c r="E889" s="3"/>
      <c r="F889" s="9"/>
      <c r="G889" s="248" t="str">
        <f t="shared" si="65"/>
        <v/>
      </c>
      <c r="H889" s="1" t="b">
        <f>IF(B889="",FALSE,COUNTIF('従業員情報(給与以外)'!$A$4:$A$1000000,$B889)=0)</f>
        <v>0</v>
      </c>
      <c r="I889" s="9" t="b">
        <f t="shared" si="66"/>
        <v>1</v>
      </c>
      <c r="J889" s="9" t="b">
        <f t="shared" si="67"/>
        <v>1</v>
      </c>
      <c r="K889" s="9" t="b">
        <f t="shared" si="68"/>
        <v>1</v>
      </c>
      <c r="L889" s="9" t="b">
        <f t="shared" si="69"/>
        <v>1</v>
      </c>
      <c r="M889" s="1" t="b">
        <f>IF(OR(入力シート!$C$5&lt;&gt;入力リスト!$N$4,入力シート!$J$22&lt;&gt;入力リスト!$K$4),TRUE,IF($F$2=入力リスト!$Q$4,IF(F889-INT(F889)&lt;0.6,TRUE,FALSE),TRUE))</f>
        <v>1</v>
      </c>
      <c r="N889" s="9" t="str">
        <f>IF(F889="","",IF($F$2=入力リスト!$Q$4,ROUNDDOWN(INT(F889)+ROUNDDOWN((F889-INT(F889))*100,0)/60,2),従業員の給与情報!F889))</f>
        <v/>
      </c>
      <c r="O889" s="8"/>
      <c r="P889" s="8"/>
    </row>
    <row r="890" spans="1:16">
      <c r="A890" s="119"/>
      <c r="B890" s="2"/>
      <c r="C890" s="3"/>
      <c r="D890" s="3"/>
      <c r="E890" s="3"/>
      <c r="F890" s="9"/>
      <c r="G890" s="248" t="str">
        <f t="shared" si="65"/>
        <v/>
      </c>
      <c r="H890" s="1" t="b">
        <f>IF(B890="",FALSE,COUNTIF('従業員情報(給与以外)'!$A$4:$A$1000000,$B890)=0)</f>
        <v>0</v>
      </c>
      <c r="I890" s="9" t="b">
        <f t="shared" si="66"/>
        <v>1</v>
      </c>
      <c r="J890" s="9" t="b">
        <f t="shared" si="67"/>
        <v>1</v>
      </c>
      <c r="K890" s="9" t="b">
        <f t="shared" si="68"/>
        <v>1</v>
      </c>
      <c r="L890" s="9" t="b">
        <f t="shared" si="69"/>
        <v>1</v>
      </c>
      <c r="M890" s="1" t="b">
        <f>IF(OR(入力シート!$C$5&lt;&gt;入力リスト!$N$4,入力シート!$J$22&lt;&gt;入力リスト!$K$4),TRUE,IF($F$2=入力リスト!$Q$4,IF(F890-INT(F890)&lt;0.6,TRUE,FALSE),TRUE))</f>
        <v>1</v>
      </c>
      <c r="N890" s="9" t="str">
        <f>IF(F890="","",IF($F$2=入力リスト!$Q$4,ROUNDDOWN(INT(F890)+ROUNDDOWN((F890-INT(F890))*100,0)/60,2),従業員の給与情報!F890))</f>
        <v/>
      </c>
      <c r="O890" s="8"/>
      <c r="P890" s="8"/>
    </row>
    <row r="891" spans="1:16">
      <c r="A891" s="119"/>
      <c r="B891" s="2"/>
      <c r="C891" s="3"/>
      <c r="D891" s="3"/>
      <c r="E891" s="3"/>
      <c r="F891" s="9"/>
      <c r="G891" s="248" t="str">
        <f t="shared" si="65"/>
        <v/>
      </c>
      <c r="H891" s="1" t="b">
        <f>IF(B891="",FALSE,COUNTIF('従業員情報(給与以外)'!$A$4:$A$1000000,$B891)=0)</f>
        <v>0</v>
      </c>
      <c r="I891" s="9" t="b">
        <f t="shared" si="66"/>
        <v>1</v>
      </c>
      <c r="J891" s="9" t="b">
        <f t="shared" si="67"/>
        <v>1</v>
      </c>
      <c r="K891" s="9" t="b">
        <f t="shared" si="68"/>
        <v>1</v>
      </c>
      <c r="L891" s="9" t="b">
        <f t="shared" si="69"/>
        <v>1</v>
      </c>
      <c r="M891" s="1" t="b">
        <f>IF(OR(入力シート!$C$5&lt;&gt;入力リスト!$N$4,入力シート!$J$22&lt;&gt;入力リスト!$K$4),TRUE,IF($F$2=入力リスト!$Q$4,IF(F891-INT(F891)&lt;0.6,TRUE,FALSE),TRUE))</f>
        <v>1</v>
      </c>
      <c r="N891" s="9" t="str">
        <f>IF(F891="","",IF($F$2=入力リスト!$Q$4,ROUNDDOWN(INT(F891)+ROUNDDOWN((F891-INT(F891))*100,0)/60,2),従業員の給与情報!F891))</f>
        <v/>
      </c>
      <c r="O891" s="8"/>
      <c r="P891" s="8"/>
    </row>
    <row r="892" spans="1:16">
      <c r="A892" s="119"/>
      <c r="B892" s="2"/>
      <c r="C892" s="3"/>
      <c r="D892" s="3"/>
      <c r="E892" s="3"/>
      <c r="F892" s="9"/>
      <c r="G892" s="248" t="str">
        <f t="shared" si="65"/>
        <v/>
      </c>
      <c r="H892" s="1" t="b">
        <f>IF(B892="",FALSE,COUNTIF('従業員情報(給与以外)'!$A$4:$A$1000000,$B892)=0)</f>
        <v>0</v>
      </c>
      <c r="I892" s="9" t="b">
        <f t="shared" si="66"/>
        <v>1</v>
      </c>
      <c r="J892" s="9" t="b">
        <f t="shared" si="67"/>
        <v>1</v>
      </c>
      <c r="K892" s="9" t="b">
        <f t="shared" si="68"/>
        <v>1</v>
      </c>
      <c r="L892" s="9" t="b">
        <f t="shared" si="69"/>
        <v>1</v>
      </c>
      <c r="M892" s="1" t="b">
        <f>IF(OR(入力シート!$C$5&lt;&gt;入力リスト!$N$4,入力シート!$J$22&lt;&gt;入力リスト!$K$4),TRUE,IF($F$2=入力リスト!$Q$4,IF(F892-INT(F892)&lt;0.6,TRUE,FALSE),TRUE))</f>
        <v>1</v>
      </c>
      <c r="N892" s="9" t="str">
        <f>IF(F892="","",IF($F$2=入力リスト!$Q$4,ROUNDDOWN(INT(F892)+ROUNDDOWN((F892-INT(F892))*100,0)/60,2),従業員の給与情報!F892))</f>
        <v/>
      </c>
      <c r="O892" s="8"/>
      <c r="P892" s="8"/>
    </row>
    <row r="893" spans="1:16">
      <c r="A893" s="119"/>
      <c r="B893" s="2"/>
      <c r="C893" s="3"/>
      <c r="D893" s="3"/>
      <c r="E893" s="3"/>
      <c r="F893" s="9"/>
      <c r="G893" s="248" t="str">
        <f t="shared" si="65"/>
        <v/>
      </c>
      <c r="H893" s="1" t="b">
        <f>IF(B893="",FALSE,COUNTIF('従業員情報(給与以外)'!$A$4:$A$1000000,$B893)=0)</f>
        <v>0</v>
      </c>
      <c r="I893" s="9" t="b">
        <f t="shared" si="66"/>
        <v>1</v>
      </c>
      <c r="J893" s="9" t="b">
        <f t="shared" si="67"/>
        <v>1</v>
      </c>
      <c r="K893" s="9" t="b">
        <f t="shared" si="68"/>
        <v>1</v>
      </c>
      <c r="L893" s="9" t="b">
        <f t="shared" si="69"/>
        <v>1</v>
      </c>
      <c r="M893" s="1" t="b">
        <f>IF(OR(入力シート!$C$5&lt;&gt;入力リスト!$N$4,入力シート!$J$22&lt;&gt;入力リスト!$K$4),TRUE,IF($F$2=入力リスト!$Q$4,IF(F893-INT(F893)&lt;0.6,TRUE,FALSE),TRUE))</f>
        <v>1</v>
      </c>
      <c r="N893" s="9" t="str">
        <f>IF(F893="","",IF($F$2=入力リスト!$Q$4,ROUNDDOWN(INT(F893)+ROUNDDOWN((F893-INT(F893))*100,0)/60,2),従業員の給与情報!F893))</f>
        <v/>
      </c>
      <c r="O893" s="8"/>
      <c r="P893" s="8"/>
    </row>
    <row r="894" spans="1:16">
      <c r="A894" s="119"/>
      <c r="B894" s="2"/>
      <c r="C894" s="3"/>
      <c r="D894" s="3"/>
      <c r="E894" s="3"/>
      <c r="F894" s="9"/>
      <c r="G894" s="248" t="str">
        <f t="shared" si="65"/>
        <v/>
      </c>
      <c r="H894" s="1" t="b">
        <f>IF(B894="",FALSE,COUNTIF('従業員情報(給与以外)'!$A$4:$A$1000000,$B894)=0)</f>
        <v>0</v>
      </c>
      <c r="I894" s="9" t="b">
        <f t="shared" si="66"/>
        <v>1</v>
      </c>
      <c r="J894" s="9" t="b">
        <f t="shared" si="67"/>
        <v>1</v>
      </c>
      <c r="K894" s="9" t="b">
        <f t="shared" si="68"/>
        <v>1</v>
      </c>
      <c r="L894" s="9" t="b">
        <f t="shared" si="69"/>
        <v>1</v>
      </c>
      <c r="M894" s="1" t="b">
        <f>IF(OR(入力シート!$C$5&lt;&gt;入力リスト!$N$4,入力シート!$J$22&lt;&gt;入力リスト!$K$4),TRUE,IF($F$2=入力リスト!$Q$4,IF(F894-INT(F894)&lt;0.6,TRUE,FALSE),TRUE))</f>
        <v>1</v>
      </c>
      <c r="N894" s="9" t="str">
        <f>IF(F894="","",IF($F$2=入力リスト!$Q$4,ROUNDDOWN(INT(F894)+ROUNDDOWN((F894-INT(F894))*100,0)/60,2),従業員の給与情報!F894))</f>
        <v/>
      </c>
      <c r="O894" s="8"/>
      <c r="P894" s="8"/>
    </row>
    <row r="895" spans="1:16">
      <c r="A895" s="119"/>
      <c r="B895" s="2"/>
      <c r="C895" s="3"/>
      <c r="D895" s="3"/>
      <c r="E895" s="3"/>
      <c r="F895" s="9"/>
      <c r="G895" s="248" t="str">
        <f t="shared" si="65"/>
        <v/>
      </c>
      <c r="H895" s="1" t="b">
        <f>IF(B895="",FALSE,COUNTIF('従業員情報(給与以外)'!$A$4:$A$1000000,$B895)=0)</f>
        <v>0</v>
      </c>
      <c r="I895" s="9" t="b">
        <f t="shared" si="66"/>
        <v>1</v>
      </c>
      <c r="J895" s="9" t="b">
        <f t="shared" si="67"/>
        <v>1</v>
      </c>
      <c r="K895" s="9" t="b">
        <f t="shared" si="68"/>
        <v>1</v>
      </c>
      <c r="L895" s="9" t="b">
        <f t="shared" si="69"/>
        <v>1</v>
      </c>
      <c r="M895" s="1" t="b">
        <f>IF(OR(入力シート!$C$5&lt;&gt;入力リスト!$N$4,入力シート!$J$22&lt;&gt;入力リスト!$K$4),TRUE,IF($F$2=入力リスト!$Q$4,IF(F895-INT(F895)&lt;0.6,TRUE,FALSE),TRUE))</f>
        <v>1</v>
      </c>
      <c r="N895" s="9" t="str">
        <f>IF(F895="","",IF($F$2=入力リスト!$Q$4,ROUNDDOWN(INT(F895)+ROUNDDOWN((F895-INT(F895))*100,0)/60,2),従業員の給与情報!F895))</f>
        <v/>
      </c>
      <c r="O895" s="8"/>
      <c r="P895" s="8"/>
    </row>
    <row r="896" spans="1:16">
      <c r="A896" s="119"/>
      <c r="B896" s="2"/>
      <c r="C896" s="3"/>
      <c r="D896" s="3"/>
      <c r="E896" s="3"/>
      <c r="F896" s="9"/>
      <c r="G896" s="248" t="str">
        <f t="shared" si="65"/>
        <v/>
      </c>
      <c r="H896" s="1" t="b">
        <f>IF(B896="",FALSE,COUNTIF('従業員情報(給与以外)'!$A$4:$A$1000000,$B896)=0)</f>
        <v>0</v>
      </c>
      <c r="I896" s="9" t="b">
        <f t="shared" si="66"/>
        <v>1</v>
      </c>
      <c r="J896" s="9" t="b">
        <f t="shared" si="67"/>
        <v>1</v>
      </c>
      <c r="K896" s="9" t="b">
        <f t="shared" si="68"/>
        <v>1</v>
      </c>
      <c r="L896" s="9" t="b">
        <f t="shared" si="69"/>
        <v>1</v>
      </c>
      <c r="M896" s="1" t="b">
        <f>IF(OR(入力シート!$C$5&lt;&gt;入力リスト!$N$4,入力シート!$J$22&lt;&gt;入力リスト!$K$4),TRUE,IF($F$2=入力リスト!$Q$4,IF(F896-INT(F896)&lt;0.6,TRUE,FALSE),TRUE))</f>
        <v>1</v>
      </c>
      <c r="N896" s="9" t="str">
        <f>IF(F896="","",IF($F$2=入力リスト!$Q$4,ROUNDDOWN(INT(F896)+ROUNDDOWN((F896-INT(F896))*100,0)/60,2),従業員の給与情報!F896))</f>
        <v/>
      </c>
      <c r="O896" s="8"/>
      <c r="P896" s="8"/>
    </row>
    <row r="897" spans="1:16">
      <c r="A897" s="119"/>
      <c r="B897" s="2"/>
      <c r="C897" s="3"/>
      <c r="D897" s="3"/>
      <c r="E897" s="3"/>
      <c r="F897" s="9"/>
      <c r="G897" s="248" t="str">
        <f t="shared" si="65"/>
        <v/>
      </c>
      <c r="H897" s="1" t="b">
        <f>IF(B897="",FALSE,COUNTIF('従業員情報(給与以外)'!$A$4:$A$1000000,$B897)=0)</f>
        <v>0</v>
      </c>
      <c r="I897" s="9" t="b">
        <f t="shared" si="66"/>
        <v>1</v>
      </c>
      <c r="J897" s="9" t="b">
        <f t="shared" si="67"/>
        <v>1</v>
      </c>
      <c r="K897" s="9" t="b">
        <f t="shared" si="68"/>
        <v>1</v>
      </c>
      <c r="L897" s="9" t="b">
        <f t="shared" si="69"/>
        <v>1</v>
      </c>
      <c r="M897" s="1" t="b">
        <f>IF(OR(入力シート!$C$5&lt;&gt;入力リスト!$N$4,入力シート!$J$22&lt;&gt;入力リスト!$K$4),TRUE,IF($F$2=入力リスト!$Q$4,IF(F897-INT(F897)&lt;0.6,TRUE,FALSE),TRUE))</f>
        <v>1</v>
      </c>
      <c r="N897" s="9" t="str">
        <f>IF(F897="","",IF($F$2=入力リスト!$Q$4,ROUNDDOWN(INT(F897)+ROUNDDOWN((F897-INT(F897))*100,0)/60,2),従業員の給与情報!F897))</f>
        <v/>
      </c>
      <c r="O897" s="8"/>
      <c r="P897" s="8"/>
    </row>
    <row r="898" spans="1:16">
      <c r="A898" s="119"/>
      <c r="B898" s="2"/>
      <c r="C898" s="3"/>
      <c r="D898" s="3"/>
      <c r="E898" s="3"/>
      <c r="F898" s="9"/>
      <c r="G898" s="248" t="str">
        <f t="shared" si="65"/>
        <v/>
      </c>
      <c r="H898" s="1" t="b">
        <f>IF(B898="",FALSE,COUNTIF('従業員情報(給与以外)'!$A$4:$A$1000000,$B898)=0)</f>
        <v>0</v>
      </c>
      <c r="I898" s="9" t="b">
        <f t="shared" si="66"/>
        <v>1</v>
      </c>
      <c r="J898" s="9" t="b">
        <f t="shared" si="67"/>
        <v>1</v>
      </c>
      <c r="K898" s="9" t="b">
        <f t="shared" si="68"/>
        <v>1</v>
      </c>
      <c r="L898" s="9" t="b">
        <f t="shared" si="69"/>
        <v>1</v>
      </c>
      <c r="M898" s="1" t="b">
        <f>IF(OR(入力シート!$C$5&lt;&gt;入力リスト!$N$4,入力シート!$J$22&lt;&gt;入力リスト!$K$4),TRUE,IF($F$2=入力リスト!$Q$4,IF(F898-INT(F898)&lt;0.6,TRUE,FALSE),TRUE))</f>
        <v>1</v>
      </c>
      <c r="N898" s="9" t="str">
        <f>IF(F898="","",IF($F$2=入力リスト!$Q$4,ROUNDDOWN(INT(F898)+ROUNDDOWN((F898-INT(F898))*100,0)/60,2),従業員の給与情報!F898))</f>
        <v/>
      </c>
      <c r="O898" s="8"/>
      <c r="P898" s="8"/>
    </row>
    <row r="899" spans="1:16">
      <c r="A899" s="119"/>
      <c r="B899" s="2"/>
      <c r="C899" s="3"/>
      <c r="D899" s="3"/>
      <c r="E899" s="3"/>
      <c r="F899" s="9"/>
      <c r="G899" s="248" t="str">
        <f t="shared" si="65"/>
        <v/>
      </c>
      <c r="H899" s="1" t="b">
        <f>IF(B899="",FALSE,COUNTIF('従業員情報(給与以外)'!$A$4:$A$1000000,$B899)=0)</f>
        <v>0</v>
      </c>
      <c r="I899" s="9" t="b">
        <f t="shared" si="66"/>
        <v>1</v>
      </c>
      <c r="J899" s="9" t="b">
        <f t="shared" si="67"/>
        <v>1</v>
      </c>
      <c r="K899" s="9" t="b">
        <f t="shared" si="68"/>
        <v>1</v>
      </c>
      <c r="L899" s="9" t="b">
        <f t="shared" si="69"/>
        <v>1</v>
      </c>
      <c r="M899" s="1" t="b">
        <f>IF(OR(入力シート!$C$5&lt;&gt;入力リスト!$N$4,入力シート!$J$22&lt;&gt;入力リスト!$K$4),TRUE,IF($F$2=入力リスト!$Q$4,IF(F899-INT(F899)&lt;0.6,TRUE,FALSE),TRUE))</f>
        <v>1</v>
      </c>
      <c r="N899" s="9" t="str">
        <f>IF(F899="","",IF($F$2=入力リスト!$Q$4,ROUNDDOWN(INT(F899)+ROUNDDOWN((F899-INT(F899))*100,0)/60,2),従業員の給与情報!F899))</f>
        <v/>
      </c>
      <c r="O899" s="8"/>
      <c r="P899" s="8"/>
    </row>
    <row r="900" spans="1:16">
      <c r="A900" s="119"/>
      <c r="B900" s="2"/>
      <c r="C900" s="3"/>
      <c r="D900" s="3"/>
      <c r="E900" s="3"/>
      <c r="F900" s="9"/>
      <c r="G900" s="248" t="str">
        <f t="shared" si="65"/>
        <v/>
      </c>
      <c r="H900" s="1" t="b">
        <f>IF(B900="",FALSE,COUNTIF('従業員情報(給与以外)'!$A$4:$A$1000000,$B900)=0)</f>
        <v>0</v>
      </c>
      <c r="I900" s="9" t="b">
        <f t="shared" si="66"/>
        <v>1</v>
      </c>
      <c r="J900" s="9" t="b">
        <f t="shared" si="67"/>
        <v>1</v>
      </c>
      <c r="K900" s="9" t="b">
        <f t="shared" si="68"/>
        <v>1</v>
      </c>
      <c r="L900" s="9" t="b">
        <f t="shared" si="69"/>
        <v>1</v>
      </c>
      <c r="M900" s="1" t="b">
        <f>IF(OR(入力シート!$C$5&lt;&gt;入力リスト!$N$4,入力シート!$J$22&lt;&gt;入力リスト!$K$4),TRUE,IF($F$2=入力リスト!$Q$4,IF(F900-INT(F900)&lt;0.6,TRUE,FALSE),TRUE))</f>
        <v>1</v>
      </c>
      <c r="N900" s="9" t="str">
        <f>IF(F900="","",IF($F$2=入力リスト!$Q$4,ROUNDDOWN(INT(F900)+ROUNDDOWN((F900-INT(F900))*100,0)/60,2),従業員の給与情報!F900))</f>
        <v/>
      </c>
      <c r="O900" s="8"/>
      <c r="P900" s="8"/>
    </row>
    <row r="901" spans="1:16">
      <c r="A901" s="119"/>
      <c r="B901" s="2"/>
      <c r="C901" s="3"/>
      <c r="D901" s="3"/>
      <c r="E901" s="3"/>
      <c r="F901" s="9"/>
      <c r="G901" s="248" t="str">
        <f t="shared" ref="G901:G964" si="70">IF(AND($B901="",OR(B901&lt;&gt;"",C901&lt;&gt;"",D901&lt;&gt;"",E901&lt;&gt;"",F901&lt;&gt;"")),"従業員番号が空白です。",IF($H901=TRUE,"この従業員番号は、シート［従業員情報（給与以外）］に存在しません。",IF(I901=FALSE,"「毎月の固定給与額」","")&amp;IF(AND(I901=FALSE,OR(J901=FALSE,K901=FALSE,L901=FALSE)),",","")&amp;IF(J901=FALSE,"「賞与額等」","")&amp;IF(AND(J901=FALSE,OR(K901=FALSE,L901=FALSE)),",","")&amp;IF(K901=FALSE,"「残業手当」","")&amp;IF(AND(K901=FALSE,L901=FALSE),",","")&amp;IF(L901=FALSE,"「残業時間」","")&amp;IF(OR(I901=FALSE,J901=FALSE,K901=FALSE,L901=FALSE),"に数値以外が入力されています。","")&amp;IF(M901,"","「残業時間」を分単位で入力した場合、小数点以下の値は0.6未満にしてください。")))</f>
        <v/>
      </c>
      <c r="H901" s="1" t="b">
        <f>IF(B901="",FALSE,COUNTIF('従業員情報(給与以外)'!$A$4:$A$1000000,$B901)=0)</f>
        <v>0</v>
      </c>
      <c r="I901" s="9" t="b">
        <f t="shared" ref="I901:I964" si="71">OR(C901="",ISNUMBER(C901))</f>
        <v>1</v>
      </c>
      <c r="J901" s="9" t="b">
        <f t="shared" ref="J901:J964" si="72">OR(D901="",ISNUMBER(D901))</f>
        <v>1</v>
      </c>
      <c r="K901" s="9" t="b">
        <f t="shared" ref="K901:K964" si="73">OR(E901="",ISNUMBER(E901))</f>
        <v>1</v>
      </c>
      <c r="L901" s="9" t="b">
        <f t="shared" ref="L901:L964" si="74">OR(F901="",ISNUMBER(F901))</f>
        <v>1</v>
      </c>
      <c r="M901" s="1" t="b">
        <f>IF(OR(入力シート!$C$5&lt;&gt;入力リスト!$N$4,入力シート!$J$22&lt;&gt;入力リスト!$K$4),TRUE,IF($F$2=入力リスト!$Q$4,IF(F901-INT(F901)&lt;0.6,TRUE,FALSE),TRUE))</f>
        <v>1</v>
      </c>
      <c r="N901" s="9" t="str">
        <f>IF(F901="","",IF($F$2=入力リスト!$Q$4,ROUNDDOWN(INT(F901)+ROUNDDOWN((F901-INT(F901))*100,0)/60,2),従業員の給与情報!F901))</f>
        <v/>
      </c>
      <c r="O901" s="8"/>
      <c r="P901" s="8"/>
    </row>
    <row r="902" spans="1:16">
      <c r="A902" s="119"/>
      <c r="B902" s="2"/>
      <c r="C902" s="3"/>
      <c r="D902" s="3"/>
      <c r="E902" s="3"/>
      <c r="F902" s="9"/>
      <c r="G902" s="248" t="str">
        <f t="shared" si="70"/>
        <v/>
      </c>
      <c r="H902" s="1" t="b">
        <f>IF(B902="",FALSE,COUNTIF('従業員情報(給与以外)'!$A$4:$A$1000000,$B902)=0)</f>
        <v>0</v>
      </c>
      <c r="I902" s="9" t="b">
        <f t="shared" si="71"/>
        <v>1</v>
      </c>
      <c r="J902" s="9" t="b">
        <f t="shared" si="72"/>
        <v>1</v>
      </c>
      <c r="K902" s="9" t="b">
        <f t="shared" si="73"/>
        <v>1</v>
      </c>
      <c r="L902" s="9" t="b">
        <f t="shared" si="74"/>
        <v>1</v>
      </c>
      <c r="M902" s="1" t="b">
        <f>IF(OR(入力シート!$C$5&lt;&gt;入力リスト!$N$4,入力シート!$J$22&lt;&gt;入力リスト!$K$4),TRUE,IF($F$2=入力リスト!$Q$4,IF(F902-INT(F902)&lt;0.6,TRUE,FALSE),TRUE))</f>
        <v>1</v>
      </c>
      <c r="N902" s="9" t="str">
        <f>IF(F902="","",IF($F$2=入力リスト!$Q$4,ROUNDDOWN(INT(F902)+ROUNDDOWN((F902-INT(F902))*100,0)/60,2),従業員の給与情報!F902))</f>
        <v/>
      </c>
      <c r="O902" s="8"/>
      <c r="P902" s="8"/>
    </row>
    <row r="903" spans="1:16">
      <c r="A903" s="119"/>
      <c r="B903" s="2"/>
      <c r="C903" s="3"/>
      <c r="D903" s="3"/>
      <c r="E903" s="3"/>
      <c r="F903" s="9"/>
      <c r="G903" s="248" t="str">
        <f t="shared" si="70"/>
        <v/>
      </c>
      <c r="H903" s="1" t="b">
        <f>IF(B903="",FALSE,COUNTIF('従業員情報(給与以外)'!$A$4:$A$1000000,$B903)=0)</f>
        <v>0</v>
      </c>
      <c r="I903" s="9" t="b">
        <f t="shared" si="71"/>
        <v>1</v>
      </c>
      <c r="J903" s="9" t="b">
        <f t="shared" si="72"/>
        <v>1</v>
      </c>
      <c r="K903" s="9" t="b">
        <f t="shared" si="73"/>
        <v>1</v>
      </c>
      <c r="L903" s="9" t="b">
        <f t="shared" si="74"/>
        <v>1</v>
      </c>
      <c r="M903" s="1" t="b">
        <f>IF(OR(入力シート!$C$5&lt;&gt;入力リスト!$N$4,入力シート!$J$22&lt;&gt;入力リスト!$K$4),TRUE,IF($F$2=入力リスト!$Q$4,IF(F903-INT(F903)&lt;0.6,TRUE,FALSE),TRUE))</f>
        <v>1</v>
      </c>
      <c r="N903" s="9" t="str">
        <f>IF(F903="","",IF($F$2=入力リスト!$Q$4,ROUNDDOWN(INT(F903)+ROUNDDOWN((F903-INT(F903))*100,0)/60,2),従業員の給与情報!F903))</f>
        <v/>
      </c>
      <c r="O903" s="8"/>
      <c r="P903" s="8"/>
    </row>
    <row r="904" spans="1:16">
      <c r="A904" s="119"/>
      <c r="B904" s="2"/>
      <c r="C904" s="3"/>
      <c r="D904" s="3"/>
      <c r="E904" s="3"/>
      <c r="F904" s="9"/>
      <c r="G904" s="248" t="str">
        <f t="shared" si="70"/>
        <v/>
      </c>
      <c r="H904" s="1" t="b">
        <f>IF(B904="",FALSE,COUNTIF('従業員情報(給与以外)'!$A$4:$A$1000000,$B904)=0)</f>
        <v>0</v>
      </c>
      <c r="I904" s="9" t="b">
        <f t="shared" si="71"/>
        <v>1</v>
      </c>
      <c r="J904" s="9" t="b">
        <f t="shared" si="72"/>
        <v>1</v>
      </c>
      <c r="K904" s="9" t="b">
        <f t="shared" si="73"/>
        <v>1</v>
      </c>
      <c r="L904" s="9" t="b">
        <f t="shared" si="74"/>
        <v>1</v>
      </c>
      <c r="M904" s="1" t="b">
        <f>IF(OR(入力シート!$C$5&lt;&gt;入力リスト!$N$4,入力シート!$J$22&lt;&gt;入力リスト!$K$4),TRUE,IF($F$2=入力リスト!$Q$4,IF(F904-INT(F904)&lt;0.6,TRUE,FALSE),TRUE))</f>
        <v>1</v>
      </c>
      <c r="N904" s="9" t="str">
        <f>IF(F904="","",IF($F$2=入力リスト!$Q$4,ROUNDDOWN(INT(F904)+ROUNDDOWN((F904-INT(F904))*100,0)/60,2),従業員の給与情報!F904))</f>
        <v/>
      </c>
      <c r="O904" s="8"/>
      <c r="P904" s="8"/>
    </row>
    <row r="905" spans="1:16">
      <c r="A905" s="119"/>
      <c r="B905" s="2"/>
      <c r="C905" s="3"/>
      <c r="D905" s="3"/>
      <c r="E905" s="3"/>
      <c r="F905" s="9"/>
      <c r="G905" s="248" t="str">
        <f t="shared" si="70"/>
        <v/>
      </c>
      <c r="H905" s="1" t="b">
        <f>IF(B905="",FALSE,COUNTIF('従業員情報(給与以外)'!$A$4:$A$1000000,$B905)=0)</f>
        <v>0</v>
      </c>
      <c r="I905" s="9" t="b">
        <f t="shared" si="71"/>
        <v>1</v>
      </c>
      <c r="J905" s="9" t="b">
        <f t="shared" si="72"/>
        <v>1</v>
      </c>
      <c r="K905" s="9" t="b">
        <f t="shared" si="73"/>
        <v>1</v>
      </c>
      <c r="L905" s="9" t="b">
        <f t="shared" si="74"/>
        <v>1</v>
      </c>
      <c r="M905" s="1" t="b">
        <f>IF(OR(入力シート!$C$5&lt;&gt;入力リスト!$N$4,入力シート!$J$22&lt;&gt;入力リスト!$K$4),TRUE,IF($F$2=入力リスト!$Q$4,IF(F905-INT(F905)&lt;0.6,TRUE,FALSE),TRUE))</f>
        <v>1</v>
      </c>
      <c r="N905" s="9" t="str">
        <f>IF(F905="","",IF($F$2=入力リスト!$Q$4,ROUNDDOWN(INT(F905)+ROUNDDOWN((F905-INT(F905))*100,0)/60,2),従業員の給与情報!F905))</f>
        <v/>
      </c>
      <c r="O905" s="8"/>
      <c r="P905" s="8"/>
    </row>
    <row r="906" spans="1:16">
      <c r="A906" s="119"/>
      <c r="B906" s="2"/>
      <c r="C906" s="3"/>
      <c r="D906" s="3"/>
      <c r="E906" s="3"/>
      <c r="F906" s="9"/>
      <c r="G906" s="248" t="str">
        <f t="shared" si="70"/>
        <v/>
      </c>
      <c r="H906" s="1" t="b">
        <f>IF(B906="",FALSE,COUNTIF('従業員情報(給与以外)'!$A$4:$A$1000000,$B906)=0)</f>
        <v>0</v>
      </c>
      <c r="I906" s="9" t="b">
        <f t="shared" si="71"/>
        <v>1</v>
      </c>
      <c r="J906" s="9" t="b">
        <f t="shared" si="72"/>
        <v>1</v>
      </c>
      <c r="K906" s="9" t="b">
        <f t="shared" si="73"/>
        <v>1</v>
      </c>
      <c r="L906" s="9" t="b">
        <f t="shared" si="74"/>
        <v>1</v>
      </c>
      <c r="M906" s="1" t="b">
        <f>IF(OR(入力シート!$C$5&lt;&gt;入力リスト!$N$4,入力シート!$J$22&lt;&gt;入力リスト!$K$4),TRUE,IF($F$2=入力リスト!$Q$4,IF(F906-INT(F906)&lt;0.6,TRUE,FALSE),TRUE))</f>
        <v>1</v>
      </c>
      <c r="N906" s="9" t="str">
        <f>IF(F906="","",IF($F$2=入力リスト!$Q$4,ROUNDDOWN(INT(F906)+ROUNDDOWN((F906-INT(F906))*100,0)/60,2),従業員の給与情報!F906))</f>
        <v/>
      </c>
      <c r="O906" s="8"/>
      <c r="P906" s="8"/>
    </row>
    <row r="907" spans="1:16">
      <c r="A907" s="119"/>
      <c r="B907" s="2"/>
      <c r="C907" s="3"/>
      <c r="D907" s="3"/>
      <c r="E907" s="3"/>
      <c r="F907" s="9"/>
      <c r="G907" s="248" t="str">
        <f t="shared" si="70"/>
        <v/>
      </c>
      <c r="H907" s="1" t="b">
        <f>IF(B907="",FALSE,COUNTIF('従業員情報(給与以外)'!$A$4:$A$1000000,$B907)=0)</f>
        <v>0</v>
      </c>
      <c r="I907" s="9" t="b">
        <f t="shared" si="71"/>
        <v>1</v>
      </c>
      <c r="J907" s="9" t="b">
        <f t="shared" si="72"/>
        <v>1</v>
      </c>
      <c r="K907" s="9" t="b">
        <f t="shared" si="73"/>
        <v>1</v>
      </c>
      <c r="L907" s="9" t="b">
        <f t="shared" si="74"/>
        <v>1</v>
      </c>
      <c r="M907" s="1" t="b">
        <f>IF(OR(入力シート!$C$5&lt;&gt;入力リスト!$N$4,入力シート!$J$22&lt;&gt;入力リスト!$K$4),TRUE,IF($F$2=入力リスト!$Q$4,IF(F907-INT(F907)&lt;0.6,TRUE,FALSE),TRUE))</f>
        <v>1</v>
      </c>
      <c r="N907" s="9" t="str">
        <f>IF(F907="","",IF($F$2=入力リスト!$Q$4,ROUNDDOWN(INT(F907)+ROUNDDOWN((F907-INT(F907))*100,0)/60,2),従業員の給与情報!F907))</f>
        <v/>
      </c>
      <c r="O907" s="8"/>
      <c r="P907" s="8"/>
    </row>
    <row r="908" spans="1:16">
      <c r="A908" s="119"/>
      <c r="B908" s="2"/>
      <c r="C908" s="3"/>
      <c r="D908" s="3"/>
      <c r="E908" s="3"/>
      <c r="F908" s="9"/>
      <c r="G908" s="248" t="str">
        <f t="shared" si="70"/>
        <v/>
      </c>
      <c r="H908" s="1" t="b">
        <f>IF(B908="",FALSE,COUNTIF('従業員情報(給与以外)'!$A$4:$A$1000000,$B908)=0)</f>
        <v>0</v>
      </c>
      <c r="I908" s="9" t="b">
        <f t="shared" si="71"/>
        <v>1</v>
      </c>
      <c r="J908" s="9" t="b">
        <f t="shared" si="72"/>
        <v>1</v>
      </c>
      <c r="K908" s="9" t="b">
        <f t="shared" si="73"/>
        <v>1</v>
      </c>
      <c r="L908" s="9" t="b">
        <f t="shared" si="74"/>
        <v>1</v>
      </c>
      <c r="M908" s="1" t="b">
        <f>IF(OR(入力シート!$C$5&lt;&gt;入力リスト!$N$4,入力シート!$J$22&lt;&gt;入力リスト!$K$4),TRUE,IF($F$2=入力リスト!$Q$4,IF(F908-INT(F908)&lt;0.6,TRUE,FALSE),TRUE))</f>
        <v>1</v>
      </c>
      <c r="N908" s="9" t="str">
        <f>IF(F908="","",IF($F$2=入力リスト!$Q$4,ROUNDDOWN(INT(F908)+ROUNDDOWN((F908-INT(F908))*100,0)/60,2),従業員の給与情報!F908))</f>
        <v/>
      </c>
      <c r="O908" s="8"/>
      <c r="P908" s="8"/>
    </row>
    <row r="909" spans="1:16">
      <c r="A909" s="119"/>
      <c r="B909" s="2"/>
      <c r="C909" s="3"/>
      <c r="D909" s="3"/>
      <c r="E909" s="3"/>
      <c r="F909" s="9"/>
      <c r="G909" s="248" t="str">
        <f t="shared" si="70"/>
        <v/>
      </c>
      <c r="H909" s="1" t="b">
        <f>IF(B909="",FALSE,COUNTIF('従業員情報(給与以外)'!$A$4:$A$1000000,$B909)=0)</f>
        <v>0</v>
      </c>
      <c r="I909" s="9" t="b">
        <f t="shared" si="71"/>
        <v>1</v>
      </c>
      <c r="J909" s="9" t="b">
        <f t="shared" si="72"/>
        <v>1</v>
      </c>
      <c r="K909" s="9" t="b">
        <f t="shared" si="73"/>
        <v>1</v>
      </c>
      <c r="L909" s="9" t="b">
        <f t="shared" si="74"/>
        <v>1</v>
      </c>
      <c r="M909" s="1" t="b">
        <f>IF(OR(入力シート!$C$5&lt;&gt;入力リスト!$N$4,入力シート!$J$22&lt;&gt;入力リスト!$K$4),TRUE,IF($F$2=入力リスト!$Q$4,IF(F909-INT(F909)&lt;0.6,TRUE,FALSE),TRUE))</f>
        <v>1</v>
      </c>
      <c r="N909" s="9" t="str">
        <f>IF(F909="","",IF($F$2=入力リスト!$Q$4,ROUNDDOWN(INT(F909)+ROUNDDOWN((F909-INT(F909))*100,0)/60,2),従業員の給与情報!F909))</f>
        <v/>
      </c>
      <c r="O909" s="8"/>
      <c r="P909" s="8"/>
    </row>
    <row r="910" spans="1:16">
      <c r="A910" s="119"/>
      <c r="B910" s="2"/>
      <c r="C910" s="3"/>
      <c r="D910" s="3"/>
      <c r="E910" s="3"/>
      <c r="F910" s="9"/>
      <c r="G910" s="248" t="str">
        <f t="shared" si="70"/>
        <v/>
      </c>
      <c r="H910" s="1" t="b">
        <f>IF(B910="",FALSE,COUNTIF('従業員情報(給与以外)'!$A$4:$A$1000000,$B910)=0)</f>
        <v>0</v>
      </c>
      <c r="I910" s="9" t="b">
        <f t="shared" si="71"/>
        <v>1</v>
      </c>
      <c r="J910" s="9" t="b">
        <f t="shared" si="72"/>
        <v>1</v>
      </c>
      <c r="K910" s="9" t="b">
        <f t="shared" si="73"/>
        <v>1</v>
      </c>
      <c r="L910" s="9" t="b">
        <f t="shared" si="74"/>
        <v>1</v>
      </c>
      <c r="M910" s="1" t="b">
        <f>IF(OR(入力シート!$C$5&lt;&gt;入力リスト!$N$4,入力シート!$J$22&lt;&gt;入力リスト!$K$4),TRUE,IF($F$2=入力リスト!$Q$4,IF(F910-INT(F910)&lt;0.6,TRUE,FALSE),TRUE))</f>
        <v>1</v>
      </c>
      <c r="N910" s="9" t="str">
        <f>IF(F910="","",IF($F$2=入力リスト!$Q$4,ROUNDDOWN(INT(F910)+ROUNDDOWN((F910-INT(F910))*100,0)/60,2),従業員の給与情報!F910))</f>
        <v/>
      </c>
      <c r="O910" s="8"/>
      <c r="P910" s="8"/>
    </row>
    <row r="911" spans="1:16">
      <c r="A911" s="119"/>
      <c r="B911" s="2"/>
      <c r="C911" s="3"/>
      <c r="D911" s="3"/>
      <c r="E911" s="3"/>
      <c r="F911" s="9"/>
      <c r="G911" s="248" t="str">
        <f t="shared" si="70"/>
        <v/>
      </c>
      <c r="H911" s="1" t="b">
        <f>IF(B911="",FALSE,COUNTIF('従業員情報(給与以外)'!$A$4:$A$1000000,$B911)=0)</f>
        <v>0</v>
      </c>
      <c r="I911" s="9" t="b">
        <f t="shared" si="71"/>
        <v>1</v>
      </c>
      <c r="J911" s="9" t="b">
        <f t="shared" si="72"/>
        <v>1</v>
      </c>
      <c r="K911" s="9" t="b">
        <f t="shared" si="73"/>
        <v>1</v>
      </c>
      <c r="L911" s="9" t="b">
        <f t="shared" si="74"/>
        <v>1</v>
      </c>
      <c r="M911" s="1" t="b">
        <f>IF(OR(入力シート!$C$5&lt;&gt;入力リスト!$N$4,入力シート!$J$22&lt;&gt;入力リスト!$K$4),TRUE,IF($F$2=入力リスト!$Q$4,IF(F911-INT(F911)&lt;0.6,TRUE,FALSE),TRUE))</f>
        <v>1</v>
      </c>
      <c r="N911" s="9" t="str">
        <f>IF(F911="","",IF($F$2=入力リスト!$Q$4,ROUNDDOWN(INT(F911)+ROUNDDOWN((F911-INT(F911))*100,0)/60,2),従業員の給与情報!F911))</f>
        <v/>
      </c>
      <c r="O911" s="8"/>
      <c r="P911" s="8"/>
    </row>
    <row r="912" spans="1:16">
      <c r="A912" s="119"/>
      <c r="B912" s="2"/>
      <c r="C912" s="3"/>
      <c r="D912" s="3"/>
      <c r="E912" s="3"/>
      <c r="F912" s="9"/>
      <c r="G912" s="248" t="str">
        <f t="shared" si="70"/>
        <v/>
      </c>
      <c r="H912" s="1" t="b">
        <f>IF(B912="",FALSE,COUNTIF('従業員情報(給与以外)'!$A$4:$A$1000000,$B912)=0)</f>
        <v>0</v>
      </c>
      <c r="I912" s="9" t="b">
        <f t="shared" si="71"/>
        <v>1</v>
      </c>
      <c r="J912" s="9" t="b">
        <f t="shared" si="72"/>
        <v>1</v>
      </c>
      <c r="K912" s="9" t="b">
        <f t="shared" si="73"/>
        <v>1</v>
      </c>
      <c r="L912" s="9" t="b">
        <f t="shared" si="74"/>
        <v>1</v>
      </c>
      <c r="M912" s="1" t="b">
        <f>IF(OR(入力シート!$C$5&lt;&gt;入力リスト!$N$4,入力シート!$J$22&lt;&gt;入力リスト!$K$4),TRUE,IF($F$2=入力リスト!$Q$4,IF(F912-INT(F912)&lt;0.6,TRUE,FALSE),TRUE))</f>
        <v>1</v>
      </c>
      <c r="N912" s="9" t="str">
        <f>IF(F912="","",IF($F$2=入力リスト!$Q$4,ROUNDDOWN(INT(F912)+ROUNDDOWN((F912-INT(F912))*100,0)/60,2),従業員の給与情報!F912))</f>
        <v/>
      </c>
      <c r="O912" s="8"/>
      <c r="P912" s="8"/>
    </row>
    <row r="913" spans="1:16">
      <c r="A913" s="119"/>
      <c r="B913" s="2"/>
      <c r="C913" s="3"/>
      <c r="D913" s="3"/>
      <c r="E913" s="3"/>
      <c r="F913" s="9"/>
      <c r="G913" s="248" t="str">
        <f t="shared" si="70"/>
        <v/>
      </c>
      <c r="H913" s="1" t="b">
        <f>IF(B913="",FALSE,COUNTIF('従業員情報(給与以外)'!$A$4:$A$1000000,$B913)=0)</f>
        <v>0</v>
      </c>
      <c r="I913" s="9" t="b">
        <f t="shared" si="71"/>
        <v>1</v>
      </c>
      <c r="J913" s="9" t="b">
        <f t="shared" si="72"/>
        <v>1</v>
      </c>
      <c r="K913" s="9" t="b">
        <f t="shared" si="73"/>
        <v>1</v>
      </c>
      <c r="L913" s="9" t="b">
        <f t="shared" si="74"/>
        <v>1</v>
      </c>
      <c r="M913" s="1" t="b">
        <f>IF(OR(入力シート!$C$5&lt;&gt;入力リスト!$N$4,入力シート!$J$22&lt;&gt;入力リスト!$K$4),TRUE,IF($F$2=入力リスト!$Q$4,IF(F913-INT(F913)&lt;0.6,TRUE,FALSE),TRUE))</f>
        <v>1</v>
      </c>
      <c r="N913" s="9" t="str">
        <f>IF(F913="","",IF($F$2=入力リスト!$Q$4,ROUNDDOWN(INT(F913)+ROUNDDOWN((F913-INT(F913))*100,0)/60,2),従業員の給与情報!F913))</f>
        <v/>
      </c>
      <c r="O913" s="8"/>
      <c r="P913" s="8"/>
    </row>
    <row r="914" spans="1:16">
      <c r="A914" s="119"/>
      <c r="B914" s="2"/>
      <c r="C914" s="3"/>
      <c r="D914" s="3"/>
      <c r="E914" s="3"/>
      <c r="F914" s="9"/>
      <c r="G914" s="248" t="str">
        <f t="shared" si="70"/>
        <v/>
      </c>
      <c r="H914" s="1" t="b">
        <f>IF(B914="",FALSE,COUNTIF('従業員情報(給与以外)'!$A$4:$A$1000000,$B914)=0)</f>
        <v>0</v>
      </c>
      <c r="I914" s="9" t="b">
        <f t="shared" si="71"/>
        <v>1</v>
      </c>
      <c r="J914" s="9" t="b">
        <f t="shared" si="72"/>
        <v>1</v>
      </c>
      <c r="K914" s="9" t="b">
        <f t="shared" si="73"/>
        <v>1</v>
      </c>
      <c r="L914" s="9" t="b">
        <f t="shared" si="74"/>
        <v>1</v>
      </c>
      <c r="M914" s="1" t="b">
        <f>IF(OR(入力シート!$C$5&lt;&gt;入力リスト!$N$4,入力シート!$J$22&lt;&gt;入力リスト!$K$4),TRUE,IF($F$2=入力リスト!$Q$4,IF(F914-INT(F914)&lt;0.6,TRUE,FALSE),TRUE))</f>
        <v>1</v>
      </c>
      <c r="N914" s="9" t="str">
        <f>IF(F914="","",IF($F$2=入力リスト!$Q$4,ROUNDDOWN(INT(F914)+ROUNDDOWN((F914-INT(F914))*100,0)/60,2),従業員の給与情報!F914))</f>
        <v/>
      </c>
      <c r="O914" s="8"/>
      <c r="P914" s="8"/>
    </row>
    <row r="915" spans="1:16">
      <c r="A915" s="119"/>
      <c r="B915" s="2"/>
      <c r="C915" s="3"/>
      <c r="D915" s="3"/>
      <c r="E915" s="3"/>
      <c r="F915" s="9"/>
      <c r="G915" s="248" t="str">
        <f t="shared" si="70"/>
        <v/>
      </c>
      <c r="H915" s="1" t="b">
        <f>IF(B915="",FALSE,COUNTIF('従業員情報(給与以外)'!$A$4:$A$1000000,$B915)=0)</f>
        <v>0</v>
      </c>
      <c r="I915" s="9" t="b">
        <f t="shared" si="71"/>
        <v>1</v>
      </c>
      <c r="J915" s="9" t="b">
        <f t="shared" si="72"/>
        <v>1</v>
      </c>
      <c r="K915" s="9" t="b">
        <f t="shared" si="73"/>
        <v>1</v>
      </c>
      <c r="L915" s="9" t="b">
        <f t="shared" si="74"/>
        <v>1</v>
      </c>
      <c r="M915" s="1" t="b">
        <f>IF(OR(入力シート!$C$5&lt;&gt;入力リスト!$N$4,入力シート!$J$22&lt;&gt;入力リスト!$K$4),TRUE,IF($F$2=入力リスト!$Q$4,IF(F915-INT(F915)&lt;0.6,TRUE,FALSE),TRUE))</f>
        <v>1</v>
      </c>
      <c r="N915" s="9" t="str">
        <f>IF(F915="","",IF($F$2=入力リスト!$Q$4,ROUNDDOWN(INT(F915)+ROUNDDOWN((F915-INT(F915))*100,0)/60,2),従業員の給与情報!F915))</f>
        <v/>
      </c>
      <c r="O915" s="8"/>
      <c r="P915" s="8"/>
    </row>
    <row r="916" spans="1:16">
      <c r="A916" s="119"/>
      <c r="B916" s="2"/>
      <c r="C916" s="3"/>
      <c r="D916" s="3"/>
      <c r="E916" s="3"/>
      <c r="F916" s="9"/>
      <c r="G916" s="248" t="str">
        <f t="shared" si="70"/>
        <v/>
      </c>
      <c r="H916" s="1" t="b">
        <f>IF(B916="",FALSE,COUNTIF('従業員情報(給与以外)'!$A$4:$A$1000000,$B916)=0)</f>
        <v>0</v>
      </c>
      <c r="I916" s="9" t="b">
        <f t="shared" si="71"/>
        <v>1</v>
      </c>
      <c r="J916" s="9" t="b">
        <f t="shared" si="72"/>
        <v>1</v>
      </c>
      <c r="K916" s="9" t="b">
        <f t="shared" si="73"/>
        <v>1</v>
      </c>
      <c r="L916" s="9" t="b">
        <f t="shared" si="74"/>
        <v>1</v>
      </c>
      <c r="M916" s="1" t="b">
        <f>IF(OR(入力シート!$C$5&lt;&gt;入力リスト!$N$4,入力シート!$J$22&lt;&gt;入力リスト!$K$4),TRUE,IF($F$2=入力リスト!$Q$4,IF(F916-INT(F916)&lt;0.6,TRUE,FALSE),TRUE))</f>
        <v>1</v>
      </c>
      <c r="N916" s="9" t="str">
        <f>IF(F916="","",IF($F$2=入力リスト!$Q$4,ROUNDDOWN(INT(F916)+ROUNDDOWN((F916-INT(F916))*100,0)/60,2),従業員の給与情報!F916))</f>
        <v/>
      </c>
      <c r="O916" s="8"/>
      <c r="P916" s="8"/>
    </row>
    <row r="917" spans="1:16">
      <c r="A917" s="119"/>
      <c r="B917" s="2"/>
      <c r="C917" s="3"/>
      <c r="D917" s="3"/>
      <c r="E917" s="3"/>
      <c r="F917" s="9"/>
      <c r="G917" s="248" t="str">
        <f t="shared" si="70"/>
        <v/>
      </c>
      <c r="H917" s="1" t="b">
        <f>IF(B917="",FALSE,COUNTIF('従業員情報(給与以外)'!$A$4:$A$1000000,$B917)=0)</f>
        <v>0</v>
      </c>
      <c r="I917" s="9" t="b">
        <f t="shared" si="71"/>
        <v>1</v>
      </c>
      <c r="J917" s="9" t="b">
        <f t="shared" si="72"/>
        <v>1</v>
      </c>
      <c r="K917" s="9" t="b">
        <f t="shared" si="73"/>
        <v>1</v>
      </c>
      <c r="L917" s="9" t="b">
        <f t="shared" si="74"/>
        <v>1</v>
      </c>
      <c r="M917" s="1" t="b">
        <f>IF(OR(入力シート!$C$5&lt;&gt;入力リスト!$N$4,入力シート!$J$22&lt;&gt;入力リスト!$K$4),TRUE,IF($F$2=入力リスト!$Q$4,IF(F917-INT(F917)&lt;0.6,TRUE,FALSE),TRUE))</f>
        <v>1</v>
      </c>
      <c r="N917" s="9" t="str">
        <f>IF(F917="","",IF($F$2=入力リスト!$Q$4,ROUNDDOWN(INT(F917)+ROUNDDOWN((F917-INT(F917))*100,0)/60,2),従業員の給与情報!F917))</f>
        <v/>
      </c>
      <c r="O917" s="8"/>
      <c r="P917" s="8"/>
    </row>
    <row r="918" spans="1:16">
      <c r="A918" s="119"/>
      <c r="B918" s="2"/>
      <c r="C918" s="3"/>
      <c r="D918" s="3"/>
      <c r="E918" s="3"/>
      <c r="F918" s="9"/>
      <c r="G918" s="248" t="str">
        <f t="shared" si="70"/>
        <v/>
      </c>
      <c r="H918" s="1" t="b">
        <f>IF(B918="",FALSE,COUNTIF('従業員情報(給与以外)'!$A$4:$A$1000000,$B918)=0)</f>
        <v>0</v>
      </c>
      <c r="I918" s="9" t="b">
        <f t="shared" si="71"/>
        <v>1</v>
      </c>
      <c r="J918" s="9" t="b">
        <f t="shared" si="72"/>
        <v>1</v>
      </c>
      <c r="K918" s="9" t="b">
        <f t="shared" si="73"/>
        <v>1</v>
      </c>
      <c r="L918" s="9" t="b">
        <f t="shared" si="74"/>
        <v>1</v>
      </c>
      <c r="M918" s="1" t="b">
        <f>IF(OR(入力シート!$C$5&lt;&gt;入力リスト!$N$4,入力シート!$J$22&lt;&gt;入力リスト!$K$4),TRUE,IF($F$2=入力リスト!$Q$4,IF(F918-INT(F918)&lt;0.6,TRUE,FALSE),TRUE))</f>
        <v>1</v>
      </c>
      <c r="N918" s="9" t="str">
        <f>IF(F918="","",IF($F$2=入力リスト!$Q$4,ROUNDDOWN(INT(F918)+ROUNDDOWN((F918-INT(F918))*100,0)/60,2),従業員の給与情報!F918))</f>
        <v/>
      </c>
      <c r="O918" s="8"/>
      <c r="P918" s="8"/>
    </row>
    <row r="919" spans="1:16">
      <c r="A919" s="119"/>
      <c r="B919" s="2"/>
      <c r="C919" s="3"/>
      <c r="D919" s="3"/>
      <c r="E919" s="3"/>
      <c r="F919" s="9"/>
      <c r="G919" s="248" t="str">
        <f t="shared" si="70"/>
        <v/>
      </c>
      <c r="H919" s="1" t="b">
        <f>IF(B919="",FALSE,COUNTIF('従業員情報(給与以外)'!$A$4:$A$1000000,$B919)=0)</f>
        <v>0</v>
      </c>
      <c r="I919" s="9" t="b">
        <f t="shared" si="71"/>
        <v>1</v>
      </c>
      <c r="J919" s="9" t="b">
        <f t="shared" si="72"/>
        <v>1</v>
      </c>
      <c r="K919" s="9" t="b">
        <f t="shared" si="73"/>
        <v>1</v>
      </c>
      <c r="L919" s="9" t="b">
        <f t="shared" si="74"/>
        <v>1</v>
      </c>
      <c r="M919" s="1" t="b">
        <f>IF(OR(入力シート!$C$5&lt;&gt;入力リスト!$N$4,入力シート!$J$22&lt;&gt;入力リスト!$K$4),TRUE,IF($F$2=入力リスト!$Q$4,IF(F919-INT(F919)&lt;0.6,TRUE,FALSE),TRUE))</f>
        <v>1</v>
      </c>
      <c r="N919" s="9" t="str">
        <f>IF(F919="","",IF($F$2=入力リスト!$Q$4,ROUNDDOWN(INT(F919)+ROUNDDOWN((F919-INT(F919))*100,0)/60,2),従業員の給与情報!F919))</f>
        <v/>
      </c>
      <c r="O919" s="8"/>
      <c r="P919" s="8"/>
    </row>
    <row r="920" spans="1:16">
      <c r="A920" s="119"/>
      <c r="B920" s="2"/>
      <c r="C920" s="3"/>
      <c r="D920" s="3"/>
      <c r="E920" s="3"/>
      <c r="F920" s="9"/>
      <c r="G920" s="248" t="str">
        <f t="shared" si="70"/>
        <v/>
      </c>
      <c r="H920" s="1" t="b">
        <f>IF(B920="",FALSE,COUNTIF('従業員情報(給与以外)'!$A$4:$A$1000000,$B920)=0)</f>
        <v>0</v>
      </c>
      <c r="I920" s="9" t="b">
        <f t="shared" si="71"/>
        <v>1</v>
      </c>
      <c r="J920" s="9" t="b">
        <f t="shared" si="72"/>
        <v>1</v>
      </c>
      <c r="K920" s="9" t="b">
        <f t="shared" si="73"/>
        <v>1</v>
      </c>
      <c r="L920" s="9" t="b">
        <f t="shared" si="74"/>
        <v>1</v>
      </c>
      <c r="M920" s="1" t="b">
        <f>IF(OR(入力シート!$C$5&lt;&gt;入力リスト!$N$4,入力シート!$J$22&lt;&gt;入力リスト!$K$4),TRUE,IF($F$2=入力リスト!$Q$4,IF(F920-INT(F920)&lt;0.6,TRUE,FALSE),TRUE))</f>
        <v>1</v>
      </c>
      <c r="N920" s="9" t="str">
        <f>IF(F920="","",IF($F$2=入力リスト!$Q$4,ROUNDDOWN(INT(F920)+ROUNDDOWN((F920-INT(F920))*100,0)/60,2),従業員の給与情報!F920))</f>
        <v/>
      </c>
      <c r="O920" s="8"/>
      <c r="P920" s="8"/>
    </row>
    <row r="921" spans="1:16">
      <c r="A921" s="119"/>
      <c r="B921" s="2"/>
      <c r="C921" s="3"/>
      <c r="D921" s="3"/>
      <c r="E921" s="3"/>
      <c r="F921" s="9"/>
      <c r="G921" s="248" t="str">
        <f t="shared" si="70"/>
        <v/>
      </c>
      <c r="H921" s="1" t="b">
        <f>IF(B921="",FALSE,COUNTIF('従業員情報(給与以外)'!$A$4:$A$1000000,$B921)=0)</f>
        <v>0</v>
      </c>
      <c r="I921" s="9" t="b">
        <f t="shared" si="71"/>
        <v>1</v>
      </c>
      <c r="J921" s="9" t="b">
        <f t="shared" si="72"/>
        <v>1</v>
      </c>
      <c r="K921" s="9" t="b">
        <f t="shared" si="73"/>
        <v>1</v>
      </c>
      <c r="L921" s="9" t="b">
        <f t="shared" si="74"/>
        <v>1</v>
      </c>
      <c r="M921" s="1" t="b">
        <f>IF(OR(入力シート!$C$5&lt;&gt;入力リスト!$N$4,入力シート!$J$22&lt;&gt;入力リスト!$K$4),TRUE,IF($F$2=入力リスト!$Q$4,IF(F921-INT(F921)&lt;0.6,TRUE,FALSE),TRUE))</f>
        <v>1</v>
      </c>
      <c r="N921" s="9" t="str">
        <f>IF(F921="","",IF($F$2=入力リスト!$Q$4,ROUNDDOWN(INT(F921)+ROUNDDOWN((F921-INT(F921))*100,0)/60,2),従業員の給与情報!F921))</f>
        <v/>
      </c>
      <c r="O921" s="8"/>
      <c r="P921" s="8"/>
    </row>
    <row r="922" spans="1:16">
      <c r="A922" s="119"/>
      <c r="B922" s="2"/>
      <c r="C922" s="3"/>
      <c r="D922" s="3"/>
      <c r="E922" s="3"/>
      <c r="F922" s="9"/>
      <c r="G922" s="248" t="str">
        <f t="shared" si="70"/>
        <v/>
      </c>
      <c r="H922" s="1" t="b">
        <f>IF(B922="",FALSE,COUNTIF('従業員情報(給与以外)'!$A$4:$A$1000000,$B922)=0)</f>
        <v>0</v>
      </c>
      <c r="I922" s="9" t="b">
        <f t="shared" si="71"/>
        <v>1</v>
      </c>
      <c r="J922" s="9" t="b">
        <f t="shared" si="72"/>
        <v>1</v>
      </c>
      <c r="K922" s="9" t="b">
        <f t="shared" si="73"/>
        <v>1</v>
      </c>
      <c r="L922" s="9" t="b">
        <f t="shared" si="74"/>
        <v>1</v>
      </c>
      <c r="M922" s="1" t="b">
        <f>IF(OR(入力シート!$C$5&lt;&gt;入力リスト!$N$4,入力シート!$J$22&lt;&gt;入力リスト!$K$4),TRUE,IF($F$2=入力リスト!$Q$4,IF(F922-INT(F922)&lt;0.6,TRUE,FALSE),TRUE))</f>
        <v>1</v>
      </c>
      <c r="N922" s="9" t="str">
        <f>IF(F922="","",IF($F$2=入力リスト!$Q$4,ROUNDDOWN(INT(F922)+ROUNDDOWN((F922-INT(F922))*100,0)/60,2),従業員の給与情報!F922))</f>
        <v/>
      </c>
      <c r="O922" s="8"/>
      <c r="P922" s="8"/>
    </row>
    <row r="923" spans="1:16">
      <c r="A923" s="119"/>
      <c r="B923" s="2"/>
      <c r="C923" s="3"/>
      <c r="D923" s="3"/>
      <c r="E923" s="3"/>
      <c r="F923" s="9"/>
      <c r="G923" s="248" t="str">
        <f t="shared" si="70"/>
        <v/>
      </c>
      <c r="H923" s="1" t="b">
        <f>IF(B923="",FALSE,COUNTIF('従業員情報(給与以外)'!$A$4:$A$1000000,$B923)=0)</f>
        <v>0</v>
      </c>
      <c r="I923" s="9" t="b">
        <f t="shared" si="71"/>
        <v>1</v>
      </c>
      <c r="J923" s="9" t="b">
        <f t="shared" si="72"/>
        <v>1</v>
      </c>
      <c r="K923" s="9" t="b">
        <f t="shared" si="73"/>
        <v>1</v>
      </c>
      <c r="L923" s="9" t="b">
        <f t="shared" si="74"/>
        <v>1</v>
      </c>
      <c r="M923" s="1" t="b">
        <f>IF(OR(入力シート!$C$5&lt;&gt;入力リスト!$N$4,入力シート!$J$22&lt;&gt;入力リスト!$K$4),TRUE,IF($F$2=入力リスト!$Q$4,IF(F923-INT(F923)&lt;0.6,TRUE,FALSE),TRUE))</f>
        <v>1</v>
      </c>
      <c r="N923" s="9" t="str">
        <f>IF(F923="","",IF($F$2=入力リスト!$Q$4,ROUNDDOWN(INT(F923)+ROUNDDOWN((F923-INT(F923))*100,0)/60,2),従業員の給与情報!F923))</f>
        <v/>
      </c>
      <c r="O923" s="8"/>
      <c r="P923" s="8"/>
    </row>
    <row r="924" spans="1:16">
      <c r="A924" s="119"/>
      <c r="B924" s="2"/>
      <c r="C924" s="3"/>
      <c r="D924" s="3"/>
      <c r="E924" s="3"/>
      <c r="F924" s="9"/>
      <c r="G924" s="248" t="str">
        <f t="shared" si="70"/>
        <v/>
      </c>
      <c r="H924" s="1" t="b">
        <f>IF(B924="",FALSE,COUNTIF('従業員情報(給与以外)'!$A$4:$A$1000000,$B924)=0)</f>
        <v>0</v>
      </c>
      <c r="I924" s="9" t="b">
        <f t="shared" si="71"/>
        <v>1</v>
      </c>
      <c r="J924" s="9" t="b">
        <f t="shared" si="72"/>
        <v>1</v>
      </c>
      <c r="K924" s="9" t="b">
        <f t="shared" si="73"/>
        <v>1</v>
      </c>
      <c r="L924" s="9" t="b">
        <f t="shared" si="74"/>
        <v>1</v>
      </c>
      <c r="M924" s="1" t="b">
        <f>IF(OR(入力シート!$C$5&lt;&gt;入力リスト!$N$4,入力シート!$J$22&lt;&gt;入力リスト!$K$4),TRUE,IF($F$2=入力リスト!$Q$4,IF(F924-INT(F924)&lt;0.6,TRUE,FALSE),TRUE))</f>
        <v>1</v>
      </c>
      <c r="N924" s="9" t="str">
        <f>IF(F924="","",IF($F$2=入力リスト!$Q$4,ROUNDDOWN(INT(F924)+ROUNDDOWN((F924-INT(F924))*100,0)/60,2),従業員の給与情報!F924))</f>
        <v/>
      </c>
      <c r="O924" s="8"/>
      <c r="P924" s="8"/>
    </row>
    <row r="925" spans="1:16">
      <c r="A925" s="119"/>
      <c r="B925" s="2"/>
      <c r="C925" s="3"/>
      <c r="D925" s="3"/>
      <c r="E925" s="3"/>
      <c r="F925" s="9"/>
      <c r="G925" s="248" t="str">
        <f t="shared" si="70"/>
        <v/>
      </c>
      <c r="H925" s="1" t="b">
        <f>IF(B925="",FALSE,COUNTIF('従業員情報(給与以外)'!$A$4:$A$1000000,$B925)=0)</f>
        <v>0</v>
      </c>
      <c r="I925" s="9" t="b">
        <f t="shared" si="71"/>
        <v>1</v>
      </c>
      <c r="J925" s="9" t="b">
        <f t="shared" si="72"/>
        <v>1</v>
      </c>
      <c r="K925" s="9" t="b">
        <f t="shared" si="73"/>
        <v>1</v>
      </c>
      <c r="L925" s="9" t="b">
        <f t="shared" si="74"/>
        <v>1</v>
      </c>
      <c r="M925" s="1" t="b">
        <f>IF(OR(入力シート!$C$5&lt;&gt;入力リスト!$N$4,入力シート!$J$22&lt;&gt;入力リスト!$K$4),TRUE,IF($F$2=入力リスト!$Q$4,IF(F925-INT(F925)&lt;0.6,TRUE,FALSE),TRUE))</f>
        <v>1</v>
      </c>
      <c r="N925" s="9" t="str">
        <f>IF(F925="","",IF($F$2=入力リスト!$Q$4,ROUNDDOWN(INT(F925)+ROUNDDOWN((F925-INT(F925))*100,0)/60,2),従業員の給与情報!F925))</f>
        <v/>
      </c>
      <c r="O925" s="8"/>
      <c r="P925" s="8"/>
    </row>
    <row r="926" spans="1:16">
      <c r="A926" s="119"/>
      <c r="B926" s="2"/>
      <c r="C926" s="3"/>
      <c r="D926" s="3"/>
      <c r="E926" s="3"/>
      <c r="F926" s="9"/>
      <c r="G926" s="248" t="str">
        <f t="shared" si="70"/>
        <v/>
      </c>
      <c r="H926" s="1" t="b">
        <f>IF(B926="",FALSE,COUNTIF('従業員情報(給与以外)'!$A$4:$A$1000000,$B926)=0)</f>
        <v>0</v>
      </c>
      <c r="I926" s="9" t="b">
        <f t="shared" si="71"/>
        <v>1</v>
      </c>
      <c r="J926" s="9" t="b">
        <f t="shared" si="72"/>
        <v>1</v>
      </c>
      <c r="K926" s="9" t="b">
        <f t="shared" si="73"/>
        <v>1</v>
      </c>
      <c r="L926" s="9" t="b">
        <f t="shared" si="74"/>
        <v>1</v>
      </c>
      <c r="M926" s="1" t="b">
        <f>IF(OR(入力シート!$C$5&lt;&gt;入力リスト!$N$4,入力シート!$J$22&lt;&gt;入力リスト!$K$4),TRUE,IF($F$2=入力リスト!$Q$4,IF(F926-INT(F926)&lt;0.6,TRUE,FALSE),TRUE))</f>
        <v>1</v>
      </c>
      <c r="N926" s="9" t="str">
        <f>IF(F926="","",IF($F$2=入力リスト!$Q$4,ROUNDDOWN(INT(F926)+ROUNDDOWN((F926-INT(F926))*100,0)/60,2),従業員の給与情報!F926))</f>
        <v/>
      </c>
      <c r="O926" s="8"/>
      <c r="P926" s="8"/>
    </row>
    <row r="927" spans="1:16">
      <c r="A927" s="119"/>
      <c r="B927" s="2"/>
      <c r="C927" s="3"/>
      <c r="D927" s="3"/>
      <c r="E927" s="3"/>
      <c r="F927" s="9"/>
      <c r="G927" s="248" t="str">
        <f t="shared" si="70"/>
        <v/>
      </c>
      <c r="H927" s="1" t="b">
        <f>IF(B927="",FALSE,COUNTIF('従業員情報(給与以外)'!$A$4:$A$1000000,$B927)=0)</f>
        <v>0</v>
      </c>
      <c r="I927" s="9" t="b">
        <f t="shared" si="71"/>
        <v>1</v>
      </c>
      <c r="J927" s="9" t="b">
        <f t="shared" si="72"/>
        <v>1</v>
      </c>
      <c r="K927" s="9" t="b">
        <f t="shared" si="73"/>
        <v>1</v>
      </c>
      <c r="L927" s="9" t="b">
        <f t="shared" si="74"/>
        <v>1</v>
      </c>
      <c r="M927" s="1" t="b">
        <f>IF(OR(入力シート!$C$5&lt;&gt;入力リスト!$N$4,入力シート!$J$22&lt;&gt;入力リスト!$K$4),TRUE,IF($F$2=入力リスト!$Q$4,IF(F927-INT(F927)&lt;0.6,TRUE,FALSE),TRUE))</f>
        <v>1</v>
      </c>
      <c r="N927" s="9" t="str">
        <f>IF(F927="","",IF($F$2=入力リスト!$Q$4,ROUNDDOWN(INT(F927)+ROUNDDOWN((F927-INT(F927))*100,0)/60,2),従業員の給与情報!F927))</f>
        <v/>
      </c>
      <c r="O927" s="8"/>
      <c r="P927" s="8"/>
    </row>
    <row r="928" spans="1:16">
      <c r="A928" s="119"/>
      <c r="B928" s="2"/>
      <c r="C928" s="3"/>
      <c r="D928" s="3"/>
      <c r="E928" s="3"/>
      <c r="F928" s="9"/>
      <c r="G928" s="248" t="str">
        <f t="shared" si="70"/>
        <v/>
      </c>
      <c r="H928" s="1" t="b">
        <f>IF(B928="",FALSE,COUNTIF('従業員情報(給与以外)'!$A$4:$A$1000000,$B928)=0)</f>
        <v>0</v>
      </c>
      <c r="I928" s="9" t="b">
        <f t="shared" si="71"/>
        <v>1</v>
      </c>
      <c r="J928" s="9" t="b">
        <f t="shared" si="72"/>
        <v>1</v>
      </c>
      <c r="K928" s="9" t="b">
        <f t="shared" si="73"/>
        <v>1</v>
      </c>
      <c r="L928" s="9" t="b">
        <f t="shared" si="74"/>
        <v>1</v>
      </c>
      <c r="M928" s="1" t="b">
        <f>IF(OR(入力シート!$C$5&lt;&gt;入力リスト!$N$4,入力シート!$J$22&lt;&gt;入力リスト!$K$4),TRUE,IF($F$2=入力リスト!$Q$4,IF(F928-INT(F928)&lt;0.6,TRUE,FALSE),TRUE))</f>
        <v>1</v>
      </c>
      <c r="N928" s="9" t="str">
        <f>IF(F928="","",IF($F$2=入力リスト!$Q$4,ROUNDDOWN(INT(F928)+ROUNDDOWN((F928-INT(F928))*100,0)/60,2),従業員の給与情報!F928))</f>
        <v/>
      </c>
      <c r="O928" s="8"/>
      <c r="P928" s="8"/>
    </row>
    <row r="929" spans="1:16">
      <c r="A929" s="119"/>
      <c r="B929" s="2"/>
      <c r="C929" s="3"/>
      <c r="D929" s="3"/>
      <c r="E929" s="3"/>
      <c r="F929" s="9"/>
      <c r="G929" s="248" t="str">
        <f t="shared" si="70"/>
        <v/>
      </c>
      <c r="H929" s="1" t="b">
        <f>IF(B929="",FALSE,COUNTIF('従業員情報(給与以外)'!$A$4:$A$1000000,$B929)=0)</f>
        <v>0</v>
      </c>
      <c r="I929" s="9" t="b">
        <f t="shared" si="71"/>
        <v>1</v>
      </c>
      <c r="J929" s="9" t="b">
        <f t="shared" si="72"/>
        <v>1</v>
      </c>
      <c r="K929" s="9" t="b">
        <f t="shared" si="73"/>
        <v>1</v>
      </c>
      <c r="L929" s="9" t="b">
        <f t="shared" si="74"/>
        <v>1</v>
      </c>
      <c r="M929" s="1" t="b">
        <f>IF(OR(入力シート!$C$5&lt;&gt;入力リスト!$N$4,入力シート!$J$22&lt;&gt;入力リスト!$K$4),TRUE,IF($F$2=入力リスト!$Q$4,IF(F929-INT(F929)&lt;0.6,TRUE,FALSE),TRUE))</f>
        <v>1</v>
      </c>
      <c r="N929" s="9" t="str">
        <f>IF(F929="","",IF($F$2=入力リスト!$Q$4,ROUNDDOWN(INT(F929)+ROUNDDOWN((F929-INT(F929))*100,0)/60,2),従業員の給与情報!F929))</f>
        <v/>
      </c>
      <c r="O929" s="8"/>
      <c r="P929" s="8"/>
    </row>
    <row r="930" spans="1:16">
      <c r="A930" s="119"/>
      <c r="B930" s="2"/>
      <c r="C930" s="3"/>
      <c r="D930" s="3"/>
      <c r="E930" s="3"/>
      <c r="F930" s="9"/>
      <c r="G930" s="248" t="str">
        <f t="shared" si="70"/>
        <v/>
      </c>
      <c r="H930" s="1" t="b">
        <f>IF(B930="",FALSE,COUNTIF('従業員情報(給与以外)'!$A$4:$A$1000000,$B930)=0)</f>
        <v>0</v>
      </c>
      <c r="I930" s="9" t="b">
        <f t="shared" si="71"/>
        <v>1</v>
      </c>
      <c r="J930" s="9" t="b">
        <f t="shared" si="72"/>
        <v>1</v>
      </c>
      <c r="K930" s="9" t="b">
        <f t="shared" si="73"/>
        <v>1</v>
      </c>
      <c r="L930" s="9" t="b">
        <f t="shared" si="74"/>
        <v>1</v>
      </c>
      <c r="M930" s="1" t="b">
        <f>IF(OR(入力シート!$C$5&lt;&gt;入力リスト!$N$4,入力シート!$J$22&lt;&gt;入力リスト!$K$4),TRUE,IF($F$2=入力リスト!$Q$4,IF(F930-INT(F930)&lt;0.6,TRUE,FALSE),TRUE))</f>
        <v>1</v>
      </c>
      <c r="N930" s="9" t="str">
        <f>IF(F930="","",IF($F$2=入力リスト!$Q$4,ROUNDDOWN(INT(F930)+ROUNDDOWN((F930-INT(F930))*100,0)/60,2),従業員の給与情報!F930))</f>
        <v/>
      </c>
      <c r="O930" s="8"/>
      <c r="P930" s="8"/>
    </row>
    <row r="931" spans="1:16">
      <c r="A931" s="119"/>
      <c r="B931" s="2"/>
      <c r="C931" s="3"/>
      <c r="D931" s="3"/>
      <c r="E931" s="3"/>
      <c r="F931" s="9"/>
      <c r="G931" s="248" t="str">
        <f t="shared" si="70"/>
        <v/>
      </c>
      <c r="H931" s="1" t="b">
        <f>IF(B931="",FALSE,COUNTIF('従業員情報(給与以外)'!$A$4:$A$1000000,$B931)=0)</f>
        <v>0</v>
      </c>
      <c r="I931" s="9" t="b">
        <f t="shared" si="71"/>
        <v>1</v>
      </c>
      <c r="J931" s="9" t="b">
        <f t="shared" si="72"/>
        <v>1</v>
      </c>
      <c r="K931" s="9" t="b">
        <f t="shared" si="73"/>
        <v>1</v>
      </c>
      <c r="L931" s="9" t="b">
        <f t="shared" si="74"/>
        <v>1</v>
      </c>
      <c r="M931" s="1" t="b">
        <f>IF(OR(入力シート!$C$5&lt;&gt;入力リスト!$N$4,入力シート!$J$22&lt;&gt;入力リスト!$K$4),TRUE,IF($F$2=入力リスト!$Q$4,IF(F931-INT(F931)&lt;0.6,TRUE,FALSE),TRUE))</f>
        <v>1</v>
      </c>
      <c r="N931" s="9" t="str">
        <f>IF(F931="","",IF($F$2=入力リスト!$Q$4,ROUNDDOWN(INT(F931)+ROUNDDOWN((F931-INT(F931))*100,0)/60,2),従業員の給与情報!F931))</f>
        <v/>
      </c>
      <c r="O931" s="8"/>
      <c r="P931" s="8"/>
    </row>
    <row r="932" spans="1:16">
      <c r="A932" s="119"/>
      <c r="B932" s="2"/>
      <c r="C932" s="3"/>
      <c r="D932" s="3"/>
      <c r="E932" s="3"/>
      <c r="F932" s="9"/>
      <c r="G932" s="248" t="str">
        <f t="shared" si="70"/>
        <v/>
      </c>
      <c r="H932" s="1" t="b">
        <f>IF(B932="",FALSE,COUNTIF('従業員情報(給与以外)'!$A$4:$A$1000000,$B932)=0)</f>
        <v>0</v>
      </c>
      <c r="I932" s="9" t="b">
        <f t="shared" si="71"/>
        <v>1</v>
      </c>
      <c r="J932" s="9" t="b">
        <f t="shared" si="72"/>
        <v>1</v>
      </c>
      <c r="K932" s="9" t="b">
        <f t="shared" si="73"/>
        <v>1</v>
      </c>
      <c r="L932" s="9" t="b">
        <f t="shared" si="74"/>
        <v>1</v>
      </c>
      <c r="M932" s="1" t="b">
        <f>IF(OR(入力シート!$C$5&lt;&gt;入力リスト!$N$4,入力シート!$J$22&lt;&gt;入力リスト!$K$4),TRUE,IF($F$2=入力リスト!$Q$4,IF(F932-INT(F932)&lt;0.6,TRUE,FALSE),TRUE))</f>
        <v>1</v>
      </c>
      <c r="N932" s="9" t="str">
        <f>IF(F932="","",IF($F$2=入力リスト!$Q$4,ROUNDDOWN(INT(F932)+ROUNDDOWN((F932-INT(F932))*100,0)/60,2),従業員の給与情報!F932))</f>
        <v/>
      </c>
      <c r="O932" s="8"/>
      <c r="P932" s="8"/>
    </row>
    <row r="933" spans="1:16">
      <c r="A933" s="119"/>
      <c r="B933" s="2"/>
      <c r="C933" s="3"/>
      <c r="D933" s="3"/>
      <c r="E933" s="3"/>
      <c r="F933" s="9"/>
      <c r="G933" s="248" t="str">
        <f t="shared" si="70"/>
        <v/>
      </c>
      <c r="H933" s="1" t="b">
        <f>IF(B933="",FALSE,COUNTIF('従業員情報(給与以外)'!$A$4:$A$1000000,$B933)=0)</f>
        <v>0</v>
      </c>
      <c r="I933" s="9" t="b">
        <f t="shared" si="71"/>
        <v>1</v>
      </c>
      <c r="J933" s="9" t="b">
        <f t="shared" si="72"/>
        <v>1</v>
      </c>
      <c r="K933" s="9" t="b">
        <f t="shared" si="73"/>
        <v>1</v>
      </c>
      <c r="L933" s="9" t="b">
        <f t="shared" si="74"/>
        <v>1</v>
      </c>
      <c r="M933" s="1" t="b">
        <f>IF(OR(入力シート!$C$5&lt;&gt;入力リスト!$N$4,入力シート!$J$22&lt;&gt;入力リスト!$K$4),TRUE,IF($F$2=入力リスト!$Q$4,IF(F933-INT(F933)&lt;0.6,TRUE,FALSE),TRUE))</f>
        <v>1</v>
      </c>
      <c r="N933" s="9" t="str">
        <f>IF(F933="","",IF($F$2=入力リスト!$Q$4,ROUNDDOWN(INT(F933)+ROUNDDOWN((F933-INT(F933))*100,0)/60,2),従業員の給与情報!F933))</f>
        <v/>
      </c>
      <c r="O933" s="8"/>
      <c r="P933" s="8"/>
    </row>
    <row r="934" spans="1:16">
      <c r="A934" s="119"/>
      <c r="B934" s="2"/>
      <c r="C934" s="3"/>
      <c r="D934" s="3"/>
      <c r="E934" s="3"/>
      <c r="F934" s="9"/>
      <c r="G934" s="248" t="str">
        <f t="shared" si="70"/>
        <v/>
      </c>
      <c r="H934" s="1" t="b">
        <f>IF(B934="",FALSE,COUNTIF('従業員情報(給与以外)'!$A$4:$A$1000000,$B934)=0)</f>
        <v>0</v>
      </c>
      <c r="I934" s="9" t="b">
        <f t="shared" si="71"/>
        <v>1</v>
      </c>
      <c r="J934" s="9" t="b">
        <f t="shared" si="72"/>
        <v>1</v>
      </c>
      <c r="K934" s="9" t="b">
        <f t="shared" si="73"/>
        <v>1</v>
      </c>
      <c r="L934" s="9" t="b">
        <f t="shared" si="74"/>
        <v>1</v>
      </c>
      <c r="M934" s="1" t="b">
        <f>IF(OR(入力シート!$C$5&lt;&gt;入力リスト!$N$4,入力シート!$J$22&lt;&gt;入力リスト!$K$4),TRUE,IF($F$2=入力リスト!$Q$4,IF(F934-INT(F934)&lt;0.6,TRUE,FALSE),TRUE))</f>
        <v>1</v>
      </c>
      <c r="N934" s="9" t="str">
        <f>IF(F934="","",IF($F$2=入力リスト!$Q$4,ROUNDDOWN(INT(F934)+ROUNDDOWN((F934-INT(F934))*100,0)/60,2),従業員の給与情報!F934))</f>
        <v/>
      </c>
      <c r="O934" s="8"/>
      <c r="P934" s="8"/>
    </row>
    <row r="935" spans="1:16">
      <c r="A935" s="119"/>
      <c r="B935" s="2"/>
      <c r="C935" s="3"/>
      <c r="D935" s="3"/>
      <c r="E935" s="3"/>
      <c r="F935" s="9"/>
      <c r="G935" s="248" t="str">
        <f t="shared" si="70"/>
        <v/>
      </c>
      <c r="H935" s="1" t="b">
        <f>IF(B935="",FALSE,COUNTIF('従業員情報(給与以外)'!$A$4:$A$1000000,$B935)=0)</f>
        <v>0</v>
      </c>
      <c r="I935" s="9" t="b">
        <f t="shared" si="71"/>
        <v>1</v>
      </c>
      <c r="J935" s="9" t="b">
        <f t="shared" si="72"/>
        <v>1</v>
      </c>
      <c r="K935" s="9" t="b">
        <f t="shared" si="73"/>
        <v>1</v>
      </c>
      <c r="L935" s="9" t="b">
        <f t="shared" si="74"/>
        <v>1</v>
      </c>
      <c r="M935" s="1" t="b">
        <f>IF(OR(入力シート!$C$5&lt;&gt;入力リスト!$N$4,入力シート!$J$22&lt;&gt;入力リスト!$K$4),TRUE,IF($F$2=入力リスト!$Q$4,IF(F935-INT(F935)&lt;0.6,TRUE,FALSE),TRUE))</f>
        <v>1</v>
      </c>
      <c r="N935" s="9" t="str">
        <f>IF(F935="","",IF($F$2=入力リスト!$Q$4,ROUNDDOWN(INT(F935)+ROUNDDOWN((F935-INT(F935))*100,0)/60,2),従業員の給与情報!F935))</f>
        <v/>
      </c>
      <c r="O935" s="8"/>
      <c r="P935" s="8"/>
    </row>
    <row r="936" spans="1:16">
      <c r="A936" s="119"/>
      <c r="B936" s="2"/>
      <c r="C936" s="3"/>
      <c r="D936" s="3"/>
      <c r="E936" s="3"/>
      <c r="F936" s="9"/>
      <c r="G936" s="248" t="str">
        <f t="shared" si="70"/>
        <v/>
      </c>
      <c r="H936" s="1" t="b">
        <f>IF(B936="",FALSE,COUNTIF('従業員情報(給与以外)'!$A$4:$A$1000000,$B936)=0)</f>
        <v>0</v>
      </c>
      <c r="I936" s="9" t="b">
        <f t="shared" si="71"/>
        <v>1</v>
      </c>
      <c r="J936" s="9" t="b">
        <f t="shared" si="72"/>
        <v>1</v>
      </c>
      <c r="K936" s="9" t="b">
        <f t="shared" si="73"/>
        <v>1</v>
      </c>
      <c r="L936" s="9" t="b">
        <f t="shared" si="74"/>
        <v>1</v>
      </c>
      <c r="M936" s="1" t="b">
        <f>IF(OR(入力シート!$C$5&lt;&gt;入力リスト!$N$4,入力シート!$J$22&lt;&gt;入力リスト!$K$4),TRUE,IF($F$2=入力リスト!$Q$4,IF(F936-INT(F936)&lt;0.6,TRUE,FALSE),TRUE))</f>
        <v>1</v>
      </c>
      <c r="N936" s="9" t="str">
        <f>IF(F936="","",IF($F$2=入力リスト!$Q$4,ROUNDDOWN(INT(F936)+ROUNDDOWN((F936-INT(F936))*100,0)/60,2),従業員の給与情報!F936))</f>
        <v/>
      </c>
      <c r="O936" s="8"/>
      <c r="P936" s="8"/>
    </row>
    <row r="937" spans="1:16">
      <c r="A937" s="119"/>
      <c r="B937" s="2"/>
      <c r="C937" s="3"/>
      <c r="D937" s="3"/>
      <c r="E937" s="3"/>
      <c r="F937" s="9"/>
      <c r="G937" s="248" t="str">
        <f t="shared" si="70"/>
        <v/>
      </c>
      <c r="H937" s="1" t="b">
        <f>IF(B937="",FALSE,COUNTIF('従業員情報(給与以外)'!$A$4:$A$1000000,$B937)=0)</f>
        <v>0</v>
      </c>
      <c r="I937" s="9" t="b">
        <f t="shared" si="71"/>
        <v>1</v>
      </c>
      <c r="J937" s="9" t="b">
        <f t="shared" si="72"/>
        <v>1</v>
      </c>
      <c r="K937" s="9" t="b">
        <f t="shared" si="73"/>
        <v>1</v>
      </c>
      <c r="L937" s="9" t="b">
        <f t="shared" si="74"/>
        <v>1</v>
      </c>
      <c r="M937" s="1" t="b">
        <f>IF(OR(入力シート!$C$5&lt;&gt;入力リスト!$N$4,入力シート!$J$22&lt;&gt;入力リスト!$K$4),TRUE,IF($F$2=入力リスト!$Q$4,IF(F937-INT(F937)&lt;0.6,TRUE,FALSE),TRUE))</f>
        <v>1</v>
      </c>
      <c r="N937" s="9" t="str">
        <f>IF(F937="","",IF($F$2=入力リスト!$Q$4,ROUNDDOWN(INT(F937)+ROUNDDOWN((F937-INT(F937))*100,0)/60,2),従業員の給与情報!F937))</f>
        <v/>
      </c>
      <c r="O937" s="8"/>
      <c r="P937" s="8"/>
    </row>
    <row r="938" spans="1:16">
      <c r="A938" s="119"/>
      <c r="B938" s="2"/>
      <c r="C938" s="3"/>
      <c r="D938" s="3"/>
      <c r="E938" s="3"/>
      <c r="F938" s="9"/>
      <c r="G938" s="248" t="str">
        <f t="shared" si="70"/>
        <v/>
      </c>
      <c r="H938" s="1" t="b">
        <f>IF(B938="",FALSE,COUNTIF('従業員情報(給与以外)'!$A$4:$A$1000000,$B938)=0)</f>
        <v>0</v>
      </c>
      <c r="I938" s="9" t="b">
        <f t="shared" si="71"/>
        <v>1</v>
      </c>
      <c r="J938" s="9" t="b">
        <f t="shared" si="72"/>
        <v>1</v>
      </c>
      <c r="K938" s="9" t="b">
        <f t="shared" si="73"/>
        <v>1</v>
      </c>
      <c r="L938" s="9" t="b">
        <f t="shared" si="74"/>
        <v>1</v>
      </c>
      <c r="M938" s="1" t="b">
        <f>IF(OR(入力シート!$C$5&lt;&gt;入力リスト!$N$4,入力シート!$J$22&lt;&gt;入力リスト!$K$4),TRUE,IF($F$2=入力リスト!$Q$4,IF(F938-INT(F938)&lt;0.6,TRUE,FALSE),TRUE))</f>
        <v>1</v>
      </c>
      <c r="N938" s="9" t="str">
        <f>IF(F938="","",IF($F$2=入力リスト!$Q$4,ROUNDDOWN(INT(F938)+ROUNDDOWN((F938-INT(F938))*100,0)/60,2),従業員の給与情報!F938))</f>
        <v/>
      </c>
      <c r="O938" s="8"/>
      <c r="P938" s="8"/>
    </row>
    <row r="939" spans="1:16">
      <c r="A939" s="119"/>
      <c r="B939" s="2"/>
      <c r="C939" s="3"/>
      <c r="D939" s="3"/>
      <c r="E939" s="3"/>
      <c r="F939" s="9"/>
      <c r="G939" s="248" t="str">
        <f t="shared" si="70"/>
        <v/>
      </c>
      <c r="H939" s="1" t="b">
        <f>IF(B939="",FALSE,COUNTIF('従業員情報(給与以外)'!$A$4:$A$1000000,$B939)=0)</f>
        <v>0</v>
      </c>
      <c r="I939" s="9" t="b">
        <f t="shared" si="71"/>
        <v>1</v>
      </c>
      <c r="J939" s="9" t="b">
        <f t="shared" si="72"/>
        <v>1</v>
      </c>
      <c r="K939" s="9" t="b">
        <f t="shared" si="73"/>
        <v>1</v>
      </c>
      <c r="L939" s="9" t="b">
        <f t="shared" si="74"/>
        <v>1</v>
      </c>
      <c r="M939" s="1" t="b">
        <f>IF(OR(入力シート!$C$5&lt;&gt;入力リスト!$N$4,入力シート!$J$22&lt;&gt;入力リスト!$K$4),TRUE,IF($F$2=入力リスト!$Q$4,IF(F939-INT(F939)&lt;0.6,TRUE,FALSE),TRUE))</f>
        <v>1</v>
      </c>
      <c r="N939" s="9" t="str">
        <f>IF(F939="","",IF($F$2=入力リスト!$Q$4,ROUNDDOWN(INT(F939)+ROUNDDOWN((F939-INT(F939))*100,0)/60,2),従業員の給与情報!F939))</f>
        <v/>
      </c>
      <c r="O939" s="8"/>
      <c r="P939" s="8"/>
    </row>
    <row r="940" spans="1:16">
      <c r="A940" s="119"/>
      <c r="B940" s="2"/>
      <c r="C940" s="3"/>
      <c r="D940" s="3"/>
      <c r="E940" s="3"/>
      <c r="F940" s="9"/>
      <c r="G940" s="248" t="str">
        <f t="shared" si="70"/>
        <v/>
      </c>
      <c r="H940" s="1" t="b">
        <f>IF(B940="",FALSE,COUNTIF('従業員情報(給与以外)'!$A$4:$A$1000000,$B940)=0)</f>
        <v>0</v>
      </c>
      <c r="I940" s="9" t="b">
        <f t="shared" si="71"/>
        <v>1</v>
      </c>
      <c r="J940" s="9" t="b">
        <f t="shared" si="72"/>
        <v>1</v>
      </c>
      <c r="K940" s="9" t="b">
        <f t="shared" si="73"/>
        <v>1</v>
      </c>
      <c r="L940" s="9" t="b">
        <f t="shared" si="74"/>
        <v>1</v>
      </c>
      <c r="M940" s="1" t="b">
        <f>IF(OR(入力シート!$C$5&lt;&gt;入力リスト!$N$4,入力シート!$J$22&lt;&gt;入力リスト!$K$4),TRUE,IF($F$2=入力リスト!$Q$4,IF(F940-INT(F940)&lt;0.6,TRUE,FALSE),TRUE))</f>
        <v>1</v>
      </c>
      <c r="N940" s="9" t="str">
        <f>IF(F940="","",IF($F$2=入力リスト!$Q$4,ROUNDDOWN(INT(F940)+ROUNDDOWN((F940-INT(F940))*100,0)/60,2),従業員の給与情報!F940))</f>
        <v/>
      </c>
      <c r="O940" s="8"/>
      <c r="P940" s="8"/>
    </row>
    <row r="941" spans="1:16">
      <c r="A941" s="119"/>
      <c r="B941" s="2"/>
      <c r="C941" s="3"/>
      <c r="D941" s="3"/>
      <c r="E941" s="3"/>
      <c r="F941" s="9"/>
      <c r="G941" s="248" t="str">
        <f t="shared" si="70"/>
        <v/>
      </c>
      <c r="H941" s="1" t="b">
        <f>IF(B941="",FALSE,COUNTIF('従業員情報(給与以外)'!$A$4:$A$1000000,$B941)=0)</f>
        <v>0</v>
      </c>
      <c r="I941" s="9" t="b">
        <f t="shared" si="71"/>
        <v>1</v>
      </c>
      <c r="J941" s="9" t="b">
        <f t="shared" si="72"/>
        <v>1</v>
      </c>
      <c r="K941" s="9" t="b">
        <f t="shared" si="73"/>
        <v>1</v>
      </c>
      <c r="L941" s="9" t="b">
        <f t="shared" si="74"/>
        <v>1</v>
      </c>
      <c r="M941" s="1" t="b">
        <f>IF(OR(入力シート!$C$5&lt;&gt;入力リスト!$N$4,入力シート!$J$22&lt;&gt;入力リスト!$K$4),TRUE,IF($F$2=入力リスト!$Q$4,IF(F941-INT(F941)&lt;0.6,TRUE,FALSE),TRUE))</f>
        <v>1</v>
      </c>
      <c r="N941" s="9" t="str">
        <f>IF(F941="","",IF($F$2=入力リスト!$Q$4,ROUNDDOWN(INT(F941)+ROUNDDOWN((F941-INT(F941))*100,0)/60,2),従業員の給与情報!F941))</f>
        <v/>
      </c>
      <c r="O941" s="8"/>
      <c r="P941" s="8"/>
    </row>
    <row r="942" spans="1:16">
      <c r="A942" s="119"/>
      <c r="B942" s="2"/>
      <c r="C942" s="3"/>
      <c r="D942" s="3"/>
      <c r="E942" s="3"/>
      <c r="F942" s="9"/>
      <c r="G942" s="248" t="str">
        <f t="shared" si="70"/>
        <v/>
      </c>
      <c r="H942" s="1" t="b">
        <f>IF(B942="",FALSE,COUNTIF('従業員情報(給与以外)'!$A$4:$A$1000000,$B942)=0)</f>
        <v>0</v>
      </c>
      <c r="I942" s="9" t="b">
        <f t="shared" si="71"/>
        <v>1</v>
      </c>
      <c r="J942" s="9" t="b">
        <f t="shared" si="72"/>
        <v>1</v>
      </c>
      <c r="K942" s="9" t="b">
        <f t="shared" si="73"/>
        <v>1</v>
      </c>
      <c r="L942" s="9" t="b">
        <f t="shared" si="74"/>
        <v>1</v>
      </c>
      <c r="M942" s="1" t="b">
        <f>IF(OR(入力シート!$C$5&lt;&gt;入力リスト!$N$4,入力シート!$J$22&lt;&gt;入力リスト!$K$4),TRUE,IF($F$2=入力リスト!$Q$4,IF(F942-INT(F942)&lt;0.6,TRUE,FALSE),TRUE))</f>
        <v>1</v>
      </c>
      <c r="N942" s="9" t="str">
        <f>IF(F942="","",IF($F$2=入力リスト!$Q$4,ROUNDDOWN(INT(F942)+ROUNDDOWN((F942-INT(F942))*100,0)/60,2),従業員の給与情報!F942))</f>
        <v/>
      </c>
      <c r="O942" s="8"/>
      <c r="P942" s="8"/>
    </row>
    <row r="943" spans="1:16">
      <c r="A943" s="119"/>
      <c r="B943" s="2"/>
      <c r="C943" s="3"/>
      <c r="D943" s="3"/>
      <c r="E943" s="3"/>
      <c r="F943" s="9"/>
      <c r="G943" s="248" t="str">
        <f t="shared" si="70"/>
        <v/>
      </c>
      <c r="H943" s="1" t="b">
        <f>IF(B943="",FALSE,COUNTIF('従業員情報(給与以外)'!$A$4:$A$1000000,$B943)=0)</f>
        <v>0</v>
      </c>
      <c r="I943" s="9" t="b">
        <f t="shared" si="71"/>
        <v>1</v>
      </c>
      <c r="J943" s="9" t="b">
        <f t="shared" si="72"/>
        <v>1</v>
      </c>
      <c r="K943" s="9" t="b">
        <f t="shared" si="73"/>
        <v>1</v>
      </c>
      <c r="L943" s="9" t="b">
        <f t="shared" si="74"/>
        <v>1</v>
      </c>
      <c r="M943" s="1" t="b">
        <f>IF(OR(入力シート!$C$5&lt;&gt;入力リスト!$N$4,入力シート!$J$22&lt;&gt;入力リスト!$K$4),TRUE,IF($F$2=入力リスト!$Q$4,IF(F943-INT(F943)&lt;0.6,TRUE,FALSE),TRUE))</f>
        <v>1</v>
      </c>
      <c r="N943" s="9" t="str">
        <f>IF(F943="","",IF($F$2=入力リスト!$Q$4,ROUNDDOWN(INT(F943)+ROUNDDOWN((F943-INT(F943))*100,0)/60,2),従業員の給与情報!F943))</f>
        <v/>
      </c>
      <c r="O943" s="8"/>
      <c r="P943" s="8"/>
    </row>
    <row r="944" spans="1:16">
      <c r="A944" s="119"/>
      <c r="B944" s="2"/>
      <c r="C944" s="3"/>
      <c r="D944" s="3"/>
      <c r="E944" s="3"/>
      <c r="F944" s="9"/>
      <c r="G944" s="248" t="str">
        <f t="shared" si="70"/>
        <v/>
      </c>
      <c r="H944" s="1" t="b">
        <f>IF(B944="",FALSE,COUNTIF('従業員情報(給与以外)'!$A$4:$A$1000000,$B944)=0)</f>
        <v>0</v>
      </c>
      <c r="I944" s="9" t="b">
        <f t="shared" si="71"/>
        <v>1</v>
      </c>
      <c r="J944" s="9" t="b">
        <f t="shared" si="72"/>
        <v>1</v>
      </c>
      <c r="K944" s="9" t="b">
        <f t="shared" si="73"/>
        <v>1</v>
      </c>
      <c r="L944" s="9" t="b">
        <f t="shared" si="74"/>
        <v>1</v>
      </c>
      <c r="M944" s="1" t="b">
        <f>IF(OR(入力シート!$C$5&lt;&gt;入力リスト!$N$4,入力シート!$J$22&lt;&gt;入力リスト!$K$4),TRUE,IF($F$2=入力リスト!$Q$4,IF(F944-INT(F944)&lt;0.6,TRUE,FALSE),TRUE))</f>
        <v>1</v>
      </c>
      <c r="N944" s="9" t="str">
        <f>IF(F944="","",IF($F$2=入力リスト!$Q$4,ROUNDDOWN(INT(F944)+ROUNDDOWN((F944-INT(F944))*100,0)/60,2),従業員の給与情報!F944))</f>
        <v/>
      </c>
      <c r="O944" s="8"/>
      <c r="P944" s="8"/>
    </row>
    <row r="945" spans="1:16">
      <c r="A945" s="119"/>
      <c r="B945" s="2"/>
      <c r="C945" s="3"/>
      <c r="D945" s="3"/>
      <c r="E945" s="3"/>
      <c r="F945" s="9"/>
      <c r="G945" s="248" t="str">
        <f t="shared" si="70"/>
        <v/>
      </c>
      <c r="H945" s="1" t="b">
        <f>IF(B945="",FALSE,COUNTIF('従業員情報(給与以外)'!$A$4:$A$1000000,$B945)=0)</f>
        <v>0</v>
      </c>
      <c r="I945" s="9" t="b">
        <f t="shared" si="71"/>
        <v>1</v>
      </c>
      <c r="J945" s="9" t="b">
        <f t="shared" si="72"/>
        <v>1</v>
      </c>
      <c r="K945" s="9" t="b">
        <f t="shared" si="73"/>
        <v>1</v>
      </c>
      <c r="L945" s="9" t="b">
        <f t="shared" si="74"/>
        <v>1</v>
      </c>
      <c r="M945" s="1" t="b">
        <f>IF(OR(入力シート!$C$5&lt;&gt;入力リスト!$N$4,入力シート!$J$22&lt;&gt;入力リスト!$K$4),TRUE,IF($F$2=入力リスト!$Q$4,IF(F945-INT(F945)&lt;0.6,TRUE,FALSE),TRUE))</f>
        <v>1</v>
      </c>
      <c r="N945" s="9" t="str">
        <f>IF(F945="","",IF($F$2=入力リスト!$Q$4,ROUNDDOWN(INT(F945)+ROUNDDOWN((F945-INT(F945))*100,0)/60,2),従業員の給与情報!F945))</f>
        <v/>
      </c>
      <c r="O945" s="8"/>
      <c r="P945" s="8"/>
    </row>
    <row r="946" spans="1:16">
      <c r="A946" s="119"/>
      <c r="B946" s="2"/>
      <c r="C946" s="3"/>
      <c r="D946" s="3"/>
      <c r="E946" s="3"/>
      <c r="F946" s="9"/>
      <c r="G946" s="248" t="str">
        <f t="shared" si="70"/>
        <v/>
      </c>
      <c r="H946" s="1" t="b">
        <f>IF(B946="",FALSE,COUNTIF('従業員情報(給与以外)'!$A$4:$A$1000000,$B946)=0)</f>
        <v>0</v>
      </c>
      <c r="I946" s="9" t="b">
        <f t="shared" si="71"/>
        <v>1</v>
      </c>
      <c r="J946" s="9" t="b">
        <f t="shared" si="72"/>
        <v>1</v>
      </c>
      <c r="K946" s="9" t="b">
        <f t="shared" si="73"/>
        <v>1</v>
      </c>
      <c r="L946" s="9" t="b">
        <f t="shared" si="74"/>
        <v>1</v>
      </c>
      <c r="M946" s="1" t="b">
        <f>IF(OR(入力シート!$C$5&lt;&gt;入力リスト!$N$4,入力シート!$J$22&lt;&gt;入力リスト!$K$4),TRUE,IF($F$2=入力リスト!$Q$4,IF(F946-INT(F946)&lt;0.6,TRUE,FALSE),TRUE))</f>
        <v>1</v>
      </c>
      <c r="N946" s="9" t="str">
        <f>IF(F946="","",IF($F$2=入力リスト!$Q$4,ROUNDDOWN(INT(F946)+ROUNDDOWN((F946-INT(F946))*100,0)/60,2),従業員の給与情報!F946))</f>
        <v/>
      </c>
      <c r="O946" s="8"/>
      <c r="P946" s="8"/>
    </row>
    <row r="947" spans="1:16">
      <c r="A947" s="119"/>
      <c r="B947" s="2"/>
      <c r="C947" s="3"/>
      <c r="D947" s="3"/>
      <c r="E947" s="3"/>
      <c r="F947" s="9"/>
      <c r="G947" s="248" t="str">
        <f t="shared" si="70"/>
        <v/>
      </c>
      <c r="H947" s="1" t="b">
        <f>IF(B947="",FALSE,COUNTIF('従業員情報(給与以外)'!$A$4:$A$1000000,$B947)=0)</f>
        <v>0</v>
      </c>
      <c r="I947" s="9" t="b">
        <f t="shared" si="71"/>
        <v>1</v>
      </c>
      <c r="J947" s="9" t="b">
        <f t="shared" si="72"/>
        <v>1</v>
      </c>
      <c r="K947" s="9" t="b">
        <f t="shared" si="73"/>
        <v>1</v>
      </c>
      <c r="L947" s="9" t="b">
        <f t="shared" si="74"/>
        <v>1</v>
      </c>
      <c r="M947" s="1" t="b">
        <f>IF(OR(入力シート!$C$5&lt;&gt;入力リスト!$N$4,入力シート!$J$22&lt;&gt;入力リスト!$K$4),TRUE,IF($F$2=入力リスト!$Q$4,IF(F947-INT(F947)&lt;0.6,TRUE,FALSE),TRUE))</f>
        <v>1</v>
      </c>
      <c r="N947" s="9" t="str">
        <f>IF(F947="","",IF($F$2=入力リスト!$Q$4,ROUNDDOWN(INT(F947)+ROUNDDOWN((F947-INT(F947))*100,0)/60,2),従業員の給与情報!F947))</f>
        <v/>
      </c>
      <c r="O947" s="8"/>
      <c r="P947" s="8"/>
    </row>
    <row r="948" spans="1:16">
      <c r="A948" s="119"/>
      <c r="B948" s="2"/>
      <c r="C948" s="3"/>
      <c r="D948" s="3"/>
      <c r="E948" s="3"/>
      <c r="F948" s="9"/>
      <c r="G948" s="248" t="str">
        <f t="shared" si="70"/>
        <v/>
      </c>
      <c r="H948" s="1" t="b">
        <f>IF(B948="",FALSE,COUNTIF('従業員情報(給与以外)'!$A$4:$A$1000000,$B948)=0)</f>
        <v>0</v>
      </c>
      <c r="I948" s="9" t="b">
        <f t="shared" si="71"/>
        <v>1</v>
      </c>
      <c r="J948" s="9" t="b">
        <f t="shared" si="72"/>
        <v>1</v>
      </c>
      <c r="K948" s="9" t="b">
        <f t="shared" si="73"/>
        <v>1</v>
      </c>
      <c r="L948" s="9" t="b">
        <f t="shared" si="74"/>
        <v>1</v>
      </c>
      <c r="M948" s="1" t="b">
        <f>IF(OR(入力シート!$C$5&lt;&gt;入力リスト!$N$4,入力シート!$J$22&lt;&gt;入力リスト!$K$4),TRUE,IF($F$2=入力リスト!$Q$4,IF(F948-INT(F948)&lt;0.6,TRUE,FALSE),TRUE))</f>
        <v>1</v>
      </c>
      <c r="N948" s="9" t="str">
        <f>IF(F948="","",IF($F$2=入力リスト!$Q$4,ROUNDDOWN(INT(F948)+ROUNDDOWN((F948-INT(F948))*100,0)/60,2),従業員の給与情報!F948))</f>
        <v/>
      </c>
      <c r="O948" s="8"/>
      <c r="P948" s="8"/>
    </row>
    <row r="949" spans="1:16">
      <c r="A949" s="119"/>
      <c r="B949" s="2"/>
      <c r="C949" s="3"/>
      <c r="D949" s="3"/>
      <c r="E949" s="3"/>
      <c r="F949" s="9"/>
      <c r="G949" s="248" t="str">
        <f t="shared" si="70"/>
        <v/>
      </c>
      <c r="H949" s="1" t="b">
        <f>IF(B949="",FALSE,COUNTIF('従業員情報(給与以外)'!$A$4:$A$1000000,$B949)=0)</f>
        <v>0</v>
      </c>
      <c r="I949" s="9" t="b">
        <f t="shared" si="71"/>
        <v>1</v>
      </c>
      <c r="J949" s="9" t="b">
        <f t="shared" si="72"/>
        <v>1</v>
      </c>
      <c r="K949" s="9" t="b">
        <f t="shared" si="73"/>
        <v>1</v>
      </c>
      <c r="L949" s="9" t="b">
        <f t="shared" si="74"/>
        <v>1</v>
      </c>
      <c r="M949" s="1" t="b">
        <f>IF(OR(入力シート!$C$5&lt;&gt;入力リスト!$N$4,入力シート!$J$22&lt;&gt;入力リスト!$K$4),TRUE,IF($F$2=入力リスト!$Q$4,IF(F949-INT(F949)&lt;0.6,TRUE,FALSE),TRUE))</f>
        <v>1</v>
      </c>
      <c r="N949" s="9" t="str">
        <f>IF(F949="","",IF($F$2=入力リスト!$Q$4,ROUNDDOWN(INT(F949)+ROUNDDOWN((F949-INT(F949))*100,0)/60,2),従業員の給与情報!F949))</f>
        <v/>
      </c>
      <c r="O949" s="8"/>
      <c r="P949" s="8"/>
    </row>
    <row r="950" spans="1:16">
      <c r="A950" s="119"/>
      <c r="B950" s="2"/>
      <c r="C950" s="3"/>
      <c r="D950" s="3"/>
      <c r="E950" s="3"/>
      <c r="F950" s="9"/>
      <c r="G950" s="248" t="str">
        <f t="shared" si="70"/>
        <v/>
      </c>
      <c r="H950" s="1" t="b">
        <f>IF(B950="",FALSE,COUNTIF('従業員情報(給与以外)'!$A$4:$A$1000000,$B950)=0)</f>
        <v>0</v>
      </c>
      <c r="I950" s="9" t="b">
        <f t="shared" si="71"/>
        <v>1</v>
      </c>
      <c r="J950" s="9" t="b">
        <f t="shared" si="72"/>
        <v>1</v>
      </c>
      <c r="K950" s="9" t="b">
        <f t="shared" si="73"/>
        <v>1</v>
      </c>
      <c r="L950" s="9" t="b">
        <f t="shared" si="74"/>
        <v>1</v>
      </c>
      <c r="M950" s="1" t="b">
        <f>IF(OR(入力シート!$C$5&lt;&gt;入力リスト!$N$4,入力シート!$J$22&lt;&gt;入力リスト!$K$4),TRUE,IF($F$2=入力リスト!$Q$4,IF(F950-INT(F950)&lt;0.6,TRUE,FALSE),TRUE))</f>
        <v>1</v>
      </c>
      <c r="N950" s="9" t="str">
        <f>IF(F950="","",IF($F$2=入力リスト!$Q$4,ROUNDDOWN(INT(F950)+ROUNDDOWN((F950-INT(F950))*100,0)/60,2),従業員の給与情報!F950))</f>
        <v/>
      </c>
      <c r="O950" s="8"/>
      <c r="P950" s="8"/>
    </row>
    <row r="951" spans="1:16">
      <c r="A951" s="119"/>
      <c r="B951" s="2"/>
      <c r="C951" s="3"/>
      <c r="D951" s="3"/>
      <c r="E951" s="3"/>
      <c r="F951" s="9"/>
      <c r="G951" s="248" t="str">
        <f t="shared" si="70"/>
        <v/>
      </c>
      <c r="H951" s="1" t="b">
        <f>IF(B951="",FALSE,COUNTIF('従業員情報(給与以外)'!$A$4:$A$1000000,$B951)=0)</f>
        <v>0</v>
      </c>
      <c r="I951" s="9" t="b">
        <f t="shared" si="71"/>
        <v>1</v>
      </c>
      <c r="J951" s="9" t="b">
        <f t="shared" si="72"/>
        <v>1</v>
      </c>
      <c r="K951" s="9" t="b">
        <f t="shared" si="73"/>
        <v>1</v>
      </c>
      <c r="L951" s="9" t="b">
        <f t="shared" si="74"/>
        <v>1</v>
      </c>
      <c r="M951" s="1" t="b">
        <f>IF(OR(入力シート!$C$5&lt;&gt;入力リスト!$N$4,入力シート!$J$22&lt;&gt;入力リスト!$K$4),TRUE,IF($F$2=入力リスト!$Q$4,IF(F951-INT(F951)&lt;0.6,TRUE,FALSE),TRUE))</f>
        <v>1</v>
      </c>
      <c r="N951" s="9" t="str">
        <f>IF(F951="","",IF($F$2=入力リスト!$Q$4,ROUNDDOWN(INT(F951)+ROUNDDOWN((F951-INT(F951))*100,0)/60,2),従業員の給与情報!F951))</f>
        <v/>
      </c>
      <c r="O951" s="8"/>
      <c r="P951" s="8"/>
    </row>
    <row r="952" spans="1:16">
      <c r="A952" s="119"/>
      <c r="B952" s="2"/>
      <c r="C952" s="3"/>
      <c r="D952" s="3"/>
      <c r="E952" s="3"/>
      <c r="F952" s="9"/>
      <c r="G952" s="248" t="str">
        <f t="shared" si="70"/>
        <v/>
      </c>
      <c r="H952" s="1" t="b">
        <f>IF(B952="",FALSE,COUNTIF('従業員情報(給与以外)'!$A$4:$A$1000000,$B952)=0)</f>
        <v>0</v>
      </c>
      <c r="I952" s="9" t="b">
        <f t="shared" si="71"/>
        <v>1</v>
      </c>
      <c r="J952" s="9" t="b">
        <f t="shared" si="72"/>
        <v>1</v>
      </c>
      <c r="K952" s="9" t="b">
        <f t="shared" si="73"/>
        <v>1</v>
      </c>
      <c r="L952" s="9" t="b">
        <f t="shared" si="74"/>
        <v>1</v>
      </c>
      <c r="M952" s="1" t="b">
        <f>IF(OR(入力シート!$C$5&lt;&gt;入力リスト!$N$4,入力シート!$J$22&lt;&gt;入力リスト!$K$4),TRUE,IF($F$2=入力リスト!$Q$4,IF(F952-INT(F952)&lt;0.6,TRUE,FALSE),TRUE))</f>
        <v>1</v>
      </c>
      <c r="N952" s="9" t="str">
        <f>IF(F952="","",IF($F$2=入力リスト!$Q$4,ROUNDDOWN(INT(F952)+ROUNDDOWN((F952-INT(F952))*100,0)/60,2),従業員の給与情報!F952))</f>
        <v/>
      </c>
      <c r="O952" s="8"/>
      <c r="P952" s="8"/>
    </row>
    <row r="953" spans="1:16">
      <c r="A953" s="119"/>
      <c r="B953" s="2"/>
      <c r="C953" s="3"/>
      <c r="D953" s="3"/>
      <c r="E953" s="3"/>
      <c r="F953" s="9"/>
      <c r="G953" s="248" t="str">
        <f t="shared" si="70"/>
        <v/>
      </c>
      <c r="H953" s="1" t="b">
        <f>IF(B953="",FALSE,COUNTIF('従業員情報(給与以外)'!$A$4:$A$1000000,$B953)=0)</f>
        <v>0</v>
      </c>
      <c r="I953" s="9" t="b">
        <f t="shared" si="71"/>
        <v>1</v>
      </c>
      <c r="J953" s="9" t="b">
        <f t="shared" si="72"/>
        <v>1</v>
      </c>
      <c r="K953" s="9" t="b">
        <f t="shared" si="73"/>
        <v>1</v>
      </c>
      <c r="L953" s="9" t="b">
        <f t="shared" si="74"/>
        <v>1</v>
      </c>
      <c r="M953" s="1" t="b">
        <f>IF(OR(入力シート!$C$5&lt;&gt;入力リスト!$N$4,入力シート!$J$22&lt;&gt;入力リスト!$K$4),TRUE,IF($F$2=入力リスト!$Q$4,IF(F953-INT(F953)&lt;0.6,TRUE,FALSE),TRUE))</f>
        <v>1</v>
      </c>
      <c r="N953" s="9" t="str">
        <f>IF(F953="","",IF($F$2=入力リスト!$Q$4,ROUNDDOWN(INT(F953)+ROUNDDOWN((F953-INT(F953))*100,0)/60,2),従業員の給与情報!F953))</f>
        <v/>
      </c>
      <c r="O953" s="8"/>
      <c r="P953" s="8"/>
    </row>
    <row r="954" spans="1:16">
      <c r="A954" s="119"/>
      <c r="B954" s="2"/>
      <c r="C954" s="3"/>
      <c r="D954" s="3"/>
      <c r="E954" s="3"/>
      <c r="F954" s="9"/>
      <c r="G954" s="248" t="str">
        <f t="shared" si="70"/>
        <v/>
      </c>
      <c r="H954" s="1" t="b">
        <f>IF(B954="",FALSE,COUNTIF('従業員情報(給与以外)'!$A$4:$A$1000000,$B954)=0)</f>
        <v>0</v>
      </c>
      <c r="I954" s="9" t="b">
        <f t="shared" si="71"/>
        <v>1</v>
      </c>
      <c r="J954" s="9" t="b">
        <f t="shared" si="72"/>
        <v>1</v>
      </c>
      <c r="K954" s="9" t="b">
        <f t="shared" si="73"/>
        <v>1</v>
      </c>
      <c r="L954" s="9" t="b">
        <f t="shared" si="74"/>
        <v>1</v>
      </c>
      <c r="M954" s="1" t="b">
        <f>IF(OR(入力シート!$C$5&lt;&gt;入力リスト!$N$4,入力シート!$J$22&lt;&gt;入力リスト!$K$4),TRUE,IF($F$2=入力リスト!$Q$4,IF(F954-INT(F954)&lt;0.6,TRUE,FALSE),TRUE))</f>
        <v>1</v>
      </c>
      <c r="N954" s="9" t="str">
        <f>IF(F954="","",IF($F$2=入力リスト!$Q$4,ROUNDDOWN(INT(F954)+ROUNDDOWN((F954-INT(F954))*100,0)/60,2),従業員の給与情報!F954))</f>
        <v/>
      </c>
      <c r="O954" s="8"/>
      <c r="P954" s="8"/>
    </row>
    <row r="955" spans="1:16">
      <c r="A955" s="119"/>
      <c r="B955" s="2"/>
      <c r="C955" s="3"/>
      <c r="D955" s="3"/>
      <c r="E955" s="3"/>
      <c r="F955" s="9"/>
      <c r="G955" s="248" t="str">
        <f t="shared" si="70"/>
        <v/>
      </c>
      <c r="H955" s="1" t="b">
        <f>IF(B955="",FALSE,COUNTIF('従業員情報(給与以外)'!$A$4:$A$1000000,$B955)=0)</f>
        <v>0</v>
      </c>
      <c r="I955" s="9" t="b">
        <f t="shared" si="71"/>
        <v>1</v>
      </c>
      <c r="J955" s="9" t="b">
        <f t="shared" si="72"/>
        <v>1</v>
      </c>
      <c r="K955" s="9" t="b">
        <f t="shared" si="73"/>
        <v>1</v>
      </c>
      <c r="L955" s="9" t="b">
        <f t="shared" si="74"/>
        <v>1</v>
      </c>
      <c r="M955" s="1" t="b">
        <f>IF(OR(入力シート!$C$5&lt;&gt;入力リスト!$N$4,入力シート!$J$22&lt;&gt;入力リスト!$K$4),TRUE,IF($F$2=入力リスト!$Q$4,IF(F955-INT(F955)&lt;0.6,TRUE,FALSE),TRUE))</f>
        <v>1</v>
      </c>
      <c r="N955" s="9" t="str">
        <f>IF(F955="","",IF($F$2=入力リスト!$Q$4,ROUNDDOWN(INT(F955)+ROUNDDOWN((F955-INT(F955))*100,0)/60,2),従業員の給与情報!F955))</f>
        <v/>
      </c>
      <c r="O955" s="8"/>
      <c r="P955" s="8"/>
    </row>
    <row r="956" spans="1:16">
      <c r="A956" s="119"/>
      <c r="B956" s="2"/>
      <c r="C956" s="3"/>
      <c r="D956" s="3"/>
      <c r="E956" s="3"/>
      <c r="F956" s="9"/>
      <c r="G956" s="248" t="str">
        <f t="shared" si="70"/>
        <v/>
      </c>
      <c r="H956" s="1" t="b">
        <f>IF(B956="",FALSE,COUNTIF('従業員情報(給与以外)'!$A$4:$A$1000000,$B956)=0)</f>
        <v>0</v>
      </c>
      <c r="I956" s="9" t="b">
        <f t="shared" si="71"/>
        <v>1</v>
      </c>
      <c r="J956" s="9" t="b">
        <f t="shared" si="72"/>
        <v>1</v>
      </c>
      <c r="K956" s="9" t="b">
        <f t="shared" si="73"/>
        <v>1</v>
      </c>
      <c r="L956" s="9" t="b">
        <f t="shared" si="74"/>
        <v>1</v>
      </c>
      <c r="M956" s="1" t="b">
        <f>IF(OR(入力シート!$C$5&lt;&gt;入力リスト!$N$4,入力シート!$J$22&lt;&gt;入力リスト!$K$4),TRUE,IF($F$2=入力リスト!$Q$4,IF(F956-INT(F956)&lt;0.6,TRUE,FALSE),TRUE))</f>
        <v>1</v>
      </c>
      <c r="N956" s="9" t="str">
        <f>IF(F956="","",IF($F$2=入力リスト!$Q$4,ROUNDDOWN(INT(F956)+ROUNDDOWN((F956-INT(F956))*100,0)/60,2),従業員の給与情報!F956))</f>
        <v/>
      </c>
      <c r="O956" s="8"/>
      <c r="P956" s="8"/>
    </row>
    <row r="957" spans="1:16">
      <c r="A957" s="119"/>
      <c r="B957" s="2"/>
      <c r="C957" s="3"/>
      <c r="D957" s="3"/>
      <c r="E957" s="3"/>
      <c r="F957" s="9"/>
      <c r="G957" s="248" t="str">
        <f t="shared" si="70"/>
        <v/>
      </c>
      <c r="H957" s="1" t="b">
        <f>IF(B957="",FALSE,COUNTIF('従業員情報(給与以外)'!$A$4:$A$1000000,$B957)=0)</f>
        <v>0</v>
      </c>
      <c r="I957" s="9" t="b">
        <f t="shared" si="71"/>
        <v>1</v>
      </c>
      <c r="J957" s="9" t="b">
        <f t="shared" si="72"/>
        <v>1</v>
      </c>
      <c r="K957" s="9" t="b">
        <f t="shared" si="73"/>
        <v>1</v>
      </c>
      <c r="L957" s="9" t="b">
        <f t="shared" si="74"/>
        <v>1</v>
      </c>
      <c r="M957" s="1" t="b">
        <f>IF(OR(入力シート!$C$5&lt;&gt;入力リスト!$N$4,入力シート!$J$22&lt;&gt;入力リスト!$K$4),TRUE,IF($F$2=入力リスト!$Q$4,IF(F957-INT(F957)&lt;0.6,TRUE,FALSE),TRUE))</f>
        <v>1</v>
      </c>
      <c r="N957" s="9" t="str">
        <f>IF(F957="","",IF($F$2=入力リスト!$Q$4,ROUNDDOWN(INT(F957)+ROUNDDOWN((F957-INT(F957))*100,0)/60,2),従業員の給与情報!F957))</f>
        <v/>
      </c>
      <c r="O957" s="8"/>
      <c r="P957" s="8"/>
    </row>
    <row r="958" spans="1:16">
      <c r="A958" s="119"/>
      <c r="B958" s="2"/>
      <c r="C958" s="3"/>
      <c r="D958" s="3"/>
      <c r="E958" s="3"/>
      <c r="F958" s="9"/>
      <c r="G958" s="248" t="str">
        <f t="shared" si="70"/>
        <v/>
      </c>
      <c r="H958" s="1" t="b">
        <f>IF(B958="",FALSE,COUNTIF('従業員情報(給与以外)'!$A$4:$A$1000000,$B958)=0)</f>
        <v>0</v>
      </c>
      <c r="I958" s="9" t="b">
        <f t="shared" si="71"/>
        <v>1</v>
      </c>
      <c r="J958" s="9" t="b">
        <f t="shared" si="72"/>
        <v>1</v>
      </c>
      <c r="K958" s="9" t="b">
        <f t="shared" si="73"/>
        <v>1</v>
      </c>
      <c r="L958" s="9" t="b">
        <f t="shared" si="74"/>
        <v>1</v>
      </c>
      <c r="M958" s="1" t="b">
        <f>IF(OR(入力シート!$C$5&lt;&gt;入力リスト!$N$4,入力シート!$J$22&lt;&gt;入力リスト!$K$4),TRUE,IF($F$2=入力リスト!$Q$4,IF(F958-INT(F958)&lt;0.6,TRUE,FALSE),TRUE))</f>
        <v>1</v>
      </c>
      <c r="N958" s="9" t="str">
        <f>IF(F958="","",IF($F$2=入力リスト!$Q$4,ROUNDDOWN(INT(F958)+ROUNDDOWN((F958-INT(F958))*100,0)/60,2),従業員の給与情報!F958))</f>
        <v/>
      </c>
      <c r="O958" s="8"/>
      <c r="P958" s="8"/>
    </row>
    <row r="959" spans="1:16">
      <c r="A959" s="119"/>
      <c r="B959" s="2"/>
      <c r="C959" s="3"/>
      <c r="D959" s="3"/>
      <c r="E959" s="3"/>
      <c r="F959" s="9"/>
      <c r="G959" s="248" t="str">
        <f t="shared" si="70"/>
        <v/>
      </c>
      <c r="H959" s="1" t="b">
        <f>IF(B959="",FALSE,COUNTIF('従業員情報(給与以外)'!$A$4:$A$1000000,$B959)=0)</f>
        <v>0</v>
      </c>
      <c r="I959" s="9" t="b">
        <f t="shared" si="71"/>
        <v>1</v>
      </c>
      <c r="J959" s="9" t="b">
        <f t="shared" si="72"/>
        <v>1</v>
      </c>
      <c r="K959" s="9" t="b">
        <f t="shared" si="73"/>
        <v>1</v>
      </c>
      <c r="L959" s="9" t="b">
        <f t="shared" si="74"/>
        <v>1</v>
      </c>
      <c r="M959" s="1" t="b">
        <f>IF(OR(入力シート!$C$5&lt;&gt;入力リスト!$N$4,入力シート!$J$22&lt;&gt;入力リスト!$K$4),TRUE,IF($F$2=入力リスト!$Q$4,IF(F959-INT(F959)&lt;0.6,TRUE,FALSE),TRUE))</f>
        <v>1</v>
      </c>
      <c r="N959" s="9" t="str">
        <f>IF(F959="","",IF($F$2=入力リスト!$Q$4,ROUNDDOWN(INT(F959)+ROUNDDOWN((F959-INT(F959))*100,0)/60,2),従業員の給与情報!F959))</f>
        <v/>
      </c>
      <c r="O959" s="8"/>
      <c r="P959" s="8"/>
    </row>
    <row r="960" spans="1:16">
      <c r="A960" s="119"/>
      <c r="B960" s="2"/>
      <c r="C960" s="3"/>
      <c r="D960" s="3"/>
      <c r="E960" s="3"/>
      <c r="F960" s="9"/>
      <c r="G960" s="248" t="str">
        <f t="shared" si="70"/>
        <v/>
      </c>
      <c r="H960" s="1" t="b">
        <f>IF(B960="",FALSE,COUNTIF('従業員情報(給与以外)'!$A$4:$A$1000000,$B960)=0)</f>
        <v>0</v>
      </c>
      <c r="I960" s="9" t="b">
        <f t="shared" si="71"/>
        <v>1</v>
      </c>
      <c r="J960" s="9" t="b">
        <f t="shared" si="72"/>
        <v>1</v>
      </c>
      <c r="K960" s="9" t="b">
        <f t="shared" si="73"/>
        <v>1</v>
      </c>
      <c r="L960" s="9" t="b">
        <f t="shared" si="74"/>
        <v>1</v>
      </c>
      <c r="M960" s="1" t="b">
        <f>IF(OR(入力シート!$C$5&lt;&gt;入力リスト!$N$4,入力シート!$J$22&lt;&gt;入力リスト!$K$4),TRUE,IF($F$2=入力リスト!$Q$4,IF(F960-INT(F960)&lt;0.6,TRUE,FALSE),TRUE))</f>
        <v>1</v>
      </c>
      <c r="N960" s="9" t="str">
        <f>IF(F960="","",IF($F$2=入力リスト!$Q$4,ROUNDDOWN(INT(F960)+ROUNDDOWN((F960-INT(F960))*100,0)/60,2),従業員の給与情報!F960))</f>
        <v/>
      </c>
      <c r="O960" s="8"/>
      <c r="P960" s="8"/>
    </row>
    <row r="961" spans="1:16">
      <c r="A961" s="119"/>
      <c r="B961" s="2"/>
      <c r="C961" s="3"/>
      <c r="D961" s="3"/>
      <c r="E961" s="3"/>
      <c r="F961" s="9"/>
      <c r="G961" s="248" t="str">
        <f t="shared" si="70"/>
        <v/>
      </c>
      <c r="H961" s="1" t="b">
        <f>IF(B961="",FALSE,COUNTIF('従業員情報(給与以外)'!$A$4:$A$1000000,$B961)=0)</f>
        <v>0</v>
      </c>
      <c r="I961" s="9" t="b">
        <f t="shared" si="71"/>
        <v>1</v>
      </c>
      <c r="J961" s="9" t="b">
        <f t="shared" si="72"/>
        <v>1</v>
      </c>
      <c r="K961" s="9" t="b">
        <f t="shared" si="73"/>
        <v>1</v>
      </c>
      <c r="L961" s="9" t="b">
        <f t="shared" si="74"/>
        <v>1</v>
      </c>
      <c r="M961" s="1" t="b">
        <f>IF(OR(入力シート!$C$5&lt;&gt;入力リスト!$N$4,入力シート!$J$22&lt;&gt;入力リスト!$K$4),TRUE,IF($F$2=入力リスト!$Q$4,IF(F961-INT(F961)&lt;0.6,TRUE,FALSE),TRUE))</f>
        <v>1</v>
      </c>
      <c r="N961" s="9" t="str">
        <f>IF(F961="","",IF($F$2=入力リスト!$Q$4,ROUNDDOWN(INT(F961)+ROUNDDOWN((F961-INT(F961))*100,0)/60,2),従業員の給与情報!F961))</f>
        <v/>
      </c>
      <c r="O961" s="8"/>
      <c r="P961" s="8"/>
    </row>
    <row r="962" spans="1:16">
      <c r="A962" s="119"/>
      <c r="B962" s="2"/>
      <c r="C962" s="3"/>
      <c r="D962" s="3"/>
      <c r="E962" s="3"/>
      <c r="F962" s="9"/>
      <c r="G962" s="248" t="str">
        <f t="shared" si="70"/>
        <v/>
      </c>
      <c r="H962" s="1" t="b">
        <f>IF(B962="",FALSE,COUNTIF('従業員情報(給与以外)'!$A$4:$A$1000000,$B962)=0)</f>
        <v>0</v>
      </c>
      <c r="I962" s="9" t="b">
        <f t="shared" si="71"/>
        <v>1</v>
      </c>
      <c r="J962" s="9" t="b">
        <f t="shared" si="72"/>
        <v>1</v>
      </c>
      <c r="K962" s="9" t="b">
        <f t="shared" si="73"/>
        <v>1</v>
      </c>
      <c r="L962" s="9" t="b">
        <f t="shared" si="74"/>
        <v>1</v>
      </c>
      <c r="M962" s="1" t="b">
        <f>IF(OR(入力シート!$C$5&lt;&gt;入力リスト!$N$4,入力シート!$J$22&lt;&gt;入力リスト!$K$4),TRUE,IF($F$2=入力リスト!$Q$4,IF(F962-INT(F962)&lt;0.6,TRUE,FALSE),TRUE))</f>
        <v>1</v>
      </c>
      <c r="N962" s="9" t="str">
        <f>IF(F962="","",IF($F$2=入力リスト!$Q$4,ROUNDDOWN(INT(F962)+ROUNDDOWN((F962-INT(F962))*100,0)/60,2),従業員の給与情報!F962))</f>
        <v/>
      </c>
      <c r="O962" s="8"/>
      <c r="P962" s="8"/>
    </row>
    <row r="963" spans="1:16">
      <c r="A963" s="119"/>
      <c r="B963" s="2"/>
      <c r="C963" s="3"/>
      <c r="D963" s="3"/>
      <c r="E963" s="3"/>
      <c r="F963" s="9"/>
      <c r="G963" s="248" t="str">
        <f t="shared" si="70"/>
        <v/>
      </c>
      <c r="H963" s="1" t="b">
        <f>IF(B963="",FALSE,COUNTIF('従業員情報(給与以外)'!$A$4:$A$1000000,$B963)=0)</f>
        <v>0</v>
      </c>
      <c r="I963" s="9" t="b">
        <f t="shared" si="71"/>
        <v>1</v>
      </c>
      <c r="J963" s="9" t="b">
        <f t="shared" si="72"/>
        <v>1</v>
      </c>
      <c r="K963" s="9" t="b">
        <f t="shared" si="73"/>
        <v>1</v>
      </c>
      <c r="L963" s="9" t="b">
        <f t="shared" si="74"/>
        <v>1</v>
      </c>
      <c r="M963" s="1" t="b">
        <f>IF(OR(入力シート!$C$5&lt;&gt;入力リスト!$N$4,入力シート!$J$22&lt;&gt;入力リスト!$K$4),TRUE,IF($F$2=入力リスト!$Q$4,IF(F963-INT(F963)&lt;0.6,TRUE,FALSE),TRUE))</f>
        <v>1</v>
      </c>
      <c r="N963" s="9" t="str">
        <f>IF(F963="","",IF($F$2=入力リスト!$Q$4,ROUNDDOWN(INT(F963)+ROUNDDOWN((F963-INT(F963))*100,0)/60,2),従業員の給与情報!F963))</f>
        <v/>
      </c>
      <c r="O963" s="8"/>
      <c r="P963" s="8"/>
    </row>
    <row r="964" spans="1:16">
      <c r="A964" s="119"/>
      <c r="B964" s="2"/>
      <c r="C964" s="3"/>
      <c r="D964" s="3"/>
      <c r="E964" s="3"/>
      <c r="F964" s="9"/>
      <c r="G964" s="248" t="str">
        <f t="shared" si="70"/>
        <v/>
      </c>
      <c r="H964" s="1" t="b">
        <f>IF(B964="",FALSE,COUNTIF('従業員情報(給与以外)'!$A$4:$A$1000000,$B964)=0)</f>
        <v>0</v>
      </c>
      <c r="I964" s="9" t="b">
        <f t="shared" si="71"/>
        <v>1</v>
      </c>
      <c r="J964" s="9" t="b">
        <f t="shared" si="72"/>
        <v>1</v>
      </c>
      <c r="K964" s="9" t="b">
        <f t="shared" si="73"/>
        <v>1</v>
      </c>
      <c r="L964" s="9" t="b">
        <f t="shared" si="74"/>
        <v>1</v>
      </c>
      <c r="M964" s="1" t="b">
        <f>IF(OR(入力シート!$C$5&lt;&gt;入力リスト!$N$4,入力シート!$J$22&lt;&gt;入力リスト!$K$4),TRUE,IF($F$2=入力リスト!$Q$4,IF(F964-INT(F964)&lt;0.6,TRUE,FALSE),TRUE))</f>
        <v>1</v>
      </c>
      <c r="N964" s="9" t="str">
        <f>IF(F964="","",IF($F$2=入力リスト!$Q$4,ROUNDDOWN(INT(F964)+ROUNDDOWN((F964-INT(F964))*100,0)/60,2),従業員の給与情報!F964))</f>
        <v/>
      </c>
      <c r="O964" s="8"/>
      <c r="P964" s="8"/>
    </row>
    <row r="965" spans="1:16">
      <c r="A965" s="119"/>
      <c r="B965" s="2"/>
      <c r="C965" s="3"/>
      <c r="D965" s="3"/>
      <c r="E965" s="3"/>
      <c r="F965" s="9"/>
      <c r="G965" s="248" t="str">
        <f t="shared" ref="G965:G1028" si="75">IF(AND($B965="",OR(B965&lt;&gt;"",C965&lt;&gt;"",D965&lt;&gt;"",E965&lt;&gt;"",F965&lt;&gt;"")),"従業員番号が空白です。",IF($H965=TRUE,"この従業員番号は、シート［従業員情報（給与以外）］に存在しません。",IF(I965=FALSE,"「毎月の固定給与額」","")&amp;IF(AND(I965=FALSE,OR(J965=FALSE,K965=FALSE,L965=FALSE)),",","")&amp;IF(J965=FALSE,"「賞与額等」","")&amp;IF(AND(J965=FALSE,OR(K965=FALSE,L965=FALSE)),",","")&amp;IF(K965=FALSE,"「残業手当」","")&amp;IF(AND(K965=FALSE,L965=FALSE),",","")&amp;IF(L965=FALSE,"「残業時間」","")&amp;IF(OR(I965=FALSE,J965=FALSE,K965=FALSE,L965=FALSE),"に数値以外が入力されています。","")&amp;IF(M965,"","「残業時間」を分単位で入力した場合、小数点以下の値は0.6未満にしてください。")))</f>
        <v/>
      </c>
      <c r="H965" s="1" t="b">
        <f>IF(B965="",FALSE,COUNTIF('従業員情報(給与以外)'!$A$4:$A$1000000,$B965)=0)</f>
        <v>0</v>
      </c>
      <c r="I965" s="9" t="b">
        <f t="shared" ref="I965:I1028" si="76">OR(C965="",ISNUMBER(C965))</f>
        <v>1</v>
      </c>
      <c r="J965" s="9" t="b">
        <f t="shared" ref="J965:J1028" si="77">OR(D965="",ISNUMBER(D965))</f>
        <v>1</v>
      </c>
      <c r="K965" s="9" t="b">
        <f t="shared" ref="K965:K1028" si="78">OR(E965="",ISNUMBER(E965))</f>
        <v>1</v>
      </c>
      <c r="L965" s="9" t="b">
        <f t="shared" ref="L965:L1028" si="79">OR(F965="",ISNUMBER(F965))</f>
        <v>1</v>
      </c>
      <c r="M965" s="1" t="b">
        <f>IF(OR(入力シート!$C$5&lt;&gt;入力リスト!$N$4,入力シート!$J$22&lt;&gt;入力リスト!$K$4),TRUE,IF($F$2=入力リスト!$Q$4,IF(F965-INT(F965)&lt;0.6,TRUE,FALSE),TRUE))</f>
        <v>1</v>
      </c>
      <c r="N965" s="9" t="str">
        <f>IF(F965="","",IF($F$2=入力リスト!$Q$4,ROUNDDOWN(INT(F965)+ROUNDDOWN((F965-INT(F965))*100,0)/60,2),従業員の給与情報!F965))</f>
        <v/>
      </c>
      <c r="O965" s="8"/>
      <c r="P965" s="8"/>
    </row>
    <row r="966" spans="1:16">
      <c r="A966" s="119"/>
      <c r="B966" s="2"/>
      <c r="C966" s="3"/>
      <c r="D966" s="3"/>
      <c r="E966" s="3"/>
      <c r="F966" s="9"/>
      <c r="G966" s="248" t="str">
        <f t="shared" si="75"/>
        <v/>
      </c>
      <c r="H966" s="1" t="b">
        <f>IF(B966="",FALSE,COUNTIF('従業員情報(給与以外)'!$A$4:$A$1000000,$B966)=0)</f>
        <v>0</v>
      </c>
      <c r="I966" s="9" t="b">
        <f t="shared" si="76"/>
        <v>1</v>
      </c>
      <c r="J966" s="9" t="b">
        <f t="shared" si="77"/>
        <v>1</v>
      </c>
      <c r="K966" s="9" t="b">
        <f t="shared" si="78"/>
        <v>1</v>
      </c>
      <c r="L966" s="9" t="b">
        <f t="shared" si="79"/>
        <v>1</v>
      </c>
      <c r="M966" s="1" t="b">
        <f>IF(OR(入力シート!$C$5&lt;&gt;入力リスト!$N$4,入力シート!$J$22&lt;&gt;入力リスト!$K$4),TRUE,IF($F$2=入力リスト!$Q$4,IF(F966-INT(F966)&lt;0.6,TRUE,FALSE),TRUE))</f>
        <v>1</v>
      </c>
      <c r="N966" s="9" t="str">
        <f>IF(F966="","",IF($F$2=入力リスト!$Q$4,ROUNDDOWN(INT(F966)+ROUNDDOWN((F966-INT(F966))*100,0)/60,2),従業員の給与情報!F966))</f>
        <v/>
      </c>
      <c r="O966" s="8"/>
      <c r="P966" s="8"/>
    </row>
    <row r="967" spans="1:16">
      <c r="A967" s="119"/>
      <c r="B967" s="2"/>
      <c r="C967" s="3"/>
      <c r="D967" s="3"/>
      <c r="E967" s="3"/>
      <c r="F967" s="9"/>
      <c r="G967" s="248" t="str">
        <f t="shared" si="75"/>
        <v/>
      </c>
      <c r="H967" s="1" t="b">
        <f>IF(B967="",FALSE,COUNTIF('従業員情報(給与以外)'!$A$4:$A$1000000,$B967)=0)</f>
        <v>0</v>
      </c>
      <c r="I967" s="9" t="b">
        <f t="shared" si="76"/>
        <v>1</v>
      </c>
      <c r="J967" s="9" t="b">
        <f t="shared" si="77"/>
        <v>1</v>
      </c>
      <c r="K967" s="9" t="b">
        <f t="shared" si="78"/>
        <v>1</v>
      </c>
      <c r="L967" s="9" t="b">
        <f t="shared" si="79"/>
        <v>1</v>
      </c>
      <c r="M967" s="1" t="b">
        <f>IF(OR(入力シート!$C$5&lt;&gt;入力リスト!$N$4,入力シート!$J$22&lt;&gt;入力リスト!$K$4),TRUE,IF($F$2=入力リスト!$Q$4,IF(F967-INT(F967)&lt;0.6,TRUE,FALSE),TRUE))</f>
        <v>1</v>
      </c>
      <c r="N967" s="9" t="str">
        <f>IF(F967="","",IF($F$2=入力リスト!$Q$4,ROUNDDOWN(INT(F967)+ROUNDDOWN((F967-INT(F967))*100,0)/60,2),従業員の給与情報!F967))</f>
        <v/>
      </c>
      <c r="O967" s="8"/>
      <c r="P967" s="8"/>
    </row>
    <row r="968" spans="1:16">
      <c r="A968" s="119"/>
      <c r="B968" s="2"/>
      <c r="C968" s="3"/>
      <c r="D968" s="3"/>
      <c r="E968" s="3"/>
      <c r="F968" s="9"/>
      <c r="G968" s="248" t="str">
        <f t="shared" si="75"/>
        <v/>
      </c>
      <c r="H968" s="1" t="b">
        <f>IF(B968="",FALSE,COUNTIF('従業員情報(給与以外)'!$A$4:$A$1000000,$B968)=0)</f>
        <v>0</v>
      </c>
      <c r="I968" s="9" t="b">
        <f t="shared" si="76"/>
        <v>1</v>
      </c>
      <c r="J968" s="9" t="b">
        <f t="shared" si="77"/>
        <v>1</v>
      </c>
      <c r="K968" s="9" t="b">
        <f t="shared" si="78"/>
        <v>1</v>
      </c>
      <c r="L968" s="9" t="b">
        <f t="shared" si="79"/>
        <v>1</v>
      </c>
      <c r="M968" s="1" t="b">
        <f>IF(OR(入力シート!$C$5&lt;&gt;入力リスト!$N$4,入力シート!$J$22&lt;&gt;入力リスト!$K$4),TRUE,IF($F$2=入力リスト!$Q$4,IF(F968-INT(F968)&lt;0.6,TRUE,FALSE),TRUE))</f>
        <v>1</v>
      </c>
      <c r="N968" s="9" t="str">
        <f>IF(F968="","",IF($F$2=入力リスト!$Q$4,ROUNDDOWN(INT(F968)+ROUNDDOWN((F968-INT(F968))*100,0)/60,2),従業員の給与情報!F968))</f>
        <v/>
      </c>
      <c r="O968" s="8"/>
      <c r="P968" s="8"/>
    </row>
    <row r="969" spans="1:16">
      <c r="A969" s="119"/>
      <c r="B969" s="2"/>
      <c r="C969" s="3"/>
      <c r="D969" s="3"/>
      <c r="E969" s="3"/>
      <c r="F969" s="9"/>
      <c r="G969" s="248" t="str">
        <f t="shared" si="75"/>
        <v/>
      </c>
      <c r="H969" s="1" t="b">
        <f>IF(B969="",FALSE,COUNTIF('従業員情報(給与以外)'!$A$4:$A$1000000,$B969)=0)</f>
        <v>0</v>
      </c>
      <c r="I969" s="9" t="b">
        <f t="shared" si="76"/>
        <v>1</v>
      </c>
      <c r="J969" s="9" t="b">
        <f t="shared" si="77"/>
        <v>1</v>
      </c>
      <c r="K969" s="9" t="b">
        <f t="shared" si="78"/>
        <v>1</v>
      </c>
      <c r="L969" s="9" t="b">
        <f t="shared" si="79"/>
        <v>1</v>
      </c>
      <c r="M969" s="1" t="b">
        <f>IF(OR(入力シート!$C$5&lt;&gt;入力リスト!$N$4,入力シート!$J$22&lt;&gt;入力リスト!$K$4),TRUE,IF($F$2=入力リスト!$Q$4,IF(F969-INT(F969)&lt;0.6,TRUE,FALSE),TRUE))</f>
        <v>1</v>
      </c>
      <c r="N969" s="9" t="str">
        <f>IF(F969="","",IF($F$2=入力リスト!$Q$4,ROUNDDOWN(INT(F969)+ROUNDDOWN((F969-INT(F969))*100,0)/60,2),従業員の給与情報!F969))</f>
        <v/>
      </c>
      <c r="O969" s="8"/>
      <c r="P969" s="8"/>
    </row>
    <row r="970" spans="1:16">
      <c r="A970" s="119"/>
      <c r="B970" s="2"/>
      <c r="C970" s="3"/>
      <c r="D970" s="3"/>
      <c r="E970" s="3"/>
      <c r="F970" s="9"/>
      <c r="G970" s="248" t="str">
        <f t="shared" si="75"/>
        <v/>
      </c>
      <c r="H970" s="1" t="b">
        <f>IF(B970="",FALSE,COUNTIF('従業員情報(給与以外)'!$A$4:$A$1000000,$B970)=0)</f>
        <v>0</v>
      </c>
      <c r="I970" s="9" t="b">
        <f t="shared" si="76"/>
        <v>1</v>
      </c>
      <c r="J970" s="9" t="b">
        <f t="shared" si="77"/>
        <v>1</v>
      </c>
      <c r="K970" s="9" t="b">
        <f t="shared" si="78"/>
        <v>1</v>
      </c>
      <c r="L970" s="9" t="b">
        <f t="shared" si="79"/>
        <v>1</v>
      </c>
      <c r="M970" s="1" t="b">
        <f>IF(OR(入力シート!$C$5&lt;&gt;入力リスト!$N$4,入力シート!$J$22&lt;&gt;入力リスト!$K$4),TRUE,IF($F$2=入力リスト!$Q$4,IF(F970-INT(F970)&lt;0.6,TRUE,FALSE),TRUE))</f>
        <v>1</v>
      </c>
      <c r="N970" s="9" t="str">
        <f>IF(F970="","",IF($F$2=入力リスト!$Q$4,ROUNDDOWN(INT(F970)+ROUNDDOWN((F970-INT(F970))*100,0)/60,2),従業員の給与情報!F970))</f>
        <v/>
      </c>
      <c r="O970" s="8"/>
      <c r="P970" s="8"/>
    </row>
    <row r="971" spans="1:16">
      <c r="A971" s="119"/>
      <c r="B971" s="2"/>
      <c r="C971" s="3"/>
      <c r="D971" s="3"/>
      <c r="E971" s="3"/>
      <c r="F971" s="9"/>
      <c r="G971" s="248" t="str">
        <f t="shared" si="75"/>
        <v/>
      </c>
      <c r="H971" s="1" t="b">
        <f>IF(B971="",FALSE,COUNTIF('従業員情報(給与以外)'!$A$4:$A$1000000,$B971)=0)</f>
        <v>0</v>
      </c>
      <c r="I971" s="9" t="b">
        <f t="shared" si="76"/>
        <v>1</v>
      </c>
      <c r="J971" s="9" t="b">
        <f t="shared" si="77"/>
        <v>1</v>
      </c>
      <c r="K971" s="9" t="b">
        <f t="shared" si="78"/>
        <v>1</v>
      </c>
      <c r="L971" s="9" t="b">
        <f t="shared" si="79"/>
        <v>1</v>
      </c>
      <c r="M971" s="1" t="b">
        <f>IF(OR(入力シート!$C$5&lt;&gt;入力リスト!$N$4,入力シート!$J$22&lt;&gt;入力リスト!$K$4),TRUE,IF($F$2=入力リスト!$Q$4,IF(F971-INT(F971)&lt;0.6,TRUE,FALSE),TRUE))</f>
        <v>1</v>
      </c>
      <c r="N971" s="9" t="str">
        <f>IF(F971="","",IF($F$2=入力リスト!$Q$4,ROUNDDOWN(INT(F971)+ROUNDDOWN((F971-INT(F971))*100,0)/60,2),従業員の給与情報!F971))</f>
        <v/>
      </c>
      <c r="O971" s="8"/>
      <c r="P971" s="8"/>
    </row>
    <row r="972" spans="1:16">
      <c r="A972" s="119"/>
      <c r="B972" s="2"/>
      <c r="C972" s="3"/>
      <c r="D972" s="3"/>
      <c r="E972" s="3"/>
      <c r="F972" s="9"/>
      <c r="G972" s="248" t="str">
        <f t="shared" si="75"/>
        <v/>
      </c>
      <c r="H972" s="1" t="b">
        <f>IF(B972="",FALSE,COUNTIF('従業員情報(給与以外)'!$A$4:$A$1000000,$B972)=0)</f>
        <v>0</v>
      </c>
      <c r="I972" s="9" t="b">
        <f t="shared" si="76"/>
        <v>1</v>
      </c>
      <c r="J972" s="9" t="b">
        <f t="shared" si="77"/>
        <v>1</v>
      </c>
      <c r="K972" s="9" t="b">
        <f t="shared" si="78"/>
        <v>1</v>
      </c>
      <c r="L972" s="9" t="b">
        <f t="shared" si="79"/>
        <v>1</v>
      </c>
      <c r="M972" s="1" t="b">
        <f>IF(OR(入力シート!$C$5&lt;&gt;入力リスト!$N$4,入力シート!$J$22&lt;&gt;入力リスト!$K$4),TRUE,IF($F$2=入力リスト!$Q$4,IF(F972-INT(F972)&lt;0.6,TRUE,FALSE),TRUE))</f>
        <v>1</v>
      </c>
      <c r="N972" s="9" t="str">
        <f>IF(F972="","",IF($F$2=入力リスト!$Q$4,ROUNDDOWN(INT(F972)+ROUNDDOWN((F972-INT(F972))*100,0)/60,2),従業員の給与情報!F972))</f>
        <v/>
      </c>
      <c r="O972" s="8"/>
      <c r="P972" s="8"/>
    </row>
    <row r="973" spans="1:16">
      <c r="A973" s="119"/>
      <c r="B973" s="2"/>
      <c r="C973" s="3"/>
      <c r="D973" s="3"/>
      <c r="E973" s="3"/>
      <c r="F973" s="9"/>
      <c r="G973" s="248" t="str">
        <f t="shared" si="75"/>
        <v/>
      </c>
      <c r="H973" s="1" t="b">
        <f>IF(B973="",FALSE,COUNTIF('従業員情報(給与以外)'!$A$4:$A$1000000,$B973)=0)</f>
        <v>0</v>
      </c>
      <c r="I973" s="9" t="b">
        <f t="shared" si="76"/>
        <v>1</v>
      </c>
      <c r="J973" s="9" t="b">
        <f t="shared" si="77"/>
        <v>1</v>
      </c>
      <c r="K973" s="9" t="b">
        <f t="shared" si="78"/>
        <v>1</v>
      </c>
      <c r="L973" s="9" t="b">
        <f t="shared" si="79"/>
        <v>1</v>
      </c>
      <c r="M973" s="1" t="b">
        <f>IF(OR(入力シート!$C$5&lt;&gt;入力リスト!$N$4,入力シート!$J$22&lt;&gt;入力リスト!$K$4),TRUE,IF($F$2=入力リスト!$Q$4,IF(F973-INT(F973)&lt;0.6,TRUE,FALSE),TRUE))</f>
        <v>1</v>
      </c>
      <c r="N973" s="9" t="str">
        <f>IF(F973="","",IF($F$2=入力リスト!$Q$4,ROUNDDOWN(INT(F973)+ROUNDDOWN((F973-INT(F973))*100,0)/60,2),従業員の給与情報!F973))</f>
        <v/>
      </c>
      <c r="O973" s="8"/>
      <c r="P973" s="8"/>
    </row>
    <row r="974" spans="1:16">
      <c r="A974" s="119"/>
      <c r="B974" s="2"/>
      <c r="C974" s="3"/>
      <c r="D974" s="3"/>
      <c r="E974" s="3"/>
      <c r="F974" s="9"/>
      <c r="G974" s="248" t="str">
        <f t="shared" si="75"/>
        <v/>
      </c>
      <c r="H974" s="1" t="b">
        <f>IF(B974="",FALSE,COUNTIF('従業員情報(給与以外)'!$A$4:$A$1000000,$B974)=0)</f>
        <v>0</v>
      </c>
      <c r="I974" s="9" t="b">
        <f t="shared" si="76"/>
        <v>1</v>
      </c>
      <c r="J974" s="9" t="b">
        <f t="shared" si="77"/>
        <v>1</v>
      </c>
      <c r="K974" s="9" t="b">
        <f t="shared" si="78"/>
        <v>1</v>
      </c>
      <c r="L974" s="9" t="b">
        <f t="shared" si="79"/>
        <v>1</v>
      </c>
      <c r="M974" s="1" t="b">
        <f>IF(OR(入力シート!$C$5&lt;&gt;入力リスト!$N$4,入力シート!$J$22&lt;&gt;入力リスト!$K$4),TRUE,IF($F$2=入力リスト!$Q$4,IF(F974-INT(F974)&lt;0.6,TRUE,FALSE),TRUE))</f>
        <v>1</v>
      </c>
      <c r="N974" s="9" t="str">
        <f>IF(F974="","",IF($F$2=入力リスト!$Q$4,ROUNDDOWN(INT(F974)+ROUNDDOWN((F974-INT(F974))*100,0)/60,2),従業員の給与情報!F974))</f>
        <v/>
      </c>
      <c r="O974" s="8"/>
      <c r="P974" s="8"/>
    </row>
    <row r="975" spans="1:16">
      <c r="A975" s="119"/>
      <c r="B975" s="2"/>
      <c r="C975" s="3"/>
      <c r="D975" s="3"/>
      <c r="E975" s="3"/>
      <c r="F975" s="9"/>
      <c r="G975" s="248" t="str">
        <f t="shared" si="75"/>
        <v/>
      </c>
      <c r="H975" s="1" t="b">
        <f>IF(B975="",FALSE,COUNTIF('従業員情報(給与以外)'!$A$4:$A$1000000,$B975)=0)</f>
        <v>0</v>
      </c>
      <c r="I975" s="9" t="b">
        <f t="shared" si="76"/>
        <v>1</v>
      </c>
      <c r="J975" s="9" t="b">
        <f t="shared" si="77"/>
        <v>1</v>
      </c>
      <c r="K975" s="9" t="b">
        <f t="shared" si="78"/>
        <v>1</v>
      </c>
      <c r="L975" s="9" t="b">
        <f t="shared" si="79"/>
        <v>1</v>
      </c>
      <c r="M975" s="1" t="b">
        <f>IF(OR(入力シート!$C$5&lt;&gt;入力リスト!$N$4,入力シート!$J$22&lt;&gt;入力リスト!$K$4),TRUE,IF($F$2=入力リスト!$Q$4,IF(F975-INT(F975)&lt;0.6,TRUE,FALSE),TRUE))</f>
        <v>1</v>
      </c>
      <c r="N975" s="9" t="str">
        <f>IF(F975="","",IF($F$2=入力リスト!$Q$4,ROUNDDOWN(INT(F975)+ROUNDDOWN((F975-INT(F975))*100,0)/60,2),従業員の給与情報!F975))</f>
        <v/>
      </c>
      <c r="O975" s="8"/>
      <c r="P975" s="8"/>
    </row>
    <row r="976" spans="1:16">
      <c r="A976" s="119"/>
      <c r="B976" s="2"/>
      <c r="C976" s="3"/>
      <c r="D976" s="3"/>
      <c r="E976" s="3"/>
      <c r="F976" s="9"/>
      <c r="G976" s="248" t="str">
        <f t="shared" si="75"/>
        <v/>
      </c>
      <c r="H976" s="1" t="b">
        <f>IF(B976="",FALSE,COUNTIF('従業員情報(給与以外)'!$A$4:$A$1000000,$B976)=0)</f>
        <v>0</v>
      </c>
      <c r="I976" s="9" t="b">
        <f t="shared" si="76"/>
        <v>1</v>
      </c>
      <c r="J976" s="9" t="b">
        <f t="shared" si="77"/>
        <v>1</v>
      </c>
      <c r="K976" s="9" t="b">
        <f t="shared" si="78"/>
        <v>1</v>
      </c>
      <c r="L976" s="9" t="b">
        <f t="shared" si="79"/>
        <v>1</v>
      </c>
      <c r="M976" s="1" t="b">
        <f>IF(OR(入力シート!$C$5&lt;&gt;入力リスト!$N$4,入力シート!$J$22&lt;&gt;入力リスト!$K$4),TRUE,IF($F$2=入力リスト!$Q$4,IF(F976-INT(F976)&lt;0.6,TRUE,FALSE),TRUE))</f>
        <v>1</v>
      </c>
      <c r="N976" s="9" t="str">
        <f>IF(F976="","",IF($F$2=入力リスト!$Q$4,ROUNDDOWN(INT(F976)+ROUNDDOWN((F976-INT(F976))*100,0)/60,2),従業員の給与情報!F976))</f>
        <v/>
      </c>
      <c r="O976" s="8"/>
      <c r="P976" s="8"/>
    </row>
    <row r="977" spans="1:16">
      <c r="A977" s="119"/>
      <c r="B977" s="2"/>
      <c r="C977" s="3"/>
      <c r="D977" s="3"/>
      <c r="E977" s="3"/>
      <c r="F977" s="9"/>
      <c r="G977" s="248" t="str">
        <f t="shared" si="75"/>
        <v/>
      </c>
      <c r="H977" s="1" t="b">
        <f>IF(B977="",FALSE,COUNTIF('従業員情報(給与以外)'!$A$4:$A$1000000,$B977)=0)</f>
        <v>0</v>
      </c>
      <c r="I977" s="9" t="b">
        <f t="shared" si="76"/>
        <v>1</v>
      </c>
      <c r="J977" s="9" t="b">
        <f t="shared" si="77"/>
        <v>1</v>
      </c>
      <c r="K977" s="9" t="b">
        <f t="shared" si="78"/>
        <v>1</v>
      </c>
      <c r="L977" s="9" t="b">
        <f t="shared" si="79"/>
        <v>1</v>
      </c>
      <c r="M977" s="1" t="b">
        <f>IF(OR(入力シート!$C$5&lt;&gt;入力リスト!$N$4,入力シート!$J$22&lt;&gt;入力リスト!$K$4),TRUE,IF($F$2=入力リスト!$Q$4,IF(F977-INT(F977)&lt;0.6,TRUE,FALSE),TRUE))</f>
        <v>1</v>
      </c>
      <c r="N977" s="9" t="str">
        <f>IF(F977="","",IF($F$2=入力リスト!$Q$4,ROUNDDOWN(INT(F977)+ROUNDDOWN((F977-INT(F977))*100,0)/60,2),従業員の給与情報!F977))</f>
        <v/>
      </c>
      <c r="O977" s="8"/>
      <c r="P977" s="8"/>
    </row>
    <row r="978" spans="1:16">
      <c r="A978" s="119"/>
      <c r="B978" s="2"/>
      <c r="C978" s="3"/>
      <c r="D978" s="3"/>
      <c r="E978" s="3"/>
      <c r="F978" s="9"/>
      <c r="G978" s="248" t="str">
        <f t="shared" si="75"/>
        <v/>
      </c>
      <c r="H978" s="1" t="b">
        <f>IF(B978="",FALSE,COUNTIF('従業員情報(給与以外)'!$A$4:$A$1000000,$B978)=0)</f>
        <v>0</v>
      </c>
      <c r="I978" s="9" t="b">
        <f t="shared" si="76"/>
        <v>1</v>
      </c>
      <c r="J978" s="9" t="b">
        <f t="shared" si="77"/>
        <v>1</v>
      </c>
      <c r="K978" s="9" t="b">
        <f t="shared" si="78"/>
        <v>1</v>
      </c>
      <c r="L978" s="9" t="b">
        <f t="shared" si="79"/>
        <v>1</v>
      </c>
      <c r="M978" s="1" t="b">
        <f>IF(OR(入力シート!$C$5&lt;&gt;入力リスト!$N$4,入力シート!$J$22&lt;&gt;入力リスト!$K$4),TRUE,IF($F$2=入力リスト!$Q$4,IF(F978-INT(F978)&lt;0.6,TRUE,FALSE),TRUE))</f>
        <v>1</v>
      </c>
      <c r="N978" s="9" t="str">
        <f>IF(F978="","",IF($F$2=入力リスト!$Q$4,ROUNDDOWN(INT(F978)+ROUNDDOWN((F978-INT(F978))*100,0)/60,2),従業員の給与情報!F978))</f>
        <v/>
      </c>
      <c r="O978" s="8"/>
      <c r="P978" s="8"/>
    </row>
    <row r="979" spans="1:16">
      <c r="A979" s="119"/>
      <c r="B979" s="2"/>
      <c r="C979" s="3"/>
      <c r="D979" s="3"/>
      <c r="E979" s="3"/>
      <c r="F979" s="9"/>
      <c r="G979" s="248" t="str">
        <f t="shared" si="75"/>
        <v/>
      </c>
      <c r="H979" s="1" t="b">
        <f>IF(B979="",FALSE,COUNTIF('従業員情報(給与以外)'!$A$4:$A$1000000,$B979)=0)</f>
        <v>0</v>
      </c>
      <c r="I979" s="9" t="b">
        <f t="shared" si="76"/>
        <v>1</v>
      </c>
      <c r="J979" s="9" t="b">
        <f t="shared" si="77"/>
        <v>1</v>
      </c>
      <c r="K979" s="9" t="b">
        <f t="shared" si="78"/>
        <v>1</v>
      </c>
      <c r="L979" s="9" t="b">
        <f t="shared" si="79"/>
        <v>1</v>
      </c>
      <c r="M979" s="1" t="b">
        <f>IF(OR(入力シート!$C$5&lt;&gt;入力リスト!$N$4,入力シート!$J$22&lt;&gt;入力リスト!$K$4),TRUE,IF($F$2=入力リスト!$Q$4,IF(F979-INT(F979)&lt;0.6,TRUE,FALSE),TRUE))</f>
        <v>1</v>
      </c>
      <c r="N979" s="9" t="str">
        <f>IF(F979="","",IF($F$2=入力リスト!$Q$4,ROUNDDOWN(INT(F979)+ROUNDDOWN((F979-INT(F979))*100,0)/60,2),従業員の給与情報!F979))</f>
        <v/>
      </c>
      <c r="O979" s="8"/>
      <c r="P979" s="8"/>
    </row>
    <row r="980" spans="1:16">
      <c r="A980" s="119"/>
      <c r="B980" s="2"/>
      <c r="C980" s="3"/>
      <c r="D980" s="3"/>
      <c r="E980" s="3"/>
      <c r="F980" s="9"/>
      <c r="G980" s="248" t="str">
        <f t="shared" si="75"/>
        <v/>
      </c>
      <c r="H980" s="1" t="b">
        <f>IF(B980="",FALSE,COUNTIF('従業員情報(給与以外)'!$A$4:$A$1000000,$B980)=0)</f>
        <v>0</v>
      </c>
      <c r="I980" s="9" t="b">
        <f t="shared" si="76"/>
        <v>1</v>
      </c>
      <c r="J980" s="9" t="b">
        <f t="shared" si="77"/>
        <v>1</v>
      </c>
      <c r="K980" s="9" t="b">
        <f t="shared" si="78"/>
        <v>1</v>
      </c>
      <c r="L980" s="9" t="b">
        <f t="shared" si="79"/>
        <v>1</v>
      </c>
      <c r="M980" s="1" t="b">
        <f>IF(OR(入力シート!$C$5&lt;&gt;入力リスト!$N$4,入力シート!$J$22&lt;&gt;入力リスト!$K$4),TRUE,IF($F$2=入力リスト!$Q$4,IF(F980-INT(F980)&lt;0.6,TRUE,FALSE),TRUE))</f>
        <v>1</v>
      </c>
      <c r="N980" s="9" t="str">
        <f>IF(F980="","",IF($F$2=入力リスト!$Q$4,ROUNDDOWN(INT(F980)+ROUNDDOWN((F980-INT(F980))*100,0)/60,2),従業員の給与情報!F980))</f>
        <v/>
      </c>
      <c r="O980" s="8"/>
      <c r="P980" s="8"/>
    </row>
    <row r="981" spans="1:16">
      <c r="A981" s="119"/>
      <c r="B981" s="2"/>
      <c r="C981" s="3"/>
      <c r="D981" s="3"/>
      <c r="E981" s="3"/>
      <c r="F981" s="9"/>
      <c r="G981" s="248" t="str">
        <f t="shared" si="75"/>
        <v/>
      </c>
      <c r="H981" s="1" t="b">
        <f>IF(B981="",FALSE,COUNTIF('従業員情報(給与以外)'!$A$4:$A$1000000,$B981)=0)</f>
        <v>0</v>
      </c>
      <c r="I981" s="9" t="b">
        <f t="shared" si="76"/>
        <v>1</v>
      </c>
      <c r="J981" s="9" t="b">
        <f t="shared" si="77"/>
        <v>1</v>
      </c>
      <c r="K981" s="9" t="b">
        <f t="shared" si="78"/>
        <v>1</v>
      </c>
      <c r="L981" s="9" t="b">
        <f t="shared" si="79"/>
        <v>1</v>
      </c>
      <c r="M981" s="1" t="b">
        <f>IF(OR(入力シート!$C$5&lt;&gt;入力リスト!$N$4,入力シート!$J$22&lt;&gt;入力リスト!$K$4),TRUE,IF($F$2=入力リスト!$Q$4,IF(F981-INT(F981)&lt;0.6,TRUE,FALSE),TRUE))</f>
        <v>1</v>
      </c>
      <c r="N981" s="9" t="str">
        <f>IF(F981="","",IF($F$2=入力リスト!$Q$4,ROUNDDOWN(INT(F981)+ROUNDDOWN((F981-INT(F981))*100,0)/60,2),従業員の給与情報!F981))</f>
        <v/>
      </c>
      <c r="O981" s="8"/>
      <c r="P981" s="8"/>
    </row>
    <row r="982" spans="1:16">
      <c r="A982" s="119"/>
      <c r="B982" s="2"/>
      <c r="C982" s="3"/>
      <c r="D982" s="3"/>
      <c r="E982" s="3"/>
      <c r="F982" s="9"/>
      <c r="G982" s="248" t="str">
        <f t="shared" si="75"/>
        <v/>
      </c>
      <c r="H982" s="1" t="b">
        <f>IF(B982="",FALSE,COUNTIF('従業員情報(給与以外)'!$A$4:$A$1000000,$B982)=0)</f>
        <v>0</v>
      </c>
      <c r="I982" s="9" t="b">
        <f t="shared" si="76"/>
        <v>1</v>
      </c>
      <c r="J982" s="9" t="b">
        <f t="shared" si="77"/>
        <v>1</v>
      </c>
      <c r="K982" s="9" t="b">
        <f t="shared" si="78"/>
        <v>1</v>
      </c>
      <c r="L982" s="9" t="b">
        <f t="shared" si="79"/>
        <v>1</v>
      </c>
      <c r="M982" s="1" t="b">
        <f>IF(OR(入力シート!$C$5&lt;&gt;入力リスト!$N$4,入力シート!$J$22&lt;&gt;入力リスト!$K$4),TRUE,IF($F$2=入力リスト!$Q$4,IF(F982-INT(F982)&lt;0.6,TRUE,FALSE),TRUE))</f>
        <v>1</v>
      </c>
      <c r="N982" s="9" t="str">
        <f>IF(F982="","",IF($F$2=入力リスト!$Q$4,ROUNDDOWN(INT(F982)+ROUNDDOWN((F982-INT(F982))*100,0)/60,2),従業員の給与情報!F982))</f>
        <v/>
      </c>
      <c r="O982" s="8"/>
      <c r="P982" s="8"/>
    </row>
    <row r="983" spans="1:16">
      <c r="A983" s="119"/>
      <c r="B983" s="2"/>
      <c r="C983" s="3"/>
      <c r="D983" s="3"/>
      <c r="E983" s="3"/>
      <c r="F983" s="9"/>
      <c r="G983" s="248" t="str">
        <f t="shared" si="75"/>
        <v/>
      </c>
      <c r="H983" s="1" t="b">
        <f>IF(B983="",FALSE,COUNTIF('従業員情報(給与以外)'!$A$4:$A$1000000,$B983)=0)</f>
        <v>0</v>
      </c>
      <c r="I983" s="9" t="b">
        <f t="shared" si="76"/>
        <v>1</v>
      </c>
      <c r="J983" s="9" t="b">
        <f t="shared" si="77"/>
        <v>1</v>
      </c>
      <c r="K983" s="9" t="b">
        <f t="shared" si="78"/>
        <v>1</v>
      </c>
      <c r="L983" s="9" t="b">
        <f t="shared" si="79"/>
        <v>1</v>
      </c>
      <c r="M983" s="1" t="b">
        <f>IF(OR(入力シート!$C$5&lt;&gt;入力リスト!$N$4,入力シート!$J$22&lt;&gt;入力リスト!$K$4),TRUE,IF($F$2=入力リスト!$Q$4,IF(F983-INT(F983)&lt;0.6,TRUE,FALSE),TRUE))</f>
        <v>1</v>
      </c>
      <c r="N983" s="9" t="str">
        <f>IF(F983="","",IF($F$2=入力リスト!$Q$4,ROUNDDOWN(INT(F983)+ROUNDDOWN((F983-INT(F983))*100,0)/60,2),従業員の給与情報!F983))</f>
        <v/>
      </c>
      <c r="O983" s="8"/>
      <c r="P983" s="8"/>
    </row>
    <row r="984" spans="1:16">
      <c r="A984" s="119"/>
      <c r="B984" s="2"/>
      <c r="C984" s="3"/>
      <c r="D984" s="3"/>
      <c r="E984" s="3"/>
      <c r="F984" s="9"/>
      <c r="G984" s="248" t="str">
        <f t="shared" si="75"/>
        <v/>
      </c>
      <c r="H984" s="1" t="b">
        <f>IF(B984="",FALSE,COUNTIF('従業員情報(給与以外)'!$A$4:$A$1000000,$B984)=0)</f>
        <v>0</v>
      </c>
      <c r="I984" s="9" t="b">
        <f t="shared" si="76"/>
        <v>1</v>
      </c>
      <c r="J984" s="9" t="b">
        <f t="shared" si="77"/>
        <v>1</v>
      </c>
      <c r="K984" s="9" t="b">
        <f t="shared" si="78"/>
        <v>1</v>
      </c>
      <c r="L984" s="9" t="b">
        <f t="shared" si="79"/>
        <v>1</v>
      </c>
      <c r="M984" s="1" t="b">
        <f>IF(OR(入力シート!$C$5&lt;&gt;入力リスト!$N$4,入力シート!$J$22&lt;&gt;入力リスト!$K$4),TRUE,IF($F$2=入力リスト!$Q$4,IF(F984-INT(F984)&lt;0.6,TRUE,FALSE),TRUE))</f>
        <v>1</v>
      </c>
      <c r="N984" s="9" t="str">
        <f>IF(F984="","",IF($F$2=入力リスト!$Q$4,ROUNDDOWN(INT(F984)+ROUNDDOWN((F984-INT(F984))*100,0)/60,2),従業員の給与情報!F984))</f>
        <v/>
      </c>
      <c r="O984" s="8"/>
      <c r="P984" s="8"/>
    </row>
    <row r="985" spans="1:16">
      <c r="A985" s="119"/>
      <c r="B985" s="2"/>
      <c r="C985" s="3"/>
      <c r="D985" s="3"/>
      <c r="E985" s="3"/>
      <c r="F985" s="9"/>
      <c r="G985" s="248" t="str">
        <f t="shared" si="75"/>
        <v/>
      </c>
      <c r="H985" s="1" t="b">
        <f>IF(B985="",FALSE,COUNTIF('従業員情報(給与以外)'!$A$4:$A$1000000,$B985)=0)</f>
        <v>0</v>
      </c>
      <c r="I985" s="9" t="b">
        <f t="shared" si="76"/>
        <v>1</v>
      </c>
      <c r="J985" s="9" t="b">
        <f t="shared" si="77"/>
        <v>1</v>
      </c>
      <c r="K985" s="9" t="b">
        <f t="shared" si="78"/>
        <v>1</v>
      </c>
      <c r="L985" s="9" t="b">
        <f t="shared" si="79"/>
        <v>1</v>
      </c>
      <c r="M985" s="1" t="b">
        <f>IF(OR(入力シート!$C$5&lt;&gt;入力リスト!$N$4,入力シート!$J$22&lt;&gt;入力リスト!$K$4),TRUE,IF($F$2=入力リスト!$Q$4,IF(F985-INT(F985)&lt;0.6,TRUE,FALSE),TRUE))</f>
        <v>1</v>
      </c>
      <c r="N985" s="9" t="str">
        <f>IF(F985="","",IF($F$2=入力リスト!$Q$4,ROUNDDOWN(INT(F985)+ROUNDDOWN((F985-INT(F985))*100,0)/60,2),従業員の給与情報!F985))</f>
        <v/>
      </c>
      <c r="O985" s="8"/>
      <c r="P985" s="8"/>
    </row>
    <row r="986" spans="1:16">
      <c r="A986" s="119"/>
      <c r="B986" s="2"/>
      <c r="C986" s="3"/>
      <c r="D986" s="3"/>
      <c r="E986" s="3"/>
      <c r="F986" s="9"/>
      <c r="G986" s="248" t="str">
        <f t="shared" si="75"/>
        <v/>
      </c>
      <c r="H986" s="1" t="b">
        <f>IF(B986="",FALSE,COUNTIF('従業員情報(給与以外)'!$A$4:$A$1000000,$B986)=0)</f>
        <v>0</v>
      </c>
      <c r="I986" s="9" t="b">
        <f t="shared" si="76"/>
        <v>1</v>
      </c>
      <c r="J986" s="9" t="b">
        <f t="shared" si="77"/>
        <v>1</v>
      </c>
      <c r="K986" s="9" t="b">
        <f t="shared" si="78"/>
        <v>1</v>
      </c>
      <c r="L986" s="9" t="b">
        <f t="shared" si="79"/>
        <v>1</v>
      </c>
      <c r="M986" s="1" t="b">
        <f>IF(OR(入力シート!$C$5&lt;&gt;入力リスト!$N$4,入力シート!$J$22&lt;&gt;入力リスト!$K$4),TRUE,IF($F$2=入力リスト!$Q$4,IF(F986-INT(F986)&lt;0.6,TRUE,FALSE),TRUE))</f>
        <v>1</v>
      </c>
      <c r="N986" s="9" t="str">
        <f>IF(F986="","",IF($F$2=入力リスト!$Q$4,ROUNDDOWN(INT(F986)+ROUNDDOWN((F986-INT(F986))*100,0)/60,2),従業員の給与情報!F986))</f>
        <v/>
      </c>
      <c r="O986" s="8"/>
      <c r="P986" s="8"/>
    </row>
    <row r="987" spans="1:16">
      <c r="A987" s="119"/>
      <c r="B987" s="2"/>
      <c r="C987" s="3"/>
      <c r="D987" s="3"/>
      <c r="E987" s="3"/>
      <c r="F987" s="9"/>
      <c r="G987" s="248" t="str">
        <f t="shared" si="75"/>
        <v/>
      </c>
      <c r="H987" s="1" t="b">
        <f>IF(B987="",FALSE,COUNTIF('従業員情報(給与以外)'!$A$4:$A$1000000,$B987)=0)</f>
        <v>0</v>
      </c>
      <c r="I987" s="9" t="b">
        <f t="shared" si="76"/>
        <v>1</v>
      </c>
      <c r="J987" s="9" t="b">
        <f t="shared" si="77"/>
        <v>1</v>
      </c>
      <c r="K987" s="9" t="b">
        <f t="shared" si="78"/>
        <v>1</v>
      </c>
      <c r="L987" s="9" t="b">
        <f t="shared" si="79"/>
        <v>1</v>
      </c>
      <c r="M987" s="1" t="b">
        <f>IF(OR(入力シート!$C$5&lt;&gt;入力リスト!$N$4,入力シート!$J$22&lt;&gt;入力リスト!$K$4),TRUE,IF($F$2=入力リスト!$Q$4,IF(F987-INT(F987)&lt;0.6,TRUE,FALSE),TRUE))</f>
        <v>1</v>
      </c>
      <c r="N987" s="9" t="str">
        <f>IF(F987="","",IF($F$2=入力リスト!$Q$4,ROUNDDOWN(INT(F987)+ROUNDDOWN((F987-INT(F987))*100,0)/60,2),従業員の給与情報!F987))</f>
        <v/>
      </c>
      <c r="O987" s="8"/>
      <c r="P987" s="8"/>
    </row>
    <row r="988" spans="1:16">
      <c r="A988" s="119"/>
      <c r="B988" s="2"/>
      <c r="C988" s="3"/>
      <c r="D988" s="3"/>
      <c r="E988" s="3"/>
      <c r="F988" s="9"/>
      <c r="G988" s="248" t="str">
        <f t="shared" si="75"/>
        <v/>
      </c>
      <c r="H988" s="1" t="b">
        <f>IF(B988="",FALSE,COUNTIF('従業員情報(給与以外)'!$A$4:$A$1000000,$B988)=0)</f>
        <v>0</v>
      </c>
      <c r="I988" s="9" t="b">
        <f t="shared" si="76"/>
        <v>1</v>
      </c>
      <c r="J988" s="9" t="b">
        <f t="shared" si="77"/>
        <v>1</v>
      </c>
      <c r="K988" s="9" t="b">
        <f t="shared" si="78"/>
        <v>1</v>
      </c>
      <c r="L988" s="9" t="b">
        <f t="shared" si="79"/>
        <v>1</v>
      </c>
      <c r="M988" s="1" t="b">
        <f>IF(OR(入力シート!$C$5&lt;&gt;入力リスト!$N$4,入力シート!$J$22&lt;&gt;入力リスト!$K$4),TRUE,IF($F$2=入力リスト!$Q$4,IF(F988-INT(F988)&lt;0.6,TRUE,FALSE),TRUE))</f>
        <v>1</v>
      </c>
      <c r="N988" s="9" t="str">
        <f>IF(F988="","",IF($F$2=入力リスト!$Q$4,ROUNDDOWN(INT(F988)+ROUNDDOWN((F988-INT(F988))*100,0)/60,2),従業員の給与情報!F988))</f>
        <v/>
      </c>
      <c r="O988" s="8"/>
      <c r="P988" s="8"/>
    </row>
    <row r="989" spans="1:16">
      <c r="A989" s="119"/>
      <c r="B989" s="2"/>
      <c r="C989" s="3"/>
      <c r="D989" s="3"/>
      <c r="E989" s="3"/>
      <c r="F989" s="9"/>
      <c r="G989" s="248" t="str">
        <f t="shared" si="75"/>
        <v/>
      </c>
      <c r="H989" s="1" t="b">
        <f>IF(B989="",FALSE,COUNTIF('従業員情報(給与以外)'!$A$4:$A$1000000,$B989)=0)</f>
        <v>0</v>
      </c>
      <c r="I989" s="9" t="b">
        <f t="shared" si="76"/>
        <v>1</v>
      </c>
      <c r="J989" s="9" t="b">
        <f t="shared" si="77"/>
        <v>1</v>
      </c>
      <c r="K989" s="9" t="b">
        <f t="shared" si="78"/>
        <v>1</v>
      </c>
      <c r="L989" s="9" t="b">
        <f t="shared" si="79"/>
        <v>1</v>
      </c>
      <c r="M989" s="1" t="b">
        <f>IF(OR(入力シート!$C$5&lt;&gt;入力リスト!$N$4,入力シート!$J$22&lt;&gt;入力リスト!$K$4),TRUE,IF($F$2=入力リスト!$Q$4,IF(F989-INT(F989)&lt;0.6,TRUE,FALSE),TRUE))</f>
        <v>1</v>
      </c>
      <c r="N989" s="9" t="str">
        <f>IF(F989="","",IF($F$2=入力リスト!$Q$4,ROUNDDOWN(INT(F989)+ROUNDDOWN((F989-INT(F989))*100,0)/60,2),従業員の給与情報!F989))</f>
        <v/>
      </c>
      <c r="O989" s="8"/>
      <c r="P989" s="8"/>
    </row>
    <row r="990" spans="1:16">
      <c r="A990" s="119"/>
      <c r="B990" s="2"/>
      <c r="C990" s="3"/>
      <c r="D990" s="3"/>
      <c r="E990" s="3"/>
      <c r="F990" s="9"/>
      <c r="G990" s="248" t="str">
        <f t="shared" si="75"/>
        <v/>
      </c>
      <c r="H990" s="1" t="b">
        <f>IF(B990="",FALSE,COUNTIF('従業員情報(給与以外)'!$A$4:$A$1000000,$B990)=0)</f>
        <v>0</v>
      </c>
      <c r="I990" s="9" t="b">
        <f t="shared" si="76"/>
        <v>1</v>
      </c>
      <c r="J990" s="9" t="b">
        <f t="shared" si="77"/>
        <v>1</v>
      </c>
      <c r="K990" s="9" t="b">
        <f t="shared" si="78"/>
        <v>1</v>
      </c>
      <c r="L990" s="9" t="b">
        <f t="shared" si="79"/>
        <v>1</v>
      </c>
      <c r="M990" s="1" t="b">
        <f>IF(OR(入力シート!$C$5&lt;&gt;入力リスト!$N$4,入力シート!$J$22&lt;&gt;入力リスト!$K$4),TRUE,IF($F$2=入力リスト!$Q$4,IF(F990-INT(F990)&lt;0.6,TRUE,FALSE),TRUE))</f>
        <v>1</v>
      </c>
      <c r="N990" s="9" t="str">
        <f>IF(F990="","",IF($F$2=入力リスト!$Q$4,ROUNDDOWN(INT(F990)+ROUNDDOWN((F990-INT(F990))*100,0)/60,2),従業員の給与情報!F990))</f>
        <v/>
      </c>
      <c r="O990" s="8"/>
      <c r="P990" s="8"/>
    </row>
    <row r="991" spans="1:16">
      <c r="A991" s="119"/>
      <c r="B991" s="2"/>
      <c r="C991" s="3"/>
      <c r="D991" s="3"/>
      <c r="E991" s="3"/>
      <c r="F991" s="9"/>
      <c r="G991" s="248" t="str">
        <f t="shared" si="75"/>
        <v/>
      </c>
      <c r="H991" s="1" t="b">
        <f>IF(B991="",FALSE,COUNTIF('従業員情報(給与以外)'!$A$4:$A$1000000,$B991)=0)</f>
        <v>0</v>
      </c>
      <c r="I991" s="9" t="b">
        <f t="shared" si="76"/>
        <v>1</v>
      </c>
      <c r="J991" s="9" t="b">
        <f t="shared" si="77"/>
        <v>1</v>
      </c>
      <c r="K991" s="9" t="b">
        <f t="shared" si="78"/>
        <v>1</v>
      </c>
      <c r="L991" s="9" t="b">
        <f t="shared" si="79"/>
        <v>1</v>
      </c>
      <c r="M991" s="1" t="b">
        <f>IF(OR(入力シート!$C$5&lt;&gt;入力リスト!$N$4,入力シート!$J$22&lt;&gt;入力リスト!$K$4),TRUE,IF($F$2=入力リスト!$Q$4,IF(F991-INT(F991)&lt;0.6,TRUE,FALSE),TRUE))</f>
        <v>1</v>
      </c>
      <c r="N991" s="9" t="str">
        <f>IF(F991="","",IF($F$2=入力リスト!$Q$4,ROUNDDOWN(INT(F991)+ROUNDDOWN((F991-INT(F991))*100,0)/60,2),従業員の給与情報!F991))</f>
        <v/>
      </c>
      <c r="O991" s="8"/>
      <c r="P991" s="8"/>
    </row>
    <row r="992" spans="1:16">
      <c r="A992" s="119"/>
      <c r="B992" s="2"/>
      <c r="C992" s="3"/>
      <c r="D992" s="3"/>
      <c r="E992" s="3"/>
      <c r="F992" s="9"/>
      <c r="G992" s="248" t="str">
        <f t="shared" si="75"/>
        <v/>
      </c>
      <c r="H992" s="1" t="b">
        <f>IF(B992="",FALSE,COUNTIF('従業員情報(給与以外)'!$A$4:$A$1000000,$B992)=0)</f>
        <v>0</v>
      </c>
      <c r="I992" s="9" t="b">
        <f t="shared" si="76"/>
        <v>1</v>
      </c>
      <c r="J992" s="9" t="b">
        <f t="shared" si="77"/>
        <v>1</v>
      </c>
      <c r="K992" s="9" t="b">
        <f t="shared" si="78"/>
        <v>1</v>
      </c>
      <c r="L992" s="9" t="b">
        <f t="shared" si="79"/>
        <v>1</v>
      </c>
      <c r="M992" s="1" t="b">
        <f>IF(OR(入力シート!$C$5&lt;&gt;入力リスト!$N$4,入力シート!$J$22&lt;&gt;入力リスト!$K$4),TRUE,IF($F$2=入力リスト!$Q$4,IF(F992-INT(F992)&lt;0.6,TRUE,FALSE),TRUE))</f>
        <v>1</v>
      </c>
      <c r="N992" s="9" t="str">
        <f>IF(F992="","",IF($F$2=入力リスト!$Q$4,ROUNDDOWN(INT(F992)+ROUNDDOWN((F992-INT(F992))*100,0)/60,2),従業員の給与情報!F992))</f>
        <v/>
      </c>
      <c r="O992" s="8"/>
      <c r="P992" s="8"/>
    </row>
    <row r="993" spans="1:16">
      <c r="A993" s="119"/>
      <c r="B993" s="2"/>
      <c r="C993" s="3"/>
      <c r="D993" s="3"/>
      <c r="E993" s="3"/>
      <c r="F993" s="9"/>
      <c r="G993" s="248" t="str">
        <f t="shared" si="75"/>
        <v/>
      </c>
      <c r="H993" s="1" t="b">
        <f>IF(B993="",FALSE,COUNTIF('従業員情報(給与以外)'!$A$4:$A$1000000,$B993)=0)</f>
        <v>0</v>
      </c>
      <c r="I993" s="9" t="b">
        <f t="shared" si="76"/>
        <v>1</v>
      </c>
      <c r="J993" s="9" t="b">
        <f t="shared" si="77"/>
        <v>1</v>
      </c>
      <c r="K993" s="9" t="b">
        <f t="shared" si="78"/>
        <v>1</v>
      </c>
      <c r="L993" s="9" t="b">
        <f t="shared" si="79"/>
        <v>1</v>
      </c>
      <c r="M993" s="1" t="b">
        <f>IF(OR(入力シート!$C$5&lt;&gt;入力リスト!$N$4,入力シート!$J$22&lt;&gt;入力リスト!$K$4),TRUE,IF($F$2=入力リスト!$Q$4,IF(F993-INT(F993)&lt;0.6,TRUE,FALSE),TRUE))</f>
        <v>1</v>
      </c>
      <c r="N993" s="9" t="str">
        <f>IF(F993="","",IF($F$2=入力リスト!$Q$4,ROUNDDOWN(INT(F993)+ROUNDDOWN((F993-INT(F993))*100,0)/60,2),従業員の給与情報!F993))</f>
        <v/>
      </c>
      <c r="O993" s="8"/>
      <c r="P993" s="8"/>
    </row>
    <row r="994" spans="1:16">
      <c r="A994" s="119"/>
      <c r="B994" s="2"/>
      <c r="C994" s="3"/>
      <c r="D994" s="3"/>
      <c r="E994" s="3"/>
      <c r="F994" s="9"/>
      <c r="G994" s="248" t="str">
        <f t="shared" si="75"/>
        <v/>
      </c>
      <c r="H994" s="1" t="b">
        <f>IF(B994="",FALSE,COUNTIF('従業員情報(給与以外)'!$A$4:$A$1000000,$B994)=0)</f>
        <v>0</v>
      </c>
      <c r="I994" s="9" t="b">
        <f t="shared" si="76"/>
        <v>1</v>
      </c>
      <c r="J994" s="9" t="b">
        <f t="shared" si="77"/>
        <v>1</v>
      </c>
      <c r="K994" s="9" t="b">
        <f t="shared" si="78"/>
        <v>1</v>
      </c>
      <c r="L994" s="9" t="b">
        <f t="shared" si="79"/>
        <v>1</v>
      </c>
      <c r="M994" s="1" t="b">
        <f>IF(OR(入力シート!$C$5&lt;&gt;入力リスト!$N$4,入力シート!$J$22&lt;&gt;入力リスト!$K$4),TRUE,IF($F$2=入力リスト!$Q$4,IF(F994-INT(F994)&lt;0.6,TRUE,FALSE),TRUE))</f>
        <v>1</v>
      </c>
      <c r="N994" s="9" t="str">
        <f>IF(F994="","",IF($F$2=入力リスト!$Q$4,ROUNDDOWN(INT(F994)+ROUNDDOWN((F994-INT(F994))*100,0)/60,2),従業員の給与情報!F994))</f>
        <v/>
      </c>
      <c r="O994" s="8"/>
      <c r="P994" s="8"/>
    </row>
    <row r="995" spans="1:16">
      <c r="A995" s="119"/>
      <c r="B995" s="2"/>
      <c r="C995" s="3"/>
      <c r="D995" s="3"/>
      <c r="E995" s="3"/>
      <c r="F995" s="9"/>
      <c r="G995" s="248" t="str">
        <f t="shared" si="75"/>
        <v/>
      </c>
      <c r="H995" s="1" t="b">
        <f>IF(B995="",FALSE,COUNTIF('従業員情報(給与以外)'!$A$4:$A$1000000,$B995)=0)</f>
        <v>0</v>
      </c>
      <c r="I995" s="9" t="b">
        <f t="shared" si="76"/>
        <v>1</v>
      </c>
      <c r="J995" s="9" t="b">
        <f t="shared" si="77"/>
        <v>1</v>
      </c>
      <c r="K995" s="9" t="b">
        <f t="shared" si="78"/>
        <v>1</v>
      </c>
      <c r="L995" s="9" t="b">
        <f t="shared" si="79"/>
        <v>1</v>
      </c>
      <c r="M995" s="1" t="b">
        <f>IF(OR(入力シート!$C$5&lt;&gt;入力リスト!$N$4,入力シート!$J$22&lt;&gt;入力リスト!$K$4),TRUE,IF($F$2=入力リスト!$Q$4,IF(F995-INT(F995)&lt;0.6,TRUE,FALSE),TRUE))</f>
        <v>1</v>
      </c>
      <c r="N995" s="9" t="str">
        <f>IF(F995="","",IF($F$2=入力リスト!$Q$4,ROUNDDOWN(INT(F995)+ROUNDDOWN((F995-INT(F995))*100,0)/60,2),従業員の給与情報!F995))</f>
        <v/>
      </c>
      <c r="O995" s="8"/>
      <c r="P995" s="8"/>
    </row>
    <row r="996" spans="1:16">
      <c r="A996" s="119"/>
      <c r="B996" s="2"/>
      <c r="C996" s="3"/>
      <c r="D996" s="3"/>
      <c r="E996" s="3"/>
      <c r="F996" s="9"/>
      <c r="G996" s="248" t="str">
        <f t="shared" si="75"/>
        <v/>
      </c>
      <c r="H996" s="1" t="b">
        <f>IF(B996="",FALSE,COUNTIF('従業員情報(給与以外)'!$A$4:$A$1000000,$B996)=0)</f>
        <v>0</v>
      </c>
      <c r="I996" s="9" t="b">
        <f t="shared" si="76"/>
        <v>1</v>
      </c>
      <c r="J996" s="9" t="b">
        <f t="shared" si="77"/>
        <v>1</v>
      </c>
      <c r="K996" s="9" t="b">
        <f t="shared" si="78"/>
        <v>1</v>
      </c>
      <c r="L996" s="9" t="b">
        <f t="shared" si="79"/>
        <v>1</v>
      </c>
      <c r="M996" s="1" t="b">
        <f>IF(OR(入力シート!$C$5&lt;&gt;入力リスト!$N$4,入力シート!$J$22&lt;&gt;入力リスト!$K$4),TRUE,IF($F$2=入力リスト!$Q$4,IF(F996-INT(F996)&lt;0.6,TRUE,FALSE),TRUE))</f>
        <v>1</v>
      </c>
      <c r="N996" s="9" t="str">
        <f>IF(F996="","",IF($F$2=入力リスト!$Q$4,ROUNDDOWN(INT(F996)+ROUNDDOWN((F996-INT(F996))*100,0)/60,2),従業員の給与情報!F996))</f>
        <v/>
      </c>
      <c r="O996" s="8"/>
      <c r="P996" s="8"/>
    </row>
    <row r="997" spans="1:16">
      <c r="A997" s="119"/>
      <c r="B997" s="2"/>
      <c r="C997" s="3"/>
      <c r="D997" s="3"/>
      <c r="E997" s="3"/>
      <c r="F997" s="9"/>
      <c r="G997" s="248" t="str">
        <f t="shared" si="75"/>
        <v/>
      </c>
      <c r="H997" s="1" t="b">
        <f>IF(B997="",FALSE,COUNTIF('従業員情報(給与以外)'!$A$4:$A$1000000,$B997)=0)</f>
        <v>0</v>
      </c>
      <c r="I997" s="9" t="b">
        <f t="shared" si="76"/>
        <v>1</v>
      </c>
      <c r="J997" s="9" t="b">
        <f t="shared" si="77"/>
        <v>1</v>
      </c>
      <c r="K997" s="9" t="b">
        <f t="shared" si="78"/>
        <v>1</v>
      </c>
      <c r="L997" s="9" t="b">
        <f t="shared" si="79"/>
        <v>1</v>
      </c>
      <c r="M997" s="1" t="b">
        <f>IF(OR(入力シート!$C$5&lt;&gt;入力リスト!$N$4,入力シート!$J$22&lt;&gt;入力リスト!$K$4),TRUE,IF($F$2=入力リスト!$Q$4,IF(F997-INT(F997)&lt;0.6,TRUE,FALSE),TRUE))</f>
        <v>1</v>
      </c>
      <c r="N997" s="9" t="str">
        <f>IF(F997="","",IF($F$2=入力リスト!$Q$4,ROUNDDOWN(INT(F997)+ROUNDDOWN((F997-INT(F997))*100,0)/60,2),従業員の給与情報!F997))</f>
        <v/>
      </c>
      <c r="O997" s="8"/>
      <c r="P997" s="8"/>
    </row>
    <row r="998" spans="1:16">
      <c r="A998" s="119"/>
      <c r="B998" s="2"/>
      <c r="C998" s="3"/>
      <c r="D998" s="3"/>
      <c r="E998" s="3"/>
      <c r="F998" s="9"/>
      <c r="G998" s="248" t="str">
        <f t="shared" si="75"/>
        <v/>
      </c>
      <c r="H998" s="1" t="b">
        <f>IF(B998="",FALSE,COUNTIF('従業員情報(給与以外)'!$A$4:$A$1000000,$B998)=0)</f>
        <v>0</v>
      </c>
      <c r="I998" s="9" t="b">
        <f t="shared" si="76"/>
        <v>1</v>
      </c>
      <c r="J998" s="9" t="b">
        <f t="shared" si="77"/>
        <v>1</v>
      </c>
      <c r="K998" s="9" t="b">
        <f t="shared" si="78"/>
        <v>1</v>
      </c>
      <c r="L998" s="9" t="b">
        <f t="shared" si="79"/>
        <v>1</v>
      </c>
      <c r="M998" s="1" t="b">
        <f>IF(OR(入力シート!$C$5&lt;&gt;入力リスト!$N$4,入力シート!$J$22&lt;&gt;入力リスト!$K$4),TRUE,IF($F$2=入力リスト!$Q$4,IF(F998-INT(F998)&lt;0.6,TRUE,FALSE),TRUE))</f>
        <v>1</v>
      </c>
      <c r="N998" s="9" t="str">
        <f>IF(F998="","",IF($F$2=入力リスト!$Q$4,ROUNDDOWN(INT(F998)+ROUNDDOWN((F998-INT(F998))*100,0)/60,2),従業員の給与情報!F998))</f>
        <v/>
      </c>
      <c r="O998" s="8"/>
      <c r="P998" s="8"/>
    </row>
    <row r="999" spans="1:16">
      <c r="A999" s="119"/>
      <c r="B999" s="2"/>
      <c r="C999" s="3"/>
      <c r="D999" s="3"/>
      <c r="E999" s="3"/>
      <c r="F999" s="9"/>
      <c r="G999" s="248" t="str">
        <f t="shared" si="75"/>
        <v/>
      </c>
      <c r="H999" s="1" t="b">
        <f>IF(B999="",FALSE,COUNTIF('従業員情報(給与以外)'!$A$4:$A$1000000,$B999)=0)</f>
        <v>0</v>
      </c>
      <c r="I999" s="9" t="b">
        <f t="shared" si="76"/>
        <v>1</v>
      </c>
      <c r="J999" s="9" t="b">
        <f t="shared" si="77"/>
        <v>1</v>
      </c>
      <c r="K999" s="9" t="b">
        <f t="shared" si="78"/>
        <v>1</v>
      </c>
      <c r="L999" s="9" t="b">
        <f t="shared" si="79"/>
        <v>1</v>
      </c>
      <c r="M999" s="1" t="b">
        <f>IF(OR(入力シート!$C$5&lt;&gt;入力リスト!$N$4,入力シート!$J$22&lt;&gt;入力リスト!$K$4),TRUE,IF($F$2=入力リスト!$Q$4,IF(F999-INT(F999)&lt;0.6,TRUE,FALSE),TRUE))</f>
        <v>1</v>
      </c>
      <c r="N999" s="9" t="str">
        <f>IF(F999="","",IF($F$2=入力リスト!$Q$4,ROUNDDOWN(INT(F999)+ROUNDDOWN((F999-INT(F999))*100,0)/60,2),従業員の給与情報!F999))</f>
        <v/>
      </c>
      <c r="O999" s="8"/>
      <c r="P999" s="8"/>
    </row>
    <row r="1000" spans="1:16">
      <c r="A1000" s="119"/>
      <c r="B1000" s="2"/>
      <c r="C1000" s="3"/>
      <c r="D1000" s="3"/>
      <c r="E1000" s="3"/>
      <c r="F1000" s="9"/>
      <c r="G1000" s="248" t="str">
        <f t="shared" si="75"/>
        <v/>
      </c>
      <c r="H1000" s="1" t="b">
        <f>IF(B1000="",FALSE,COUNTIF('従業員情報(給与以外)'!$A$4:$A$1000000,$B1000)=0)</f>
        <v>0</v>
      </c>
      <c r="I1000" s="9" t="b">
        <f t="shared" si="76"/>
        <v>1</v>
      </c>
      <c r="J1000" s="9" t="b">
        <f t="shared" si="77"/>
        <v>1</v>
      </c>
      <c r="K1000" s="9" t="b">
        <f t="shared" si="78"/>
        <v>1</v>
      </c>
      <c r="L1000" s="9" t="b">
        <f t="shared" si="79"/>
        <v>1</v>
      </c>
      <c r="M1000" s="1" t="b">
        <f>IF(OR(入力シート!$C$5&lt;&gt;入力リスト!$N$4,入力シート!$J$22&lt;&gt;入力リスト!$K$4),TRUE,IF($F$2=入力リスト!$Q$4,IF(F1000-INT(F1000)&lt;0.6,TRUE,FALSE),TRUE))</f>
        <v>1</v>
      </c>
      <c r="N1000" s="9" t="str">
        <f>IF(F1000="","",IF($F$2=入力リスト!$Q$4,ROUNDDOWN(INT(F1000)+ROUNDDOWN((F1000-INT(F1000))*100,0)/60,2),従業員の給与情報!F1000))</f>
        <v/>
      </c>
      <c r="O1000" s="8"/>
      <c r="P1000" s="8"/>
    </row>
    <row r="1001" spans="1:16">
      <c r="A1001" s="119"/>
      <c r="B1001" s="2"/>
      <c r="C1001" s="3"/>
      <c r="D1001" s="3"/>
      <c r="E1001" s="3"/>
      <c r="F1001" s="9"/>
      <c r="G1001" s="248" t="str">
        <f t="shared" si="75"/>
        <v/>
      </c>
      <c r="H1001" s="1" t="b">
        <f>IF(B1001="",FALSE,COUNTIF('従業員情報(給与以外)'!$A$4:$A$1000000,$B1001)=0)</f>
        <v>0</v>
      </c>
      <c r="I1001" s="9" t="b">
        <f t="shared" si="76"/>
        <v>1</v>
      </c>
      <c r="J1001" s="9" t="b">
        <f t="shared" si="77"/>
        <v>1</v>
      </c>
      <c r="K1001" s="9" t="b">
        <f t="shared" si="78"/>
        <v>1</v>
      </c>
      <c r="L1001" s="9" t="b">
        <f t="shared" si="79"/>
        <v>1</v>
      </c>
      <c r="M1001" s="1" t="b">
        <f>IF(OR(入力シート!$C$5&lt;&gt;入力リスト!$N$4,入力シート!$J$22&lt;&gt;入力リスト!$K$4),TRUE,IF($F$2=入力リスト!$Q$4,IF(F1001-INT(F1001)&lt;0.6,TRUE,FALSE),TRUE))</f>
        <v>1</v>
      </c>
      <c r="N1001" s="9" t="str">
        <f>IF(F1001="","",IF($F$2=入力リスト!$Q$4,ROUNDDOWN(INT(F1001)+ROUNDDOWN((F1001-INT(F1001))*100,0)/60,2),従業員の給与情報!F1001))</f>
        <v/>
      </c>
      <c r="O1001" s="8"/>
      <c r="P1001" s="8"/>
    </row>
    <row r="1002" spans="1:16">
      <c r="A1002" s="119"/>
      <c r="B1002" s="2"/>
      <c r="C1002" s="3"/>
      <c r="D1002" s="3"/>
      <c r="E1002" s="3"/>
      <c r="F1002" s="9"/>
      <c r="G1002" s="248" t="str">
        <f t="shared" si="75"/>
        <v/>
      </c>
      <c r="H1002" s="1" t="b">
        <f>IF(B1002="",FALSE,COUNTIF('従業員情報(給与以外)'!$A$4:$A$1000000,$B1002)=0)</f>
        <v>0</v>
      </c>
      <c r="I1002" s="9" t="b">
        <f t="shared" si="76"/>
        <v>1</v>
      </c>
      <c r="J1002" s="9" t="b">
        <f t="shared" si="77"/>
        <v>1</v>
      </c>
      <c r="K1002" s="9" t="b">
        <f t="shared" si="78"/>
        <v>1</v>
      </c>
      <c r="L1002" s="9" t="b">
        <f t="shared" si="79"/>
        <v>1</v>
      </c>
      <c r="M1002" s="1" t="b">
        <f>IF(OR(入力シート!$C$5&lt;&gt;入力リスト!$N$4,入力シート!$J$22&lt;&gt;入力リスト!$K$4),TRUE,IF($F$2=入力リスト!$Q$4,IF(F1002-INT(F1002)&lt;0.6,TRUE,FALSE),TRUE))</f>
        <v>1</v>
      </c>
      <c r="N1002" s="9" t="str">
        <f>IF(F1002="","",IF($F$2=入力リスト!$Q$4,ROUNDDOWN(INT(F1002)+ROUNDDOWN((F1002-INT(F1002))*100,0)/60,2),従業員の給与情報!F1002))</f>
        <v/>
      </c>
      <c r="O1002" s="8"/>
      <c r="P1002" s="8"/>
    </row>
    <row r="1003" spans="1:16">
      <c r="A1003" s="119"/>
      <c r="B1003" s="2"/>
      <c r="C1003" s="3"/>
      <c r="D1003" s="3"/>
      <c r="E1003" s="3"/>
      <c r="F1003" s="9"/>
      <c r="G1003" s="248" t="str">
        <f t="shared" si="75"/>
        <v/>
      </c>
      <c r="H1003" s="1" t="b">
        <f>IF(B1003="",FALSE,COUNTIF('従業員情報(給与以外)'!$A$4:$A$1000000,$B1003)=0)</f>
        <v>0</v>
      </c>
      <c r="I1003" s="9" t="b">
        <f t="shared" si="76"/>
        <v>1</v>
      </c>
      <c r="J1003" s="9" t="b">
        <f t="shared" si="77"/>
        <v>1</v>
      </c>
      <c r="K1003" s="9" t="b">
        <f t="shared" si="78"/>
        <v>1</v>
      </c>
      <c r="L1003" s="9" t="b">
        <f t="shared" si="79"/>
        <v>1</v>
      </c>
      <c r="M1003" s="1" t="b">
        <f>IF(OR(入力シート!$C$5&lt;&gt;入力リスト!$N$4,入力シート!$J$22&lt;&gt;入力リスト!$K$4),TRUE,IF($F$2=入力リスト!$Q$4,IF(F1003-INT(F1003)&lt;0.6,TRUE,FALSE),TRUE))</f>
        <v>1</v>
      </c>
      <c r="N1003" s="9" t="str">
        <f>IF(F1003="","",IF($F$2=入力リスト!$Q$4,ROUNDDOWN(INT(F1003)+ROUNDDOWN((F1003-INT(F1003))*100,0)/60,2),従業員の給与情報!F1003))</f>
        <v/>
      </c>
      <c r="O1003" s="8"/>
      <c r="P1003" s="8"/>
    </row>
    <row r="1004" spans="1:16">
      <c r="A1004" s="119"/>
      <c r="B1004" s="2"/>
      <c r="C1004" s="3"/>
      <c r="D1004" s="3"/>
      <c r="E1004" s="3"/>
      <c r="F1004" s="9"/>
      <c r="G1004" s="248" t="str">
        <f t="shared" si="75"/>
        <v/>
      </c>
      <c r="H1004" s="1" t="b">
        <f>IF(B1004="",FALSE,COUNTIF('従業員情報(給与以外)'!$A$4:$A$1000000,$B1004)=0)</f>
        <v>0</v>
      </c>
      <c r="I1004" s="9" t="b">
        <f t="shared" si="76"/>
        <v>1</v>
      </c>
      <c r="J1004" s="9" t="b">
        <f t="shared" si="77"/>
        <v>1</v>
      </c>
      <c r="K1004" s="9" t="b">
        <f t="shared" si="78"/>
        <v>1</v>
      </c>
      <c r="L1004" s="9" t="b">
        <f t="shared" si="79"/>
        <v>1</v>
      </c>
      <c r="M1004" s="1" t="b">
        <f>IF(OR(入力シート!$C$5&lt;&gt;入力リスト!$N$4,入力シート!$J$22&lt;&gt;入力リスト!$K$4),TRUE,IF($F$2=入力リスト!$Q$4,IF(F1004-INT(F1004)&lt;0.6,TRUE,FALSE),TRUE))</f>
        <v>1</v>
      </c>
      <c r="N1004" s="9" t="str">
        <f>IF(F1004="","",IF($F$2=入力リスト!$Q$4,ROUNDDOWN(INT(F1004)+ROUNDDOWN((F1004-INT(F1004))*100,0)/60,2),従業員の給与情報!F1004))</f>
        <v/>
      </c>
      <c r="O1004" s="8"/>
      <c r="P1004" s="8"/>
    </row>
    <row r="1005" spans="1:16">
      <c r="A1005" s="119"/>
      <c r="B1005" s="2"/>
      <c r="C1005" s="3"/>
      <c r="D1005" s="3"/>
      <c r="E1005" s="3"/>
      <c r="F1005" s="9"/>
      <c r="G1005" s="248" t="str">
        <f t="shared" si="75"/>
        <v/>
      </c>
      <c r="H1005" s="1" t="b">
        <f>IF(B1005="",FALSE,COUNTIF('従業員情報(給与以外)'!$A$4:$A$1000000,$B1005)=0)</f>
        <v>0</v>
      </c>
      <c r="I1005" s="9" t="b">
        <f t="shared" si="76"/>
        <v>1</v>
      </c>
      <c r="J1005" s="9" t="b">
        <f t="shared" si="77"/>
        <v>1</v>
      </c>
      <c r="K1005" s="9" t="b">
        <f t="shared" si="78"/>
        <v>1</v>
      </c>
      <c r="L1005" s="9" t="b">
        <f t="shared" si="79"/>
        <v>1</v>
      </c>
      <c r="M1005" s="1" t="b">
        <f>IF(OR(入力シート!$C$5&lt;&gt;入力リスト!$N$4,入力シート!$J$22&lt;&gt;入力リスト!$K$4),TRUE,IF($F$2=入力リスト!$Q$4,IF(F1005-INT(F1005)&lt;0.6,TRUE,FALSE),TRUE))</f>
        <v>1</v>
      </c>
      <c r="N1005" s="9" t="str">
        <f>IF(F1005="","",IF($F$2=入力リスト!$Q$4,ROUNDDOWN(INT(F1005)+ROUNDDOWN((F1005-INT(F1005))*100,0)/60,2),従業員の給与情報!F1005))</f>
        <v/>
      </c>
      <c r="O1005" s="8"/>
      <c r="P1005" s="8"/>
    </row>
    <row r="1006" spans="1:16">
      <c r="A1006" s="119"/>
      <c r="B1006" s="2"/>
      <c r="C1006" s="3"/>
      <c r="D1006" s="3"/>
      <c r="E1006" s="3"/>
      <c r="F1006" s="9"/>
      <c r="G1006" s="248" t="str">
        <f t="shared" si="75"/>
        <v/>
      </c>
      <c r="H1006" s="1" t="b">
        <f>IF(B1006="",FALSE,COUNTIF('従業員情報(給与以外)'!$A$4:$A$1000000,$B1006)=0)</f>
        <v>0</v>
      </c>
      <c r="I1006" s="9" t="b">
        <f t="shared" si="76"/>
        <v>1</v>
      </c>
      <c r="J1006" s="9" t="b">
        <f t="shared" si="77"/>
        <v>1</v>
      </c>
      <c r="K1006" s="9" t="b">
        <f t="shared" si="78"/>
        <v>1</v>
      </c>
      <c r="L1006" s="9" t="b">
        <f t="shared" si="79"/>
        <v>1</v>
      </c>
      <c r="M1006" s="1" t="b">
        <f>IF(OR(入力シート!$C$5&lt;&gt;入力リスト!$N$4,入力シート!$J$22&lt;&gt;入力リスト!$K$4),TRUE,IF($F$2=入力リスト!$Q$4,IF(F1006-INT(F1006)&lt;0.6,TRUE,FALSE),TRUE))</f>
        <v>1</v>
      </c>
      <c r="N1006" s="9" t="str">
        <f>IF(F1006="","",IF($F$2=入力リスト!$Q$4,ROUNDDOWN(INT(F1006)+ROUNDDOWN((F1006-INT(F1006))*100,0)/60,2),従業員の給与情報!F1006))</f>
        <v/>
      </c>
      <c r="O1006" s="8"/>
      <c r="P1006" s="8"/>
    </row>
    <row r="1007" spans="1:16">
      <c r="A1007" s="119"/>
      <c r="B1007" s="2"/>
      <c r="C1007" s="3"/>
      <c r="D1007" s="3"/>
      <c r="E1007" s="3"/>
      <c r="F1007" s="9"/>
      <c r="G1007" s="248" t="str">
        <f t="shared" si="75"/>
        <v/>
      </c>
      <c r="H1007" s="1" t="b">
        <f>IF(B1007="",FALSE,COUNTIF('従業員情報(給与以外)'!$A$4:$A$1000000,$B1007)=0)</f>
        <v>0</v>
      </c>
      <c r="I1007" s="9" t="b">
        <f t="shared" si="76"/>
        <v>1</v>
      </c>
      <c r="J1007" s="9" t="b">
        <f t="shared" si="77"/>
        <v>1</v>
      </c>
      <c r="K1007" s="9" t="b">
        <f t="shared" si="78"/>
        <v>1</v>
      </c>
      <c r="L1007" s="9" t="b">
        <f t="shared" si="79"/>
        <v>1</v>
      </c>
      <c r="M1007" s="1" t="b">
        <f>IF(OR(入力シート!$C$5&lt;&gt;入力リスト!$N$4,入力シート!$J$22&lt;&gt;入力リスト!$K$4),TRUE,IF($F$2=入力リスト!$Q$4,IF(F1007-INT(F1007)&lt;0.6,TRUE,FALSE),TRUE))</f>
        <v>1</v>
      </c>
      <c r="N1007" s="9" t="str">
        <f>IF(F1007="","",IF($F$2=入力リスト!$Q$4,ROUNDDOWN(INT(F1007)+ROUNDDOWN((F1007-INT(F1007))*100,0)/60,2),従業員の給与情報!F1007))</f>
        <v/>
      </c>
      <c r="O1007" s="8"/>
      <c r="P1007" s="8"/>
    </row>
    <row r="1008" spans="1:16">
      <c r="A1008" s="119"/>
      <c r="B1008" s="2"/>
      <c r="C1008" s="3"/>
      <c r="D1008" s="3"/>
      <c r="E1008" s="3"/>
      <c r="F1008" s="9"/>
      <c r="G1008" s="248" t="str">
        <f t="shared" si="75"/>
        <v/>
      </c>
      <c r="H1008" s="1" t="b">
        <f>IF(B1008="",FALSE,COUNTIF('従業員情報(給与以外)'!$A$4:$A$1000000,$B1008)=0)</f>
        <v>0</v>
      </c>
      <c r="I1008" s="9" t="b">
        <f t="shared" si="76"/>
        <v>1</v>
      </c>
      <c r="J1008" s="9" t="b">
        <f t="shared" si="77"/>
        <v>1</v>
      </c>
      <c r="K1008" s="9" t="b">
        <f t="shared" si="78"/>
        <v>1</v>
      </c>
      <c r="L1008" s="9" t="b">
        <f t="shared" si="79"/>
        <v>1</v>
      </c>
      <c r="M1008" s="1" t="b">
        <f>IF(OR(入力シート!$C$5&lt;&gt;入力リスト!$N$4,入力シート!$J$22&lt;&gt;入力リスト!$K$4),TRUE,IF($F$2=入力リスト!$Q$4,IF(F1008-INT(F1008)&lt;0.6,TRUE,FALSE),TRUE))</f>
        <v>1</v>
      </c>
      <c r="N1008" s="9" t="str">
        <f>IF(F1008="","",IF($F$2=入力リスト!$Q$4,ROUNDDOWN(INT(F1008)+ROUNDDOWN((F1008-INT(F1008))*100,0)/60,2),従業員の給与情報!F1008))</f>
        <v/>
      </c>
      <c r="O1008" s="8"/>
      <c r="P1008" s="8"/>
    </row>
    <row r="1009" spans="1:16">
      <c r="A1009" s="119"/>
      <c r="B1009" s="2"/>
      <c r="C1009" s="3"/>
      <c r="D1009" s="3"/>
      <c r="E1009" s="3"/>
      <c r="F1009" s="9"/>
      <c r="G1009" s="248" t="str">
        <f t="shared" si="75"/>
        <v/>
      </c>
      <c r="H1009" s="1" t="b">
        <f>IF(B1009="",FALSE,COUNTIF('従業員情報(給与以外)'!$A$4:$A$1000000,$B1009)=0)</f>
        <v>0</v>
      </c>
      <c r="I1009" s="9" t="b">
        <f t="shared" si="76"/>
        <v>1</v>
      </c>
      <c r="J1009" s="9" t="b">
        <f t="shared" si="77"/>
        <v>1</v>
      </c>
      <c r="K1009" s="9" t="b">
        <f t="shared" si="78"/>
        <v>1</v>
      </c>
      <c r="L1009" s="9" t="b">
        <f t="shared" si="79"/>
        <v>1</v>
      </c>
      <c r="M1009" s="1" t="b">
        <f>IF(OR(入力シート!$C$5&lt;&gt;入力リスト!$N$4,入力シート!$J$22&lt;&gt;入力リスト!$K$4),TRUE,IF($F$2=入力リスト!$Q$4,IF(F1009-INT(F1009)&lt;0.6,TRUE,FALSE),TRUE))</f>
        <v>1</v>
      </c>
      <c r="N1009" s="9" t="str">
        <f>IF(F1009="","",IF($F$2=入力リスト!$Q$4,ROUNDDOWN(INT(F1009)+ROUNDDOWN((F1009-INT(F1009))*100,0)/60,2),従業員の給与情報!F1009))</f>
        <v/>
      </c>
      <c r="O1009" s="8"/>
      <c r="P1009" s="8"/>
    </row>
    <row r="1010" spans="1:16">
      <c r="A1010" s="119"/>
      <c r="B1010" s="2"/>
      <c r="C1010" s="3"/>
      <c r="D1010" s="3"/>
      <c r="E1010" s="3"/>
      <c r="F1010" s="9"/>
      <c r="G1010" s="248" t="str">
        <f t="shared" si="75"/>
        <v/>
      </c>
      <c r="H1010" s="1" t="b">
        <f>IF(B1010="",FALSE,COUNTIF('従業員情報(給与以外)'!$A$4:$A$1000000,$B1010)=0)</f>
        <v>0</v>
      </c>
      <c r="I1010" s="9" t="b">
        <f t="shared" si="76"/>
        <v>1</v>
      </c>
      <c r="J1010" s="9" t="b">
        <f t="shared" si="77"/>
        <v>1</v>
      </c>
      <c r="K1010" s="9" t="b">
        <f t="shared" si="78"/>
        <v>1</v>
      </c>
      <c r="L1010" s="9" t="b">
        <f t="shared" si="79"/>
        <v>1</v>
      </c>
      <c r="M1010" s="1" t="b">
        <f>IF(OR(入力シート!$C$5&lt;&gt;入力リスト!$N$4,入力シート!$J$22&lt;&gt;入力リスト!$K$4),TRUE,IF($F$2=入力リスト!$Q$4,IF(F1010-INT(F1010)&lt;0.6,TRUE,FALSE),TRUE))</f>
        <v>1</v>
      </c>
      <c r="N1010" s="9" t="str">
        <f>IF(F1010="","",IF($F$2=入力リスト!$Q$4,ROUNDDOWN(INT(F1010)+ROUNDDOWN((F1010-INT(F1010))*100,0)/60,2),従業員の給与情報!F1010))</f>
        <v/>
      </c>
      <c r="O1010" s="8"/>
      <c r="P1010" s="8"/>
    </row>
    <row r="1011" spans="1:16">
      <c r="A1011" s="119"/>
      <c r="B1011" s="2"/>
      <c r="C1011" s="3"/>
      <c r="D1011" s="3"/>
      <c r="E1011" s="3"/>
      <c r="F1011" s="9"/>
      <c r="G1011" s="248" t="str">
        <f t="shared" si="75"/>
        <v/>
      </c>
      <c r="H1011" s="1" t="b">
        <f>IF(B1011="",FALSE,COUNTIF('従業員情報(給与以外)'!$A$4:$A$1000000,$B1011)=0)</f>
        <v>0</v>
      </c>
      <c r="I1011" s="9" t="b">
        <f t="shared" si="76"/>
        <v>1</v>
      </c>
      <c r="J1011" s="9" t="b">
        <f t="shared" si="77"/>
        <v>1</v>
      </c>
      <c r="K1011" s="9" t="b">
        <f t="shared" si="78"/>
        <v>1</v>
      </c>
      <c r="L1011" s="9" t="b">
        <f t="shared" si="79"/>
        <v>1</v>
      </c>
      <c r="M1011" s="1" t="b">
        <f>IF(OR(入力シート!$C$5&lt;&gt;入力リスト!$N$4,入力シート!$J$22&lt;&gt;入力リスト!$K$4),TRUE,IF($F$2=入力リスト!$Q$4,IF(F1011-INT(F1011)&lt;0.6,TRUE,FALSE),TRUE))</f>
        <v>1</v>
      </c>
      <c r="N1011" s="9" t="str">
        <f>IF(F1011="","",IF($F$2=入力リスト!$Q$4,ROUNDDOWN(INT(F1011)+ROUNDDOWN((F1011-INT(F1011))*100,0)/60,2),従業員の給与情報!F1011))</f>
        <v/>
      </c>
      <c r="O1011" s="8"/>
      <c r="P1011" s="8"/>
    </row>
    <row r="1012" spans="1:16">
      <c r="A1012" s="119"/>
      <c r="B1012" s="2"/>
      <c r="C1012" s="3"/>
      <c r="D1012" s="3"/>
      <c r="E1012" s="3"/>
      <c r="F1012" s="9"/>
      <c r="G1012" s="248" t="str">
        <f t="shared" si="75"/>
        <v/>
      </c>
      <c r="H1012" s="1" t="b">
        <f>IF(B1012="",FALSE,COUNTIF('従業員情報(給与以外)'!$A$4:$A$1000000,$B1012)=0)</f>
        <v>0</v>
      </c>
      <c r="I1012" s="9" t="b">
        <f t="shared" si="76"/>
        <v>1</v>
      </c>
      <c r="J1012" s="9" t="b">
        <f t="shared" si="77"/>
        <v>1</v>
      </c>
      <c r="K1012" s="9" t="b">
        <f t="shared" si="78"/>
        <v>1</v>
      </c>
      <c r="L1012" s="9" t="b">
        <f t="shared" si="79"/>
        <v>1</v>
      </c>
      <c r="M1012" s="1" t="b">
        <f>IF(OR(入力シート!$C$5&lt;&gt;入力リスト!$N$4,入力シート!$J$22&lt;&gt;入力リスト!$K$4),TRUE,IF($F$2=入力リスト!$Q$4,IF(F1012-INT(F1012)&lt;0.6,TRUE,FALSE),TRUE))</f>
        <v>1</v>
      </c>
      <c r="N1012" s="9" t="str">
        <f>IF(F1012="","",IF($F$2=入力リスト!$Q$4,ROUNDDOWN(INT(F1012)+ROUNDDOWN((F1012-INT(F1012))*100,0)/60,2),従業員の給与情報!F1012))</f>
        <v/>
      </c>
      <c r="O1012" s="8"/>
      <c r="P1012" s="8"/>
    </row>
    <row r="1013" spans="1:16">
      <c r="A1013" s="119"/>
      <c r="B1013" s="2"/>
      <c r="C1013" s="3"/>
      <c r="D1013" s="3"/>
      <c r="E1013" s="3"/>
      <c r="F1013" s="9"/>
      <c r="G1013" s="248" t="str">
        <f t="shared" si="75"/>
        <v/>
      </c>
      <c r="H1013" s="1" t="b">
        <f>IF(B1013="",FALSE,COUNTIF('従業員情報(給与以外)'!$A$4:$A$1000000,$B1013)=0)</f>
        <v>0</v>
      </c>
      <c r="I1013" s="9" t="b">
        <f t="shared" si="76"/>
        <v>1</v>
      </c>
      <c r="J1013" s="9" t="b">
        <f t="shared" si="77"/>
        <v>1</v>
      </c>
      <c r="K1013" s="9" t="b">
        <f t="shared" si="78"/>
        <v>1</v>
      </c>
      <c r="L1013" s="9" t="b">
        <f t="shared" si="79"/>
        <v>1</v>
      </c>
      <c r="M1013" s="1" t="b">
        <f>IF(OR(入力シート!$C$5&lt;&gt;入力リスト!$N$4,入力シート!$J$22&lt;&gt;入力リスト!$K$4),TRUE,IF($F$2=入力リスト!$Q$4,IF(F1013-INT(F1013)&lt;0.6,TRUE,FALSE),TRUE))</f>
        <v>1</v>
      </c>
      <c r="N1013" s="9" t="str">
        <f>IF(F1013="","",IF($F$2=入力リスト!$Q$4,ROUNDDOWN(INT(F1013)+ROUNDDOWN((F1013-INT(F1013))*100,0)/60,2),従業員の給与情報!F1013))</f>
        <v/>
      </c>
      <c r="O1013" s="8"/>
      <c r="P1013" s="8"/>
    </row>
    <row r="1014" spans="1:16">
      <c r="A1014" s="119"/>
      <c r="B1014" s="2"/>
      <c r="C1014" s="3"/>
      <c r="D1014" s="3"/>
      <c r="E1014" s="3"/>
      <c r="F1014" s="9"/>
      <c r="G1014" s="248" t="str">
        <f t="shared" si="75"/>
        <v/>
      </c>
      <c r="H1014" s="1" t="b">
        <f>IF(B1014="",FALSE,COUNTIF('従業員情報(給与以外)'!$A$4:$A$1000000,$B1014)=0)</f>
        <v>0</v>
      </c>
      <c r="I1014" s="9" t="b">
        <f t="shared" si="76"/>
        <v>1</v>
      </c>
      <c r="J1014" s="9" t="b">
        <f t="shared" si="77"/>
        <v>1</v>
      </c>
      <c r="K1014" s="9" t="b">
        <f t="shared" si="78"/>
        <v>1</v>
      </c>
      <c r="L1014" s="9" t="b">
        <f t="shared" si="79"/>
        <v>1</v>
      </c>
      <c r="M1014" s="1" t="b">
        <f>IF(OR(入力シート!$C$5&lt;&gt;入力リスト!$N$4,入力シート!$J$22&lt;&gt;入力リスト!$K$4),TRUE,IF($F$2=入力リスト!$Q$4,IF(F1014-INT(F1014)&lt;0.6,TRUE,FALSE),TRUE))</f>
        <v>1</v>
      </c>
      <c r="N1014" s="9" t="str">
        <f>IF(F1014="","",IF($F$2=入力リスト!$Q$4,ROUNDDOWN(INT(F1014)+ROUNDDOWN((F1014-INT(F1014))*100,0)/60,2),従業員の給与情報!F1014))</f>
        <v/>
      </c>
      <c r="O1014" s="8"/>
      <c r="P1014" s="8"/>
    </row>
    <row r="1015" spans="1:16">
      <c r="A1015" s="119"/>
      <c r="B1015" s="2"/>
      <c r="C1015" s="3"/>
      <c r="D1015" s="3"/>
      <c r="E1015" s="3"/>
      <c r="F1015" s="9"/>
      <c r="G1015" s="248" t="str">
        <f t="shared" si="75"/>
        <v/>
      </c>
      <c r="H1015" s="1" t="b">
        <f>IF(B1015="",FALSE,COUNTIF('従業員情報(給与以外)'!$A$4:$A$1000000,$B1015)=0)</f>
        <v>0</v>
      </c>
      <c r="I1015" s="9" t="b">
        <f t="shared" si="76"/>
        <v>1</v>
      </c>
      <c r="J1015" s="9" t="b">
        <f t="shared" si="77"/>
        <v>1</v>
      </c>
      <c r="K1015" s="9" t="b">
        <f t="shared" si="78"/>
        <v>1</v>
      </c>
      <c r="L1015" s="9" t="b">
        <f t="shared" si="79"/>
        <v>1</v>
      </c>
      <c r="M1015" s="1" t="b">
        <f>IF(OR(入力シート!$C$5&lt;&gt;入力リスト!$N$4,入力シート!$J$22&lt;&gt;入力リスト!$K$4),TRUE,IF($F$2=入力リスト!$Q$4,IF(F1015-INT(F1015)&lt;0.6,TRUE,FALSE),TRUE))</f>
        <v>1</v>
      </c>
      <c r="N1015" s="9" t="str">
        <f>IF(F1015="","",IF($F$2=入力リスト!$Q$4,ROUNDDOWN(INT(F1015)+ROUNDDOWN((F1015-INT(F1015))*100,0)/60,2),従業員の給与情報!F1015))</f>
        <v/>
      </c>
      <c r="O1015" s="8"/>
      <c r="P1015" s="8"/>
    </row>
    <row r="1016" spans="1:16">
      <c r="A1016" s="119"/>
      <c r="B1016" s="2"/>
      <c r="C1016" s="3"/>
      <c r="D1016" s="3"/>
      <c r="E1016" s="3"/>
      <c r="F1016" s="9"/>
      <c r="G1016" s="248" t="str">
        <f t="shared" si="75"/>
        <v/>
      </c>
      <c r="H1016" s="1" t="b">
        <f>IF(B1016="",FALSE,COUNTIF('従業員情報(給与以外)'!$A$4:$A$1000000,$B1016)=0)</f>
        <v>0</v>
      </c>
      <c r="I1016" s="9" t="b">
        <f t="shared" si="76"/>
        <v>1</v>
      </c>
      <c r="J1016" s="9" t="b">
        <f t="shared" si="77"/>
        <v>1</v>
      </c>
      <c r="K1016" s="9" t="b">
        <f t="shared" si="78"/>
        <v>1</v>
      </c>
      <c r="L1016" s="9" t="b">
        <f t="shared" si="79"/>
        <v>1</v>
      </c>
      <c r="M1016" s="1" t="b">
        <f>IF(OR(入力シート!$C$5&lt;&gt;入力リスト!$N$4,入力シート!$J$22&lt;&gt;入力リスト!$K$4),TRUE,IF($F$2=入力リスト!$Q$4,IF(F1016-INT(F1016)&lt;0.6,TRUE,FALSE),TRUE))</f>
        <v>1</v>
      </c>
      <c r="N1016" s="9" t="str">
        <f>IF(F1016="","",IF($F$2=入力リスト!$Q$4,ROUNDDOWN(INT(F1016)+ROUNDDOWN((F1016-INT(F1016))*100,0)/60,2),従業員の給与情報!F1016))</f>
        <v/>
      </c>
      <c r="O1016" s="8"/>
      <c r="P1016" s="8"/>
    </row>
    <row r="1017" spans="1:16">
      <c r="A1017" s="119"/>
      <c r="B1017" s="2"/>
      <c r="C1017" s="3"/>
      <c r="D1017" s="3"/>
      <c r="E1017" s="3"/>
      <c r="F1017" s="9"/>
      <c r="G1017" s="248" t="str">
        <f t="shared" si="75"/>
        <v/>
      </c>
      <c r="H1017" s="1" t="b">
        <f>IF(B1017="",FALSE,COUNTIF('従業員情報(給与以外)'!$A$4:$A$1000000,$B1017)=0)</f>
        <v>0</v>
      </c>
      <c r="I1017" s="9" t="b">
        <f t="shared" si="76"/>
        <v>1</v>
      </c>
      <c r="J1017" s="9" t="b">
        <f t="shared" si="77"/>
        <v>1</v>
      </c>
      <c r="K1017" s="9" t="b">
        <f t="shared" si="78"/>
        <v>1</v>
      </c>
      <c r="L1017" s="9" t="b">
        <f t="shared" si="79"/>
        <v>1</v>
      </c>
      <c r="M1017" s="1" t="b">
        <f>IF(OR(入力シート!$C$5&lt;&gt;入力リスト!$N$4,入力シート!$J$22&lt;&gt;入力リスト!$K$4),TRUE,IF($F$2=入力リスト!$Q$4,IF(F1017-INT(F1017)&lt;0.6,TRUE,FALSE),TRUE))</f>
        <v>1</v>
      </c>
      <c r="N1017" s="9" t="str">
        <f>IF(F1017="","",IF($F$2=入力リスト!$Q$4,ROUNDDOWN(INT(F1017)+ROUNDDOWN((F1017-INT(F1017))*100,0)/60,2),従業員の給与情報!F1017))</f>
        <v/>
      </c>
      <c r="O1017" s="8"/>
      <c r="P1017" s="8"/>
    </row>
    <row r="1018" spans="1:16">
      <c r="A1018" s="119"/>
      <c r="B1018" s="2"/>
      <c r="C1018" s="3"/>
      <c r="D1018" s="3"/>
      <c r="E1018" s="3"/>
      <c r="F1018" s="9"/>
      <c r="G1018" s="248" t="str">
        <f t="shared" si="75"/>
        <v/>
      </c>
      <c r="H1018" s="1" t="b">
        <f>IF(B1018="",FALSE,COUNTIF('従業員情報(給与以外)'!$A$4:$A$1000000,$B1018)=0)</f>
        <v>0</v>
      </c>
      <c r="I1018" s="9" t="b">
        <f t="shared" si="76"/>
        <v>1</v>
      </c>
      <c r="J1018" s="9" t="b">
        <f t="shared" si="77"/>
        <v>1</v>
      </c>
      <c r="K1018" s="9" t="b">
        <f t="shared" si="78"/>
        <v>1</v>
      </c>
      <c r="L1018" s="9" t="b">
        <f t="shared" si="79"/>
        <v>1</v>
      </c>
      <c r="M1018" s="1" t="b">
        <f>IF(OR(入力シート!$C$5&lt;&gt;入力リスト!$N$4,入力シート!$J$22&lt;&gt;入力リスト!$K$4),TRUE,IF($F$2=入力リスト!$Q$4,IF(F1018-INT(F1018)&lt;0.6,TRUE,FALSE),TRUE))</f>
        <v>1</v>
      </c>
      <c r="N1018" s="9" t="str">
        <f>IF(F1018="","",IF($F$2=入力リスト!$Q$4,ROUNDDOWN(INT(F1018)+ROUNDDOWN((F1018-INT(F1018))*100,0)/60,2),従業員の給与情報!F1018))</f>
        <v/>
      </c>
      <c r="O1018" s="8"/>
      <c r="P1018" s="8"/>
    </row>
    <row r="1019" spans="1:16">
      <c r="A1019" s="119"/>
      <c r="B1019" s="2"/>
      <c r="C1019" s="3"/>
      <c r="D1019" s="3"/>
      <c r="E1019" s="3"/>
      <c r="F1019" s="9"/>
      <c r="G1019" s="248" t="str">
        <f t="shared" si="75"/>
        <v/>
      </c>
      <c r="H1019" s="1" t="b">
        <f>IF(B1019="",FALSE,COUNTIF('従業員情報(給与以外)'!$A$4:$A$1000000,$B1019)=0)</f>
        <v>0</v>
      </c>
      <c r="I1019" s="9" t="b">
        <f t="shared" si="76"/>
        <v>1</v>
      </c>
      <c r="J1019" s="9" t="b">
        <f t="shared" si="77"/>
        <v>1</v>
      </c>
      <c r="K1019" s="9" t="b">
        <f t="shared" si="78"/>
        <v>1</v>
      </c>
      <c r="L1019" s="9" t="b">
        <f t="shared" si="79"/>
        <v>1</v>
      </c>
      <c r="M1019" s="1" t="b">
        <f>IF(OR(入力シート!$C$5&lt;&gt;入力リスト!$N$4,入力シート!$J$22&lt;&gt;入力リスト!$K$4),TRUE,IF($F$2=入力リスト!$Q$4,IF(F1019-INT(F1019)&lt;0.6,TRUE,FALSE),TRUE))</f>
        <v>1</v>
      </c>
      <c r="N1019" s="9" t="str">
        <f>IF(F1019="","",IF($F$2=入力リスト!$Q$4,ROUNDDOWN(INT(F1019)+ROUNDDOWN((F1019-INT(F1019))*100,0)/60,2),従業員の給与情報!F1019))</f>
        <v/>
      </c>
      <c r="O1019" s="8"/>
      <c r="P1019" s="8"/>
    </row>
    <row r="1020" spans="1:16">
      <c r="A1020" s="119"/>
      <c r="B1020" s="2"/>
      <c r="C1020" s="3"/>
      <c r="D1020" s="3"/>
      <c r="E1020" s="3"/>
      <c r="F1020" s="9"/>
      <c r="G1020" s="248" t="str">
        <f t="shared" si="75"/>
        <v/>
      </c>
      <c r="H1020" s="1" t="b">
        <f>IF(B1020="",FALSE,COUNTIF('従業員情報(給与以外)'!$A$4:$A$1000000,$B1020)=0)</f>
        <v>0</v>
      </c>
      <c r="I1020" s="9" t="b">
        <f t="shared" si="76"/>
        <v>1</v>
      </c>
      <c r="J1020" s="9" t="b">
        <f t="shared" si="77"/>
        <v>1</v>
      </c>
      <c r="K1020" s="9" t="b">
        <f t="shared" si="78"/>
        <v>1</v>
      </c>
      <c r="L1020" s="9" t="b">
        <f t="shared" si="79"/>
        <v>1</v>
      </c>
      <c r="M1020" s="1" t="b">
        <f>IF(OR(入力シート!$C$5&lt;&gt;入力リスト!$N$4,入力シート!$J$22&lt;&gt;入力リスト!$K$4),TRUE,IF($F$2=入力リスト!$Q$4,IF(F1020-INT(F1020)&lt;0.6,TRUE,FALSE),TRUE))</f>
        <v>1</v>
      </c>
      <c r="N1020" s="9" t="str">
        <f>IF(F1020="","",IF($F$2=入力リスト!$Q$4,ROUNDDOWN(INT(F1020)+ROUNDDOWN((F1020-INT(F1020))*100,0)/60,2),従業員の給与情報!F1020))</f>
        <v/>
      </c>
      <c r="O1020" s="8"/>
      <c r="P1020" s="8"/>
    </row>
    <row r="1021" spans="1:16">
      <c r="A1021" s="119"/>
      <c r="B1021" s="2"/>
      <c r="C1021" s="3"/>
      <c r="D1021" s="3"/>
      <c r="E1021" s="3"/>
      <c r="F1021" s="9"/>
      <c r="G1021" s="248" t="str">
        <f t="shared" si="75"/>
        <v/>
      </c>
      <c r="H1021" s="1" t="b">
        <f>IF(B1021="",FALSE,COUNTIF('従業員情報(給与以外)'!$A$4:$A$1000000,$B1021)=0)</f>
        <v>0</v>
      </c>
      <c r="I1021" s="9" t="b">
        <f t="shared" si="76"/>
        <v>1</v>
      </c>
      <c r="J1021" s="9" t="b">
        <f t="shared" si="77"/>
        <v>1</v>
      </c>
      <c r="K1021" s="9" t="b">
        <f t="shared" si="78"/>
        <v>1</v>
      </c>
      <c r="L1021" s="9" t="b">
        <f t="shared" si="79"/>
        <v>1</v>
      </c>
      <c r="M1021" s="1" t="b">
        <f>IF(OR(入力シート!$C$5&lt;&gt;入力リスト!$N$4,入力シート!$J$22&lt;&gt;入力リスト!$K$4),TRUE,IF($F$2=入力リスト!$Q$4,IF(F1021-INT(F1021)&lt;0.6,TRUE,FALSE),TRUE))</f>
        <v>1</v>
      </c>
      <c r="N1021" s="9" t="str">
        <f>IF(F1021="","",IF($F$2=入力リスト!$Q$4,ROUNDDOWN(INT(F1021)+ROUNDDOWN((F1021-INT(F1021))*100,0)/60,2),従業員の給与情報!F1021))</f>
        <v/>
      </c>
      <c r="O1021" s="8"/>
      <c r="P1021" s="8"/>
    </row>
    <row r="1022" spans="1:16">
      <c r="A1022" s="119"/>
      <c r="B1022" s="2"/>
      <c r="C1022" s="3"/>
      <c r="D1022" s="3"/>
      <c r="E1022" s="3"/>
      <c r="F1022" s="9"/>
      <c r="G1022" s="248" t="str">
        <f t="shared" si="75"/>
        <v/>
      </c>
      <c r="H1022" s="1" t="b">
        <f>IF(B1022="",FALSE,COUNTIF('従業員情報(給与以外)'!$A$4:$A$1000000,$B1022)=0)</f>
        <v>0</v>
      </c>
      <c r="I1022" s="9" t="b">
        <f t="shared" si="76"/>
        <v>1</v>
      </c>
      <c r="J1022" s="9" t="b">
        <f t="shared" si="77"/>
        <v>1</v>
      </c>
      <c r="K1022" s="9" t="b">
        <f t="shared" si="78"/>
        <v>1</v>
      </c>
      <c r="L1022" s="9" t="b">
        <f t="shared" si="79"/>
        <v>1</v>
      </c>
      <c r="M1022" s="1" t="b">
        <f>IF(OR(入力シート!$C$5&lt;&gt;入力リスト!$N$4,入力シート!$J$22&lt;&gt;入力リスト!$K$4),TRUE,IF($F$2=入力リスト!$Q$4,IF(F1022-INT(F1022)&lt;0.6,TRUE,FALSE),TRUE))</f>
        <v>1</v>
      </c>
      <c r="N1022" s="9" t="str">
        <f>IF(F1022="","",IF($F$2=入力リスト!$Q$4,ROUNDDOWN(INT(F1022)+ROUNDDOWN((F1022-INT(F1022))*100,0)/60,2),従業員の給与情報!F1022))</f>
        <v/>
      </c>
      <c r="O1022" s="8"/>
      <c r="P1022" s="8"/>
    </row>
    <row r="1023" spans="1:16">
      <c r="A1023" s="119"/>
      <c r="B1023" s="2"/>
      <c r="C1023" s="3"/>
      <c r="D1023" s="3"/>
      <c r="E1023" s="3"/>
      <c r="F1023" s="9"/>
      <c r="G1023" s="248" t="str">
        <f t="shared" si="75"/>
        <v/>
      </c>
      <c r="H1023" s="1" t="b">
        <f>IF(B1023="",FALSE,COUNTIF('従業員情報(給与以外)'!$A$4:$A$1000000,$B1023)=0)</f>
        <v>0</v>
      </c>
      <c r="I1023" s="9" t="b">
        <f t="shared" si="76"/>
        <v>1</v>
      </c>
      <c r="J1023" s="9" t="b">
        <f t="shared" si="77"/>
        <v>1</v>
      </c>
      <c r="K1023" s="9" t="b">
        <f t="shared" si="78"/>
        <v>1</v>
      </c>
      <c r="L1023" s="9" t="b">
        <f t="shared" si="79"/>
        <v>1</v>
      </c>
      <c r="M1023" s="1" t="b">
        <f>IF(OR(入力シート!$C$5&lt;&gt;入力リスト!$N$4,入力シート!$J$22&lt;&gt;入力リスト!$K$4),TRUE,IF($F$2=入力リスト!$Q$4,IF(F1023-INT(F1023)&lt;0.6,TRUE,FALSE),TRUE))</f>
        <v>1</v>
      </c>
      <c r="N1023" s="9" t="str">
        <f>IF(F1023="","",IF($F$2=入力リスト!$Q$4,ROUNDDOWN(INT(F1023)+ROUNDDOWN((F1023-INT(F1023))*100,0)/60,2),従業員の給与情報!F1023))</f>
        <v/>
      </c>
      <c r="O1023" s="8"/>
      <c r="P1023" s="8"/>
    </row>
    <row r="1024" spans="1:16">
      <c r="A1024" s="119"/>
      <c r="B1024" s="2"/>
      <c r="C1024" s="3"/>
      <c r="D1024" s="3"/>
      <c r="E1024" s="3"/>
      <c r="F1024" s="9"/>
      <c r="G1024" s="248" t="str">
        <f t="shared" si="75"/>
        <v/>
      </c>
      <c r="H1024" s="1" t="b">
        <f>IF(B1024="",FALSE,COUNTIF('従業員情報(給与以外)'!$A$4:$A$1000000,$B1024)=0)</f>
        <v>0</v>
      </c>
      <c r="I1024" s="9" t="b">
        <f t="shared" si="76"/>
        <v>1</v>
      </c>
      <c r="J1024" s="9" t="b">
        <f t="shared" si="77"/>
        <v>1</v>
      </c>
      <c r="K1024" s="9" t="b">
        <f t="shared" si="78"/>
        <v>1</v>
      </c>
      <c r="L1024" s="9" t="b">
        <f t="shared" si="79"/>
        <v>1</v>
      </c>
      <c r="M1024" s="1" t="b">
        <f>IF(OR(入力シート!$C$5&lt;&gt;入力リスト!$N$4,入力シート!$J$22&lt;&gt;入力リスト!$K$4),TRUE,IF($F$2=入力リスト!$Q$4,IF(F1024-INT(F1024)&lt;0.6,TRUE,FALSE),TRUE))</f>
        <v>1</v>
      </c>
      <c r="N1024" s="9" t="str">
        <f>IF(F1024="","",IF($F$2=入力リスト!$Q$4,ROUNDDOWN(INT(F1024)+ROUNDDOWN((F1024-INT(F1024))*100,0)/60,2),従業員の給与情報!F1024))</f>
        <v/>
      </c>
      <c r="O1024" s="8"/>
      <c r="P1024" s="8"/>
    </row>
    <row r="1025" spans="1:16">
      <c r="A1025" s="119"/>
      <c r="B1025" s="2"/>
      <c r="C1025" s="3"/>
      <c r="D1025" s="3"/>
      <c r="E1025" s="3"/>
      <c r="F1025" s="9"/>
      <c r="G1025" s="248" t="str">
        <f t="shared" si="75"/>
        <v/>
      </c>
      <c r="H1025" s="1" t="b">
        <f>IF(B1025="",FALSE,COUNTIF('従業員情報(給与以外)'!$A$4:$A$1000000,$B1025)=0)</f>
        <v>0</v>
      </c>
      <c r="I1025" s="9" t="b">
        <f t="shared" si="76"/>
        <v>1</v>
      </c>
      <c r="J1025" s="9" t="b">
        <f t="shared" si="77"/>
        <v>1</v>
      </c>
      <c r="K1025" s="9" t="b">
        <f t="shared" si="78"/>
        <v>1</v>
      </c>
      <c r="L1025" s="9" t="b">
        <f t="shared" si="79"/>
        <v>1</v>
      </c>
      <c r="M1025" s="1" t="b">
        <f>IF(OR(入力シート!$C$5&lt;&gt;入力リスト!$N$4,入力シート!$J$22&lt;&gt;入力リスト!$K$4),TRUE,IF($F$2=入力リスト!$Q$4,IF(F1025-INT(F1025)&lt;0.6,TRUE,FALSE),TRUE))</f>
        <v>1</v>
      </c>
      <c r="N1025" s="9" t="str">
        <f>IF(F1025="","",IF($F$2=入力リスト!$Q$4,ROUNDDOWN(INT(F1025)+ROUNDDOWN((F1025-INT(F1025))*100,0)/60,2),従業員の給与情報!F1025))</f>
        <v/>
      </c>
      <c r="O1025" s="8"/>
      <c r="P1025" s="8"/>
    </row>
    <row r="1026" spans="1:16">
      <c r="A1026" s="119"/>
      <c r="B1026" s="2"/>
      <c r="C1026" s="3"/>
      <c r="D1026" s="3"/>
      <c r="E1026" s="3"/>
      <c r="F1026" s="9"/>
      <c r="G1026" s="248" t="str">
        <f t="shared" si="75"/>
        <v/>
      </c>
      <c r="H1026" s="1" t="b">
        <f>IF(B1026="",FALSE,COUNTIF('従業員情報(給与以外)'!$A$4:$A$1000000,$B1026)=0)</f>
        <v>0</v>
      </c>
      <c r="I1026" s="9" t="b">
        <f t="shared" si="76"/>
        <v>1</v>
      </c>
      <c r="J1026" s="9" t="b">
        <f t="shared" si="77"/>
        <v>1</v>
      </c>
      <c r="K1026" s="9" t="b">
        <f t="shared" si="78"/>
        <v>1</v>
      </c>
      <c r="L1026" s="9" t="b">
        <f t="shared" si="79"/>
        <v>1</v>
      </c>
      <c r="M1026" s="1" t="b">
        <f>IF(OR(入力シート!$C$5&lt;&gt;入力リスト!$N$4,入力シート!$J$22&lt;&gt;入力リスト!$K$4),TRUE,IF($F$2=入力リスト!$Q$4,IF(F1026-INT(F1026)&lt;0.6,TRUE,FALSE),TRUE))</f>
        <v>1</v>
      </c>
      <c r="N1026" s="9" t="str">
        <f>IF(F1026="","",IF($F$2=入力リスト!$Q$4,ROUNDDOWN(INT(F1026)+ROUNDDOWN((F1026-INT(F1026))*100,0)/60,2),従業員の給与情報!F1026))</f>
        <v/>
      </c>
      <c r="O1026" s="8"/>
      <c r="P1026" s="8"/>
    </row>
    <row r="1027" spans="1:16">
      <c r="A1027" s="119"/>
      <c r="B1027" s="2"/>
      <c r="C1027" s="3"/>
      <c r="D1027" s="3"/>
      <c r="E1027" s="3"/>
      <c r="F1027" s="9"/>
      <c r="G1027" s="248" t="str">
        <f t="shared" si="75"/>
        <v/>
      </c>
      <c r="H1027" s="1" t="b">
        <f>IF(B1027="",FALSE,COUNTIF('従業員情報(給与以外)'!$A$4:$A$1000000,$B1027)=0)</f>
        <v>0</v>
      </c>
      <c r="I1027" s="9" t="b">
        <f t="shared" si="76"/>
        <v>1</v>
      </c>
      <c r="J1027" s="9" t="b">
        <f t="shared" si="77"/>
        <v>1</v>
      </c>
      <c r="K1027" s="9" t="b">
        <f t="shared" si="78"/>
        <v>1</v>
      </c>
      <c r="L1027" s="9" t="b">
        <f t="shared" si="79"/>
        <v>1</v>
      </c>
      <c r="M1027" s="1" t="b">
        <f>IF(OR(入力シート!$C$5&lt;&gt;入力リスト!$N$4,入力シート!$J$22&lt;&gt;入力リスト!$K$4),TRUE,IF($F$2=入力リスト!$Q$4,IF(F1027-INT(F1027)&lt;0.6,TRUE,FALSE),TRUE))</f>
        <v>1</v>
      </c>
      <c r="N1027" s="9" t="str">
        <f>IF(F1027="","",IF($F$2=入力リスト!$Q$4,ROUNDDOWN(INT(F1027)+ROUNDDOWN((F1027-INT(F1027))*100,0)/60,2),従業員の給与情報!F1027))</f>
        <v/>
      </c>
      <c r="O1027" s="8"/>
      <c r="P1027" s="8"/>
    </row>
    <row r="1028" spans="1:16">
      <c r="A1028" s="119"/>
      <c r="B1028" s="2"/>
      <c r="C1028" s="3"/>
      <c r="D1028" s="3"/>
      <c r="E1028" s="3"/>
      <c r="F1028" s="9"/>
      <c r="G1028" s="248" t="str">
        <f t="shared" si="75"/>
        <v/>
      </c>
      <c r="H1028" s="1" t="b">
        <f>IF(B1028="",FALSE,COUNTIF('従業員情報(給与以外)'!$A$4:$A$1000000,$B1028)=0)</f>
        <v>0</v>
      </c>
      <c r="I1028" s="9" t="b">
        <f t="shared" si="76"/>
        <v>1</v>
      </c>
      <c r="J1028" s="9" t="b">
        <f t="shared" si="77"/>
        <v>1</v>
      </c>
      <c r="K1028" s="9" t="b">
        <f t="shared" si="78"/>
        <v>1</v>
      </c>
      <c r="L1028" s="9" t="b">
        <f t="shared" si="79"/>
        <v>1</v>
      </c>
      <c r="M1028" s="1" t="b">
        <f>IF(OR(入力シート!$C$5&lt;&gt;入力リスト!$N$4,入力シート!$J$22&lt;&gt;入力リスト!$K$4),TRUE,IF($F$2=入力リスト!$Q$4,IF(F1028-INT(F1028)&lt;0.6,TRUE,FALSE),TRUE))</f>
        <v>1</v>
      </c>
      <c r="N1028" s="9" t="str">
        <f>IF(F1028="","",IF($F$2=入力リスト!$Q$4,ROUNDDOWN(INT(F1028)+ROUNDDOWN((F1028-INT(F1028))*100,0)/60,2),従業員の給与情報!F1028))</f>
        <v/>
      </c>
      <c r="O1028" s="8"/>
      <c r="P1028" s="8"/>
    </row>
    <row r="1029" spans="1:16">
      <c r="A1029" s="119"/>
      <c r="B1029" s="2"/>
      <c r="C1029" s="3"/>
      <c r="D1029" s="3"/>
      <c r="E1029" s="3"/>
      <c r="F1029" s="9"/>
      <c r="G1029" s="248" t="str">
        <f t="shared" ref="G1029:G1092" si="80">IF(AND($B1029="",OR(B1029&lt;&gt;"",C1029&lt;&gt;"",D1029&lt;&gt;"",E1029&lt;&gt;"",F1029&lt;&gt;"")),"従業員番号が空白です。",IF($H1029=TRUE,"この従業員番号は、シート［従業員情報（給与以外）］に存在しません。",IF(I1029=FALSE,"「毎月の固定給与額」","")&amp;IF(AND(I1029=FALSE,OR(J1029=FALSE,K1029=FALSE,L1029=FALSE)),",","")&amp;IF(J1029=FALSE,"「賞与額等」","")&amp;IF(AND(J1029=FALSE,OR(K1029=FALSE,L1029=FALSE)),",","")&amp;IF(K1029=FALSE,"「残業手当」","")&amp;IF(AND(K1029=FALSE,L1029=FALSE),",","")&amp;IF(L1029=FALSE,"「残業時間」","")&amp;IF(OR(I1029=FALSE,J1029=FALSE,K1029=FALSE,L1029=FALSE),"に数値以外が入力されています。","")&amp;IF(M1029,"","「残業時間」を分単位で入力した場合、小数点以下の値は0.6未満にしてください。")))</f>
        <v/>
      </c>
      <c r="H1029" s="1" t="b">
        <f>IF(B1029="",FALSE,COUNTIF('従業員情報(給与以外)'!$A$4:$A$1000000,$B1029)=0)</f>
        <v>0</v>
      </c>
      <c r="I1029" s="9" t="b">
        <f t="shared" ref="I1029:I1092" si="81">OR(C1029="",ISNUMBER(C1029))</f>
        <v>1</v>
      </c>
      <c r="J1029" s="9" t="b">
        <f t="shared" ref="J1029:J1092" si="82">OR(D1029="",ISNUMBER(D1029))</f>
        <v>1</v>
      </c>
      <c r="K1029" s="9" t="b">
        <f t="shared" ref="K1029:K1092" si="83">OR(E1029="",ISNUMBER(E1029))</f>
        <v>1</v>
      </c>
      <c r="L1029" s="9" t="b">
        <f t="shared" ref="L1029:L1092" si="84">OR(F1029="",ISNUMBER(F1029))</f>
        <v>1</v>
      </c>
      <c r="M1029" s="1" t="b">
        <f>IF(OR(入力シート!$C$5&lt;&gt;入力リスト!$N$4,入力シート!$J$22&lt;&gt;入力リスト!$K$4),TRUE,IF($F$2=入力リスト!$Q$4,IF(F1029-INT(F1029)&lt;0.6,TRUE,FALSE),TRUE))</f>
        <v>1</v>
      </c>
      <c r="N1029" s="9" t="str">
        <f>IF(F1029="","",IF($F$2=入力リスト!$Q$4,ROUNDDOWN(INT(F1029)+ROUNDDOWN((F1029-INT(F1029))*100,0)/60,2),従業員の給与情報!F1029))</f>
        <v/>
      </c>
      <c r="O1029" s="8"/>
      <c r="P1029" s="8"/>
    </row>
    <row r="1030" spans="1:16">
      <c r="A1030" s="119"/>
      <c r="B1030" s="2"/>
      <c r="C1030" s="3"/>
      <c r="D1030" s="3"/>
      <c r="E1030" s="3"/>
      <c r="F1030" s="9"/>
      <c r="G1030" s="248" t="str">
        <f t="shared" si="80"/>
        <v/>
      </c>
      <c r="H1030" s="1" t="b">
        <f>IF(B1030="",FALSE,COUNTIF('従業員情報(給与以外)'!$A$4:$A$1000000,$B1030)=0)</f>
        <v>0</v>
      </c>
      <c r="I1030" s="9" t="b">
        <f t="shared" si="81"/>
        <v>1</v>
      </c>
      <c r="J1030" s="9" t="b">
        <f t="shared" si="82"/>
        <v>1</v>
      </c>
      <c r="K1030" s="9" t="b">
        <f t="shared" si="83"/>
        <v>1</v>
      </c>
      <c r="L1030" s="9" t="b">
        <f t="shared" si="84"/>
        <v>1</v>
      </c>
      <c r="M1030" s="1" t="b">
        <f>IF(OR(入力シート!$C$5&lt;&gt;入力リスト!$N$4,入力シート!$J$22&lt;&gt;入力リスト!$K$4),TRUE,IF($F$2=入力リスト!$Q$4,IF(F1030-INT(F1030)&lt;0.6,TRUE,FALSE),TRUE))</f>
        <v>1</v>
      </c>
      <c r="N1030" s="9" t="str">
        <f>IF(F1030="","",IF($F$2=入力リスト!$Q$4,ROUNDDOWN(INT(F1030)+ROUNDDOWN((F1030-INT(F1030))*100,0)/60,2),従業員の給与情報!F1030))</f>
        <v/>
      </c>
      <c r="O1030" s="8"/>
      <c r="P1030" s="8"/>
    </row>
    <row r="1031" spans="1:16">
      <c r="A1031" s="119"/>
      <c r="B1031" s="2"/>
      <c r="C1031" s="3"/>
      <c r="D1031" s="3"/>
      <c r="E1031" s="3"/>
      <c r="F1031" s="9"/>
      <c r="G1031" s="248" t="str">
        <f t="shared" si="80"/>
        <v/>
      </c>
      <c r="H1031" s="1" t="b">
        <f>IF(B1031="",FALSE,COUNTIF('従業員情報(給与以外)'!$A$4:$A$1000000,$B1031)=0)</f>
        <v>0</v>
      </c>
      <c r="I1031" s="9" t="b">
        <f t="shared" si="81"/>
        <v>1</v>
      </c>
      <c r="J1031" s="9" t="b">
        <f t="shared" si="82"/>
        <v>1</v>
      </c>
      <c r="K1031" s="9" t="b">
        <f t="shared" si="83"/>
        <v>1</v>
      </c>
      <c r="L1031" s="9" t="b">
        <f t="shared" si="84"/>
        <v>1</v>
      </c>
      <c r="M1031" s="1" t="b">
        <f>IF(OR(入力シート!$C$5&lt;&gt;入力リスト!$N$4,入力シート!$J$22&lt;&gt;入力リスト!$K$4),TRUE,IF($F$2=入力リスト!$Q$4,IF(F1031-INT(F1031)&lt;0.6,TRUE,FALSE),TRUE))</f>
        <v>1</v>
      </c>
      <c r="N1031" s="9" t="str">
        <f>IF(F1031="","",IF($F$2=入力リスト!$Q$4,ROUNDDOWN(INT(F1031)+ROUNDDOWN((F1031-INT(F1031))*100,0)/60,2),従業員の給与情報!F1031))</f>
        <v/>
      </c>
      <c r="O1031" s="8"/>
      <c r="P1031" s="8"/>
    </row>
    <row r="1032" spans="1:16">
      <c r="A1032" s="119"/>
      <c r="B1032" s="2"/>
      <c r="C1032" s="3"/>
      <c r="D1032" s="3"/>
      <c r="E1032" s="3"/>
      <c r="F1032" s="9"/>
      <c r="G1032" s="248" t="str">
        <f t="shared" si="80"/>
        <v/>
      </c>
      <c r="H1032" s="1" t="b">
        <f>IF(B1032="",FALSE,COUNTIF('従業員情報(給与以外)'!$A$4:$A$1000000,$B1032)=0)</f>
        <v>0</v>
      </c>
      <c r="I1032" s="9" t="b">
        <f t="shared" si="81"/>
        <v>1</v>
      </c>
      <c r="J1032" s="9" t="b">
        <f t="shared" si="82"/>
        <v>1</v>
      </c>
      <c r="K1032" s="9" t="b">
        <f t="shared" si="83"/>
        <v>1</v>
      </c>
      <c r="L1032" s="9" t="b">
        <f t="shared" si="84"/>
        <v>1</v>
      </c>
      <c r="M1032" s="1" t="b">
        <f>IF(OR(入力シート!$C$5&lt;&gt;入力リスト!$N$4,入力シート!$J$22&lt;&gt;入力リスト!$K$4),TRUE,IF($F$2=入力リスト!$Q$4,IF(F1032-INT(F1032)&lt;0.6,TRUE,FALSE),TRUE))</f>
        <v>1</v>
      </c>
      <c r="N1032" s="9" t="str">
        <f>IF(F1032="","",IF($F$2=入力リスト!$Q$4,ROUNDDOWN(INT(F1032)+ROUNDDOWN((F1032-INT(F1032))*100,0)/60,2),従業員の給与情報!F1032))</f>
        <v/>
      </c>
      <c r="O1032" s="8"/>
      <c r="P1032" s="8"/>
    </row>
    <row r="1033" spans="1:16">
      <c r="A1033" s="119"/>
      <c r="B1033" s="2"/>
      <c r="C1033" s="3"/>
      <c r="D1033" s="3"/>
      <c r="E1033" s="3"/>
      <c r="F1033" s="9"/>
      <c r="G1033" s="248" t="str">
        <f t="shared" si="80"/>
        <v/>
      </c>
      <c r="H1033" s="1" t="b">
        <f>IF(B1033="",FALSE,COUNTIF('従業員情報(給与以外)'!$A$4:$A$1000000,$B1033)=0)</f>
        <v>0</v>
      </c>
      <c r="I1033" s="9" t="b">
        <f t="shared" si="81"/>
        <v>1</v>
      </c>
      <c r="J1033" s="9" t="b">
        <f t="shared" si="82"/>
        <v>1</v>
      </c>
      <c r="K1033" s="9" t="b">
        <f t="shared" si="83"/>
        <v>1</v>
      </c>
      <c r="L1033" s="9" t="b">
        <f t="shared" si="84"/>
        <v>1</v>
      </c>
      <c r="M1033" s="1" t="b">
        <f>IF(OR(入力シート!$C$5&lt;&gt;入力リスト!$N$4,入力シート!$J$22&lt;&gt;入力リスト!$K$4),TRUE,IF($F$2=入力リスト!$Q$4,IF(F1033-INT(F1033)&lt;0.6,TRUE,FALSE),TRUE))</f>
        <v>1</v>
      </c>
      <c r="N1033" s="9" t="str">
        <f>IF(F1033="","",IF($F$2=入力リスト!$Q$4,ROUNDDOWN(INT(F1033)+ROUNDDOWN((F1033-INT(F1033))*100,0)/60,2),従業員の給与情報!F1033))</f>
        <v/>
      </c>
      <c r="O1033" s="8"/>
      <c r="P1033" s="8"/>
    </row>
    <row r="1034" spans="1:16">
      <c r="A1034" s="119"/>
      <c r="B1034" s="2"/>
      <c r="C1034" s="3"/>
      <c r="D1034" s="3"/>
      <c r="E1034" s="3"/>
      <c r="F1034" s="9"/>
      <c r="G1034" s="248" t="str">
        <f t="shared" si="80"/>
        <v/>
      </c>
      <c r="H1034" s="1" t="b">
        <f>IF(B1034="",FALSE,COUNTIF('従業員情報(給与以外)'!$A$4:$A$1000000,$B1034)=0)</f>
        <v>0</v>
      </c>
      <c r="I1034" s="9" t="b">
        <f t="shared" si="81"/>
        <v>1</v>
      </c>
      <c r="J1034" s="9" t="b">
        <f t="shared" si="82"/>
        <v>1</v>
      </c>
      <c r="K1034" s="9" t="b">
        <f t="shared" si="83"/>
        <v>1</v>
      </c>
      <c r="L1034" s="9" t="b">
        <f t="shared" si="84"/>
        <v>1</v>
      </c>
      <c r="M1034" s="1" t="b">
        <f>IF(OR(入力シート!$C$5&lt;&gt;入力リスト!$N$4,入力シート!$J$22&lt;&gt;入力リスト!$K$4),TRUE,IF($F$2=入力リスト!$Q$4,IF(F1034-INT(F1034)&lt;0.6,TRUE,FALSE),TRUE))</f>
        <v>1</v>
      </c>
      <c r="N1034" s="9" t="str">
        <f>IF(F1034="","",IF($F$2=入力リスト!$Q$4,ROUNDDOWN(INT(F1034)+ROUNDDOWN((F1034-INT(F1034))*100,0)/60,2),従業員の給与情報!F1034))</f>
        <v/>
      </c>
      <c r="O1034" s="8"/>
      <c r="P1034" s="8"/>
    </row>
    <row r="1035" spans="1:16">
      <c r="A1035" s="119"/>
      <c r="B1035" s="2"/>
      <c r="C1035" s="3"/>
      <c r="D1035" s="3"/>
      <c r="E1035" s="3"/>
      <c r="F1035" s="9"/>
      <c r="G1035" s="248" t="str">
        <f t="shared" si="80"/>
        <v/>
      </c>
      <c r="H1035" s="1" t="b">
        <f>IF(B1035="",FALSE,COUNTIF('従業員情報(給与以外)'!$A$4:$A$1000000,$B1035)=0)</f>
        <v>0</v>
      </c>
      <c r="I1035" s="9" t="b">
        <f t="shared" si="81"/>
        <v>1</v>
      </c>
      <c r="J1035" s="9" t="b">
        <f t="shared" si="82"/>
        <v>1</v>
      </c>
      <c r="K1035" s="9" t="b">
        <f t="shared" si="83"/>
        <v>1</v>
      </c>
      <c r="L1035" s="9" t="b">
        <f t="shared" si="84"/>
        <v>1</v>
      </c>
      <c r="M1035" s="1" t="b">
        <f>IF(OR(入力シート!$C$5&lt;&gt;入力リスト!$N$4,入力シート!$J$22&lt;&gt;入力リスト!$K$4),TRUE,IF($F$2=入力リスト!$Q$4,IF(F1035-INT(F1035)&lt;0.6,TRUE,FALSE),TRUE))</f>
        <v>1</v>
      </c>
      <c r="N1035" s="9" t="str">
        <f>IF(F1035="","",IF($F$2=入力リスト!$Q$4,ROUNDDOWN(INT(F1035)+ROUNDDOWN((F1035-INT(F1035))*100,0)/60,2),従業員の給与情報!F1035))</f>
        <v/>
      </c>
      <c r="O1035" s="8"/>
      <c r="P1035" s="8"/>
    </row>
    <row r="1036" spans="1:16">
      <c r="A1036" s="119"/>
      <c r="B1036" s="2"/>
      <c r="C1036" s="3"/>
      <c r="D1036" s="3"/>
      <c r="E1036" s="3"/>
      <c r="F1036" s="9"/>
      <c r="G1036" s="248" t="str">
        <f t="shared" si="80"/>
        <v/>
      </c>
      <c r="H1036" s="1" t="b">
        <f>IF(B1036="",FALSE,COUNTIF('従業員情報(給与以外)'!$A$4:$A$1000000,$B1036)=0)</f>
        <v>0</v>
      </c>
      <c r="I1036" s="9" t="b">
        <f t="shared" si="81"/>
        <v>1</v>
      </c>
      <c r="J1036" s="9" t="b">
        <f t="shared" si="82"/>
        <v>1</v>
      </c>
      <c r="K1036" s="9" t="b">
        <f t="shared" si="83"/>
        <v>1</v>
      </c>
      <c r="L1036" s="9" t="b">
        <f t="shared" si="84"/>
        <v>1</v>
      </c>
      <c r="M1036" s="1" t="b">
        <f>IF(OR(入力シート!$C$5&lt;&gt;入力リスト!$N$4,入力シート!$J$22&lt;&gt;入力リスト!$K$4),TRUE,IF($F$2=入力リスト!$Q$4,IF(F1036-INT(F1036)&lt;0.6,TRUE,FALSE),TRUE))</f>
        <v>1</v>
      </c>
      <c r="N1036" s="9" t="str">
        <f>IF(F1036="","",IF($F$2=入力リスト!$Q$4,ROUNDDOWN(INT(F1036)+ROUNDDOWN((F1036-INT(F1036))*100,0)/60,2),従業員の給与情報!F1036))</f>
        <v/>
      </c>
      <c r="O1036" s="8"/>
      <c r="P1036" s="8"/>
    </row>
    <row r="1037" spans="1:16">
      <c r="A1037" s="119"/>
      <c r="B1037" s="2"/>
      <c r="C1037" s="3"/>
      <c r="D1037" s="3"/>
      <c r="E1037" s="3"/>
      <c r="F1037" s="9"/>
      <c r="G1037" s="248" t="str">
        <f t="shared" si="80"/>
        <v/>
      </c>
      <c r="H1037" s="1" t="b">
        <f>IF(B1037="",FALSE,COUNTIF('従業員情報(給与以外)'!$A$4:$A$1000000,$B1037)=0)</f>
        <v>0</v>
      </c>
      <c r="I1037" s="9" t="b">
        <f t="shared" si="81"/>
        <v>1</v>
      </c>
      <c r="J1037" s="9" t="b">
        <f t="shared" si="82"/>
        <v>1</v>
      </c>
      <c r="K1037" s="9" t="b">
        <f t="shared" si="83"/>
        <v>1</v>
      </c>
      <c r="L1037" s="9" t="b">
        <f t="shared" si="84"/>
        <v>1</v>
      </c>
      <c r="M1037" s="1" t="b">
        <f>IF(OR(入力シート!$C$5&lt;&gt;入力リスト!$N$4,入力シート!$J$22&lt;&gt;入力リスト!$K$4),TRUE,IF($F$2=入力リスト!$Q$4,IF(F1037-INT(F1037)&lt;0.6,TRUE,FALSE),TRUE))</f>
        <v>1</v>
      </c>
      <c r="N1037" s="9" t="str">
        <f>IF(F1037="","",IF($F$2=入力リスト!$Q$4,ROUNDDOWN(INT(F1037)+ROUNDDOWN((F1037-INT(F1037))*100,0)/60,2),従業員の給与情報!F1037))</f>
        <v/>
      </c>
      <c r="O1037" s="8"/>
      <c r="P1037" s="8"/>
    </row>
    <row r="1038" spans="1:16">
      <c r="A1038" s="119"/>
      <c r="B1038" s="2"/>
      <c r="C1038" s="3"/>
      <c r="D1038" s="3"/>
      <c r="E1038" s="3"/>
      <c r="F1038" s="9"/>
      <c r="G1038" s="248" t="str">
        <f t="shared" si="80"/>
        <v/>
      </c>
      <c r="H1038" s="1" t="b">
        <f>IF(B1038="",FALSE,COUNTIF('従業員情報(給与以外)'!$A$4:$A$1000000,$B1038)=0)</f>
        <v>0</v>
      </c>
      <c r="I1038" s="9" t="b">
        <f t="shared" si="81"/>
        <v>1</v>
      </c>
      <c r="J1038" s="9" t="b">
        <f t="shared" si="82"/>
        <v>1</v>
      </c>
      <c r="K1038" s="9" t="b">
        <f t="shared" si="83"/>
        <v>1</v>
      </c>
      <c r="L1038" s="9" t="b">
        <f t="shared" si="84"/>
        <v>1</v>
      </c>
      <c r="M1038" s="1" t="b">
        <f>IF(OR(入力シート!$C$5&lt;&gt;入力リスト!$N$4,入力シート!$J$22&lt;&gt;入力リスト!$K$4),TRUE,IF($F$2=入力リスト!$Q$4,IF(F1038-INT(F1038)&lt;0.6,TRUE,FALSE),TRUE))</f>
        <v>1</v>
      </c>
      <c r="N1038" s="9" t="str">
        <f>IF(F1038="","",IF($F$2=入力リスト!$Q$4,ROUNDDOWN(INT(F1038)+ROUNDDOWN((F1038-INT(F1038))*100,0)/60,2),従業員の給与情報!F1038))</f>
        <v/>
      </c>
      <c r="O1038" s="8"/>
      <c r="P1038" s="8"/>
    </row>
    <row r="1039" spans="1:16">
      <c r="A1039" s="119"/>
      <c r="B1039" s="2"/>
      <c r="C1039" s="3"/>
      <c r="D1039" s="3"/>
      <c r="E1039" s="3"/>
      <c r="F1039" s="9"/>
      <c r="G1039" s="248" t="str">
        <f t="shared" si="80"/>
        <v/>
      </c>
      <c r="H1039" s="1" t="b">
        <f>IF(B1039="",FALSE,COUNTIF('従業員情報(給与以外)'!$A$4:$A$1000000,$B1039)=0)</f>
        <v>0</v>
      </c>
      <c r="I1039" s="9" t="b">
        <f t="shared" si="81"/>
        <v>1</v>
      </c>
      <c r="J1039" s="9" t="b">
        <f t="shared" si="82"/>
        <v>1</v>
      </c>
      <c r="K1039" s="9" t="b">
        <f t="shared" si="83"/>
        <v>1</v>
      </c>
      <c r="L1039" s="9" t="b">
        <f t="shared" si="84"/>
        <v>1</v>
      </c>
      <c r="M1039" s="1" t="b">
        <f>IF(OR(入力シート!$C$5&lt;&gt;入力リスト!$N$4,入力シート!$J$22&lt;&gt;入力リスト!$K$4),TRUE,IF($F$2=入力リスト!$Q$4,IF(F1039-INT(F1039)&lt;0.6,TRUE,FALSE),TRUE))</f>
        <v>1</v>
      </c>
      <c r="N1039" s="9" t="str">
        <f>IF(F1039="","",IF($F$2=入力リスト!$Q$4,ROUNDDOWN(INT(F1039)+ROUNDDOWN((F1039-INT(F1039))*100,0)/60,2),従業員の給与情報!F1039))</f>
        <v/>
      </c>
      <c r="O1039" s="8"/>
      <c r="P1039" s="8"/>
    </row>
    <row r="1040" spans="1:16">
      <c r="A1040" s="119"/>
      <c r="B1040" s="2"/>
      <c r="C1040" s="3"/>
      <c r="D1040" s="3"/>
      <c r="E1040" s="3"/>
      <c r="F1040" s="9"/>
      <c r="G1040" s="248" t="str">
        <f t="shared" si="80"/>
        <v/>
      </c>
      <c r="H1040" s="1" t="b">
        <f>IF(B1040="",FALSE,COUNTIF('従業員情報(給与以外)'!$A$4:$A$1000000,$B1040)=0)</f>
        <v>0</v>
      </c>
      <c r="I1040" s="9" t="b">
        <f t="shared" si="81"/>
        <v>1</v>
      </c>
      <c r="J1040" s="9" t="b">
        <f t="shared" si="82"/>
        <v>1</v>
      </c>
      <c r="K1040" s="9" t="b">
        <f t="shared" si="83"/>
        <v>1</v>
      </c>
      <c r="L1040" s="9" t="b">
        <f t="shared" si="84"/>
        <v>1</v>
      </c>
      <c r="M1040" s="1" t="b">
        <f>IF(OR(入力シート!$C$5&lt;&gt;入力リスト!$N$4,入力シート!$J$22&lt;&gt;入力リスト!$K$4),TRUE,IF($F$2=入力リスト!$Q$4,IF(F1040-INT(F1040)&lt;0.6,TRUE,FALSE),TRUE))</f>
        <v>1</v>
      </c>
      <c r="N1040" s="9" t="str">
        <f>IF(F1040="","",IF($F$2=入力リスト!$Q$4,ROUNDDOWN(INT(F1040)+ROUNDDOWN((F1040-INT(F1040))*100,0)/60,2),従業員の給与情報!F1040))</f>
        <v/>
      </c>
      <c r="O1040" s="8"/>
      <c r="P1040" s="8"/>
    </row>
    <row r="1041" spans="1:16">
      <c r="A1041" s="119"/>
      <c r="B1041" s="2"/>
      <c r="C1041" s="3"/>
      <c r="D1041" s="3"/>
      <c r="E1041" s="3"/>
      <c r="F1041" s="9"/>
      <c r="G1041" s="248" t="str">
        <f t="shared" si="80"/>
        <v/>
      </c>
      <c r="H1041" s="1" t="b">
        <f>IF(B1041="",FALSE,COUNTIF('従業員情報(給与以外)'!$A$4:$A$1000000,$B1041)=0)</f>
        <v>0</v>
      </c>
      <c r="I1041" s="9" t="b">
        <f t="shared" si="81"/>
        <v>1</v>
      </c>
      <c r="J1041" s="9" t="b">
        <f t="shared" si="82"/>
        <v>1</v>
      </c>
      <c r="K1041" s="9" t="b">
        <f t="shared" si="83"/>
        <v>1</v>
      </c>
      <c r="L1041" s="9" t="b">
        <f t="shared" si="84"/>
        <v>1</v>
      </c>
      <c r="M1041" s="1" t="b">
        <f>IF(OR(入力シート!$C$5&lt;&gt;入力リスト!$N$4,入力シート!$J$22&lt;&gt;入力リスト!$K$4),TRUE,IF($F$2=入力リスト!$Q$4,IF(F1041-INT(F1041)&lt;0.6,TRUE,FALSE),TRUE))</f>
        <v>1</v>
      </c>
      <c r="N1041" s="9" t="str">
        <f>IF(F1041="","",IF($F$2=入力リスト!$Q$4,ROUNDDOWN(INT(F1041)+ROUNDDOWN((F1041-INT(F1041))*100,0)/60,2),従業員の給与情報!F1041))</f>
        <v/>
      </c>
      <c r="O1041" s="8"/>
      <c r="P1041" s="8"/>
    </row>
    <row r="1042" spans="1:16">
      <c r="A1042" s="119"/>
      <c r="B1042" s="2"/>
      <c r="C1042" s="3"/>
      <c r="D1042" s="3"/>
      <c r="E1042" s="3"/>
      <c r="F1042" s="9"/>
      <c r="G1042" s="248" t="str">
        <f t="shared" si="80"/>
        <v/>
      </c>
      <c r="H1042" s="1" t="b">
        <f>IF(B1042="",FALSE,COUNTIF('従業員情報(給与以外)'!$A$4:$A$1000000,$B1042)=0)</f>
        <v>0</v>
      </c>
      <c r="I1042" s="9" t="b">
        <f t="shared" si="81"/>
        <v>1</v>
      </c>
      <c r="J1042" s="9" t="b">
        <f t="shared" si="82"/>
        <v>1</v>
      </c>
      <c r="K1042" s="9" t="b">
        <f t="shared" si="83"/>
        <v>1</v>
      </c>
      <c r="L1042" s="9" t="b">
        <f t="shared" si="84"/>
        <v>1</v>
      </c>
      <c r="M1042" s="1" t="b">
        <f>IF(OR(入力シート!$C$5&lt;&gt;入力リスト!$N$4,入力シート!$J$22&lt;&gt;入力リスト!$K$4),TRUE,IF($F$2=入力リスト!$Q$4,IF(F1042-INT(F1042)&lt;0.6,TRUE,FALSE),TRUE))</f>
        <v>1</v>
      </c>
      <c r="N1042" s="9" t="str">
        <f>IF(F1042="","",IF($F$2=入力リスト!$Q$4,ROUNDDOWN(INT(F1042)+ROUNDDOWN((F1042-INT(F1042))*100,0)/60,2),従業員の給与情報!F1042))</f>
        <v/>
      </c>
      <c r="O1042" s="8"/>
      <c r="P1042" s="8"/>
    </row>
    <row r="1043" spans="1:16">
      <c r="A1043" s="119"/>
      <c r="B1043" s="2"/>
      <c r="C1043" s="3"/>
      <c r="D1043" s="3"/>
      <c r="E1043" s="3"/>
      <c r="F1043" s="9"/>
      <c r="G1043" s="248" t="str">
        <f t="shared" si="80"/>
        <v/>
      </c>
      <c r="H1043" s="1" t="b">
        <f>IF(B1043="",FALSE,COUNTIF('従業員情報(給与以外)'!$A$4:$A$1000000,$B1043)=0)</f>
        <v>0</v>
      </c>
      <c r="I1043" s="9" t="b">
        <f t="shared" si="81"/>
        <v>1</v>
      </c>
      <c r="J1043" s="9" t="b">
        <f t="shared" si="82"/>
        <v>1</v>
      </c>
      <c r="K1043" s="9" t="b">
        <f t="shared" si="83"/>
        <v>1</v>
      </c>
      <c r="L1043" s="9" t="b">
        <f t="shared" si="84"/>
        <v>1</v>
      </c>
      <c r="M1043" s="1" t="b">
        <f>IF(OR(入力シート!$C$5&lt;&gt;入力リスト!$N$4,入力シート!$J$22&lt;&gt;入力リスト!$K$4),TRUE,IF($F$2=入力リスト!$Q$4,IF(F1043-INT(F1043)&lt;0.6,TRUE,FALSE),TRUE))</f>
        <v>1</v>
      </c>
      <c r="N1043" s="9" t="str">
        <f>IF(F1043="","",IF($F$2=入力リスト!$Q$4,ROUNDDOWN(INT(F1043)+ROUNDDOWN((F1043-INT(F1043))*100,0)/60,2),従業員の給与情報!F1043))</f>
        <v/>
      </c>
      <c r="O1043" s="8"/>
      <c r="P1043" s="8"/>
    </row>
    <row r="1044" spans="1:16">
      <c r="A1044" s="119"/>
      <c r="B1044" s="2"/>
      <c r="C1044" s="3"/>
      <c r="D1044" s="3"/>
      <c r="E1044" s="3"/>
      <c r="F1044" s="9"/>
      <c r="G1044" s="248" t="str">
        <f t="shared" si="80"/>
        <v/>
      </c>
      <c r="H1044" s="1" t="b">
        <f>IF(B1044="",FALSE,COUNTIF('従業員情報(給与以外)'!$A$4:$A$1000000,$B1044)=0)</f>
        <v>0</v>
      </c>
      <c r="I1044" s="9" t="b">
        <f t="shared" si="81"/>
        <v>1</v>
      </c>
      <c r="J1044" s="9" t="b">
        <f t="shared" si="82"/>
        <v>1</v>
      </c>
      <c r="K1044" s="9" t="b">
        <f t="shared" si="83"/>
        <v>1</v>
      </c>
      <c r="L1044" s="9" t="b">
        <f t="shared" si="84"/>
        <v>1</v>
      </c>
      <c r="M1044" s="1" t="b">
        <f>IF(OR(入力シート!$C$5&lt;&gt;入力リスト!$N$4,入力シート!$J$22&lt;&gt;入力リスト!$K$4),TRUE,IF($F$2=入力リスト!$Q$4,IF(F1044-INT(F1044)&lt;0.6,TRUE,FALSE),TRUE))</f>
        <v>1</v>
      </c>
      <c r="N1044" s="9" t="str">
        <f>IF(F1044="","",IF($F$2=入力リスト!$Q$4,ROUNDDOWN(INT(F1044)+ROUNDDOWN((F1044-INT(F1044))*100,0)/60,2),従業員の給与情報!F1044))</f>
        <v/>
      </c>
      <c r="O1044" s="8"/>
      <c r="P1044" s="8"/>
    </row>
    <row r="1045" spans="1:16">
      <c r="A1045" s="119"/>
      <c r="B1045" s="2"/>
      <c r="C1045" s="3"/>
      <c r="D1045" s="3"/>
      <c r="E1045" s="3"/>
      <c r="F1045" s="9"/>
      <c r="G1045" s="248" t="str">
        <f t="shared" si="80"/>
        <v/>
      </c>
      <c r="H1045" s="1" t="b">
        <f>IF(B1045="",FALSE,COUNTIF('従業員情報(給与以外)'!$A$4:$A$1000000,$B1045)=0)</f>
        <v>0</v>
      </c>
      <c r="I1045" s="9" t="b">
        <f t="shared" si="81"/>
        <v>1</v>
      </c>
      <c r="J1045" s="9" t="b">
        <f t="shared" si="82"/>
        <v>1</v>
      </c>
      <c r="K1045" s="9" t="b">
        <f t="shared" si="83"/>
        <v>1</v>
      </c>
      <c r="L1045" s="9" t="b">
        <f t="shared" si="84"/>
        <v>1</v>
      </c>
      <c r="M1045" s="1" t="b">
        <f>IF(OR(入力シート!$C$5&lt;&gt;入力リスト!$N$4,入力シート!$J$22&lt;&gt;入力リスト!$K$4),TRUE,IF($F$2=入力リスト!$Q$4,IF(F1045-INT(F1045)&lt;0.6,TRUE,FALSE),TRUE))</f>
        <v>1</v>
      </c>
      <c r="N1045" s="9" t="str">
        <f>IF(F1045="","",IF($F$2=入力リスト!$Q$4,ROUNDDOWN(INT(F1045)+ROUNDDOWN((F1045-INT(F1045))*100,0)/60,2),従業員の給与情報!F1045))</f>
        <v/>
      </c>
      <c r="O1045" s="8"/>
      <c r="P1045" s="8"/>
    </row>
    <row r="1046" spans="1:16">
      <c r="A1046" s="119"/>
      <c r="B1046" s="2"/>
      <c r="C1046" s="3"/>
      <c r="D1046" s="3"/>
      <c r="E1046" s="3"/>
      <c r="F1046" s="9"/>
      <c r="G1046" s="248" t="str">
        <f t="shared" si="80"/>
        <v/>
      </c>
      <c r="H1046" s="1" t="b">
        <f>IF(B1046="",FALSE,COUNTIF('従業員情報(給与以外)'!$A$4:$A$1000000,$B1046)=0)</f>
        <v>0</v>
      </c>
      <c r="I1046" s="9" t="b">
        <f t="shared" si="81"/>
        <v>1</v>
      </c>
      <c r="J1046" s="9" t="b">
        <f t="shared" si="82"/>
        <v>1</v>
      </c>
      <c r="K1046" s="9" t="b">
        <f t="shared" si="83"/>
        <v>1</v>
      </c>
      <c r="L1046" s="9" t="b">
        <f t="shared" si="84"/>
        <v>1</v>
      </c>
      <c r="M1046" s="1" t="b">
        <f>IF(OR(入力シート!$C$5&lt;&gt;入力リスト!$N$4,入力シート!$J$22&lt;&gt;入力リスト!$K$4),TRUE,IF($F$2=入力リスト!$Q$4,IF(F1046-INT(F1046)&lt;0.6,TRUE,FALSE),TRUE))</f>
        <v>1</v>
      </c>
      <c r="N1046" s="9" t="str">
        <f>IF(F1046="","",IF($F$2=入力リスト!$Q$4,ROUNDDOWN(INT(F1046)+ROUNDDOWN((F1046-INT(F1046))*100,0)/60,2),従業員の給与情報!F1046))</f>
        <v/>
      </c>
      <c r="O1046" s="8"/>
      <c r="P1046" s="8"/>
    </row>
    <row r="1047" spans="1:16">
      <c r="A1047" s="119"/>
      <c r="B1047" s="2"/>
      <c r="C1047" s="3"/>
      <c r="D1047" s="3"/>
      <c r="E1047" s="3"/>
      <c r="F1047" s="9"/>
      <c r="G1047" s="248" t="str">
        <f t="shared" si="80"/>
        <v/>
      </c>
      <c r="H1047" s="1" t="b">
        <f>IF(B1047="",FALSE,COUNTIF('従業員情報(給与以外)'!$A$4:$A$1000000,$B1047)=0)</f>
        <v>0</v>
      </c>
      <c r="I1047" s="9" t="b">
        <f t="shared" si="81"/>
        <v>1</v>
      </c>
      <c r="J1047" s="9" t="b">
        <f t="shared" si="82"/>
        <v>1</v>
      </c>
      <c r="K1047" s="9" t="b">
        <f t="shared" si="83"/>
        <v>1</v>
      </c>
      <c r="L1047" s="9" t="b">
        <f t="shared" si="84"/>
        <v>1</v>
      </c>
      <c r="M1047" s="1" t="b">
        <f>IF(OR(入力シート!$C$5&lt;&gt;入力リスト!$N$4,入力シート!$J$22&lt;&gt;入力リスト!$K$4),TRUE,IF($F$2=入力リスト!$Q$4,IF(F1047-INT(F1047)&lt;0.6,TRUE,FALSE),TRUE))</f>
        <v>1</v>
      </c>
      <c r="N1047" s="9" t="str">
        <f>IF(F1047="","",IF($F$2=入力リスト!$Q$4,ROUNDDOWN(INT(F1047)+ROUNDDOWN((F1047-INT(F1047))*100,0)/60,2),従業員の給与情報!F1047))</f>
        <v/>
      </c>
      <c r="O1047" s="8"/>
      <c r="P1047" s="8"/>
    </row>
    <row r="1048" spans="1:16">
      <c r="A1048" s="119"/>
      <c r="B1048" s="2"/>
      <c r="C1048" s="3"/>
      <c r="D1048" s="3"/>
      <c r="E1048" s="3"/>
      <c r="F1048" s="9"/>
      <c r="G1048" s="248" t="str">
        <f t="shared" si="80"/>
        <v/>
      </c>
      <c r="H1048" s="1" t="b">
        <f>IF(B1048="",FALSE,COUNTIF('従業員情報(給与以外)'!$A$4:$A$1000000,$B1048)=0)</f>
        <v>0</v>
      </c>
      <c r="I1048" s="9" t="b">
        <f t="shared" si="81"/>
        <v>1</v>
      </c>
      <c r="J1048" s="9" t="b">
        <f t="shared" si="82"/>
        <v>1</v>
      </c>
      <c r="K1048" s="9" t="b">
        <f t="shared" si="83"/>
        <v>1</v>
      </c>
      <c r="L1048" s="9" t="b">
        <f t="shared" si="84"/>
        <v>1</v>
      </c>
      <c r="M1048" s="1" t="b">
        <f>IF(OR(入力シート!$C$5&lt;&gt;入力リスト!$N$4,入力シート!$J$22&lt;&gt;入力リスト!$K$4),TRUE,IF($F$2=入力リスト!$Q$4,IF(F1048-INT(F1048)&lt;0.6,TRUE,FALSE),TRUE))</f>
        <v>1</v>
      </c>
      <c r="N1048" s="9" t="str">
        <f>IF(F1048="","",IF($F$2=入力リスト!$Q$4,ROUNDDOWN(INT(F1048)+ROUNDDOWN((F1048-INT(F1048))*100,0)/60,2),従業員の給与情報!F1048))</f>
        <v/>
      </c>
      <c r="O1048" s="8"/>
      <c r="P1048" s="8"/>
    </row>
    <row r="1049" spans="1:16">
      <c r="A1049" s="119"/>
      <c r="B1049" s="2"/>
      <c r="C1049" s="3"/>
      <c r="D1049" s="3"/>
      <c r="E1049" s="3"/>
      <c r="F1049" s="9"/>
      <c r="G1049" s="248" t="str">
        <f t="shared" si="80"/>
        <v/>
      </c>
      <c r="H1049" s="1" t="b">
        <f>IF(B1049="",FALSE,COUNTIF('従業員情報(給与以外)'!$A$4:$A$1000000,$B1049)=0)</f>
        <v>0</v>
      </c>
      <c r="I1049" s="9" t="b">
        <f t="shared" si="81"/>
        <v>1</v>
      </c>
      <c r="J1049" s="9" t="b">
        <f t="shared" si="82"/>
        <v>1</v>
      </c>
      <c r="K1049" s="9" t="b">
        <f t="shared" si="83"/>
        <v>1</v>
      </c>
      <c r="L1049" s="9" t="b">
        <f t="shared" si="84"/>
        <v>1</v>
      </c>
      <c r="M1049" s="1" t="b">
        <f>IF(OR(入力シート!$C$5&lt;&gt;入力リスト!$N$4,入力シート!$J$22&lt;&gt;入力リスト!$K$4),TRUE,IF($F$2=入力リスト!$Q$4,IF(F1049-INT(F1049)&lt;0.6,TRUE,FALSE),TRUE))</f>
        <v>1</v>
      </c>
      <c r="N1049" s="9" t="str">
        <f>IF(F1049="","",IF($F$2=入力リスト!$Q$4,ROUNDDOWN(INT(F1049)+ROUNDDOWN((F1049-INT(F1049))*100,0)/60,2),従業員の給与情報!F1049))</f>
        <v/>
      </c>
      <c r="O1049" s="8"/>
      <c r="P1049" s="8"/>
    </row>
    <row r="1050" spans="1:16">
      <c r="A1050" s="119"/>
      <c r="B1050" s="2"/>
      <c r="C1050" s="3"/>
      <c r="D1050" s="3"/>
      <c r="E1050" s="3"/>
      <c r="F1050" s="9"/>
      <c r="G1050" s="248" t="str">
        <f t="shared" si="80"/>
        <v/>
      </c>
      <c r="H1050" s="1" t="b">
        <f>IF(B1050="",FALSE,COUNTIF('従業員情報(給与以外)'!$A$4:$A$1000000,$B1050)=0)</f>
        <v>0</v>
      </c>
      <c r="I1050" s="9" t="b">
        <f t="shared" si="81"/>
        <v>1</v>
      </c>
      <c r="J1050" s="9" t="b">
        <f t="shared" si="82"/>
        <v>1</v>
      </c>
      <c r="K1050" s="9" t="b">
        <f t="shared" si="83"/>
        <v>1</v>
      </c>
      <c r="L1050" s="9" t="b">
        <f t="shared" si="84"/>
        <v>1</v>
      </c>
      <c r="M1050" s="1" t="b">
        <f>IF(OR(入力シート!$C$5&lt;&gt;入力リスト!$N$4,入力シート!$J$22&lt;&gt;入力リスト!$K$4),TRUE,IF($F$2=入力リスト!$Q$4,IF(F1050-INT(F1050)&lt;0.6,TRUE,FALSE),TRUE))</f>
        <v>1</v>
      </c>
      <c r="N1050" s="9" t="str">
        <f>IF(F1050="","",IF($F$2=入力リスト!$Q$4,ROUNDDOWN(INT(F1050)+ROUNDDOWN((F1050-INT(F1050))*100,0)/60,2),従業員の給与情報!F1050))</f>
        <v/>
      </c>
      <c r="O1050" s="8"/>
      <c r="P1050" s="8"/>
    </row>
    <row r="1051" spans="1:16">
      <c r="A1051" s="119"/>
      <c r="B1051" s="2"/>
      <c r="C1051" s="3"/>
      <c r="D1051" s="3"/>
      <c r="E1051" s="3"/>
      <c r="F1051" s="9"/>
      <c r="G1051" s="248" t="str">
        <f t="shared" si="80"/>
        <v/>
      </c>
      <c r="H1051" s="1" t="b">
        <f>IF(B1051="",FALSE,COUNTIF('従業員情報(給与以外)'!$A$4:$A$1000000,$B1051)=0)</f>
        <v>0</v>
      </c>
      <c r="I1051" s="9" t="b">
        <f t="shared" si="81"/>
        <v>1</v>
      </c>
      <c r="J1051" s="9" t="b">
        <f t="shared" si="82"/>
        <v>1</v>
      </c>
      <c r="K1051" s="9" t="b">
        <f t="shared" si="83"/>
        <v>1</v>
      </c>
      <c r="L1051" s="9" t="b">
        <f t="shared" si="84"/>
        <v>1</v>
      </c>
      <c r="M1051" s="1" t="b">
        <f>IF(OR(入力シート!$C$5&lt;&gt;入力リスト!$N$4,入力シート!$J$22&lt;&gt;入力リスト!$K$4),TRUE,IF($F$2=入力リスト!$Q$4,IF(F1051-INT(F1051)&lt;0.6,TRUE,FALSE),TRUE))</f>
        <v>1</v>
      </c>
      <c r="N1051" s="9" t="str">
        <f>IF(F1051="","",IF($F$2=入力リスト!$Q$4,ROUNDDOWN(INT(F1051)+ROUNDDOWN((F1051-INT(F1051))*100,0)/60,2),従業員の給与情報!F1051))</f>
        <v/>
      </c>
      <c r="O1051" s="8"/>
      <c r="P1051" s="8"/>
    </row>
    <row r="1052" spans="1:16">
      <c r="A1052" s="119"/>
      <c r="B1052" s="2"/>
      <c r="C1052" s="3"/>
      <c r="D1052" s="3"/>
      <c r="E1052" s="3"/>
      <c r="F1052" s="9"/>
      <c r="G1052" s="248" t="str">
        <f t="shared" si="80"/>
        <v/>
      </c>
      <c r="H1052" s="1" t="b">
        <f>IF(B1052="",FALSE,COUNTIF('従業員情報(給与以外)'!$A$4:$A$1000000,$B1052)=0)</f>
        <v>0</v>
      </c>
      <c r="I1052" s="9" t="b">
        <f t="shared" si="81"/>
        <v>1</v>
      </c>
      <c r="J1052" s="9" t="b">
        <f t="shared" si="82"/>
        <v>1</v>
      </c>
      <c r="K1052" s="9" t="b">
        <f t="shared" si="83"/>
        <v>1</v>
      </c>
      <c r="L1052" s="9" t="b">
        <f t="shared" si="84"/>
        <v>1</v>
      </c>
      <c r="M1052" s="1" t="b">
        <f>IF(OR(入力シート!$C$5&lt;&gt;入力リスト!$N$4,入力シート!$J$22&lt;&gt;入力リスト!$K$4),TRUE,IF($F$2=入力リスト!$Q$4,IF(F1052-INT(F1052)&lt;0.6,TRUE,FALSE),TRUE))</f>
        <v>1</v>
      </c>
      <c r="N1052" s="9" t="str">
        <f>IF(F1052="","",IF($F$2=入力リスト!$Q$4,ROUNDDOWN(INT(F1052)+ROUNDDOWN((F1052-INT(F1052))*100,0)/60,2),従業員の給与情報!F1052))</f>
        <v/>
      </c>
      <c r="O1052" s="8"/>
      <c r="P1052" s="8"/>
    </row>
    <row r="1053" spans="1:16">
      <c r="A1053" s="119"/>
      <c r="B1053" s="2"/>
      <c r="C1053" s="3"/>
      <c r="D1053" s="3"/>
      <c r="E1053" s="3"/>
      <c r="F1053" s="9"/>
      <c r="G1053" s="248" t="str">
        <f t="shared" si="80"/>
        <v/>
      </c>
      <c r="H1053" s="1" t="b">
        <f>IF(B1053="",FALSE,COUNTIF('従業員情報(給与以外)'!$A$4:$A$1000000,$B1053)=0)</f>
        <v>0</v>
      </c>
      <c r="I1053" s="9" t="b">
        <f t="shared" si="81"/>
        <v>1</v>
      </c>
      <c r="J1053" s="9" t="b">
        <f t="shared" si="82"/>
        <v>1</v>
      </c>
      <c r="K1053" s="9" t="b">
        <f t="shared" si="83"/>
        <v>1</v>
      </c>
      <c r="L1053" s="9" t="b">
        <f t="shared" si="84"/>
        <v>1</v>
      </c>
      <c r="M1053" s="1" t="b">
        <f>IF(OR(入力シート!$C$5&lt;&gt;入力リスト!$N$4,入力シート!$J$22&lt;&gt;入力リスト!$K$4),TRUE,IF($F$2=入力リスト!$Q$4,IF(F1053-INT(F1053)&lt;0.6,TRUE,FALSE),TRUE))</f>
        <v>1</v>
      </c>
      <c r="N1053" s="9" t="str">
        <f>IF(F1053="","",IF($F$2=入力リスト!$Q$4,ROUNDDOWN(INT(F1053)+ROUNDDOWN((F1053-INT(F1053))*100,0)/60,2),従業員の給与情報!F1053))</f>
        <v/>
      </c>
      <c r="O1053" s="8"/>
      <c r="P1053" s="8"/>
    </row>
    <row r="1054" spans="1:16">
      <c r="A1054" s="119"/>
      <c r="B1054" s="2"/>
      <c r="C1054" s="3"/>
      <c r="D1054" s="3"/>
      <c r="E1054" s="3"/>
      <c r="F1054" s="9"/>
      <c r="G1054" s="248" t="str">
        <f t="shared" si="80"/>
        <v/>
      </c>
      <c r="H1054" s="1" t="b">
        <f>IF(B1054="",FALSE,COUNTIF('従業員情報(給与以外)'!$A$4:$A$1000000,$B1054)=0)</f>
        <v>0</v>
      </c>
      <c r="I1054" s="9" t="b">
        <f t="shared" si="81"/>
        <v>1</v>
      </c>
      <c r="J1054" s="9" t="b">
        <f t="shared" si="82"/>
        <v>1</v>
      </c>
      <c r="K1054" s="9" t="b">
        <f t="shared" si="83"/>
        <v>1</v>
      </c>
      <c r="L1054" s="9" t="b">
        <f t="shared" si="84"/>
        <v>1</v>
      </c>
      <c r="M1054" s="1" t="b">
        <f>IF(OR(入力シート!$C$5&lt;&gt;入力リスト!$N$4,入力シート!$J$22&lt;&gt;入力リスト!$K$4),TRUE,IF($F$2=入力リスト!$Q$4,IF(F1054-INT(F1054)&lt;0.6,TRUE,FALSE),TRUE))</f>
        <v>1</v>
      </c>
      <c r="N1054" s="9" t="str">
        <f>IF(F1054="","",IF($F$2=入力リスト!$Q$4,ROUNDDOWN(INT(F1054)+ROUNDDOWN((F1054-INT(F1054))*100,0)/60,2),従業員の給与情報!F1054))</f>
        <v/>
      </c>
      <c r="O1054" s="8"/>
      <c r="P1054" s="8"/>
    </row>
    <row r="1055" spans="1:16">
      <c r="A1055" s="119"/>
      <c r="B1055" s="2"/>
      <c r="C1055" s="3"/>
      <c r="D1055" s="3"/>
      <c r="E1055" s="3"/>
      <c r="F1055" s="9"/>
      <c r="G1055" s="248" t="str">
        <f t="shared" si="80"/>
        <v/>
      </c>
      <c r="H1055" s="1" t="b">
        <f>IF(B1055="",FALSE,COUNTIF('従業員情報(給与以外)'!$A$4:$A$1000000,$B1055)=0)</f>
        <v>0</v>
      </c>
      <c r="I1055" s="9" t="b">
        <f t="shared" si="81"/>
        <v>1</v>
      </c>
      <c r="J1055" s="9" t="b">
        <f t="shared" si="82"/>
        <v>1</v>
      </c>
      <c r="K1055" s="9" t="b">
        <f t="shared" si="83"/>
        <v>1</v>
      </c>
      <c r="L1055" s="9" t="b">
        <f t="shared" si="84"/>
        <v>1</v>
      </c>
      <c r="M1055" s="1" t="b">
        <f>IF(OR(入力シート!$C$5&lt;&gt;入力リスト!$N$4,入力シート!$J$22&lt;&gt;入力リスト!$K$4),TRUE,IF($F$2=入力リスト!$Q$4,IF(F1055-INT(F1055)&lt;0.6,TRUE,FALSE),TRUE))</f>
        <v>1</v>
      </c>
      <c r="N1055" s="9" t="str">
        <f>IF(F1055="","",IF($F$2=入力リスト!$Q$4,ROUNDDOWN(INT(F1055)+ROUNDDOWN((F1055-INT(F1055))*100,0)/60,2),従業員の給与情報!F1055))</f>
        <v/>
      </c>
      <c r="O1055" s="8"/>
      <c r="P1055" s="8"/>
    </row>
    <row r="1056" spans="1:16">
      <c r="A1056" s="119"/>
      <c r="B1056" s="2"/>
      <c r="C1056" s="3"/>
      <c r="D1056" s="3"/>
      <c r="E1056" s="3"/>
      <c r="F1056" s="9"/>
      <c r="G1056" s="248" t="str">
        <f t="shared" si="80"/>
        <v/>
      </c>
      <c r="H1056" s="1" t="b">
        <f>IF(B1056="",FALSE,COUNTIF('従業員情報(給与以外)'!$A$4:$A$1000000,$B1056)=0)</f>
        <v>0</v>
      </c>
      <c r="I1056" s="9" t="b">
        <f t="shared" si="81"/>
        <v>1</v>
      </c>
      <c r="J1056" s="9" t="b">
        <f t="shared" si="82"/>
        <v>1</v>
      </c>
      <c r="K1056" s="9" t="b">
        <f t="shared" si="83"/>
        <v>1</v>
      </c>
      <c r="L1056" s="9" t="b">
        <f t="shared" si="84"/>
        <v>1</v>
      </c>
      <c r="M1056" s="1" t="b">
        <f>IF(OR(入力シート!$C$5&lt;&gt;入力リスト!$N$4,入力シート!$J$22&lt;&gt;入力リスト!$K$4),TRUE,IF($F$2=入力リスト!$Q$4,IF(F1056-INT(F1056)&lt;0.6,TRUE,FALSE),TRUE))</f>
        <v>1</v>
      </c>
      <c r="N1056" s="9" t="str">
        <f>IF(F1056="","",IF($F$2=入力リスト!$Q$4,ROUNDDOWN(INT(F1056)+ROUNDDOWN((F1056-INT(F1056))*100,0)/60,2),従業員の給与情報!F1056))</f>
        <v/>
      </c>
      <c r="O1056" s="8"/>
      <c r="P1056" s="8"/>
    </row>
    <row r="1057" spans="1:16">
      <c r="A1057" s="119"/>
      <c r="B1057" s="2"/>
      <c r="C1057" s="3"/>
      <c r="D1057" s="3"/>
      <c r="E1057" s="3"/>
      <c r="F1057" s="9"/>
      <c r="G1057" s="248" t="str">
        <f t="shared" si="80"/>
        <v/>
      </c>
      <c r="H1057" s="1" t="b">
        <f>IF(B1057="",FALSE,COUNTIF('従業員情報(給与以外)'!$A$4:$A$1000000,$B1057)=0)</f>
        <v>0</v>
      </c>
      <c r="I1057" s="9" t="b">
        <f t="shared" si="81"/>
        <v>1</v>
      </c>
      <c r="J1057" s="9" t="b">
        <f t="shared" si="82"/>
        <v>1</v>
      </c>
      <c r="K1057" s="9" t="b">
        <f t="shared" si="83"/>
        <v>1</v>
      </c>
      <c r="L1057" s="9" t="b">
        <f t="shared" si="84"/>
        <v>1</v>
      </c>
      <c r="M1057" s="1" t="b">
        <f>IF(OR(入力シート!$C$5&lt;&gt;入力リスト!$N$4,入力シート!$J$22&lt;&gt;入力リスト!$K$4),TRUE,IF($F$2=入力リスト!$Q$4,IF(F1057-INT(F1057)&lt;0.6,TRUE,FALSE),TRUE))</f>
        <v>1</v>
      </c>
      <c r="N1057" s="9" t="str">
        <f>IF(F1057="","",IF($F$2=入力リスト!$Q$4,ROUNDDOWN(INT(F1057)+ROUNDDOWN((F1057-INT(F1057))*100,0)/60,2),従業員の給与情報!F1057))</f>
        <v/>
      </c>
      <c r="O1057" s="8"/>
      <c r="P1057" s="8"/>
    </row>
    <row r="1058" spans="1:16">
      <c r="A1058" s="119"/>
      <c r="B1058" s="2"/>
      <c r="C1058" s="3"/>
      <c r="D1058" s="3"/>
      <c r="E1058" s="3"/>
      <c r="F1058" s="9"/>
      <c r="G1058" s="248" t="str">
        <f t="shared" si="80"/>
        <v/>
      </c>
      <c r="H1058" s="1" t="b">
        <f>IF(B1058="",FALSE,COUNTIF('従業員情報(給与以外)'!$A$4:$A$1000000,$B1058)=0)</f>
        <v>0</v>
      </c>
      <c r="I1058" s="9" t="b">
        <f t="shared" si="81"/>
        <v>1</v>
      </c>
      <c r="J1058" s="9" t="b">
        <f t="shared" si="82"/>
        <v>1</v>
      </c>
      <c r="K1058" s="9" t="b">
        <f t="shared" si="83"/>
        <v>1</v>
      </c>
      <c r="L1058" s="9" t="b">
        <f t="shared" si="84"/>
        <v>1</v>
      </c>
      <c r="M1058" s="1" t="b">
        <f>IF(OR(入力シート!$C$5&lt;&gt;入力リスト!$N$4,入力シート!$J$22&lt;&gt;入力リスト!$K$4),TRUE,IF($F$2=入力リスト!$Q$4,IF(F1058-INT(F1058)&lt;0.6,TRUE,FALSE),TRUE))</f>
        <v>1</v>
      </c>
      <c r="N1058" s="9" t="str">
        <f>IF(F1058="","",IF($F$2=入力リスト!$Q$4,ROUNDDOWN(INT(F1058)+ROUNDDOWN((F1058-INT(F1058))*100,0)/60,2),従業員の給与情報!F1058))</f>
        <v/>
      </c>
      <c r="O1058" s="8"/>
      <c r="P1058" s="8"/>
    </row>
    <row r="1059" spans="1:16">
      <c r="A1059" s="119"/>
      <c r="B1059" s="2"/>
      <c r="C1059" s="3"/>
      <c r="D1059" s="3"/>
      <c r="E1059" s="3"/>
      <c r="F1059" s="9"/>
      <c r="G1059" s="248" t="str">
        <f t="shared" si="80"/>
        <v/>
      </c>
      <c r="H1059" s="1" t="b">
        <f>IF(B1059="",FALSE,COUNTIF('従業員情報(給与以外)'!$A$4:$A$1000000,$B1059)=0)</f>
        <v>0</v>
      </c>
      <c r="I1059" s="9" t="b">
        <f t="shared" si="81"/>
        <v>1</v>
      </c>
      <c r="J1059" s="9" t="b">
        <f t="shared" si="82"/>
        <v>1</v>
      </c>
      <c r="K1059" s="9" t="b">
        <f t="shared" si="83"/>
        <v>1</v>
      </c>
      <c r="L1059" s="9" t="b">
        <f t="shared" si="84"/>
        <v>1</v>
      </c>
      <c r="M1059" s="1" t="b">
        <f>IF(OR(入力シート!$C$5&lt;&gt;入力リスト!$N$4,入力シート!$J$22&lt;&gt;入力リスト!$K$4),TRUE,IF($F$2=入力リスト!$Q$4,IF(F1059-INT(F1059)&lt;0.6,TRUE,FALSE),TRUE))</f>
        <v>1</v>
      </c>
      <c r="N1059" s="9" t="str">
        <f>IF(F1059="","",IF($F$2=入力リスト!$Q$4,ROUNDDOWN(INT(F1059)+ROUNDDOWN((F1059-INT(F1059))*100,0)/60,2),従業員の給与情報!F1059))</f>
        <v/>
      </c>
      <c r="O1059" s="8"/>
      <c r="P1059" s="8"/>
    </row>
    <row r="1060" spans="1:16">
      <c r="A1060" s="119"/>
      <c r="B1060" s="2"/>
      <c r="C1060" s="3"/>
      <c r="D1060" s="3"/>
      <c r="E1060" s="3"/>
      <c r="F1060" s="9"/>
      <c r="G1060" s="248" t="str">
        <f t="shared" si="80"/>
        <v/>
      </c>
      <c r="H1060" s="1" t="b">
        <f>IF(B1060="",FALSE,COUNTIF('従業員情報(給与以外)'!$A$4:$A$1000000,$B1060)=0)</f>
        <v>0</v>
      </c>
      <c r="I1060" s="9" t="b">
        <f t="shared" si="81"/>
        <v>1</v>
      </c>
      <c r="J1060" s="9" t="b">
        <f t="shared" si="82"/>
        <v>1</v>
      </c>
      <c r="K1060" s="9" t="b">
        <f t="shared" si="83"/>
        <v>1</v>
      </c>
      <c r="L1060" s="9" t="b">
        <f t="shared" si="84"/>
        <v>1</v>
      </c>
      <c r="M1060" s="1" t="b">
        <f>IF(OR(入力シート!$C$5&lt;&gt;入力リスト!$N$4,入力シート!$J$22&lt;&gt;入力リスト!$K$4),TRUE,IF($F$2=入力リスト!$Q$4,IF(F1060-INT(F1060)&lt;0.6,TRUE,FALSE),TRUE))</f>
        <v>1</v>
      </c>
      <c r="N1060" s="9" t="str">
        <f>IF(F1060="","",IF($F$2=入力リスト!$Q$4,ROUNDDOWN(INT(F1060)+ROUNDDOWN((F1060-INT(F1060))*100,0)/60,2),従業員の給与情報!F1060))</f>
        <v/>
      </c>
      <c r="O1060" s="8"/>
      <c r="P1060" s="8"/>
    </row>
    <row r="1061" spans="1:16">
      <c r="A1061" s="119"/>
      <c r="B1061" s="2"/>
      <c r="C1061" s="3"/>
      <c r="D1061" s="3"/>
      <c r="E1061" s="3"/>
      <c r="F1061" s="9"/>
      <c r="G1061" s="248" t="str">
        <f t="shared" si="80"/>
        <v/>
      </c>
      <c r="H1061" s="1" t="b">
        <f>IF(B1061="",FALSE,COUNTIF('従業員情報(給与以外)'!$A$4:$A$1000000,$B1061)=0)</f>
        <v>0</v>
      </c>
      <c r="I1061" s="9" t="b">
        <f t="shared" si="81"/>
        <v>1</v>
      </c>
      <c r="J1061" s="9" t="b">
        <f t="shared" si="82"/>
        <v>1</v>
      </c>
      <c r="K1061" s="9" t="b">
        <f t="shared" si="83"/>
        <v>1</v>
      </c>
      <c r="L1061" s="9" t="b">
        <f t="shared" si="84"/>
        <v>1</v>
      </c>
      <c r="M1061" s="1" t="b">
        <f>IF(OR(入力シート!$C$5&lt;&gt;入力リスト!$N$4,入力シート!$J$22&lt;&gt;入力リスト!$K$4),TRUE,IF($F$2=入力リスト!$Q$4,IF(F1061-INT(F1061)&lt;0.6,TRUE,FALSE),TRUE))</f>
        <v>1</v>
      </c>
      <c r="N1061" s="9" t="str">
        <f>IF(F1061="","",IF($F$2=入力リスト!$Q$4,ROUNDDOWN(INT(F1061)+ROUNDDOWN((F1061-INT(F1061))*100,0)/60,2),従業員の給与情報!F1061))</f>
        <v/>
      </c>
      <c r="O1061" s="8"/>
      <c r="P1061" s="8"/>
    </row>
    <row r="1062" spans="1:16">
      <c r="A1062" s="119"/>
      <c r="B1062" s="2"/>
      <c r="C1062" s="3"/>
      <c r="D1062" s="3"/>
      <c r="E1062" s="3"/>
      <c r="F1062" s="9"/>
      <c r="G1062" s="248" t="str">
        <f t="shared" si="80"/>
        <v/>
      </c>
      <c r="H1062" s="1" t="b">
        <f>IF(B1062="",FALSE,COUNTIF('従業員情報(給与以外)'!$A$4:$A$1000000,$B1062)=0)</f>
        <v>0</v>
      </c>
      <c r="I1062" s="9" t="b">
        <f t="shared" si="81"/>
        <v>1</v>
      </c>
      <c r="J1062" s="9" t="b">
        <f t="shared" si="82"/>
        <v>1</v>
      </c>
      <c r="K1062" s="9" t="b">
        <f t="shared" si="83"/>
        <v>1</v>
      </c>
      <c r="L1062" s="9" t="b">
        <f t="shared" si="84"/>
        <v>1</v>
      </c>
      <c r="M1062" s="1" t="b">
        <f>IF(OR(入力シート!$C$5&lt;&gt;入力リスト!$N$4,入力シート!$J$22&lt;&gt;入力リスト!$K$4),TRUE,IF($F$2=入力リスト!$Q$4,IF(F1062-INT(F1062)&lt;0.6,TRUE,FALSE),TRUE))</f>
        <v>1</v>
      </c>
      <c r="N1062" s="9" t="str">
        <f>IF(F1062="","",IF($F$2=入力リスト!$Q$4,ROUNDDOWN(INT(F1062)+ROUNDDOWN((F1062-INT(F1062))*100,0)/60,2),従業員の給与情報!F1062))</f>
        <v/>
      </c>
      <c r="O1062" s="8"/>
      <c r="P1062" s="8"/>
    </row>
    <row r="1063" spans="1:16">
      <c r="A1063" s="119"/>
      <c r="B1063" s="2"/>
      <c r="C1063" s="3"/>
      <c r="D1063" s="3"/>
      <c r="E1063" s="3"/>
      <c r="F1063" s="9"/>
      <c r="G1063" s="248" t="str">
        <f t="shared" si="80"/>
        <v/>
      </c>
      <c r="H1063" s="1" t="b">
        <f>IF(B1063="",FALSE,COUNTIF('従業員情報(給与以外)'!$A$4:$A$1000000,$B1063)=0)</f>
        <v>0</v>
      </c>
      <c r="I1063" s="9" t="b">
        <f t="shared" si="81"/>
        <v>1</v>
      </c>
      <c r="J1063" s="9" t="b">
        <f t="shared" si="82"/>
        <v>1</v>
      </c>
      <c r="K1063" s="9" t="b">
        <f t="shared" si="83"/>
        <v>1</v>
      </c>
      <c r="L1063" s="9" t="b">
        <f t="shared" si="84"/>
        <v>1</v>
      </c>
      <c r="M1063" s="1" t="b">
        <f>IF(OR(入力シート!$C$5&lt;&gt;入力リスト!$N$4,入力シート!$J$22&lt;&gt;入力リスト!$K$4),TRUE,IF($F$2=入力リスト!$Q$4,IF(F1063-INT(F1063)&lt;0.6,TRUE,FALSE),TRUE))</f>
        <v>1</v>
      </c>
      <c r="N1063" s="9" t="str">
        <f>IF(F1063="","",IF($F$2=入力リスト!$Q$4,ROUNDDOWN(INT(F1063)+ROUNDDOWN((F1063-INT(F1063))*100,0)/60,2),従業員の給与情報!F1063))</f>
        <v/>
      </c>
      <c r="O1063" s="8"/>
      <c r="P1063" s="8"/>
    </row>
    <row r="1064" spans="1:16">
      <c r="A1064" s="119"/>
      <c r="B1064" s="2"/>
      <c r="C1064" s="3"/>
      <c r="D1064" s="3"/>
      <c r="E1064" s="3"/>
      <c r="F1064" s="9"/>
      <c r="G1064" s="248" t="str">
        <f t="shared" si="80"/>
        <v/>
      </c>
      <c r="H1064" s="1" t="b">
        <f>IF(B1064="",FALSE,COUNTIF('従業員情報(給与以外)'!$A$4:$A$1000000,$B1064)=0)</f>
        <v>0</v>
      </c>
      <c r="I1064" s="9" t="b">
        <f t="shared" si="81"/>
        <v>1</v>
      </c>
      <c r="J1064" s="9" t="b">
        <f t="shared" si="82"/>
        <v>1</v>
      </c>
      <c r="K1064" s="9" t="b">
        <f t="shared" si="83"/>
        <v>1</v>
      </c>
      <c r="L1064" s="9" t="b">
        <f t="shared" si="84"/>
        <v>1</v>
      </c>
      <c r="M1064" s="1" t="b">
        <f>IF(OR(入力シート!$C$5&lt;&gt;入力リスト!$N$4,入力シート!$J$22&lt;&gt;入力リスト!$K$4),TRUE,IF($F$2=入力リスト!$Q$4,IF(F1064-INT(F1064)&lt;0.6,TRUE,FALSE),TRUE))</f>
        <v>1</v>
      </c>
      <c r="N1064" s="9" t="str">
        <f>IF(F1064="","",IF($F$2=入力リスト!$Q$4,ROUNDDOWN(INT(F1064)+ROUNDDOWN((F1064-INT(F1064))*100,0)/60,2),従業員の給与情報!F1064))</f>
        <v/>
      </c>
      <c r="O1064" s="8"/>
      <c r="P1064" s="8"/>
    </row>
    <row r="1065" spans="1:16">
      <c r="A1065" s="119"/>
      <c r="B1065" s="2"/>
      <c r="C1065" s="3"/>
      <c r="D1065" s="3"/>
      <c r="E1065" s="3"/>
      <c r="F1065" s="9"/>
      <c r="G1065" s="248" t="str">
        <f t="shared" si="80"/>
        <v/>
      </c>
      <c r="H1065" s="1" t="b">
        <f>IF(B1065="",FALSE,COUNTIF('従業員情報(給与以外)'!$A$4:$A$1000000,$B1065)=0)</f>
        <v>0</v>
      </c>
      <c r="I1065" s="9" t="b">
        <f t="shared" si="81"/>
        <v>1</v>
      </c>
      <c r="J1065" s="9" t="b">
        <f t="shared" si="82"/>
        <v>1</v>
      </c>
      <c r="K1065" s="9" t="b">
        <f t="shared" si="83"/>
        <v>1</v>
      </c>
      <c r="L1065" s="9" t="b">
        <f t="shared" si="84"/>
        <v>1</v>
      </c>
      <c r="M1065" s="1" t="b">
        <f>IF(OR(入力シート!$C$5&lt;&gt;入力リスト!$N$4,入力シート!$J$22&lt;&gt;入力リスト!$K$4),TRUE,IF($F$2=入力リスト!$Q$4,IF(F1065-INT(F1065)&lt;0.6,TRUE,FALSE),TRUE))</f>
        <v>1</v>
      </c>
      <c r="N1065" s="9" t="str">
        <f>IF(F1065="","",IF($F$2=入力リスト!$Q$4,ROUNDDOWN(INT(F1065)+ROUNDDOWN((F1065-INT(F1065))*100,0)/60,2),従業員の給与情報!F1065))</f>
        <v/>
      </c>
      <c r="O1065" s="8"/>
      <c r="P1065" s="8"/>
    </row>
    <row r="1066" spans="1:16">
      <c r="A1066" s="119"/>
      <c r="B1066" s="2"/>
      <c r="C1066" s="3"/>
      <c r="D1066" s="3"/>
      <c r="E1066" s="3"/>
      <c r="F1066" s="9"/>
      <c r="G1066" s="248" t="str">
        <f t="shared" si="80"/>
        <v/>
      </c>
      <c r="H1066" s="1" t="b">
        <f>IF(B1066="",FALSE,COUNTIF('従業員情報(給与以外)'!$A$4:$A$1000000,$B1066)=0)</f>
        <v>0</v>
      </c>
      <c r="I1066" s="9" t="b">
        <f t="shared" si="81"/>
        <v>1</v>
      </c>
      <c r="J1066" s="9" t="b">
        <f t="shared" si="82"/>
        <v>1</v>
      </c>
      <c r="K1066" s="9" t="b">
        <f t="shared" si="83"/>
        <v>1</v>
      </c>
      <c r="L1066" s="9" t="b">
        <f t="shared" si="84"/>
        <v>1</v>
      </c>
      <c r="M1066" s="1" t="b">
        <f>IF(OR(入力シート!$C$5&lt;&gt;入力リスト!$N$4,入力シート!$J$22&lt;&gt;入力リスト!$K$4),TRUE,IF($F$2=入力リスト!$Q$4,IF(F1066-INT(F1066)&lt;0.6,TRUE,FALSE),TRUE))</f>
        <v>1</v>
      </c>
      <c r="N1066" s="9" t="str">
        <f>IF(F1066="","",IF($F$2=入力リスト!$Q$4,ROUNDDOWN(INT(F1066)+ROUNDDOWN((F1066-INT(F1066))*100,0)/60,2),従業員の給与情報!F1066))</f>
        <v/>
      </c>
      <c r="O1066" s="8"/>
      <c r="P1066" s="8"/>
    </row>
    <row r="1067" spans="1:16">
      <c r="A1067" s="119"/>
      <c r="B1067" s="2"/>
      <c r="C1067" s="3"/>
      <c r="D1067" s="3"/>
      <c r="E1067" s="3"/>
      <c r="F1067" s="9"/>
      <c r="G1067" s="248" t="str">
        <f t="shared" si="80"/>
        <v/>
      </c>
      <c r="H1067" s="1" t="b">
        <f>IF(B1067="",FALSE,COUNTIF('従業員情報(給与以外)'!$A$4:$A$1000000,$B1067)=0)</f>
        <v>0</v>
      </c>
      <c r="I1067" s="9" t="b">
        <f t="shared" si="81"/>
        <v>1</v>
      </c>
      <c r="J1067" s="9" t="b">
        <f t="shared" si="82"/>
        <v>1</v>
      </c>
      <c r="K1067" s="9" t="b">
        <f t="shared" si="83"/>
        <v>1</v>
      </c>
      <c r="L1067" s="9" t="b">
        <f t="shared" si="84"/>
        <v>1</v>
      </c>
      <c r="M1067" s="1" t="b">
        <f>IF(OR(入力シート!$C$5&lt;&gt;入力リスト!$N$4,入力シート!$J$22&lt;&gt;入力リスト!$K$4),TRUE,IF($F$2=入力リスト!$Q$4,IF(F1067-INT(F1067)&lt;0.6,TRUE,FALSE),TRUE))</f>
        <v>1</v>
      </c>
      <c r="N1067" s="9" t="str">
        <f>IF(F1067="","",IF($F$2=入力リスト!$Q$4,ROUNDDOWN(INT(F1067)+ROUNDDOWN((F1067-INT(F1067))*100,0)/60,2),従業員の給与情報!F1067))</f>
        <v/>
      </c>
      <c r="O1067" s="8"/>
      <c r="P1067" s="8"/>
    </row>
    <row r="1068" spans="1:16">
      <c r="A1068" s="119"/>
      <c r="B1068" s="2"/>
      <c r="C1068" s="3"/>
      <c r="D1068" s="3"/>
      <c r="E1068" s="3"/>
      <c r="F1068" s="9"/>
      <c r="G1068" s="248" t="str">
        <f t="shared" si="80"/>
        <v/>
      </c>
      <c r="H1068" s="1" t="b">
        <f>IF(B1068="",FALSE,COUNTIF('従業員情報(給与以外)'!$A$4:$A$1000000,$B1068)=0)</f>
        <v>0</v>
      </c>
      <c r="I1068" s="9" t="b">
        <f t="shared" si="81"/>
        <v>1</v>
      </c>
      <c r="J1068" s="9" t="b">
        <f t="shared" si="82"/>
        <v>1</v>
      </c>
      <c r="K1068" s="9" t="b">
        <f t="shared" si="83"/>
        <v>1</v>
      </c>
      <c r="L1068" s="9" t="b">
        <f t="shared" si="84"/>
        <v>1</v>
      </c>
      <c r="M1068" s="1" t="b">
        <f>IF(OR(入力シート!$C$5&lt;&gt;入力リスト!$N$4,入力シート!$J$22&lt;&gt;入力リスト!$K$4),TRUE,IF($F$2=入力リスト!$Q$4,IF(F1068-INT(F1068)&lt;0.6,TRUE,FALSE),TRUE))</f>
        <v>1</v>
      </c>
      <c r="N1068" s="9" t="str">
        <f>IF(F1068="","",IF($F$2=入力リスト!$Q$4,ROUNDDOWN(INT(F1068)+ROUNDDOWN((F1068-INT(F1068))*100,0)/60,2),従業員の給与情報!F1068))</f>
        <v/>
      </c>
      <c r="O1068" s="8"/>
      <c r="P1068" s="8"/>
    </row>
    <row r="1069" spans="1:16">
      <c r="A1069" s="119"/>
      <c r="B1069" s="2"/>
      <c r="C1069" s="3"/>
      <c r="D1069" s="3"/>
      <c r="E1069" s="3"/>
      <c r="F1069" s="9"/>
      <c r="G1069" s="248" t="str">
        <f t="shared" si="80"/>
        <v/>
      </c>
      <c r="H1069" s="1" t="b">
        <f>IF(B1069="",FALSE,COUNTIF('従業員情報(給与以外)'!$A$4:$A$1000000,$B1069)=0)</f>
        <v>0</v>
      </c>
      <c r="I1069" s="9" t="b">
        <f t="shared" si="81"/>
        <v>1</v>
      </c>
      <c r="J1069" s="9" t="b">
        <f t="shared" si="82"/>
        <v>1</v>
      </c>
      <c r="K1069" s="9" t="b">
        <f t="shared" si="83"/>
        <v>1</v>
      </c>
      <c r="L1069" s="9" t="b">
        <f t="shared" si="84"/>
        <v>1</v>
      </c>
      <c r="M1069" s="1" t="b">
        <f>IF(OR(入力シート!$C$5&lt;&gt;入力リスト!$N$4,入力シート!$J$22&lt;&gt;入力リスト!$K$4),TRUE,IF($F$2=入力リスト!$Q$4,IF(F1069-INT(F1069)&lt;0.6,TRUE,FALSE),TRUE))</f>
        <v>1</v>
      </c>
      <c r="N1069" s="9" t="str">
        <f>IF(F1069="","",IF($F$2=入力リスト!$Q$4,ROUNDDOWN(INT(F1069)+ROUNDDOWN((F1069-INT(F1069))*100,0)/60,2),従業員の給与情報!F1069))</f>
        <v/>
      </c>
      <c r="O1069" s="8"/>
      <c r="P1069" s="8"/>
    </row>
    <row r="1070" spans="1:16">
      <c r="A1070" s="119"/>
      <c r="B1070" s="2"/>
      <c r="C1070" s="3"/>
      <c r="D1070" s="3"/>
      <c r="E1070" s="3"/>
      <c r="F1070" s="9"/>
      <c r="G1070" s="248" t="str">
        <f t="shared" si="80"/>
        <v/>
      </c>
      <c r="H1070" s="1" t="b">
        <f>IF(B1070="",FALSE,COUNTIF('従業員情報(給与以外)'!$A$4:$A$1000000,$B1070)=0)</f>
        <v>0</v>
      </c>
      <c r="I1070" s="9" t="b">
        <f t="shared" si="81"/>
        <v>1</v>
      </c>
      <c r="J1070" s="9" t="b">
        <f t="shared" si="82"/>
        <v>1</v>
      </c>
      <c r="K1070" s="9" t="b">
        <f t="shared" si="83"/>
        <v>1</v>
      </c>
      <c r="L1070" s="9" t="b">
        <f t="shared" si="84"/>
        <v>1</v>
      </c>
      <c r="M1070" s="1" t="b">
        <f>IF(OR(入力シート!$C$5&lt;&gt;入力リスト!$N$4,入力シート!$J$22&lt;&gt;入力リスト!$K$4),TRUE,IF($F$2=入力リスト!$Q$4,IF(F1070-INT(F1070)&lt;0.6,TRUE,FALSE),TRUE))</f>
        <v>1</v>
      </c>
      <c r="N1070" s="9" t="str">
        <f>IF(F1070="","",IF($F$2=入力リスト!$Q$4,ROUNDDOWN(INT(F1070)+ROUNDDOWN((F1070-INT(F1070))*100,0)/60,2),従業員の給与情報!F1070))</f>
        <v/>
      </c>
      <c r="O1070" s="8"/>
      <c r="P1070" s="8"/>
    </row>
    <row r="1071" spans="1:16">
      <c r="A1071" s="119"/>
      <c r="B1071" s="2"/>
      <c r="C1071" s="3"/>
      <c r="D1071" s="3"/>
      <c r="E1071" s="3"/>
      <c r="F1071" s="9"/>
      <c r="G1071" s="248" t="str">
        <f t="shared" si="80"/>
        <v/>
      </c>
      <c r="H1071" s="1" t="b">
        <f>IF(B1071="",FALSE,COUNTIF('従業員情報(給与以外)'!$A$4:$A$1000000,$B1071)=0)</f>
        <v>0</v>
      </c>
      <c r="I1071" s="9" t="b">
        <f t="shared" si="81"/>
        <v>1</v>
      </c>
      <c r="J1071" s="9" t="b">
        <f t="shared" si="82"/>
        <v>1</v>
      </c>
      <c r="K1071" s="9" t="b">
        <f t="shared" si="83"/>
        <v>1</v>
      </c>
      <c r="L1071" s="9" t="b">
        <f t="shared" si="84"/>
        <v>1</v>
      </c>
      <c r="M1071" s="1" t="b">
        <f>IF(OR(入力シート!$C$5&lt;&gt;入力リスト!$N$4,入力シート!$J$22&lt;&gt;入力リスト!$K$4),TRUE,IF($F$2=入力リスト!$Q$4,IF(F1071-INT(F1071)&lt;0.6,TRUE,FALSE),TRUE))</f>
        <v>1</v>
      </c>
      <c r="N1071" s="9" t="str">
        <f>IF(F1071="","",IF($F$2=入力リスト!$Q$4,ROUNDDOWN(INT(F1071)+ROUNDDOWN((F1071-INT(F1071))*100,0)/60,2),従業員の給与情報!F1071))</f>
        <v/>
      </c>
      <c r="O1071" s="8"/>
      <c r="P1071" s="8"/>
    </row>
    <row r="1072" spans="1:16">
      <c r="A1072" s="119"/>
      <c r="B1072" s="2"/>
      <c r="C1072" s="3"/>
      <c r="D1072" s="3"/>
      <c r="E1072" s="3"/>
      <c r="F1072" s="9"/>
      <c r="G1072" s="248" t="str">
        <f t="shared" si="80"/>
        <v/>
      </c>
      <c r="H1072" s="1" t="b">
        <f>IF(B1072="",FALSE,COUNTIF('従業員情報(給与以外)'!$A$4:$A$1000000,$B1072)=0)</f>
        <v>0</v>
      </c>
      <c r="I1072" s="9" t="b">
        <f t="shared" si="81"/>
        <v>1</v>
      </c>
      <c r="J1072" s="9" t="b">
        <f t="shared" si="82"/>
        <v>1</v>
      </c>
      <c r="K1072" s="9" t="b">
        <f t="shared" si="83"/>
        <v>1</v>
      </c>
      <c r="L1072" s="9" t="b">
        <f t="shared" si="84"/>
        <v>1</v>
      </c>
      <c r="M1072" s="1" t="b">
        <f>IF(OR(入力シート!$C$5&lt;&gt;入力リスト!$N$4,入力シート!$J$22&lt;&gt;入力リスト!$K$4),TRUE,IF($F$2=入力リスト!$Q$4,IF(F1072-INT(F1072)&lt;0.6,TRUE,FALSE),TRUE))</f>
        <v>1</v>
      </c>
      <c r="N1072" s="9" t="str">
        <f>IF(F1072="","",IF($F$2=入力リスト!$Q$4,ROUNDDOWN(INT(F1072)+ROUNDDOWN((F1072-INT(F1072))*100,0)/60,2),従業員の給与情報!F1072))</f>
        <v/>
      </c>
      <c r="O1072" s="8"/>
      <c r="P1072" s="8"/>
    </row>
    <row r="1073" spans="1:16">
      <c r="A1073" s="119"/>
      <c r="B1073" s="2"/>
      <c r="C1073" s="3"/>
      <c r="D1073" s="3"/>
      <c r="E1073" s="3"/>
      <c r="F1073" s="9"/>
      <c r="G1073" s="248" t="str">
        <f t="shared" si="80"/>
        <v/>
      </c>
      <c r="H1073" s="1" t="b">
        <f>IF(B1073="",FALSE,COUNTIF('従業員情報(給与以外)'!$A$4:$A$1000000,$B1073)=0)</f>
        <v>0</v>
      </c>
      <c r="I1073" s="9" t="b">
        <f t="shared" si="81"/>
        <v>1</v>
      </c>
      <c r="J1073" s="9" t="b">
        <f t="shared" si="82"/>
        <v>1</v>
      </c>
      <c r="K1073" s="9" t="b">
        <f t="shared" si="83"/>
        <v>1</v>
      </c>
      <c r="L1073" s="9" t="b">
        <f t="shared" si="84"/>
        <v>1</v>
      </c>
      <c r="M1073" s="1" t="b">
        <f>IF(OR(入力シート!$C$5&lt;&gt;入力リスト!$N$4,入力シート!$J$22&lt;&gt;入力リスト!$K$4),TRUE,IF($F$2=入力リスト!$Q$4,IF(F1073-INT(F1073)&lt;0.6,TRUE,FALSE),TRUE))</f>
        <v>1</v>
      </c>
      <c r="N1073" s="9" t="str">
        <f>IF(F1073="","",IF($F$2=入力リスト!$Q$4,ROUNDDOWN(INT(F1073)+ROUNDDOWN((F1073-INT(F1073))*100,0)/60,2),従業員の給与情報!F1073))</f>
        <v/>
      </c>
      <c r="O1073" s="8"/>
      <c r="P1073" s="8"/>
    </row>
    <row r="1074" spans="1:16">
      <c r="A1074" s="119"/>
      <c r="B1074" s="2"/>
      <c r="C1074" s="3"/>
      <c r="D1074" s="3"/>
      <c r="E1074" s="3"/>
      <c r="F1074" s="9"/>
      <c r="G1074" s="248" t="str">
        <f t="shared" si="80"/>
        <v/>
      </c>
      <c r="H1074" s="1" t="b">
        <f>IF(B1074="",FALSE,COUNTIF('従業員情報(給与以外)'!$A$4:$A$1000000,$B1074)=0)</f>
        <v>0</v>
      </c>
      <c r="I1074" s="9" t="b">
        <f t="shared" si="81"/>
        <v>1</v>
      </c>
      <c r="J1074" s="9" t="b">
        <f t="shared" si="82"/>
        <v>1</v>
      </c>
      <c r="K1074" s="9" t="b">
        <f t="shared" si="83"/>
        <v>1</v>
      </c>
      <c r="L1074" s="9" t="b">
        <f t="shared" si="84"/>
        <v>1</v>
      </c>
      <c r="M1074" s="1" t="b">
        <f>IF(OR(入力シート!$C$5&lt;&gt;入力リスト!$N$4,入力シート!$J$22&lt;&gt;入力リスト!$K$4),TRUE,IF($F$2=入力リスト!$Q$4,IF(F1074-INT(F1074)&lt;0.6,TRUE,FALSE),TRUE))</f>
        <v>1</v>
      </c>
      <c r="N1074" s="9" t="str">
        <f>IF(F1074="","",IF($F$2=入力リスト!$Q$4,ROUNDDOWN(INT(F1074)+ROUNDDOWN((F1074-INT(F1074))*100,0)/60,2),従業員の給与情報!F1074))</f>
        <v/>
      </c>
      <c r="O1074" s="8"/>
      <c r="P1074" s="8"/>
    </row>
    <row r="1075" spans="1:16">
      <c r="A1075" s="119"/>
      <c r="B1075" s="2"/>
      <c r="C1075" s="3"/>
      <c r="D1075" s="3"/>
      <c r="E1075" s="3"/>
      <c r="F1075" s="9"/>
      <c r="G1075" s="248" t="str">
        <f t="shared" si="80"/>
        <v/>
      </c>
      <c r="H1075" s="1" t="b">
        <f>IF(B1075="",FALSE,COUNTIF('従業員情報(給与以外)'!$A$4:$A$1000000,$B1075)=0)</f>
        <v>0</v>
      </c>
      <c r="I1075" s="9" t="b">
        <f t="shared" si="81"/>
        <v>1</v>
      </c>
      <c r="J1075" s="9" t="b">
        <f t="shared" si="82"/>
        <v>1</v>
      </c>
      <c r="K1075" s="9" t="b">
        <f t="shared" si="83"/>
        <v>1</v>
      </c>
      <c r="L1075" s="9" t="b">
        <f t="shared" si="84"/>
        <v>1</v>
      </c>
      <c r="M1075" s="1" t="b">
        <f>IF(OR(入力シート!$C$5&lt;&gt;入力リスト!$N$4,入力シート!$J$22&lt;&gt;入力リスト!$K$4),TRUE,IF($F$2=入力リスト!$Q$4,IF(F1075-INT(F1075)&lt;0.6,TRUE,FALSE),TRUE))</f>
        <v>1</v>
      </c>
      <c r="N1075" s="9" t="str">
        <f>IF(F1075="","",IF($F$2=入力リスト!$Q$4,ROUNDDOWN(INT(F1075)+ROUNDDOWN((F1075-INT(F1075))*100,0)/60,2),従業員の給与情報!F1075))</f>
        <v/>
      </c>
      <c r="O1075" s="8"/>
      <c r="P1075" s="8"/>
    </row>
    <row r="1076" spans="1:16">
      <c r="A1076" s="119"/>
      <c r="B1076" s="2"/>
      <c r="C1076" s="3"/>
      <c r="D1076" s="3"/>
      <c r="E1076" s="3"/>
      <c r="F1076" s="9"/>
      <c r="G1076" s="248" t="str">
        <f t="shared" si="80"/>
        <v/>
      </c>
      <c r="H1076" s="1" t="b">
        <f>IF(B1076="",FALSE,COUNTIF('従業員情報(給与以外)'!$A$4:$A$1000000,$B1076)=0)</f>
        <v>0</v>
      </c>
      <c r="I1076" s="9" t="b">
        <f t="shared" si="81"/>
        <v>1</v>
      </c>
      <c r="J1076" s="9" t="b">
        <f t="shared" si="82"/>
        <v>1</v>
      </c>
      <c r="K1076" s="9" t="b">
        <f t="shared" si="83"/>
        <v>1</v>
      </c>
      <c r="L1076" s="9" t="b">
        <f t="shared" si="84"/>
        <v>1</v>
      </c>
      <c r="M1076" s="1" t="b">
        <f>IF(OR(入力シート!$C$5&lt;&gt;入力リスト!$N$4,入力シート!$J$22&lt;&gt;入力リスト!$K$4),TRUE,IF($F$2=入力リスト!$Q$4,IF(F1076-INT(F1076)&lt;0.6,TRUE,FALSE),TRUE))</f>
        <v>1</v>
      </c>
      <c r="N1076" s="9" t="str">
        <f>IF(F1076="","",IF($F$2=入力リスト!$Q$4,ROUNDDOWN(INT(F1076)+ROUNDDOWN((F1076-INT(F1076))*100,0)/60,2),従業員の給与情報!F1076))</f>
        <v/>
      </c>
      <c r="O1076" s="8"/>
      <c r="P1076" s="8"/>
    </row>
    <row r="1077" spans="1:16">
      <c r="A1077" s="119"/>
      <c r="B1077" s="2"/>
      <c r="C1077" s="3"/>
      <c r="D1077" s="3"/>
      <c r="E1077" s="3"/>
      <c r="F1077" s="9"/>
      <c r="G1077" s="248" t="str">
        <f t="shared" si="80"/>
        <v/>
      </c>
      <c r="H1077" s="1" t="b">
        <f>IF(B1077="",FALSE,COUNTIF('従業員情報(給与以外)'!$A$4:$A$1000000,$B1077)=0)</f>
        <v>0</v>
      </c>
      <c r="I1077" s="9" t="b">
        <f t="shared" si="81"/>
        <v>1</v>
      </c>
      <c r="J1077" s="9" t="b">
        <f t="shared" si="82"/>
        <v>1</v>
      </c>
      <c r="K1077" s="9" t="b">
        <f t="shared" si="83"/>
        <v>1</v>
      </c>
      <c r="L1077" s="9" t="b">
        <f t="shared" si="84"/>
        <v>1</v>
      </c>
      <c r="M1077" s="1" t="b">
        <f>IF(OR(入力シート!$C$5&lt;&gt;入力リスト!$N$4,入力シート!$J$22&lt;&gt;入力リスト!$K$4),TRUE,IF($F$2=入力リスト!$Q$4,IF(F1077-INT(F1077)&lt;0.6,TRUE,FALSE),TRUE))</f>
        <v>1</v>
      </c>
      <c r="N1077" s="9" t="str">
        <f>IF(F1077="","",IF($F$2=入力リスト!$Q$4,ROUNDDOWN(INT(F1077)+ROUNDDOWN((F1077-INT(F1077))*100,0)/60,2),従業員の給与情報!F1077))</f>
        <v/>
      </c>
      <c r="O1077" s="8"/>
      <c r="P1077" s="8"/>
    </row>
    <row r="1078" spans="1:16">
      <c r="A1078" s="119"/>
      <c r="B1078" s="2"/>
      <c r="C1078" s="3"/>
      <c r="D1078" s="3"/>
      <c r="E1078" s="3"/>
      <c r="F1078" s="9"/>
      <c r="G1078" s="248" t="str">
        <f t="shared" si="80"/>
        <v/>
      </c>
      <c r="H1078" s="1" t="b">
        <f>IF(B1078="",FALSE,COUNTIF('従業員情報(給与以外)'!$A$4:$A$1000000,$B1078)=0)</f>
        <v>0</v>
      </c>
      <c r="I1078" s="9" t="b">
        <f t="shared" si="81"/>
        <v>1</v>
      </c>
      <c r="J1078" s="9" t="b">
        <f t="shared" si="82"/>
        <v>1</v>
      </c>
      <c r="K1078" s="9" t="b">
        <f t="shared" si="83"/>
        <v>1</v>
      </c>
      <c r="L1078" s="9" t="b">
        <f t="shared" si="84"/>
        <v>1</v>
      </c>
      <c r="M1078" s="1" t="b">
        <f>IF(OR(入力シート!$C$5&lt;&gt;入力リスト!$N$4,入力シート!$J$22&lt;&gt;入力リスト!$K$4),TRUE,IF($F$2=入力リスト!$Q$4,IF(F1078-INT(F1078)&lt;0.6,TRUE,FALSE),TRUE))</f>
        <v>1</v>
      </c>
      <c r="N1078" s="9" t="str">
        <f>IF(F1078="","",IF($F$2=入力リスト!$Q$4,ROUNDDOWN(INT(F1078)+ROUNDDOWN((F1078-INT(F1078))*100,0)/60,2),従業員の給与情報!F1078))</f>
        <v/>
      </c>
      <c r="O1078" s="8"/>
      <c r="P1078" s="8"/>
    </row>
    <row r="1079" spans="1:16">
      <c r="A1079" s="119"/>
      <c r="B1079" s="2"/>
      <c r="C1079" s="3"/>
      <c r="D1079" s="3"/>
      <c r="E1079" s="3"/>
      <c r="F1079" s="9"/>
      <c r="G1079" s="248" t="str">
        <f t="shared" si="80"/>
        <v/>
      </c>
      <c r="H1079" s="1" t="b">
        <f>IF(B1079="",FALSE,COUNTIF('従業員情報(給与以外)'!$A$4:$A$1000000,$B1079)=0)</f>
        <v>0</v>
      </c>
      <c r="I1079" s="9" t="b">
        <f t="shared" si="81"/>
        <v>1</v>
      </c>
      <c r="J1079" s="9" t="b">
        <f t="shared" si="82"/>
        <v>1</v>
      </c>
      <c r="K1079" s="9" t="b">
        <f t="shared" si="83"/>
        <v>1</v>
      </c>
      <c r="L1079" s="9" t="b">
        <f t="shared" si="84"/>
        <v>1</v>
      </c>
      <c r="M1079" s="1" t="b">
        <f>IF(OR(入力シート!$C$5&lt;&gt;入力リスト!$N$4,入力シート!$J$22&lt;&gt;入力リスト!$K$4),TRUE,IF($F$2=入力リスト!$Q$4,IF(F1079-INT(F1079)&lt;0.6,TRUE,FALSE),TRUE))</f>
        <v>1</v>
      </c>
      <c r="N1079" s="9" t="str">
        <f>IF(F1079="","",IF($F$2=入力リスト!$Q$4,ROUNDDOWN(INT(F1079)+ROUNDDOWN((F1079-INT(F1079))*100,0)/60,2),従業員の給与情報!F1079))</f>
        <v/>
      </c>
      <c r="O1079" s="8"/>
      <c r="P1079" s="8"/>
    </row>
    <row r="1080" spans="1:16">
      <c r="A1080" s="119"/>
      <c r="B1080" s="2"/>
      <c r="C1080" s="3"/>
      <c r="D1080" s="3"/>
      <c r="E1080" s="3"/>
      <c r="F1080" s="9"/>
      <c r="G1080" s="248" t="str">
        <f t="shared" si="80"/>
        <v/>
      </c>
      <c r="H1080" s="1" t="b">
        <f>IF(B1080="",FALSE,COUNTIF('従業員情報(給与以外)'!$A$4:$A$1000000,$B1080)=0)</f>
        <v>0</v>
      </c>
      <c r="I1080" s="9" t="b">
        <f t="shared" si="81"/>
        <v>1</v>
      </c>
      <c r="J1080" s="9" t="b">
        <f t="shared" si="82"/>
        <v>1</v>
      </c>
      <c r="K1080" s="9" t="b">
        <f t="shared" si="83"/>
        <v>1</v>
      </c>
      <c r="L1080" s="9" t="b">
        <f t="shared" si="84"/>
        <v>1</v>
      </c>
      <c r="M1080" s="1" t="b">
        <f>IF(OR(入力シート!$C$5&lt;&gt;入力リスト!$N$4,入力シート!$J$22&lt;&gt;入力リスト!$K$4),TRUE,IF($F$2=入力リスト!$Q$4,IF(F1080-INT(F1080)&lt;0.6,TRUE,FALSE),TRUE))</f>
        <v>1</v>
      </c>
      <c r="N1080" s="9" t="str">
        <f>IF(F1080="","",IF($F$2=入力リスト!$Q$4,ROUNDDOWN(INT(F1080)+ROUNDDOWN((F1080-INT(F1080))*100,0)/60,2),従業員の給与情報!F1080))</f>
        <v/>
      </c>
      <c r="O1080" s="8"/>
      <c r="P1080" s="8"/>
    </row>
    <row r="1081" spans="1:16">
      <c r="A1081" s="119"/>
      <c r="B1081" s="2"/>
      <c r="C1081" s="3"/>
      <c r="D1081" s="3"/>
      <c r="E1081" s="3"/>
      <c r="F1081" s="9"/>
      <c r="G1081" s="248" t="str">
        <f t="shared" si="80"/>
        <v/>
      </c>
      <c r="H1081" s="1" t="b">
        <f>IF(B1081="",FALSE,COUNTIF('従業員情報(給与以外)'!$A$4:$A$1000000,$B1081)=0)</f>
        <v>0</v>
      </c>
      <c r="I1081" s="9" t="b">
        <f t="shared" si="81"/>
        <v>1</v>
      </c>
      <c r="J1081" s="9" t="b">
        <f t="shared" si="82"/>
        <v>1</v>
      </c>
      <c r="K1081" s="9" t="b">
        <f t="shared" si="83"/>
        <v>1</v>
      </c>
      <c r="L1081" s="9" t="b">
        <f t="shared" si="84"/>
        <v>1</v>
      </c>
      <c r="M1081" s="1" t="b">
        <f>IF(OR(入力シート!$C$5&lt;&gt;入力リスト!$N$4,入力シート!$J$22&lt;&gt;入力リスト!$K$4),TRUE,IF($F$2=入力リスト!$Q$4,IF(F1081-INT(F1081)&lt;0.6,TRUE,FALSE),TRUE))</f>
        <v>1</v>
      </c>
      <c r="N1081" s="9" t="str">
        <f>IF(F1081="","",IF($F$2=入力リスト!$Q$4,ROUNDDOWN(INT(F1081)+ROUNDDOWN((F1081-INT(F1081))*100,0)/60,2),従業員の給与情報!F1081))</f>
        <v/>
      </c>
      <c r="O1081" s="8"/>
      <c r="P1081" s="8"/>
    </row>
    <row r="1082" spans="1:16">
      <c r="A1082" s="119"/>
      <c r="B1082" s="2"/>
      <c r="C1082" s="3"/>
      <c r="D1082" s="3"/>
      <c r="E1082" s="3"/>
      <c r="F1082" s="9"/>
      <c r="G1082" s="248" t="str">
        <f t="shared" si="80"/>
        <v/>
      </c>
      <c r="H1082" s="1" t="b">
        <f>IF(B1082="",FALSE,COUNTIF('従業員情報(給与以外)'!$A$4:$A$1000000,$B1082)=0)</f>
        <v>0</v>
      </c>
      <c r="I1082" s="9" t="b">
        <f t="shared" si="81"/>
        <v>1</v>
      </c>
      <c r="J1082" s="9" t="b">
        <f t="shared" si="82"/>
        <v>1</v>
      </c>
      <c r="K1082" s="9" t="b">
        <f t="shared" si="83"/>
        <v>1</v>
      </c>
      <c r="L1082" s="9" t="b">
        <f t="shared" si="84"/>
        <v>1</v>
      </c>
      <c r="M1082" s="1" t="b">
        <f>IF(OR(入力シート!$C$5&lt;&gt;入力リスト!$N$4,入力シート!$J$22&lt;&gt;入力リスト!$K$4),TRUE,IF($F$2=入力リスト!$Q$4,IF(F1082-INT(F1082)&lt;0.6,TRUE,FALSE),TRUE))</f>
        <v>1</v>
      </c>
      <c r="N1082" s="9" t="str">
        <f>IF(F1082="","",IF($F$2=入力リスト!$Q$4,ROUNDDOWN(INT(F1082)+ROUNDDOWN((F1082-INT(F1082))*100,0)/60,2),従業員の給与情報!F1082))</f>
        <v/>
      </c>
      <c r="O1082" s="8"/>
      <c r="P1082" s="8"/>
    </row>
    <row r="1083" spans="1:16">
      <c r="A1083" s="119"/>
      <c r="B1083" s="2"/>
      <c r="C1083" s="3"/>
      <c r="D1083" s="3"/>
      <c r="E1083" s="3"/>
      <c r="F1083" s="9"/>
      <c r="G1083" s="248" t="str">
        <f t="shared" si="80"/>
        <v/>
      </c>
      <c r="H1083" s="1" t="b">
        <f>IF(B1083="",FALSE,COUNTIF('従業員情報(給与以外)'!$A$4:$A$1000000,$B1083)=0)</f>
        <v>0</v>
      </c>
      <c r="I1083" s="9" t="b">
        <f t="shared" si="81"/>
        <v>1</v>
      </c>
      <c r="J1083" s="9" t="b">
        <f t="shared" si="82"/>
        <v>1</v>
      </c>
      <c r="K1083" s="9" t="b">
        <f t="shared" si="83"/>
        <v>1</v>
      </c>
      <c r="L1083" s="9" t="b">
        <f t="shared" si="84"/>
        <v>1</v>
      </c>
      <c r="M1083" s="1" t="b">
        <f>IF(OR(入力シート!$C$5&lt;&gt;入力リスト!$N$4,入力シート!$J$22&lt;&gt;入力リスト!$K$4),TRUE,IF($F$2=入力リスト!$Q$4,IF(F1083-INT(F1083)&lt;0.6,TRUE,FALSE),TRUE))</f>
        <v>1</v>
      </c>
      <c r="N1083" s="9" t="str">
        <f>IF(F1083="","",IF($F$2=入力リスト!$Q$4,ROUNDDOWN(INT(F1083)+ROUNDDOWN((F1083-INT(F1083))*100,0)/60,2),従業員の給与情報!F1083))</f>
        <v/>
      </c>
      <c r="O1083" s="8"/>
      <c r="P1083" s="8"/>
    </row>
    <row r="1084" spans="1:16">
      <c r="A1084" s="119"/>
      <c r="B1084" s="2"/>
      <c r="C1084" s="3"/>
      <c r="D1084" s="3"/>
      <c r="E1084" s="3"/>
      <c r="F1084" s="9"/>
      <c r="G1084" s="248" t="str">
        <f t="shared" si="80"/>
        <v/>
      </c>
      <c r="H1084" s="1" t="b">
        <f>IF(B1084="",FALSE,COUNTIF('従業員情報(給与以外)'!$A$4:$A$1000000,$B1084)=0)</f>
        <v>0</v>
      </c>
      <c r="I1084" s="9" t="b">
        <f t="shared" si="81"/>
        <v>1</v>
      </c>
      <c r="J1084" s="9" t="b">
        <f t="shared" si="82"/>
        <v>1</v>
      </c>
      <c r="K1084" s="9" t="b">
        <f t="shared" si="83"/>
        <v>1</v>
      </c>
      <c r="L1084" s="9" t="b">
        <f t="shared" si="84"/>
        <v>1</v>
      </c>
      <c r="M1084" s="1" t="b">
        <f>IF(OR(入力シート!$C$5&lt;&gt;入力リスト!$N$4,入力シート!$J$22&lt;&gt;入力リスト!$K$4),TRUE,IF($F$2=入力リスト!$Q$4,IF(F1084-INT(F1084)&lt;0.6,TRUE,FALSE),TRUE))</f>
        <v>1</v>
      </c>
      <c r="N1084" s="9" t="str">
        <f>IF(F1084="","",IF($F$2=入力リスト!$Q$4,ROUNDDOWN(INT(F1084)+ROUNDDOWN((F1084-INT(F1084))*100,0)/60,2),従業員の給与情報!F1084))</f>
        <v/>
      </c>
      <c r="O1084" s="8"/>
      <c r="P1084" s="8"/>
    </row>
    <row r="1085" spans="1:16">
      <c r="A1085" s="119"/>
      <c r="B1085" s="2"/>
      <c r="C1085" s="3"/>
      <c r="D1085" s="3"/>
      <c r="E1085" s="3"/>
      <c r="F1085" s="9"/>
      <c r="G1085" s="248" t="str">
        <f t="shared" si="80"/>
        <v/>
      </c>
      <c r="H1085" s="1" t="b">
        <f>IF(B1085="",FALSE,COUNTIF('従業員情報(給与以外)'!$A$4:$A$1000000,$B1085)=0)</f>
        <v>0</v>
      </c>
      <c r="I1085" s="9" t="b">
        <f t="shared" si="81"/>
        <v>1</v>
      </c>
      <c r="J1085" s="9" t="b">
        <f t="shared" si="82"/>
        <v>1</v>
      </c>
      <c r="K1085" s="9" t="b">
        <f t="shared" si="83"/>
        <v>1</v>
      </c>
      <c r="L1085" s="9" t="b">
        <f t="shared" si="84"/>
        <v>1</v>
      </c>
      <c r="M1085" s="1" t="b">
        <f>IF(OR(入力シート!$C$5&lt;&gt;入力リスト!$N$4,入力シート!$J$22&lt;&gt;入力リスト!$K$4),TRUE,IF($F$2=入力リスト!$Q$4,IF(F1085-INT(F1085)&lt;0.6,TRUE,FALSE),TRUE))</f>
        <v>1</v>
      </c>
      <c r="N1085" s="9" t="str">
        <f>IF(F1085="","",IF($F$2=入力リスト!$Q$4,ROUNDDOWN(INT(F1085)+ROUNDDOWN((F1085-INT(F1085))*100,0)/60,2),従業員の給与情報!F1085))</f>
        <v/>
      </c>
      <c r="O1085" s="8"/>
      <c r="P1085" s="8"/>
    </row>
    <row r="1086" spans="1:16">
      <c r="A1086" s="119"/>
      <c r="B1086" s="2"/>
      <c r="C1086" s="3"/>
      <c r="D1086" s="3"/>
      <c r="E1086" s="3"/>
      <c r="F1086" s="9"/>
      <c r="G1086" s="248" t="str">
        <f t="shared" si="80"/>
        <v/>
      </c>
      <c r="H1086" s="1" t="b">
        <f>IF(B1086="",FALSE,COUNTIF('従業員情報(給与以外)'!$A$4:$A$1000000,$B1086)=0)</f>
        <v>0</v>
      </c>
      <c r="I1086" s="9" t="b">
        <f t="shared" si="81"/>
        <v>1</v>
      </c>
      <c r="J1086" s="9" t="b">
        <f t="shared" si="82"/>
        <v>1</v>
      </c>
      <c r="K1086" s="9" t="b">
        <f t="shared" si="83"/>
        <v>1</v>
      </c>
      <c r="L1086" s="9" t="b">
        <f t="shared" si="84"/>
        <v>1</v>
      </c>
      <c r="M1086" s="1" t="b">
        <f>IF(OR(入力シート!$C$5&lt;&gt;入力リスト!$N$4,入力シート!$J$22&lt;&gt;入力リスト!$K$4),TRUE,IF($F$2=入力リスト!$Q$4,IF(F1086-INT(F1086)&lt;0.6,TRUE,FALSE),TRUE))</f>
        <v>1</v>
      </c>
      <c r="N1086" s="9" t="str">
        <f>IF(F1086="","",IF($F$2=入力リスト!$Q$4,ROUNDDOWN(INT(F1086)+ROUNDDOWN((F1086-INT(F1086))*100,0)/60,2),従業員の給与情報!F1086))</f>
        <v/>
      </c>
      <c r="O1086" s="8"/>
      <c r="P1086" s="8"/>
    </row>
    <row r="1087" spans="1:16">
      <c r="A1087" s="119"/>
      <c r="B1087" s="2"/>
      <c r="C1087" s="3"/>
      <c r="D1087" s="3"/>
      <c r="E1087" s="3"/>
      <c r="F1087" s="9"/>
      <c r="G1087" s="248" t="str">
        <f t="shared" si="80"/>
        <v/>
      </c>
      <c r="H1087" s="1" t="b">
        <f>IF(B1087="",FALSE,COUNTIF('従業員情報(給与以外)'!$A$4:$A$1000000,$B1087)=0)</f>
        <v>0</v>
      </c>
      <c r="I1087" s="9" t="b">
        <f t="shared" si="81"/>
        <v>1</v>
      </c>
      <c r="J1087" s="9" t="b">
        <f t="shared" si="82"/>
        <v>1</v>
      </c>
      <c r="K1087" s="9" t="b">
        <f t="shared" si="83"/>
        <v>1</v>
      </c>
      <c r="L1087" s="9" t="b">
        <f t="shared" si="84"/>
        <v>1</v>
      </c>
      <c r="M1087" s="1" t="b">
        <f>IF(OR(入力シート!$C$5&lt;&gt;入力リスト!$N$4,入力シート!$J$22&lt;&gt;入力リスト!$K$4),TRUE,IF($F$2=入力リスト!$Q$4,IF(F1087-INT(F1087)&lt;0.6,TRUE,FALSE),TRUE))</f>
        <v>1</v>
      </c>
      <c r="N1087" s="9" t="str">
        <f>IF(F1087="","",IF($F$2=入力リスト!$Q$4,ROUNDDOWN(INT(F1087)+ROUNDDOWN((F1087-INT(F1087))*100,0)/60,2),従業員の給与情報!F1087))</f>
        <v/>
      </c>
      <c r="O1087" s="8"/>
      <c r="P1087" s="8"/>
    </row>
    <row r="1088" spans="1:16">
      <c r="A1088" s="119"/>
      <c r="B1088" s="2"/>
      <c r="C1088" s="3"/>
      <c r="D1088" s="3"/>
      <c r="E1088" s="3"/>
      <c r="F1088" s="9"/>
      <c r="G1088" s="248" t="str">
        <f t="shared" si="80"/>
        <v/>
      </c>
      <c r="H1088" s="1" t="b">
        <f>IF(B1088="",FALSE,COUNTIF('従業員情報(給与以外)'!$A$4:$A$1000000,$B1088)=0)</f>
        <v>0</v>
      </c>
      <c r="I1088" s="9" t="b">
        <f t="shared" si="81"/>
        <v>1</v>
      </c>
      <c r="J1088" s="9" t="b">
        <f t="shared" si="82"/>
        <v>1</v>
      </c>
      <c r="K1088" s="9" t="b">
        <f t="shared" si="83"/>
        <v>1</v>
      </c>
      <c r="L1088" s="9" t="b">
        <f t="shared" si="84"/>
        <v>1</v>
      </c>
      <c r="M1088" s="1" t="b">
        <f>IF(OR(入力シート!$C$5&lt;&gt;入力リスト!$N$4,入力シート!$J$22&lt;&gt;入力リスト!$K$4),TRUE,IF($F$2=入力リスト!$Q$4,IF(F1088-INT(F1088)&lt;0.6,TRUE,FALSE),TRUE))</f>
        <v>1</v>
      </c>
      <c r="N1088" s="9" t="str">
        <f>IF(F1088="","",IF($F$2=入力リスト!$Q$4,ROUNDDOWN(INT(F1088)+ROUNDDOWN((F1088-INT(F1088))*100,0)/60,2),従業員の給与情報!F1088))</f>
        <v/>
      </c>
      <c r="O1088" s="8"/>
      <c r="P1088" s="8"/>
    </row>
    <row r="1089" spans="1:16">
      <c r="A1089" s="119"/>
      <c r="B1089" s="2"/>
      <c r="C1089" s="3"/>
      <c r="D1089" s="3"/>
      <c r="E1089" s="3"/>
      <c r="F1089" s="9"/>
      <c r="G1089" s="248" t="str">
        <f t="shared" si="80"/>
        <v/>
      </c>
      <c r="H1089" s="1" t="b">
        <f>IF(B1089="",FALSE,COUNTIF('従業員情報(給与以外)'!$A$4:$A$1000000,$B1089)=0)</f>
        <v>0</v>
      </c>
      <c r="I1089" s="9" t="b">
        <f t="shared" si="81"/>
        <v>1</v>
      </c>
      <c r="J1089" s="9" t="b">
        <f t="shared" si="82"/>
        <v>1</v>
      </c>
      <c r="K1089" s="9" t="b">
        <f t="shared" si="83"/>
        <v>1</v>
      </c>
      <c r="L1089" s="9" t="b">
        <f t="shared" si="84"/>
        <v>1</v>
      </c>
      <c r="M1089" s="1" t="b">
        <f>IF(OR(入力シート!$C$5&lt;&gt;入力リスト!$N$4,入力シート!$J$22&lt;&gt;入力リスト!$K$4),TRUE,IF($F$2=入力リスト!$Q$4,IF(F1089-INT(F1089)&lt;0.6,TRUE,FALSE),TRUE))</f>
        <v>1</v>
      </c>
      <c r="N1089" s="9" t="str">
        <f>IF(F1089="","",IF($F$2=入力リスト!$Q$4,ROUNDDOWN(INT(F1089)+ROUNDDOWN((F1089-INT(F1089))*100,0)/60,2),従業員の給与情報!F1089))</f>
        <v/>
      </c>
      <c r="O1089" s="8"/>
      <c r="P1089" s="8"/>
    </row>
    <row r="1090" spans="1:16">
      <c r="A1090" s="119"/>
      <c r="B1090" s="2"/>
      <c r="C1090" s="3"/>
      <c r="D1090" s="3"/>
      <c r="E1090" s="3"/>
      <c r="F1090" s="9"/>
      <c r="G1090" s="248" t="str">
        <f t="shared" si="80"/>
        <v/>
      </c>
      <c r="H1090" s="1" t="b">
        <f>IF(B1090="",FALSE,COUNTIF('従業員情報(給与以外)'!$A$4:$A$1000000,$B1090)=0)</f>
        <v>0</v>
      </c>
      <c r="I1090" s="9" t="b">
        <f t="shared" si="81"/>
        <v>1</v>
      </c>
      <c r="J1090" s="9" t="b">
        <f t="shared" si="82"/>
        <v>1</v>
      </c>
      <c r="K1090" s="9" t="b">
        <f t="shared" si="83"/>
        <v>1</v>
      </c>
      <c r="L1090" s="9" t="b">
        <f t="shared" si="84"/>
        <v>1</v>
      </c>
      <c r="M1090" s="1" t="b">
        <f>IF(OR(入力シート!$C$5&lt;&gt;入力リスト!$N$4,入力シート!$J$22&lt;&gt;入力リスト!$K$4),TRUE,IF($F$2=入力リスト!$Q$4,IF(F1090-INT(F1090)&lt;0.6,TRUE,FALSE),TRUE))</f>
        <v>1</v>
      </c>
      <c r="N1090" s="9" t="str">
        <f>IF(F1090="","",IF($F$2=入力リスト!$Q$4,ROUNDDOWN(INT(F1090)+ROUNDDOWN((F1090-INT(F1090))*100,0)/60,2),従業員の給与情報!F1090))</f>
        <v/>
      </c>
      <c r="O1090" s="8"/>
      <c r="P1090" s="8"/>
    </row>
    <row r="1091" spans="1:16">
      <c r="A1091" s="119"/>
      <c r="B1091" s="2"/>
      <c r="C1091" s="3"/>
      <c r="D1091" s="3"/>
      <c r="E1091" s="3"/>
      <c r="F1091" s="9"/>
      <c r="G1091" s="248" t="str">
        <f t="shared" si="80"/>
        <v/>
      </c>
      <c r="H1091" s="1" t="b">
        <f>IF(B1091="",FALSE,COUNTIF('従業員情報(給与以外)'!$A$4:$A$1000000,$B1091)=0)</f>
        <v>0</v>
      </c>
      <c r="I1091" s="9" t="b">
        <f t="shared" si="81"/>
        <v>1</v>
      </c>
      <c r="J1091" s="9" t="b">
        <f t="shared" si="82"/>
        <v>1</v>
      </c>
      <c r="K1091" s="9" t="b">
        <f t="shared" si="83"/>
        <v>1</v>
      </c>
      <c r="L1091" s="9" t="b">
        <f t="shared" si="84"/>
        <v>1</v>
      </c>
      <c r="M1091" s="1" t="b">
        <f>IF(OR(入力シート!$C$5&lt;&gt;入力リスト!$N$4,入力シート!$J$22&lt;&gt;入力リスト!$K$4),TRUE,IF($F$2=入力リスト!$Q$4,IF(F1091-INT(F1091)&lt;0.6,TRUE,FALSE),TRUE))</f>
        <v>1</v>
      </c>
      <c r="N1091" s="9" t="str">
        <f>IF(F1091="","",IF($F$2=入力リスト!$Q$4,ROUNDDOWN(INT(F1091)+ROUNDDOWN((F1091-INT(F1091))*100,0)/60,2),従業員の給与情報!F1091))</f>
        <v/>
      </c>
      <c r="O1091" s="8"/>
      <c r="P1091" s="8"/>
    </row>
    <row r="1092" spans="1:16">
      <c r="A1092" s="119"/>
      <c r="B1092" s="2"/>
      <c r="C1092" s="3"/>
      <c r="D1092" s="3"/>
      <c r="E1092" s="3"/>
      <c r="F1092" s="9"/>
      <c r="G1092" s="248" t="str">
        <f t="shared" si="80"/>
        <v/>
      </c>
      <c r="H1092" s="1" t="b">
        <f>IF(B1092="",FALSE,COUNTIF('従業員情報(給与以外)'!$A$4:$A$1000000,$B1092)=0)</f>
        <v>0</v>
      </c>
      <c r="I1092" s="9" t="b">
        <f t="shared" si="81"/>
        <v>1</v>
      </c>
      <c r="J1092" s="9" t="b">
        <f t="shared" si="82"/>
        <v>1</v>
      </c>
      <c r="K1092" s="9" t="b">
        <f t="shared" si="83"/>
        <v>1</v>
      </c>
      <c r="L1092" s="9" t="b">
        <f t="shared" si="84"/>
        <v>1</v>
      </c>
      <c r="M1092" s="1" t="b">
        <f>IF(OR(入力シート!$C$5&lt;&gt;入力リスト!$N$4,入力シート!$J$22&lt;&gt;入力リスト!$K$4),TRUE,IF($F$2=入力リスト!$Q$4,IF(F1092-INT(F1092)&lt;0.6,TRUE,FALSE),TRUE))</f>
        <v>1</v>
      </c>
      <c r="N1092" s="9" t="str">
        <f>IF(F1092="","",IF($F$2=入力リスト!$Q$4,ROUNDDOWN(INT(F1092)+ROUNDDOWN((F1092-INT(F1092))*100,0)/60,2),従業員の給与情報!F1092))</f>
        <v/>
      </c>
      <c r="O1092" s="8"/>
      <c r="P1092" s="8"/>
    </row>
    <row r="1093" spans="1:16">
      <c r="A1093" s="119"/>
      <c r="B1093" s="2"/>
      <c r="C1093" s="3"/>
      <c r="D1093" s="3"/>
      <c r="E1093" s="3"/>
      <c r="F1093" s="9"/>
      <c r="G1093" s="248" t="str">
        <f t="shared" ref="G1093:G1156" si="85">IF(AND($B1093="",OR(B1093&lt;&gt;"",C1093&lt;&gt;"",D1093&lt;&gt;"",E1093&lt;&gt;"",F1093&lt;&gt;"")),"従業員番号が空白です。",IF($H1093=TRUE,"この従業員番号は、シート［従業員情報（給与以外）］に存在しません。",IF(I1093=FALSE,"「毎月の固定給与額」","")&amp;IF(AND(I1093=FALSE,OR(J1093=FALSE,K1093=FALSE,L1093=FALSE)),",","")&amp;IF(J1093=FALSE,"「賞与額等」","")&amp;IF(AND(J1093=FALSE,OR(K1093=FALSE,L1093=FALSE)),",","")&amp;IF(K1093=FALSE,"「残業手当」","")&amp;IF(AND(K1093=FALSE,L1093=FALSE),",","")&amp;IF(L1093=FALSE,"「残業時間」","")&amp;IF(OR(I1093=FALSE,J1093=FALSE,K1093=FALSE,L1093=FALSE),"に数値以外が入力されています。","")&amp;IF(M1093,"","「残業時間」を分単位で入力した場合、小数点以下の値は0.6未満にしてください。")))</f>
        <v/>
      </c>
      <c r="H1093" s="1" t="b">
        <f>IF(B1093="",FALSE,COUNTIF('従業員情報(給与以外)'!$A$4:$A$1000000,$B1093)=0)</f>
        <v>0</v>
      </c>
      <c r="I1093" s="9" t="b">
        <f t="shared" ref="I1093:I1156" si="86">OR(C1093="",ISNUMBER(C1093))</f>
        <v>1</v>
      </c>
      <c r="J1093" s="9" t="b">
        <f t="shared" ref="J1093:J1156" si="87">OR(D1093="",ISNUMBER(D1093))</f>
        <v>1</v>
      </c>
      <c r="K1093" s="9" t="b">
        <f t="shared" ref="K1093:K1156" si="88">OR(E1093="",ISNUMBER(E1093))</f>
        <v>1</v>
      </c>
      <c r="L1093" s="9" t="b">
        <f t="shared" ref="L1093:L1156" si="89">OR(F1093="",ISNUMBER(F1093))</f>
        <v>1</v>
      </c>
      <c r="M1093" s="1" t="b">
        <f>IF(OR(入力シート!$C$5&lt;&gt;入力リスト!$N$4,入力シート!$J$22&lt;&gt;入力リスト!$K$4),TRUE,IF($F$2=入力リスト!$Q$4,IF(F1093-INT(F1093)&lt;0.6,TRUE,FALSE),TRUE))</f>
        <v>1</v>
      </c>
      <c r="N1093" s="9" t="str">
        <f>IF(F1093="","",IF($F$2=入力リスト!$Q$4,ROUNDDOWN(INT(F1093)+ROUNDDOWN((F1093-INT(F1093))*100,0)/60,2),従業員の給与情報!F1093))</f>
        <v/>
      </c>
      <c r="O1093" s="8"/>
      <c r="P1093" s="8"/>
    </row>
    <row r="1094" spans="1:16">
      <c r="A1094" s="119"/>
      <c r="B1094" s="2"/>
      <c r="C1094" s="3"/>
      <c r="D1094" s="3"/>
      <c r="E1094" s="3"/>
      <c r="F1094" s="9"/>
      <c r="G1094" s="248" t="str">
        <f t="shared" si="85"/>
        <v/>
      </c>
      <c r="H1094" s="1" t="b">
        <f>IF(B1094="",FALSE,COUNTIF('従業員情報(給与以外)'!$A$4:$A$1000000,$B1094)=0)</f>
        <v>0</v>
      </c>
      <c r="I1094" s="9" t="b">
        <f t="shared" si="86"/>
        <v>1</v>
      </c>
      <c r="J1094" s="9" t="b">
        <f t="shared" si="87"/>
        <v>1</v>
      </c>
      <c r="K1094" s="9" t="b">
        <f t="shared" si="88"/>
        <v>1</v>
      </c>
      <c r="L1094" s="9" t="b">
        <f t="shared" si="89"/>
        <v>1</v>
      </c>
      <c r="M1094" s="1" t="b">
        <f>IF(OR(入力シート!$C$5&lt;&gt;入力リスト!$N$4,入力シート!$J$22&lt;&gt;入力リスト!$K$4),TRUE,IF($F$2=入力リスト!$Q$4,IF(F1094-INT(F1094)&lt;0.6,TRUE,FALSE),TRUE))</f>
        <v>1</v>
      </c>
      <c r="N1094" s="9" t="str">
        <f>IF(F1094="","",IF($F$2=入力リスト!$Q$4,ROUNDDOWN(INT(F1094)+ROUNDDOWN((F1094-INT(F1094))*100,0)/60,2),従業員の給与情報!F1094))</f>
        <v/>
      </c>
      <c r="O1094" s="8"/>
      <c r="P1094" s="8"/>
    </row>
    <row r="1095" spans="1:16">
      <c r="A1095" s="119"/>
      <c r="B1095" s="2"/>
      <c r="C1095" s="3"/>
      <c r="D1095" s="3"/>
      <c r="E1095" s="3"/>
      <c r="F1095" s="9"/>
      <c r="G1095" s="248" t="str">
        <f t="shared" si="85"/>
        <v/>
      </c>
      <c r="H1095" s="1" t="b">
        <f>IF(B1095="",FALSE,COUNTIF('従業員情報(給与以外)'!$A$4:$A$1000000,$B1095)=0)</f>
        <v>0</v>
      </c>
      <c r="I1095" s="9" t="b">
        <f t="shared" si="86"/>
        <v>1</v>
      </c>
      <c r="J1095" s="9" t="b">
        <f t="shared" si="87"/>
        <v>1</v>
      </c>
      <c r="K1095" s="9" t="b">
        <f t="shared" si="88"/>
        <v>1</v>
      </c>
      <c r="L1095" s="9" t="b">
        <f t="shared" si="89"/>
        <v>1</v>
      </c>
      <c r="M1095" s="1" t="b">
        <f>IF(OR(入力シート!$C$5&lt;&gt;入力リスト!$N$4,入力シート!$J$22&lt;&gt;入力リスト!$K$4),TRUE,IF($F$2=入力リスト!$Q$4,IF(F1095-INT(F1095)&lt;0.6,TRUE,FALSE),TRUE))</f>
        <v>1</v>
      </c>
      <c r="N1095" s="9" t="str">
        <f>IF(F1095="","",IF($F$2=入力リスト!$Q$4,ROUNDDOWN(INT(F1095)+ROUNDDOWN((F1095-INT(F1095))*100,0)/60,2),従業員の給与情報!F1095))</f>
        <v/>
      </c>
      <c r="O1095" s="8"/>
      <c r="P1095" s="8"/>
    </row>
    <row r="1096" spans="1:16">
      <c r="A1096" s="119"/>
      <c r="B1096" s="2"/>
      <c r="C1096" s="3"/>
      <c r="D1096" s="3"/>
      <c r="E1096" s="3"/>
      <c r="F1096" s="9"/>
      <c r="G1096" s="248" t="str">
        <f t="shared" si="85"/>
        <v/>
      </c>
      <c r="H1096" s="1" t="b">
        <f>IF(B1096="",FALSE,COUNTIF('従業員情報(給与以外)'!$A$4:$A$1000000,$B1096)=0)</f>
        <v>0</v>
      </c>
      <c r="I1096" s="9" t="b">
        <f t="shared" si="86"/>
        <v>1</v>
      </c>
      <c r="J1096" s="9" t="b">
        <f t="shared" si="87"/>
        <v>1</v>
      </c>
      <c r="K1096" s="9" t="b">
        <f t="shared" si="88"/>
        <v>1</v>
      </c>
      <c r="L1096" s="9" t="b">
        <f t="shared" si="89"/>
        <v>1</v>
      </c>
      <c r="M1096" s="1" t="b">
        <f>IF(OR(入力シート!$C$5&lt;&gt;入力リスト!$N$4,入力シート!$J$22&lt;&gt;入力リスト!$K$4),TRUE,IF($F$2=入力リスト!$Q$4,IF(F1096-INT(F1096)&lt;0.6,TRUE,FALSE),TRUE))</f>
        <v>1</v>
      </c>
      <c r="N1096" s="9" t="str">
        <f>IF(F1096="","",IF($F$2=入力リスト!$Q$4,ROUNDDOWN(INT(F1096)+ROUNDDOWN((F1096-INT(F1096))*100,0)/60,2),従業員の給与情報!F1096))</f>
        <v/>
      </c>
      <c r="O1096" s="8"/>
      <c r="P1096" s="8"/>
    </row>
    <row r="1097" spans="1:16">
      <c r="A1097" s="119"/>
      <c r="B1097" s="2"/>
      <c r="C1097" s="3"/>
      <c r="D1097" s="3"/>
      <c r="E1097" s="3"/>
      <c r="F1097" s="9"/>
      <c r="G1097" s="248" t="str">
        <f t="shared" si="85"/>
        <v/>
      </c>
      <c r="H1097" s="1" t="b">
        <f>IF(B1097="",FALSE,COUNTIF('従業員情報(給与以外)'!$A$4:$A$1000000,$B1097)=0)</f>
        <v>0</v>
      </c>
      <c r="I1097" s="9" t="b">
        <f t="shared" si="86"/>
        <v>1</v>
      </c>
      <c r="J1097" s="9" t="b">
        <f t="shared" si="87"/>
        <v>1</v>
      </c>
      <c r="K1097" s="9" t="b">
        <f t="shared" si="88"/>
        <v>1</v>
      </c>
      <c r="L1097" s="9" t="b">
        <f t="shared" si="89"/>
        <v>1</v>
      </c>
      <c r="M1097" s="1" t="b">
        <f>IF(OR(入力シート!$C$5&lt;&gt;入力リスト!$N$4,入力シート!$J$22&lt;&gt;入力リスト!$K$4),TRUE,IF($F$2=入力リスト!$Q$4,IF(F1097-INT(F1097)&lt;0.6,TRUE,FALSE),TRUE))</f>
        <v>1</v>
      </c>
      <c r="N1097" s="9" t="str">
        <f>IF(F1097="","",IF($F$2=入力リスト!$Q$4,ROUNDDOWN(INT(F1097)+ROUNDDOWN((F1097-INT(F1097))*100,0)/60,2),従業員の給与情報!F1097))</f>
        <v/>
      </c>
      <c r="O1097" s="8"/>
      <c r="P1097" s="8"/>
    </row>
    <row r="1098" spans="1:16">
      <c r="A1098" s="119"/>
      <c r="B1098" s="2"/>
      <c r="C1098" s="3"/>
      <c r="D1098" s="3"/>
      <c r="E1098" s="3"/>
      <c r="F1098" s="9"/>
      <c r="G1098" s="248" t="str">
        <f t="shared" si="85"/>
        <v/>
      </c>
      <c r="H1098" s="1" t="b">
        <f>IF(B1098="",FALSE,COUNTIF('従業員情報(給与以外)'!$A$4:$A$1000000,$B1098)=0)</f>
        <v>0</v>
      </c>
      <c r="I1098" s="9" t="b">
        <f t="shared" si="86"/>
        <v>1</v>
      </c>
      <c r="J1098" s="9" t="b">
        <f t="shared" si="87"/>
        <v>1</v>
      </c>
      <c r="K1098" s="9" t="b">
        <f t="shared" si="88"/>
        <v>1</v>
      </c>
      <c r="L1098" s="9" t="b">
        <f t="shared" si="89"/>
        <v>1</v>
      </c>
      <c r="M1098" s="1" t="b">
        <f>IF(OR(入力シート!$C$5&lt;&gt;入力リスト!$N$4,入力シート!$J$22&lt;&gt;入力リスト!$K$4),TRUE,IF($F$2=入力リスト!$Q$4,IF(F1098-INT(F1098)&lt;0.6,TRUE,FALSE),TRUE))</f>
        <v>1</v>
      </c>
      <c r="N1098" s="9" t="str">
        <f>IF(F1098="","",IF($F$2=入力リスト!$Q$4,ROUNDDOWN(INT(F1098)+ROUNDDOWN((F1098-INT(F1098))*100,0)/60,2),従業員の給与情報!F1098))</f>
        <v/>
      </c>
      <c r="O1098" s="8"/>
      <c r="P1098" s="8"/>
    </row>
    <row r="1099" spans="1:16">
      <c r="A1099" s="119"/>
      <c r="B1099" s="2"/>
      <c r="C1099" s="3"/>
      <c r="D1099" s="3"/>
      <c r="E1099" s="3"/>
      <c r="F1099" s="9"/>
      <c r="G1099" s="248" t="str">
        <f t="shared" si="85"/>
        <v/>
      </c>
      <c r="H1099" s="1" t="b">
        <f>IF(B1099="",FALSE,COUNTIF('従業員情報(給与以外)'!$A$4:$A$1000000,$B1099)=0)</f>
        <v>0</v>
      </c>
      <c r="I1099" s="9" t="b">
        <f t="shared" si="86"/>
        <v>1</v>
      </c>
      <c r="J1099" s="9" t="b">
        <f t="shared" si="87"/>
        <v>1</v>
      </c>
      <c r="K1099" s="9" t="b">
        <f t="shared" si="88"/>
        <v>1</v>
      </c>
      <c r="L1099" s="9" t="b">
        <f t="shared" si="89"/>
        <v>1</v>
      </c>
      <c r="M1099" s="1" t="b">
        <f>IF(OR(入力シート!$C$5&lt;&gt;入力リスト!$N$4,入力シート!$J$22&lt;&gt;入力リスト!$K$4),TRUE,IF($F$2=入力リスト!$Q$4,IF(F1099-INT(F1099)&lt;0.6,TRUE,FALSE),TRUE))</f>
        <v>1</v>
      </c>
      <c r="N1099" s="9" t="str">
        <f>IF(F1099="","",IF($F$2=入力リスト!$Q$4,ROUNDDOWN(INT(F1099)+ROUNDDOWN((F1099-INT(F1099))*100,0)/60,2),従業員の給与情報!F1099))</f>
        <v/>
      </c>
      <c r="O1099" s="8"/>
      <c r="P1099" s="8"/>
    </row>
    <row r="1100" spans="1:16">
      <c r="A1100" s="119"/>
      <c r="B1100" s="2"/>
      <c r="C1100" s="3"/>
      <c r="D1100" s="3"/>
      <c r="E1100" s="3"/>
      <c r="F1100" s="9"/>
      <c r="G1100" s="248" t="str">
        <f t="shared" si="85"/>
        <v/>
      </c>
      <c r="H1100" s="1" t="b">
        <f>IF(B1100="",FALSE,COUNTIF('従業員情報(給与以外)'!$A$4:$A$1000000,$B1100)=0)</f>
        <v>0</v>
      </c>
      <c r="I1100" s="9" t="b">
        <f t="shared" si="86"/>
        <v>1</v>
      </c>
      <c r="J1100" s="9" t="b">
        <f t="shared" si="87"/>
        <v>1</v>
      </c>
      <c r="K1100" s="9" t="b">
        <f t="shared" si="88"/>
        <v>1</v>
      </c>
      <c r="L1100" s="9" t="b">
        <f t="shared" si="89"/>
        <v>1</v>
      </c>
      <c r="M1100" s="1" t="b">
        <f>IF(OR(入力シート!$C$5&lt;&gt;入力リスト!$N$4,入力シート!$J$22&lt;&gt;入力リスト!$K$4),TRUE,IF($F$2=入力リスト!$Q$4,IF(F1100-INT(F1100)&lt;0.6,TRUE,FALSE),TRUE))</f>
        <v>1</v>
      </c>
      <c r="N1100" s="9" t="str">
        <f>IF(F1100="","",IF($F$2=入力リスト!$Q$4,ROUNDDOWN(INT(F1100)+ROUNDDOWN((F1100-INT(F1100))*100,0)/60,2),従業員の給与情報!F1100))</f>
        <v/>
      </c>
      <c r="O1100" s="8"/>
      <c r="P1100" s="8"/>
    </row>
    <row r="1101" spans="1:16">
      <c r="A1101" s="119"/>
      <c r="B1101" s="2"/>
      <c r="C1101" s="3"/>
      <c r="D1101" s="3"/>
      <c r="E1101" s="3"/>
      <c r="F1101" s="9"/>
      <c r="G1101" s="248" t="str">
        <f t="shared" si="85"/>
        <v/>
      </c>
      <c r="H1101" s="1" t="b">
        <f>IF(B1101="",FALSE,COUNTIF('従業員情報(給与以外)'!$A$4:$A$1000000,$B1101)=0)</f>
        <v>0</v>
      </c>
      <c r="I1101" s="9" t="b">
        <f t="shared" si="86"/>
        <v>1</v>
      </c>
      <c r="J1101" s="9" t="b">
        <f t="shared" si="87"/>
        <v>1</v>
      </c>
      <c r="K1101" s="9" t="b">
        <f t="shared" si="88"/>
        <v>1</v>
      </c>
      <c r="L1101" s="9" t="b">
        <f t="shared" si="89"/>
        <v>1</v>
      </c>
      <c r="M1101" s="1" t="b">
        <f>IF(OR(入力シート!$C$5&lt;&gt;入力リスト!$N$4,入力シート!$J$22&lt;&gt;入力リスト!$K$4),TRUE,IF($F$2=入力リスト!$Q$4,IF(F1101-INT(F1101)&lt;0.6,TRUE,FALSE),TRUE))</f>
        <v>1</v>
      </c>
      <c r="N1101" s="9" t="str">
        <f>IF(F1101="","",IF($F$2=入力リスト!$Q$4,ROUNDDOWN(INT(F1101)+ROUNDDOWN((F1101-INT(F1101))*100,0)/60,2),従業員の給与情報!F1101))</f>
        <v/>
      </c>
      <c r="O1101" s="8"/>
      <c r="P1101" s="8"/>
    </row>
    <row r="1102" spans="1:16">
      <c r="A1102" s="119"/>
      <c r="B1102" s="2"/>
      <c r="C1102" s="3"/>
      <c r="D1102" s="3"/>
      <c r="E1102" s="3"/>
      <c r="F1102" s="9"/>
      <c r="G1102" s="248" t="str">
        <f t="shared" si="85"/>
        <v/>
      </c>
      <c r="H1102" s="1" t="b">
        <f>IF(B1102="",FALSE,COUNTIF('従業員情報(給与以外)'!$A$4:$A$1000000,$B1102)=0)</f>
        <v>0</v>
      </c>
      <c r="I1102" s="9" t="b">
        <f t="shared" si="86"/>
        <v>1</v>
      </c>
      <c r="J1102" s="9" t="b">
        <f t="shared" si="87"/>
        <v>1</v>
      </c>
      <c r="K1102" s="9" t="b">
        <f t="shared" si="88"/>
        <v>1</v>
      </c>
      <c r="L1102" s="9" t="b">
        <f t="shared" si="89"/>
        <v>1</v>
      </c>
      <c r="M1102" s="1" t="b">
        <f>IF(OR(入力シート!$C$5&lt;&gt;入力リスト!$N$4,入力シート!$J$22&lt;&gt;入力リスト!$K$4),TRUE,IF($F$2=入力リスト!$Q$4,IF(F1102-INT(F1102)&lt;0.6,TRUE,FALSE),TRUE))</f>
        <v>1</v>
      </c>
      <c r="N1102" s="9" t="str">
        <f>IF(F1102="","",IF($F$2=入力リスト!$Q$4,ROUNDDOWN(INT(F1102)+ROUNDDOWN((F1102-INT(F1102))*100,0)/60,2),従業員の給与情報!F1102))</f>
        <v/>
      </c>
      <c r="O1102" s="8"/>
      <c r="P1102" s="8"/>
    </row>
    <row r="1103" spans="1:16">
      <c r="A1103" s="119"/>
      <c r="B1103" s="2"/>
      <c r="C1103" s="3"/>
      <c r="D1103" s="3"/>
      <c r="E1103" s="3"/>
      <c r="F1103" s="9"/>
      <c r="G1103" s="248" t="str">
        <f t="shared" si="85"/>
        <v/>
      </c>
      <c r="H1103" s="1" t="b">
        <f>IF(B1103="",FALSE,COUNTIF('従業員情報(給与以外)'!$A$4:$A$1000000,$B1103)=0)</f>
        <v>0</v>
      </c>
      <c r="I1103" s="9" t="b">
        <f t="shared" si="86"/>
        <v>1</v>
      </c>
      <c r="J1103" s="9" t="b">
        <f t="shared" si="87"/>
        <v>1</v>
      </c>
      <c r="K1103" s="9" t="b">
        <f t="shared" si="88"/>
        <v>1</v>
      </c>
      <c r="L1103" s="9" t="b">
        <f t="shared" si="89"/>
        <v>1</v>
      </c>
      <c r="M1103" s="1" t="b">
        <f>IF(OR(入力シート!$C$5&lt;&gt;入力リスト!$N$4,入力シート!$J$22&lt;&gt;入力リスト!$K$4),TRUE,IF($F$2=入力リスト!$Q$4,IF(F1103-INT(F1103)&lt;0.6,TRUE,FALSE),TRUE))</f>
        <v>1</v>
      </c>
      <c r="N1103" s="9" t="str">
        <f>IF(F1103="","",IF($F$2=入力リスト!$Q$4,ROUNDDOWN(INT(F1103)+ROUNDDOWN((F1103-INT(F1103))*100,0)/60,2),従業員の給与情報!F1103))</f>
        <v/>
      </c>
      <c r="O1103" s="8"/>
      <c r="P1103" s="8"/>
    </row>
    <row r="1104" spans="1:16">
      <c r="A1104" s="119"/>
      <c r="B1104" s="2"/>
      <c r="C1104" s="3"/>
      <c r="D1104" s="3"/>
      <c r="E1104" s="3"/>
      <c r="F1104" s="9"/>
      <c r="G1104" s="248" t="str">
        <f t="shared" si="85"/>
        <v/>
      </c>
      <c r="H1104" s="1" t="b">
        <f>IF(B1104="",FALSE,COUNTIF('従業員情報(給与以外)'!$A$4:$A$1000000,$B1104)=0)</f>
        <v>0</v>
      </c>
      <c r="I1104" s="9" t="b">
        <f t="shared" si="86"/>
        <v>1</v>
      </c>
      <c r="J1104" s="9" t="b">
        <f t="shared" si="87"/>
        <v>1</v>
      </c>
      <c r="K1104" s="9" t="b">
        <f t="shared" si="88"/>
        <v>1</v>
      </c>
      <c r="L1104" s="9" t="b">
        <f t="shared" si="89"/>
        <v>1</v>
      </c>
      <c r="M1104" s="1" t="b">
        <f>IF(OR(入力シート!$C$5&lt;&gt;入力リスト!$N$4,入力シート!$J$22&lt;&gt;入力リスト!$K$4),TRUE,IF($F$2=入力リスト!$Q$4,IF(F1104-INT(F1104)&lt;0.6,TRUE,FALSE),TRUE))</f>
        <v>1</v>
      </c>
      <c r="N1104" s="9" t="str">
        <f>IF(F1104="","",IF($F$2=入力リスト!$Q$4,ROUNDDOWN(INT(F1104)+ROUNDDOWN((F1104-INT(F1104))*100,0)/60,2),従業員の給与情報!F1104))</f>
        <v/>
      </c>
      <c r="O1104" s="8"/>
      <c r="P1104" s="8"/>
    </row>
    <row r="1105" spans="1:16">
      <c r="A1105" s="119"/>
      <c r="B1105" s="2"/>
      <c r="C1105" s="3"/>
      <c r="D1105" s="3"/>
      <c r="E1105" s="3"/>
      <c r="F1105" s="9"/>
      <c r="G1105" s="248" t="str">
        <f t="shared" si="85"/>
        <v/>
      </c>
      <c r="H1105" s="1" t="b">
        <f>IF(B1105="",FALSE,COUNTIF('従業員情報(給与以外)'!$A$4:$A$1000000,$B1105)=0)</f>
        <v>0</v>
      </c>
      <c r="I1105" s="9" t="b">
        <f t="shared" si="86"/>
        <v>1</v>
      </c>
      <c r="J1105" s="9" t="b">
        <f t="shared" si="87"/>
        <v>1</v>
      </c>
      <c r="K1105" s="9" t="b">
        <f t="shared" si="88"/>
        <v>1</v>
      </c>
      <c r="L1105" s="9" t="b">
        <f t="shared" si="89"/>
        <v>1</v>
      </c>
      <c r="M1105" s="1" t="b">
        <f>IF(OR(入力シート!$C$5&lt;&gt;入力リスト!$N$4,入力シート!$J$22&lt;&gt;入力リスト!$K$4),TRUE,IF($F$2=入力リスト!$Q$4,IF(F1105-INT(F1105)&lt;0.6,TRUE,FALSE),TRUE))</f>
        <v>1</v>
      </c>
      <c r="N1105" s="9" t="str">
        <f>IF(F1105="","",IF($F$2=入力リスト!$Q$4,ROUNDDOWN(INT(F1105)+ROUNDDOWN((F1105-INT(F1105))*100,0)/60,2),従業員の給与情報!F1105))</f>
        <v/>
      </c>
      <c r="O1105" s="8"/>
      <c r="P1105" s="8"/>
    </row>
    <row r="1106" spans="1:16">
      <c r="A1106" s="119"/>
      <c r="B1106" s="2"/>
      <c r="C1106" s="3"/>
      <c r="D1106" s="3"/>
      <c r="E1106" s="3"/>
      <c r="F1106" s="9"/>
      <c r="G1106" s="248" t="str">
        <f t="shared" si="85"/>
        <v/>
      </c>
      <c r="H1106" s="1" t="b">
        <f>IF(B1106="",FALSE,COUNTIF('従業員情報(給与以外)'!$A$4:$A$1000000,$B1106)=0)</f>
        <v>0</v>
      </c>
      <c r="I1106" s="9" t="b">
        <f t="shared" si="86"/>
        <v>1</v>
      </c>
      <c r="J1106" s="9" t="b">
        <f t="shared" si="87"/>
        <v>1</v>
      </c>
      <c r="K1106" s="9" t="b">
        <f t="shared" si="88"/>
        <v>1</v>
      </c>
      <c r="L1106" s="9" t="b">
        <f t="shared" si="89"/>
        <v>1</v>
      </c>
      <c r="M1106" s="1" t="b">
        <f>IF(OR(入力シート!$C$5&lt;&gt;入力リスト!$N$4,入力シート!$J$22&lt;&gt;入力リスト!$K$4),TRUE,IF($F$2=入力リスト!$Q$4,IF(F1106-INT(F1106)&lt;0.6,TRUE,FALSE),TRUE))</f>
        <v>1</v>
      </c>
      <c r="N1106" s="9" t="str">
        <f>IF(F1106="","",IF($F$2=入力リスト!$Q$4,ROUNDDOWN(INT(F1106)+ROUNDDOWN((F1106-INT(F1106))*100,0)/60,2),従業員の給与情報!F1106))</f>
        <v/>
      </c>
      <c r="O1106" s="8"/>
      <c r="P1106" s="8"/>
    </row>
    <row r="1107" spans="1:16">
      <c r="A1107" s="119"/>
      <c r="B1107" s="2"/>
      <c r="C1107" s="3"/>
      <c r="D1107" s="3"/>
      <c r="E1107" s="3"/>
      <c r="F1107" s="9"/>
      <c r="G1107" s="248" t="str">
        <f t="shared" si="85"/>
        <v/>
      </c>
      <c r="H1107" s="1" t="b">
        <f>IF(B1107="",FALSE,COUNTIF('従業員情報(給与以外)'!$A$4:$A$1000000,$B1107)=0)</f>
        <v>0</v>
      </c>
      <c r="I1107" s="9" t="b">
        <f t="shared" si="86"/>
        <v>1</v>
      </c>
      <c r="J1107" s="9" t="b">
        <f t="shared" si="87"/>
        <v>1</v>
      </c>
      <c r="K1107" s="9" t="b">
        <f t="shared" si="88"/>
        <v>1</v>
      </c>
      <c r="L1107" s="9" t="b">
        <f t="shared" si="89"/>
        <v>1</v>
      </c>
      <c r="M1107" s="1" t="b">
        <f>IF(OR(入力シート!$C$5&lt;&gt;入力リスト!$N$4,入力シート!$J$22&lt;&gt;入力リスト!$K$4),TRUE,IF($F$2=入力リスト!$Q$4,IF(F1107-INT(F1107)&lt;0.6,TRUE,FALSE),TRUE))</f>
        <v>1</v>
      </c>
      <c r="N1107" s="9" t="str">
        <f>IF(F1107="","",IF($F$2=入力リスト!$Q$4,ROUNDDOWN(INT(F1107)+ROUNDDOWN((F1107-INT(F1107))*100,0)/60,2),従業員の給与情報!F1107))</f>
        <v/>
      </c>
      <c r="O1107" s="8"/>
      <c r="P1107" s="8"/>
    </row>
    <row r="1108" spans="1:16">
      <c r="A1108" s="119"/>
      <c r="B1108" s="2"/>
      <c r="C1108" s="3"/>
      <c r="D1108" s="3"/>
      <c r="E1108" s="3"/>
      <c r="F1108" s="9"/>
      <c r="G1108" s="248" t="str">
        <f t="shared" si="85"/>
        <v/>
      </c>
      <c r="H1108" s="1" t="b">
        <f>IF(B1108="",FALSE,COUNTIF('従業員情報(給与以外)'!$A$4:$A$1000000,$B1108)=0)</f>
        <v>0</v>
      </c>
      <c r="I1108" s="9" t="b">
        <f t="shared" si="86"/>
        <v>1</v>
      </c>
      <c r="J1108" s="9" t="b">
        <f t="shared" si="87"/>
        <v>1</v>
      </c>
      <c r="K1108" s="9" t="b">
        <f t="shared" si="88"/>
        <v>1</v>
      </c>
      <c r="L1108" s="9" t="b">
        <f t="shared" si="89"/>
        <v>1</v>
      </c>
      <c r="M1108" s="1" t="b">
        <f>IF(OR(入力シート!$C$5&lt;&gt;入力リスト!$N$4,入力シート!$J$22&lt;&gt;入力リスト!$K$4),TRUE,IF($F$2=入力リスト!$Q$4,IF(F1108-INT(F1108)&lt;0.6,TRUE,FALSE),TRUE))</f>
        <v>1</v>
      </c>
      <c r="N1108" s="9" t="str">
        <f>IF(F1108="","",IF($F$2=入力リスト!$Q$4,ROUNDDOWN(INT(F1108)+ROUNDDOWN((F1108-INT(F1108))*100,0)/60,2),従業員の給与情報!F1108))</f>
        <v/>
      </c>
      <c r="O1108" s="8"/>
      <c r="P1108" s="8"/>
    </row>
    <row r="1109" spans="1:16">
      <c r="A1109" s="119"/>
      <c r="B1109" s="2"/>
      <c r="C1109" s="3"/>
      <c r="D1109" s="3"/>
      <c r="E1109" s="3"/>
      <c r="F1109" s="9"/>
      <c r="G1109" s="248" t="str">
        <f t="shared" si="85"/>
        <v/>
      </c>
      <c r="H1109" s="1" t="b">
        <f>IF(B1109="",FALSE,COUNTIF('従業員情報(給与以外)'!$A$4:$A$1000000,$B1109)=0)</f>
        <v>0</v>
      </c>
      <c r="I1109" s="9" t="b">
        <f t="shared" si="86"/>
        <v>1</v>
      </c>
      <c r="J1109" s="9" t="b">
        <f t="shared" si="87"/>
        <v>1</v>
      </c>
      <c r="K1109" s="9" t="b">
        <f t="shared" si="88"/>
        <v>1</v>
      </c>
      <c r="L1109" s="9" t="b">
        <f t="shared" si="89"/>
        <v>1</v>
      </c>
      <c r="M1109" s="1" t="b">
        <f>IF(OR(入力シート!$C$5&lt;&gt;入力リスト!$N$4,入力シート!$J$22&lt;&gt;入力リスト!$K$4),TRUE,IF($F$2=入力リスト!$Q$4,IF(F1109-INT(F1109)&lt;0.6,TRUE,FALSE),TRUE))</f>
        <v>1</v>
      </c>
      <c r="N1109" s="9" t="str">
        <f>IF(F1109="","",IF($F$2=入力リスト!$Q$4,ROUNDDOWN(INT(F1109)+ROUNDDOWN((F1109-INT(F1109))*100,0)/60,2),従業員の給与情報!F1109))</f>
        <v/>
      </c>
      <c r="O1109" s="8"/>
      <c r="P1109" s="8"/>
    </row>
    <row r="1110" spans="1:16">
      <c r="A1110" s="119"/>
      <c r="B1110" s="2"/>
      <c r="C1110" s="3"/>
      <c r="D1110" s="3"/>
      <c r="E1110" s="3"/>
      <c r="F1110" s="9"/>
      <c r="G1110" s="248" t="str">
        <f t="shared" si="85"/>
        <v/>
      </c>
      <c r="H1110" s="1" t="b">
        <f>IF(B1110="",FALSE,COUNTIF('従業員情報(給与以外)'!$A$4:$A$1000000,$B1110)=0)</f>
        <v>0</v>
      </c>
      <c r="I1110" s="9" t="b">
        <f t="shared" si="86"/>
        <v>1</v>
      </c>
      <c r="J1110" s="9" t="b">
        <f t="shared" si="87"/>
        <v>1</v>
      </c>
      <c r="K1110" s="9" t="b">
        <f t="shared" si="88"/>
        <v>1</v>
      </c>
      <c r="L1110" s="9" t="b">
        <f t="shared" si="89"/>
        <v>1</v>
      </c>
      <c r="M1110" s="1" t="b">
        <f>IF(OR(入力シート!$C$5&lt;&gt;入力リスト!$N$4,入力シート!$J$22&lt;&gt;入力リスト!$K$4),TRUE,IF($F$2=入力リスト!$Q$4,IF(F1110-INT(F1110)&lt;0.6,TRUE,FALSE),TRUE))</f>
        <v>1</v>
      </c>
      <c r="N1110" s="9" t="str">
        <f>IF(F1110="","",IF($F$2=入力リスト!$Q$4,ROUNDDOWN(INT(F1110)+ROUNDDOWN((F1110-INT(F1110))*100,0)/60,2),従業員の給与情報!F1110))</f>
        <v/>
      </c>
      <c r="O1110" s="8"/>
      <c r="P1110" s="8"/>
    </row>
    <row r="1111" spans="1:16">
      <c r="A1111" s="119"/>
      <c r="B1111" s="2"/>
      <c r="C1111" s="3"/>
      <c r="D1111" s="3"/>
      <c r="E1111" s="3"/>
      <c r="F1111" s="9"/>
      <c r="G1111" s="248" t="str">
        <f t="shared" si="85"/>
        <v/>
      </c>
      <c r="H1111" s="1" t="b">
        <f>IF(B1111="",FALSE,COUNTIF('従業員情報(給与以外)'!$A$4:$A$1000000,$B1111)=0)</f>
        <v>0</v>
      </c>
      <c r="I1111" s="9" t="b">
        <f t="shared" si="86"/>
        <v>1</v>
      </c>
      <c r="J1111" s="9" t="b">
        <f t="shared" si="87"/>
        <v>1</v>
      </c>
      <c r="K1111" s="9" t="b">
        <f t="shared" si="88"/>
        <v>1</v>
      </c>
      <c r="L1111" s="9" t="b">
        <f t="shared" si="89"/>
        <v>1</v>
      </c>
      <c r="M1111" s="1" t="b">
        <f>IF(OR(入力シート!$C$5&lt;&gt;入力リスト!$N$4,入力シート!$J$22&lt;&gt;入力リスト!$K$4),TRUE,IF($F$2=入力リスト!$Q$4,IF(F1111-INT(F1111)&lt;0.6,TRUE,FALSE),TRUE))</f>
        <v>1</v>
      </c>
      <c r="N1111" s="9" t="str">
        <f>IF(F1111="","",IF($F$2=入力リスト!$Q$4,ROUNDDOWN(INT(F1111)+ROUNDDOWN((F1111-INT(F1111))*100,0)/60,2),従業員の給与情報!F1111))</f>
        <v/>
      </c>
      <c r="O1111" s="8"/>
      <c r="P1111" s="8"/>
    </row>
    <row r="1112" spans="1:16">
      <c r="A1112" s="119"/>
      <c r="B1112" s="2"/>
      <c r="C1112" s="3"/>
      <c r="D1112" s="3"/>
      <c r="E1112" s="3"/>
      <c r="F1112" s="9"/>
      <c r="G1112" s="248" t="str">
        <f t="shared" si="85"/>
        <v/>
      </c>
      <c r="H1112" s="1" t="b">
        <f>IF(B1112="",FALSE,COUNTIF('従業員情報(給与以外)'!$A$4:$A$1000000,$B1112)=0)</f>
        <v>0</v>
      </c>
      <c r="I1112" s="9" t="b">
        <f t="shared" si="86"/>
        <v>1</v>
      </c>
      <c r="J1112" s="9" t="b">
        <f t="shared" si="87"/>
        <v>1</v>
      </c>
      <c r="K1112" s="9" t="b">
        <f t="shared" si="88"/>
        <v>1</v>
      </c>
      <c r="L1112" s="9" t="b">
        <f t="shared" si="89"/>
        <v>1</v>
      </c>
      <c r="M1112" s="1" t="b">
        <f>IF(OR(入力シート!$C$5&lt;&gt;入力リスト!$N$4,入力シート!$J$22&lt;&gt;入力リスト!$K$4),TRUE,IF($F$2=入力リスト!$Q$4,IF(F1112-INT(F1112)&lt;0.6,TRUE,FALSE),TRUE))</f>
        <v>1</v>
      </c>
      <c r="N1112" s="9" t="str">
        <f>IF(F1112="","",IF($F$2=入力リスト!$Q$4,ROUNDDOWN(INT(F1112)+ROUNDDOWN((F1112-INT(F1112))*100,0)/60,2),従業員の給与情報!F1112))</f>
        <v/>
      </c>
      <c r="O1112" s="8"/>
      <c r="P1112" s="8"/>
    </row>
    <row r="1113" spans="1:16">
      <c r="A1113" s="119"/>
      <c r="B1113" s="2"/>
      <c r="C1113" s="3"/>
      <c r="D1113" s="3"/>
      <c r="E1113" s="3"/>
      <c r="F1113" s="9"/>
      <c r="G1113" s="248" t="str">
        <f t="shared" si="85"/>
        <v/>
      </c>
      <c r="H1113" s="1" t="b">
        <f>IF(B1113="",FALSE,COUNTIF('従業員情報(給与以外)'!$A$4:$A$1000000,$B1113)=0)</f>
        <v>0</v>
      </c>
      <c r="I1113" s="9" t="b">
        <f t="shared" si="86"/>
        <v>1</v>
      </c>
      <c r="J1113" s="9" t="b">
        <f t="shared" si="87"/>
        <v>1</v>
      </c>
      <c r="K1113" s="9" t="b">
        <f t="shared" si="88"/>
        <v>1</v>
      </c>
      <c r="L1113" s="9" t="b">
        <f t="shared" si="89"/>
        <v>1</v>
      </c>
      <c r="M1113" s="1" t="b">
        <f>IF(OR(入力シート!$C$5&lt;&gt;入力リスト!$N$4,入力シート!$J$22&lt;&gt;入力リスト!$K$4),TRUE,IF($F$2=入力リスト!$Q$4,IF(F1113-INT(F1113)&lt;0.6,TRUE,FALSE),TRUE))</f>
        <v>1</v>
      </c>
      <c r="N1113" s="9" t="str">
        <f>IF(F1113="","",IF($F$2=入力リスト!$Q$4,ROUNDDOWN(INT(F1113)+ROUNDDOWN((F1113-INT(F1113))*100,0)/60,2),従業員の給与情報!F1113))</f>
        <v/>
      </c>
      <c r="O1113" s="8"/>
      <c r="P1113" s="8"/>
    </row>
    <row r="1114" spans="1:16">
      <c r="A1114" s="119"/>
      <c r="B1114" s="2"/>
      <c r="C1114" s="3"/>
      <c r="D1114" s="3"/>
      <c r="E1114" s="3"/>
      <c r="F1114" s="9"/>
      <c r="G1114" s="248" t="str">
        <f t="shared" si="85"/>
        <v/>
      </c>
      <c r="H1114" s="1" t="b">
        <f>IF(B1114="",FALSE,COUNTIF('従業員情報(給与以外)'!$A$4:$A$1000000,$B1114)=0)</f>
        <v>0</v>
      </c>
      <c r="I1114" s="9" t="b">
        <f t="shared" si="86"/>
        <v>1</v>
      </c>
      <c r="J1114" s="9" t="b">
        <f t="shared" si="87"/>
        <v>1</v>
      </c>
      <c r="K1114" s="9" t="b">
        <f t="shared" si="88"/>
        <v>1</v>
      </c>
      <c r="L1114" s="9" t="b">
        <f t="shared" si="89"/>
        <v>1</v>
      </c>
      <c r="M1114" s="1" t="b">
        <f>IF(OR(入力シート!$C$5&lt;&gt;入力リスト!$N$4,入力シート!$J$22&lt;&gt;入力リスト!$K$4),TRUE,IF($F$2=入力リスト!$Q$4,IF(F1114-INT(F1114)&lt;0.6,TRUE,FALSE),TRUE))</f>
        <v>1</v>
      </c>
      <c r="N1114" s="9" t="str">
        <f>IF(F1114="","",IF($F$2=入力リスト!$Q$4,ROUNDDOWN(INT(F1114)+ROUNDDOWN((F1114-INT(F1114))*100,0)/60,2),従業員の給与情報!F1114))</f>
        <v/>
      </c>
      <c r="O1114" s="8"/>
      <c r="P1114" s="8"/>
    </row>
    <row r="1115" spans="1:16">
      <c r="A1115" s="119"/>
      <c r="B1115" s="2"/>
      <c r="C1115" s="3"/>
      <c r="D1115" s="3"/>
      <c r="E1115" s="3"/>
      <c r="F1115" s="9"/>
      <c r="G1115" s="248" t="str">
        <f t="shared" si="85"/>
        <v/>
      </c>
      <c r="H1115" s="1" t="b">
        <f>IF(B1115="",FALSE,COUNTIF('従業員情報(給与以外)'!$A$4:$A$1000000,$B1115)=0)</f>
        <v>0</v>
      </c>
      <c r="I1115" s="9" t="b">
        <f t="shared" si="86"/>
        <v>1</v>
      </c>
      <c r="J1115" s="9" t="b">
        <f t="shared" si="87"/>
        <v>1</v>
      </c>
      <c r="K1115" s="9" t="b">
        <f t="shared" si="88"/>
        <v>1</v>
      </c>
      <c r="L1115" s="9" t="b">
        <f t="shared" si="89"/>
        <v>1</v>
      </c>
      <c r="M1115" s="1" t="b">
        <f>IF(OR(入力シート!$C$5&lt;&gt;入力リスト!$N$4,入力シート!$J$22&lt;&gt;入力リスト!$K$4),TRUE,IF($F$2=入力リスト!$Q$4,IF(F1115-INT(F1115)&lt;0.6,TRUE,FALSE),TRUE))</f>
        <v>1</v>
      </c>
      <c r="N1115" s="9" t="str">
        <f>IF(F1115="","",IF($F$2=入力リスト!$Q$4,ROUNDDOWN(INT(F1115)+ROUNDDOWN((F1115-INT(F1115))*100,0)/60,2),従業員の給与情報!F1115))</f>
        <v/>
      </c>
      <c r="O1115" s="8"/>
      <c r="P1115" s="8"/>
    </row>
    <row r="1116" spans="1:16">
      <c r="A1116" s="119"/>
      <c r="B1116" s="2"/>
      <c r="C1116" s="3"/>
      <c r="D1116" s="3"/>
      <c r="E1116" s="3"/>
      <c r="F1116" s="9"/>
      <c r="G1116" s="248" t="str">
        <f t="shared" si="85"/>
        <v/>
      </c>
      <c r="H1116" s="1" t="b">
        <f>IF(B1116="",FALSE,COUNTIF('従業員情報(給与以外)'!$A$4:$A$1000000,$B1116)=0)</f>
        <v>0</v>
      </c>
      <c r="I1116" s="9" t="b">
        <f t="shared" si="86"/>
        <v>1</v>
      </c>
      <c r="J1116" s="9" t="b">
        <f t="shared" si="87"/>
        <v>1</v>
      </c>
      <c r="K1116" s="9" t="b">
        <f t="shared" si="88"/>
        <v>1</v>
      </c>
      <c r="L1116" s="9" t="b">
        <f t="shared" si="89"/>
        <v>1</v>
      </c>
      <c r="M1116" s="1" t="b">
        <f>IF(OR(入力シート!$C$5&lt;&gt;入力リスト!$N$4,入力シート!$J$22&lt;&gt;入力リスト!$K$4),TRUE,IF($F$2=入力リスト!$Q$4,IF(F1116-INT(F1116)&lt;0.6,TRUE,FALSE),TRUE))</f>
        <v>1</v>
      </c>
      <c r="N1116" s="9" t="str">
        <f>IF(F1116="","",IF($F$2=入力リスト!$Q$4,ROUNDDOWN(INT(F1116)+ROUNDDOWN((F1116-INT(F1116))*100,0)/60,2),従業員の給与情報!F1116))</f>
        <v/>
      </c>
      <c r="O1116" s="8"/>
      <c r="P1116" s="8"/>
    </row>
    <row r="1117" spans="1:16">
      <c r="A1117" s="119"/>
      <c r="B1117" s="2"/>
      <c r="C1117" s="3"/>
      <c r="D1117" s="3"/>
      <c r="E1117" s="3"/>
      <c r="F1117" s="9"/>
      <c r="G1117" s="248" t="str">
        <f t="shared" si="85"/>
        <v/>
      </c>
      <c r="H1117" s="1" t="b">
        <f>IF(B1117="",FALSE,COUNTIF('従業員情報(給与以外)'!$A$4:$A$1000000,$B1117)=0)</f>
        <v>0</v>
      </c>
      <c r="I1117" s="9" t="b">
        <f t="shared" si="86"/>
        <v>1</v>
      </c>
      <c r="J1117" s="9" t="b">
        <f t="shared" si="87"/>
        <v>1</v>
      </c>
      <c r="K1117" s="9" t="b">
        <f t="shared" si="88"/>
        <v>1</v>
      </c>
      <c r="L1117" s="9" t="b">
        <f t="shared" si="89"/>
        <v>1</v>
      </c>
      <c r="M1117" s="1" t="b">
        <f>IF(OR(入力シート!$C$5&lt;&gt;入力リスト!$N$4,入力シート!$J$22&lt;&gt;入力リスト!$K$4),TRUE,IF($F$2=入力リスト!$Q$4,IF(F1117-INT(F1117)&lt;0.6,TRUE,FALSE),TRUE))</f>
        <v>1</v>
      </c>
      <c r="N1117" s="9" t="str">
        <f>IF(F1117="","",IF($F$2=入力リスト!$Q$4,ROUNDDOWN(INT(F1117)+ROUNDDOWN((F1117-INT(F1117))*100,0)/60,2),従業員の給与情報!F1117))</f>
        <v/>
      </c>
      <c r="O1117" s="8"/>
      <c r="P1117" s="8"/>
    </row>
    <row r="1118" spans="1:16">
      <c r="A1118" s="119"/>
      <c r="B1118" s="2"/>
      <c r="C1118" s="3"/>
      <c r="D1118" s="3"/>
      <c r="E1118" s="3"/>
      <c r="F1118" s="9"/>
      <c r="G1118" s="248" t="str">
        <f t="shared" si="85"/>
        <v/>
      </c>
      <c r="H1118" s="1" t="b">
        <f>IF(B1118="",FALSE,COUNTIF('従業員情報(給与以外)'!$A$4:$A$1000000,$B1118)=0)</f>
        <v>0</v>
      </c>
      <c r="I1118" s="9" t="b">
        <f t="shared" si="86"/>
        <v>1</v>
      </c>
      <c r="J1118" s="9" t="b">
        <f t="shared" si="87"/>
        <v>1</v>
      </c>
      <c r="K1118" s="9" t="b">
        <f t="shared" si="88"/>
        <v>1</v>
      </c>
      <c r="L1118" s="9" t="b">
        <f t="shared" si="89"/>
        <v>1</v>
      </c>
      <c r="M1118" s="1" t="b">
        <f>IF(OR(入力シート!$C$5&lt;&gt;入力リスト!$N$4,入力シート!$J$22&lt;&gt;入力リスト!$K$4),TRUE,IF($F$2=入力リスト!$Q$4,IF(F1118-INT(F1118)&lt;0.6,TRUE,FALSE),TRUE))</f>
        <v>1</v>
      </c>
      <c r="N1118" s="9" t="str">
        <f>IF(F1118="","",IF($F$2=入力リスト!$Q$4,ROUNDDOWN(INT(F1118)+ROUNDDOWN((F1118-INT(F1118))*100,0)/60,2),従業員の給与情報!F1118))</f>
        <v/>
      </c>
      <c r="O1118" s="8"/>
      <c r="P1118" s="8"/>
    </row>
    <row r="1119" spans="1:16">
      <c r="A1119" s="119"/>
      <c r="B1119" s="2"/>
      <c r="C1119" s="3"/>
      <c r="D1119" s="3"/>
      <c r="E1119" s="3"/>
      <c r="F1119" s="9"/>
      <c r="G1119" s="248" t="str">
        <f t="shared" si="85"/>
        <v/>
      </c>
      <c r="H1119" s="1" t="b">
        <f>IF(B1119="",FALSE,COUNTIF('従業員情報(給与以外)'!$A$4:$A$1000000,$B1119)=0)</f>
        <v>0</v>
      </c>
      <c r="I1119" s="9" t="b">
        <f t="shared" si="86"/>
        <v>1</v>
      </c>
      <c r="J1119" s="9" t="b">
        <f t="shared" si="87"/>
        <v>1</v>
      </c>
      <c r="K1119" s="9" t="b">
        <f t="shared" si="88"/>
        <v>1</v>
      </c>
      <c r="L1119" s="9" t="b">
        <f t="shared" si="89"/>
        <v>1</v>
      </c>
      <c r="M1119" s="1" t="b">
        <f>IF(OR(入力シート!$C$5&lt;&gt;入力リスト!$N$4,入力シート!$J$22&lt;&gt;入力リスト!$K$4),TRUE,IF($F$2=入力リスト!$Q$4,IF(F1119-INT(F1119)&lt;0.6,TRUE,FALSE),TRUE))</f>
        <v>1</v>
      </c>
      <c r="N1119" s="9" t="str">
        <f>IF(F1119="","",IF($F$2=入力リスト!$Q$4,ROUNDDOWN(INT(F1119)+ROUNDDOWN((F1119-INT(F1119))*100,0)/60,2),従業員の給与情報!F1119))</f>
        <v/>
      </c>
      <c r="O1119" s="8"/>
      <c r="P1119" s="8"/>
    </row>
    <row r="1120" spans="1:16">
      <c r="A1120" s="119"/>
      <c r="B1120" s="2"/>
      <c r="C1120" s="3"/>
      <c r="D1120" s="3"/>
      <c r="E1120" s="3"/>
      <c r="F1120" s="9"/>
      <c r="G1120" s="248" t="str">
        <f t="shared" si="85"/>
        <v/>
      </c>
      <c r="H1120" s="1" t="b">
        <f>IF(B1120="",FALSE,COUNTIF('従業員情報(給与以外)'!$A$4:$A$1000000,$B1120)=0)</f>
        <v>0</v>
      </c>
      <c r="I1120" s="9" t="b">
        <f t="shared" si="86"/>
        <v>1</v>
      </c>
      <c r="J1120" s="9" t="b">
        <f t="shared" si="87"/>
        <v>1</v>
      </c>
      <c r="K1120" s="9" t="b">
        <f t="shared" si="88"/>
        <v>1</v>
      </c>
      <c r="L1120" s="9" t="b">
        <f t="shared" si="89"/>
        <v>1</v>
      </c>
      <c r="M1120" s="1" t="b">
        <f>IF(OR(入力シート!$C$5&lt;&gt;入力リスト!$N$4,入力シート!$J$22&lt;&gt;入力リスト!$K$4),TRUE,IF($F$2=入力リスト!$Q$4,IF(F1120-INT(F1120)&lt;0.6,TRUE,FALSE),TRUE))</f>
        <v>1</v>
      </c>
      <c r="N1120" s="9" t="str">
        <f>IF(F1120="","",IF($F$2=入力リスト!$Q$4,ROUNDDOWN(INT(F1120)+ROUNDDOWN((F1120-INT(F1120))*100,0)/60,2),従業員の給与情報!F1120))</f>
        <v/>
      </c>
      <c r="O1120" s="8"/>
      <c r="P1120" s="8"/>
    </row>
    <row r="1121" spans="1:16">
      <c r="A1121" s="119"/>
      <c r="B1121" s="2"/>
      <c r="C1121" s="3"/>
      <c r="D1121" s="3"/>
      <c r="E1121" s="3"/>
      <c r="F1121" s="9"/>
      <c r="G1121" s="248" t="str">
        <f t="shared" si="85"/>
        <v/>
      </c>
      <c r="H1121" s="1" t="b">
        <f>IF(B1121="",FALSE,COUNTIF('従業員情報(給与以外)'!$A$4:$A$1000000,$B1121)=0)</f>
        <v>0</v>
      </c>
      <c r="I1121" s="9" t="b">
        <f t="shared" si="86"/>
        <v>1</v>
      </c>
      <c r="J1121" s="9" t="b">
        <f t="shared" si="87"/>
        <v>1</v>
      </c>
      <c r="K1121" s="9" t="b">
        <f t="shared" si="88"/>
        <v>1</v>
      </c>
      <c r="L1121" s="9" t="b">
        <f t="shared" si="89"/>
        <v>1</v>
      </c>
      <c r="M1121" s="1" t="b">
        <f>IF(OR(入力シート!$C$5&lt;&gt;入力リスト!$N$4,入力シート!$J$22&lt;&gt;入力リスト!$K$4),TRUE,IF($F$2=入力リスト!$Q$4,IF(F1121-INT(F1121)&lt;0.6,TRUE,FALSE),TRUE))</f>
        <v>1</v>
      </c>
      <c r="N1121" s="9" t="str">
        <f>IF(F1121="","",IF($F$2=入力リスト!$Q$4,ROUNDDOWN(INT(F1121)+ROUNDDOWN((F1121-INT(F1121))*100,0)/60,2),従業員の給与情報!F1121))</f>
        <v/>
      </c>
      <c r="O1121" s="8"/>
      <c r="P1121" s="8"/>
    </row>
    <row r="1122" spans="1:16">
      <c r="A1122" s="119"/>
      <c r="B1122" s="2"/>
      <c r="C1122" s="3"/>
      <c r="D1122" s="3"/>
      <c r="E1122" s="3"/>
      <c r="F1122" s="9"/>
      <c r="G1122" s="248" t="str">
        <f t="shared" si="85"/>
        <v/>
      </c>
      <c r="H1122" s="1" t="b">
        <f>IF(B1122="",FALSE,COUNTIF('従業員情報(給与以外)'!$A$4:$A$1000000,$B1122)=0)</f>
        <v>0</v>
      </c>
      <c r="I1122" s="9" t="b">
        <f t="shared" si="86"/>
        <v>1</v>
      </c>
      <c r="J1122" s="9" t="b">
        <f t="shared" si="87"/>
        <v>1</v>
      </c>
      <c r="K1122" s="9" t="b">
        <f t="shared" si="88"/>
        <v>1</v>
      </c>
      <c r="L1122" s="9" t="b">
        <f t="shared" si="89"/>
        <v>1</v>
      </c>
      <c r="M1122" s="1" t="b">
        <f>IF(OR(入力シート!$C$5&lt;&gt;入力リスト!$N$4,入力シート!$J$22&lt;&gt;入力リスト!$K$4),TRUE,IF($F$2=入力リスト!$Q$4,IF(F1122-INT(F1122)&lt;0.6,TRUE,FALSE),TRUE))</f>
        <v>1</v>
      </c>
      <c r="N1122" s="9" t="str">
        <f>IF(F1122="","",IF($F$2=入力リスト!$Q$4,ROUNDDOWN(INT(F1122)+ROUNDDOWN((F1122-INT(F1122))*100,0)/60,2),従業員の給与情報!F1122))</f>
        <v/>
      </c>
      <c r="O1122" s="8"/>
      <c r="P1122" s="8"/>
    </row>
    <row r="1123" spans="1:16">
      <c r="A1123" s="119"/>
      <c r="B1123" s="2"/>
      <c r="C1123" s="3"/>
      <c r="D1123" s="3"/>
      <c r="E1123" s="3"/>
      <c r="F1123" s="9"/>
      <c r="G1123" s="248" t="str">
        <f t="shared" si="85"/>
        <v/>
      </c>
      <c r="H1123" s="1" t="b">
        <f>IF(B1123="",FALSE,COUNTIF('従業員情報(給与以外)'!$A$4:$A$1000000,$B1123)=0)</f>
        <v>0</v>
      </c>
      <c r="I1123" s="9" t="b">
        <f t="shared" si="86"/>
        <v>1</v>
      </c>
      <c r="J1123" s="9" t="b">
        <f t="shared" si="87"/>
        <v>1</v>
      </c>
      <c r="K1123" s="9" t="b">
        <f t="shared" si="88"/>
        <v>1</v>
      </c>
      <c r="L1123" s="9" t="b">
        <f t="shared" si="89"/>
        <v>1</v>
      </c>
      <c r="M1123" s="1" t="b">
        <f>IF(OR(入力シート!$C$5&lt;&gt;入力リスト!$N$4,入力シート!$J$22&lt;&gt;入力リスト!$K$4),TRUE,IF($F$2=入力リスト!$Q$4,IF(F1123-INT(F1123)&lt;0.6,TRUE,FALSE),TRUE))</f>
        <v>1</v>
      </c>
      <c r="N1123" s="9" t="str">
        <f>IF(F1123="","",IF($F$2=入力リスト!$Q$4,ROUNDDOWN(INT(F1123)+ROUNDDOWN((F1123-INT(F1123))*100,0)/60,2),従業員の給与情報!F1123))</f>
        <v/>
      </c>
      <c r="O1123" s="8"/>
      <c r="P1123" s="8"/>
    </row>
    <row r="1124" spans="1:16">
      <c r="A1124" s="119"/>
      <c r="B1124" s="2"/>
      <c r="C1124" s="3"/>
      <c r="D1124" s="3"/>
      <c r="E1124" s="3"/>
      <c r="F1124" s="9"/>
      <c r="G1124" s="248" t="str">
        <f t="shared" si="85"/>
        <v/>
      </c>
      <c r="H1124" s="1" t="b">
        <f>IF(B1124="",FALSE,COUNTIF('従業員情報(給与以外)'!$A$4:$A$1000000,$B1124)=0)</f>
        <v>0</v>
      </c>
      <c r="I1124" s="9" t="b">
        <f t="shared" si="86"/>
        <v>1</v>
      </c>
      <c r="J1124" s="9" t="b">
        <f t="shared" si="87"/>
        <v>1</v>
      </c>
      <c r="K1124" s="9" t="b">
        <f t="shared" si="88"/>
        <v>1</v>
      </c>
      <c r="L1124" s="9" t="b">
        <f t="shared" si="89"/>
        <v>1</v>
      </c>
      <c r="M1124" s="1" t="b">
        <f>IF(OR(入力シート!$C$5&lt;&gt;入力リスト!$N$4,入力シート!$J$22&lt;&gt;入力リスト!$K$4),TRUE,IF($F$2=入力リスト!$Q$4,IF(F1124-INT(F1124)&lt;0.6,TRUE,FALSE),TRUE))</f>
        <v>1</v>
      </c>
      <c r="N1124" s="9" t="str">
        <f>IF(F1124="","",IF($F$2=入力リスト!$Q$4,ROUNDDOWN(INT(F1124)+ROUNDDOWN((F1124-INT(F1124))*100,0)/60,2),従業員の給与情報!F1124))</f>
        <v/>
      </c>
      <c r="O1124" s="8"/>
      <c r="P1124" s="8"/>
    </row>
    <row r="1125" spans="1:16">
      <c r="A1125" s="119"/>
      <c r="B1125" s="2"/>
      <c r="C1125" s="3"/>
      <c r="D1125" s="3"/>
      <c r="E1125" s="3"/>
      <c r="F1125" s="9"/>
      <c r="G1125" s="248" t="str">
        <f t="shared" si="85"/>
        <v/>
      </c>
      <c r="H1125" s="1" t="b">
        <f>IF(B1125="",FALSE,COUNTIF('従業員情報(給与以外)'!$A$4:$A$1000000,$B1125)=0)</f>
        <v>0</v>
      </c>
      <c r="I1125" s="9" t="b">
        <f t="shared" si="86"/>
        <v>1</v>
      </c>
      <c r="J1125" s="9" t="b">
        <f t="shared" si="87"/>
        <v>1</v>
      </c>
      <c r="K1125" s="9" t="b">
        <f t="shared" si="88"/>
        <v>1</v>
      </c>
      <c r="L1125" s="9" t="b">
        <f t="shared" si="89"/>
        <v>1</v>
      </c>
      <c r="M1125" s="1" t="b">
        <f>IF(OR(入力シート!$C$5&lt;&gt;入力リスト!$N$4,入力シート!$J$22&lt;&gt;入力リスト!$K$4),TRUE,IF($F$2=入力リスト!$Q$4,IF(F1125-INT(F1125)&lt;0.6,TRUE,FALSE),TRUE))</f>
        <v>1</v>
      </c>
      <c r="N1125" s="9" t="str">
        <f>IF(F1125="","",IF($F$2=入力リスト!$Q$4,ROUNDDOWN(INT(F1125)+ROUNDDOWN((F1125-INT(F1125))*100,0)/60,2),従業員の給与情報!F1125))</f>
        <v/>
      </c>
      <c r="O1125" s="8"/>
      <c r="P1125" s="8"/>
    </row>
    <row r="1126" spans="1:16">
      <c r="A1126" s="119"/>
      <c r="B1126" s="2"/>
      <c r="C1126" s="3"/>
      <c r="D1126" s="3"/>
      <c r="E1126" s="3"/>
      <c r="F1126" s="9"/>
      <c r="G1126" s="248" t="str">
        <f t="shared" si="85"/>
        <v/>
      </c>
      <c r="H1126" s="1" t="b">
        <f>IF(B1126="",FALSE,COUNTIF('従業員情報(給与以外)'!$A$4:$A$1000000,$B1126)=0)</f>
        <v>0</v>
      </c>
      <c r="I1126" s="9" t="b">
        <f t="shared" si="86"/>
        <v>1</v>
      </c>
      <c r="J1126" s="9" t="b">
        <f t="shared" si="87"/>
        <v>1</v>
      </c>
      <c r="K1126" s="9" t="b">
        <f t="shared" si="88"/>
        <v>1</v>
      </c>
      <c r="L1126" s="9" t="b">
        <f t="shared" si="89"/>
        <v>1</v>
      </c>
      <c r="M1126" s="1" t="b">
        <f>IF(OR(入力シート!$C$5&lt;&gt;入力リスト!$N$4,入力シート!$J$22&lt;&gt;入力リスト!$K$4),TRUE,IF($F$2=入力リスト!$Q$4,IF(F1126-INT(F1126)&lt;0.6,TRUE,FALSE),TRUE))</f>
        <v>1</v>
      </c>
      <c r="N1126" s="9" t="str">
        <f>IF(F1126="","",IF($F$2=入力リスト!$Q$4,ROUNDDOWN(INT(F1126)+ROUNDDOWN((F1126-INT(F1126))*100,0)/60,2),従業員の給与情報!F1126))</f>
        <v/>
      </c>
      <c r="O1126" s="8"/>
      <c r="P1126" s="8"/>
    </row>
    <row r="1127" spans="1:16">
      <c r="A1127" s="119"/>
      <c r="B1127" s="2"/>
      <c r="C1127" s="3"/>
      <c r="D1127" s="3"/>
      <c r="E1127" s="3"/>
      <c r="F1127" s="9"/>
      <c r="G1127" s="248" t="str">
        <f t="shared" si="85"/>
        <v/>
      </c>
      <c r="H1127" s="1" t="b">
        <f>IF(B1127="",FALSE,COUNTIF('従業員情報(給与以外)'!$A$4:$A$1000000,$B1127)=0)</f>
        <v>0</v>
      </c>
      <c r="I1127" s="9" t="b">
        <f t="shared" si="86"/>
        <v>1</v>
      </c>
      <c r="J1127" s="9" t="b">
        <f t="shared" si="87"/>
        <v>1</v>
      </c>
      <c r="K1127" s="9" t="b">
        <f t="shared" si="88"/>
        <v>1</v>
      </c>
      <c r="L1127" s="9" t="b">
        <f t="shared" si="89"/>
        <v>1</v>
      </c>
      <c r="M1127" s="1" t="b">
        <f>IF(OR(入力シート!$C$5&lt;&gt;入力リスト!$N$4,入力シート!$J$22&lt;&gt;入力リスト!$K$4),TRUE,IF($F$2=入力リスト!$Q$4,IF(F1127-INT(F1127)&lt;0.6,TRUE,FALSE),TRUE))</f>
        <v>1</v>
      </c>
      <c r="N1127" s="9" t="str">
        <f>IF(F1127="","",IF($F$2=入力リスト!$Q$4,ROUNDDOWN(INT(F1127)+ROUNDDOWN((F1127-INT(F1127))*100,0)/60,2),従業員の給与情報!F1127))</f>
        <v/>
      </c>
      <c r="O1127" s="8"/>
      <c r="P1127" s="8"/>
    </row>
    <row r="1128" spans="1:16">
      <c r="A1128" s="119"/>
      <c r="B1128" s="2"/>
      <c r="C1128" s="3"/>
      <c r="D1128" s="3"/>
      <c r="E1128" s="3"/>
      <c r="F1128" s="9"/>
      <c r="G1128" s="248" t="str">
        <f t="shared" si="85"/>
        <v/>
      </c>
      <c r="H1128" s="1" t="b">
        <f>IF(B1128="",FALSE,COUNTIF('従業員情報(給与以外)'!$A$4:$A$1000000,$B1128)=0)</f>
        <v>0</v>
      </c>
      <c r="I1128" s="9" t="b">
        <f t="shared" si="86"/>
        <v>1</v>
      </c>
      <c r="J1128" s="9" t="b">
        <f t="shared" si="87"/>
        <v>1</v>
      </c>
      <c r="K1128" s="9" t="b">
        <f t="shared" si="88"/>
        <v>1</v>
      </c>
      <c r="L1128" s="9" t="b">
        <f t="shared" si="89"/>
        <v>1</v>
      </c>
      <c r="M1128" s="1" t="b">
        <f>IF(OR(入力シート!$C$5&lt;&gt;入力リスト!$N$4,入力シート!$J$22&lt;&gt;入力リスト!$K$4),TRUE,IF($F$2=入力リスト!$Q$4,IF(F1128-INT(F1128)&lt;0.6,TRUE,FALSE),TRUE))</f>
        <v>1</v>
      </c>
      <c r="N1128" s="9" t="str">
        <f>IF(F1128="","",IF($F$2=入力リスト!$Q$4,ROUNDDOWN(INT(F1128)+ROUNDDOWN((F1128-INT(F1128))*100,0)/60,2),従業員の給与情報!F1128))</f>
        <v/>
      </c>
      <c r="O1128" s="8"/>
      <c r="P1128" s="8"/>
    </row>
    <row r="1129" spans="1:16">
      <c r="A1129" s="119"/>
      <c r="B1129" s="2"/>
      <c r="C1129" s="3"/>
      <c r="D1129" s="3"/>
      <c r="E1129" s="3"/>
      <c r="F1129" s="9"/>
      <c r="G1129" s="248" t="str">
        <f t="shared" si="85"/>
        <v/>
      </c>
      <c r="H1129" s="1" t="b">
        <f>IF(B1129="",FALSE,COUNTIF('従業員情報(給与以外)'!$A$4:$A$1000000,$B1129)=0)</f>
        <v>0</v>
      </c>
      <c r="I1129" s="9" t="b">
        <f t="shared" si="86"/>
        <v>1</v>
      </c>
      <c r="J1129" s="9" t="b">
        <f t="shared" si="87"/>
        <v>1</v>
      </c>
      <c r="K1129" s="9" t="b">
        <f t="shared" si="88"/>
        <v>1</v>
      </c>
      <c r="L1129" s="9" t="b">
        <f t="shared" si="89"/>
        <v>1</v>
      </c>
      <c r="M1129" s="1" t="b">
        <f>IF(OR(入力シート!$C$5&lt;&gt;入力リスト!$N$4,入力シート!$J$22&lt;&gt;入力リスト!$K$4),TRUE,IF($F$2=入力リスト!$Q$4,IF(F1129-INT(F1129)&lt;0.6,TRUE,FALSE),TRUE))</f>
        <v>1</v>
      </c>
      <c r="N1129" s="9" t="str">
        <f>IF(F1129="","",IF($F$2=入力リスト!$Q$4,ROUNDDOWN(INT(F1129)+ROUNDDOWN((F1129-INT(F1129))*100,0)/60,2),従業員の給与情報!F1129))</f>
        <v/>
      </c>
      <c r="O1129" s="8"/>
      <c r="P1129" s="8"/>
    </row>
    <row r="1130" spans="1:16">
      <c r="A1130" s="119"/>
      <c r="B1130" s="2"/>
      <c r="C1130" s="3"/>
      <c r="D1130" s="3"/>
      <c r="E1130" s="3"/>
      <c r="F1130" s="9"/>
      <c r="G1130" s="248" t="str">
        <f t="shared" si="85"/>
        <v/>
      </c>
      <c r="H1130" s="1" t="b">
        <f>IF(B1130="",FALSE,COUNTIF('従業員情報(給与以外)'!$A$4:$A$1000000,$B1130)=0)</f>
        <v>0</v>
      </c>
      <c r="I1130" s="9" t="b">
        <f t="shared" si="86"/>
        <v>1</v>
      </c>
      <c r="J1130" s="9" t="b">
        <f t="shared" si="87"/>
        <v>1</v>
      </c>
      <c r="K1130" s="9" t="b">
        <f t="shared" si="88"/>
        <v>1</v>
      </c>
      <c r="L1130" s="9" t="b">
        <f t="shared" si="89"/>
        <v>1</v>
      </c>
      <c r="M1130" s="1" t="b">
        <f>IF(OR(入力シート!$C$5&lt;&gt;入力リスト!$N$4,入力シート!$J$22&lt;&gt;入力リスト!$K$4),TRUE,IF($F$2=入力リスト!$Q$4,IF(F1130-INT(F1130)&lt;0.6,TRUE,FALSE),TRUE))</f>
        <v>1</v>
      </c>
      <c r="N1130" s="9" t="str">
        <f>IF(F1130="","",IF($F$2=入力リスト!$Q$4,ROUNDDOWN(INT(F1130)+ROUNDDOWN((F1130-INT(F1130))*100,0)/60,2),従業員の給与情報!F1130))</f>
        <v/>
      </c>
      <c r="O1130" s="8"/>
      <c r="P1130" s="8"/>
    </row>
    <row r="1131" spans="1:16">
      <c r="A1131" s="119"/>
      <c r="B1131" s="2"/>
      <c r="C1131" s="3"/>
      <c r="D1131" s="3"/>
      <c r="E1131" s="3"/>
      <c r="F1131" s="9"/>
      <c r="G1131" s="248" t="str">
        <f t="shared" si="85"/>
        <v/>
      </c>
      <c r="H1131" s="1" t="b">
        <f>IF(B1131="",FALSE,COUNTIF('従業員情報(給与以外)'!$A$4:$A$1000000,$B1131)=0)</f>
        <v>0</v>
      </c>
      <c r="I1131" s="9" t="b">
        <f t="shared" si="86"/>
        <v>1</v>
      </c>
      <c r="J1131" s="9" t="b">
        <f t="shared" si="87"/>
        <v>1</v>
      </c>
      <c r="K1131" s="9" t="b">
        <f t="shared" si="88"/>
        <v>1</v>
      </c>
      <c r="L1131" s="9" t="b">
        <f t="shared" si="89"/>
        <v>1</v>
      </c>
      <c r="M1131" s="1" t="b">
        <f>IF(OR(入力シート!$C$5&lt;&gt;入力リスト!$N$4,入力シート!$J$22&lt;&gt;入力リスト!$K$4),TRUE,IF($F$2=入力リスト!$Q$4,IF(F1131-INT(F1131)&lt;0.6,TRUE,FALSE),TRUE))</f>
        <v>1</v>
      </c>
      <c r="N1131" s="9" t="str">
        <f>IF(F1131="","",IF($F$2=入力リスト!$Q$4,ROUNDDOWN(INT(F1131)+ROUNDDOWN((F1131-INT(F1131))*100,0)/60,2),従業員の給与情報!F1131))</f>
        <v/>
      </c>
      <c r="O1131" s="8"/>
      <c r="P1131" s="8"/>
    </row>
    <row r="1132" spans="1:16">
      <c r="A1132" s="119"/>
      <c r="B1132" s="2"/>
      <c r="C1132" s="3"/>
      <c r="D1132" s="3"/>
      <c r="E1132" s="3"/>
      <c r="F1132" s="9"/>
      <c r="G1132" s="248" t="str">
        <f t="shared" si="85"/>
        <v/>
      </c>
      <c r="H1132" s="1" t="b">
        <f>IF(B1132="",FALSE,COUNTIF('従業員情報(給与以外)'!$A$4:$A$1000000,$B1132)=0)</f>
        <v>0</v>
      </c>
      <c r="I1132" s="9" t="b">
        <f t="shared" si="86"/>
        <v>1</v>
      </c>
      <c r="J1132" s="9" t="b">
        <f t="shared" si="87"/>
        <v>1</v>
      </c>
      <c r="K1132" s="9" t="b">
        <f t="shared" si="88"/>
        <v>1</v>
      </c>
      <c r="L1132" s="9" t="b">
        <f t="shared" si="89"/>
        <v>1</v>
      </c>
      <c r="M1132" s="1" t="b">
        <f>IF(OR(入力シート!$C$5&lt;&gt;入力リスト!$N$4,入力シート!$J$22&lt;&gt;入力リスト!$K$4),TRUE,IF($F$2=入力リスト!$Q$4,IF(F1132-INT(F1132)&lt;0.6,TRUE,FALSE),TRUE))</f>
        <v>1</v>
      </c>
      <c r="N1132" s="9" t="str">
        <f>IF(F1132="","",IF($F$2=入力リスト!$Q$4,ROUNDDOWN(INT(F1132)+ROUNDDOWN((F1132-INT(F1132))*100,0)/60,2),従業員の給与情報!F1132))</f>
        <v/>
      </c>
      <c r="O1132" s="8"/>
      <c r="P1132" s="8"/>
    </row>
    <row r="1133" spans="1:16">
      <c r="A1133" s="119"/>
      <c r="B1133" s="2"/>
      <c r="C1133" s="3"/>
      <c r="D1133" s="3"/>
      <c r="E1133" s="3"/>
      <c r="F1133" s="9"/>
      <c r="G1133" s="248" t="str">
        <f t="shared" si="85"/>
        <v/>
      </c>
      <c r="H1133" s="1" t="b">
        <f>IF(B1133="",FALSE,COUNTIF('従業員情報(給与以外)'!$A$4:$A$1000000,$B1133)=0)</f>
        <v>0</v>
      </c>
      <c r="I1133" s="9" t="b">
        <f t="shared" si="86"/>
        <v>1</v>
      </c>
      <c r="J1133" s="9" t="b">
        <f t="shared" si="87"/>
        <v>1</v>
      </c>
      <c r="K1133" s="9" t="b">
        <f t="shared" si="88"/>
        <v>1</v>
      </c>
      <c r="L1133" s="9" t="b">
        <f t="shared" si="89"/>
        <v>1</v>
      </c>
      <c r="M1133" s="1" t="b">
        <f>IF(OR(入力シート!$C$5&lt;&gt;入力リスト!$N$4,入力シート!$J$22&lt;&gt;入力リスト!$K$4),TRUE,IF($F$2=入力リスト!$Q$4,IF(F1133-INT(F1133)&lt;0.6,TRUE,FALSE),TRUE))</f>
        <v>1</v>
      </c>
      <c r="N1133" s="9" t="str">
        <f>IF(F1133="","",IF($F$2=入力リスト!$Q$4,ROUNDDOWN(INT(F1133)+ROUNDDOWN((F1133-INT(F1133))*100,0)/60,2),従業員の給与情報!F1133))</f>
        <v/>
      </c>
      <c r="O1133" s="8"/>
      <c r="P1133" s="8"/>
    </row>
    <row r="1134" spans="1:16">
      <c r="A1134" s="119"/>
      <c r="B1134" s="2"/>
      <c r="C1134" s="3"/>
      <c r="D1134" s="3"/>
      <c r="E1134" s="3"/>
      <c r="F1134" s="9"/>
      <c r="G1134" s="248" t="str">
        <f t="shared" si="85"/>
        <v/>
      </c>
      <c r="H1134" s="1" t="b">
        <f>IF(B1134="",FALSE,COUNTIF('従業員情報(給与以外)'!$A$4:$A$1000000,$B1134)=0)</f>
        <v>0</v>
      </c>
      <c r="I1134" s="9" t="b">
        <f t="shared" si="86"/>
        <v>1</v>
      </c>
      <c r="J1134" s="9" t="b">
        <f t="shared" si="87"/>
        <v>1</v>
      </c>
      <c r="K1134" s="9" t="b">
        <f t="shared" si="88"/>
        <v>1</v>
      </c>
      <c r="L1134" s="9" t="b">
        <f t="shared" si="89"/>
        <v>1</v>
      </c>
      <c r="M1134" s="1" t="b">
        <f>IF(OR(入力シート!$C$5&lt;&gt;入力リスト!$N$4,入力シート!$J$22&lt;&gt;入力リスト!$K$4),TRUE,IF($F$2=入力リスト!$Q$4,IF(F1134-INT(F1134)&lt;0.6,TRUE,FALSE),TRUE))</f>
        <v>1</v>
      </c>
      <c r="N1134" s="9" t="str">
        <f>IF(F1134="","",IF($F$2=入力リスト!$Q$4,ROUNDDOWN(INT(F1134)+ROUNDDOWN((F1134-INT(F1134))*100,0)/60,2),従業員の給与情報!F1134))</f>
        <v/>
      </c>
      <c r="O1134" s="8"/>
      <c r="P1134" s="8"/>
    </row>
    <row r="1135" spans="1:16">
      <c r="A1135" s="119"/>
      <c r="B1135" s="2"/>
      <c r="C1135" s="3"/>
      <c r="D1135" s="3"/>
      <c r="E1135" s="3"/>
      <c r="F1135" s="9"/>
      <c r="G1135" s="248" t="str">
        <f t="shared" si="85"/>
        <v/>
      </c>
      <c r="H1135" s="1" t="b">
        <f>IF(B1135="",FALSE,COUNTIF('従業員情報(給与以外)'!$A$4:$A$1000000,$B1135)=0)</f>
        <v>0</v>
      </c>
      <c r="I1135" s="9" t="b">
        <f t="shared" si="86"/>
        <v>1</v>
      </c>
      <c r="J1135" s="9" t="b">
        <f t="shared" si="87"/>
        <v>1</v>
      </c>
      <c r="K1135" s="9" t="b">
        <f t="shared" si="88"/>
        <v>1</v>
      </c>
      <c r="L1135" s="9" t="b">
        <f t="shared" si="89"/>
        <v>1</v>
      </c>
      <c r="M1135" s="1" t="b">
        <f>IF(OR(入力シート!$C$5&lt;&gt;入力リスト!$N$4,入力シート!$J$22&lt;&gt;入力リスト!$K$4),TRUE,IF($F$2=入力リスト!$Q$4,IF(F1135-INT(F1135)&lt;0.6,TRUE,FALSE),TRUE))</f>
        <v>1</v>
      </c>
      <c r="N1135" s="9" t="str">
        <f>IF(F1135="","",IF($F$2=入力リスト!$Q$4,ROUNDDOWN(INT(F1135)+ROUNDDOWN((F1135-INT(F1135))*100,0)/60,2),従業員の給与情報!F1135))</f>
        <v/>
      </c>
      <c r="O1135" s="8"/>
      <c r="P1135" s="8"/>
    </row>
    <row r="1136" spans="1:16">
      <c r="A1136" s="119"/>
      <c r="B1136" s="2"/>
      <c r="C1136" s="3"/>
      <c r="D1136" s="3"/>
      <c r="E1136" s="3"/>
      <c r="F1136" s="9"/>
      <c r="G1136" s="248" t="str">
        <f t="shared" si="85"/>
        <v/>
      </c>
      <c r="H1136" s="1" t="b">
        <f>IF(B1136="",FALSE,COUNTIF('従業員情報(給与以外)'!$A$4:$A$1000000,$B1136)=0)</f>
        <v>0</v>
      </c>
      <c r="I1136" s="9" t="b">
        <f t="shared" si="86"/>
        <v>1</v>
      </c>
      <c r="J1136" s="9" t="b">
        <f t="shared" si="87"/>
        <v>1</v>
      </c>
      <c r="K1136" s="9" t="b">
        <f t="shared" si="88"/>
        <v>1</v>
      </c>
      <c r="L1136" s="9" t="b">
        <f t="shared" si="89"/>
        <v>1</v>
      </c>
      <c r="M1136" s="1" t="b">
        <f>IF(OR(入力シート!$C$5&lt;&gt;入力リスト!$N$4,入力シート!$J$22&lt;&gt;入力リスト!$K$4),TRUE,IF($F$2=入力リスト!$Q$4,IF(F1136-INT(F1136)&lt;0.6,TRUE,FALSE),TRUE))</f>
        <v>1</v>
      </c>
      <c r="N1136" s="9" t="str">
        <f>IF(F1136="","",IF($F$2=入力リスト!$Q$4,ROUNDDOWN(INT(F1136)+ROUNDDOWN((F1136-INT(F1136))*100,0)/60,2),従業員の給与情報!F1136))</f>
        <v/>
      </c>
      <c r="O1136" s="8"/>
      <c r="P1136" s="8"/>
    </row>
    <row r="1137" spans="1:16">
      <c r="A1137" s="119"/>
      <c r="B1137" s="2"/>
      <c r="C1137" s="3"/>
      <c r="D1137" s="3"/>
      <c r="E1137" s="3"/>
      <c r="F1137" s="9"/>
      <c r="G1137" s="248" t="str">
        <f t="shared" si="85"/>
        <v/>
      </c>
      <c r="H1137" s="1" t="b">
        <f>IF(B1137="",FALSE,COUNTIF('従業員情報(給与以外)'!$A$4:$A$1000000,$B1137)=0)</f>
        <v>0</v>
      </c>
      <c r="I1137" s="9" t="b">
        <f t="shared" si="86"/>
        <v>1</v>
      </c>
      <c r="J1137" s="9" t="b">
        <f t="shared" si="87"/>
        <v>1</v>
      </c>
      <c r="K1137" s="9" t="b">
        <f t="shared" si="88"/>
        <v>1</v>
      </c>
      <c r="L1137" s="9" t="b">
        <f t="shared" si="89"/>
        <v>1</v>
      </c>
      <c r="M1137" s="1" t="b">
        <f>IF(OR(入力シート!$C$5&lt;&gt;入力リスト!$N$4,入力シート!$J$22&lt;&gt;入力リスト!$K$4),TRUE,IF($F$2=入力リスト!$Q$4,IF(F1137-INT(F1137)&lt;0.6,TRUE,FALSE),TRUE))</f>
        <v>1</v>
      </c>
      <c r="N1137" s="9" t="str">
        <f>IF(F1137="","",IF($F$2=入力リスト!$Q$4,ROUNDDOWN(INT(F1137)+ROUNDDOWN((F1137-INT(F1137))*100,0)/60,2),従業員の給与情報!F1137))</f>
        <v/>
      </c>
      <c r="O1137" s="8"/>
      <c r="P1137" s="8"/>
    </row>
    <row r="1138" spans="1:16">
      <c r="A1138" s="119"/>
      <c r="B1138" s="2"/>
      <c r="C1138" s="3"/>
      <c r="D1138" s="3"/>
      <c r="E1138" s="3"/>
      <c r="F1138" s="9"/>
      <c r="G1138" s="248" t="str">
        <f t="shared" si="85"/>
        <v/>
      </c>
      <c r="H1138" s="1" t="b">
        <f>IF(B1138="",FALSE,COUNTIF('従業員情報(給与以外)'!$A$4:$A$1000000,$B1138)=0)</f>
        <v>0</v>
      </c>
      <c r="I1138" s="9" t="b">
        <f t="shared" si="86"/>
        <v>1</v>
      </c>
      <c r="J1138" s="9" t="b">
        <f t="shared" si="87"/>
        <v>1</v>
      </c>
      <c r="K1138" s="9" t="b">
        <f t="shared" si="88"/>
        <v>1</v>
      </c>
      <c r="L1138" s="9" t="b">
        <f t="shared" si="89"/>
        <v>1</v>
      </c>
      <c r="M1138" s="1" t="b">
        <f>IF(OR(入力シート!$C$5&lt;&gt;入力リスト!$N$4,入力シート!$J$22&lt;&gt;入力リスト!$K$4),TRUE,IF($F$2=入力リスト!$Q$4,IF(F1138-INT(F1138)&lt;0.6,TRUE,FALSE),TRUE))</f>
        <v>1</v>
      </c>
      <c r="N1138" s="9" t="str">
        <f>IF(F1138="","",IF($F$2=入力リスト!$Q$4,ROUNDDOWN(INT(F1138)+ROUNDDOWN((F1138-INT(F1138))*100,0)/60,2),従業員の給与情報!F1138))</f>
        <v/>
      </c>
      <c r="O1138" s="8"/>
      <c r="P1138" s="8"/>
    </row>
    <row r="1139" spans="1:16">
      <c r="A1139" s="119"/>
      <c r="B1139" s="2"/>
      <c r="C1139" s="3"/>
      <c r="D1139" s="3"/>
      <c r="E1139" s="3"/>
      <c r="F1139" s="9"/>
      <c r="G1139" s="248" t="str">
        <f t="shared" si="85"/>
        <v/>
      </c>
      <c r="H1139" s="1" t="b">
        <f>IF(B1139="",FALSE,COUNTIF('従業員情報(給与以外)'!$A$4:$A$1000000,$B1139)=0)</f>
        <v>0</v>
      </c>
      <c r="I1139" s="9" t="b">
        <f t="shared" si="86"/>
        <v>1</v>
      </c>
      <c r="J1139" s="9" t="b">
        <f t="shared" si="87"/>
        <v>1</v>
      </c>
      <c r="K1139" s="9" t="b">
        <f t="shared" si="88"/>
        <v>1</v>
      </c>
      <c r="L1139" s="9" t="b">
        <f t="shared" si="89"/>
        <v>1</v>
      </c>
      <c r="M1139" s="1" t="b">
        <f>IF(OR(入力シート!$C$5&lt;&gt;入力リスト!$N$4,入力シート!$J$22&lt;&gt;入力リスト!$K$4),TRUE,IF($F$2=入力リスト!$Q$4,IF(F1139-INT(F1139)&lt;0.6,TRUE,FALSE),TRUE))</f>
        <v>1</v>
      </c>
      <c r="N1139" s="9" t="str">
        <f>IF(F1139="","",IF($F$2=入力リスト!$Q$4,ROUNDDOWN(INT(F1139)+ROUNDDOWN((F1139-INT(F1139))*100,0)/60,2),従業員の給与情報!F1139))</f>
        <v/>
      </c>
      <c r="O1139" s="8"/>
      <c r="P1139" s="8"/>
    </row>
    <row r="1140" spans="1:16">
      <c r="A1140" s="119"/>
      <c r="B1140" s="2"/>
      <c r="C1140" s="3"/>
      <c r="D1140" s="3"/>
      <c r="E1140" s="3"/>
      <c r="F1140" s="9"/>
      <c r="G1140" s="248" t="str">
        <f t="shared" si="85"/>
        <v/>
      </c>
      <c r="H1140" s="1" t="b">
        <f>IF(B1140="",FALSE,COUNTIF('従業員情報(給与以外)'!$A$4:$A$1000000,$B1140)=0)</f>
        <v>0</v>
      </c>
      <c r="I1140" s="9" t="b">
        <f t="shared" si="86"/>
        <v>1</v>
      </c>
      <c r="J1140" s="9" t="b">
        <f t="shared" si="87"/>
        <v>1</v>
      </c>
      <c r="K1140" s="9" t="b">
        <f t="shared" si="88"/>
        <v>1</v>
      </c>
      <c r="L1140" s="9" t="b">
        <f t="shared" si="89"/>
        <v>1</v>
      </c>
      <c r="M1140" s="1" t="b">
        <f>IF(OR(入力シート!$C$5&lt;&gt;入力リスト!$N$4,入力シート!$J$22&lt;&gt;入力リスト!$K$4),TRUE,IF($F$2=入力リスト!$Q$4,IF(F1140-INT(F1140)&lt;0.6,TRUE,FALSE),TRUE))</f>
        <v>1</v>
      </c>
      <c r="N1140" s="9" t="str">
        <f>IF(F1140="","",IF($F$2=入力リスト!$Q$4,ROUNDDOWN(INT(F1140)+ROUNDDOWN((F1140-INT(F1140))*100,0)/60,2),従業員の給与情報!F1140))</f>
        <v/>
      </c>
      <c r="O1140" s="8"/>
      <c r="P1140" s="8"/>
    </row>
    <row r="1141" spans="1:16">
      <c r="A1141" s="119"/>
      <c r="B1141" s="2"/>
      <c r="C1141" s="3"/>
      <c r="D1141" s="3"/>
      <c r="E1141" s="3"/>
      <c r="F1141" s="9"/>
      <c r="G1141" s="248" t="str">
        <f t="shared" si="85"/>
        <v/>
      </c>
      <c r="H1141" s="1" t="b">
        <f>IF(B1141="",FALSE,COUNTIF('従業員情報(給与以外)'!$A$4:$A$1000000,$B1141)=0)</f>
        <v>0</v>
      </c>
      <c r="I1141" s="9" t="b">
        <f t="shared" si="86"/>
        <v>1</v>
      </c>
      <c r="J1141" s="9" t="b">
        <f t="shared" si="87"/>
        <v>1</v>
      </c>
      <c r="K1141" s="9" t="b">
        <f t="shared" si="88"/>
        <v>1</v>
      </c>
      <c r="L1141" s="9" t="b">
        <f t="shared" si="89"/>
        <v>1</v>
      </c>
      <c r="M1141" s="1" t="b">
        <f>IF(OR(入力シート!$C$5&lt;&gt;入力リスト!$N$4,入力シート!$J$22&lt;&gt;入力リスト!$K$4),TRUE,IF($F$2=入力リスト!$Q$4,IF(F1141-INT(F1141)&lt;0.6,TRUE,FALSE),TRUE))</f>
        <v>1</v>
      </c>
      <c r="N1141" s="9" t="str">
        <f>IF(F1141="","",IF($F$2=入力リスト!$Q$4,ROUNDDOWN(INT(F1141)+ROUNDDOWN((F1141-INT(F1141))*100,0)/60,2),従業員の給与情報!F1141))</f>
        <v/>
      </c>
      <c r="O1141" s="8"/>
      <c r="P1141" s="8"/>
    </row>
    <row r="1142" spans="1:16">
      <c r="A1142" s="119"/>
      <c r="B1142" s="2"/>
      <c r="C1142" s="3"/>
      <c r="D1142" s="3"/>
      <c r="E1142" s="3"/>
      <c r="F1142" s="9"/>
      <c r="G1142" s="248" t="str">
        <f t="shared" si="85"/>
        <v/>
      </c>
      <c r="H1142" s="1" t="b">
        <f>IF(B1142="",FALSE,COUNTIF('従業員情報(給与以外)'!$A$4:$A$1000000,$B1142)=0)</f>
        <v>0</v>
      </c>
      <c r="I1142" s="9" t="b">
        <f t="shared" si="86"/>
        <v>1</v>
      </c>
      <c r="J1142" s="9" t="b">
        <f t="shared" si="87"/>
        <v>1</v>
      </c>
      <c r="K1142" s="9" t="b">
        <f t="shared" si="88"/>
        <v>1</v>
      </c>
      <c r="L1142" s="9" t="b">
        <f t="shared" si="89"/>
        <v>1</v>
      </c>
      <c r="M1142" s="1" t="b">
        <f>IF(OR(入力シート!$C$5&lt;&gt;入力リスト!$N$4,入力シート!$J$22&lt;&gt;入力リスト!$K$4),TRUE,IF($F$2=入力リスト!$Q$4,IF(F1142-INT(F1142)&lt;0.6,TRUE,FALSE),TRUE))</f>
        <v>1</v>
      </c>
      <c r="N1142" s="9" t="str">
        <f>IF(F1142="","",IF($F$2=入力リスト!$Q$4,ROUNDDOWN(INT(F1142)+ROUNDDOWN((F1142-INT(F1142))*100,0)/60,2),従業員の給与情報!F1142))</f>
        <v/>
      </c>
      <c r="O1142" s="8"/>
      <c r="P1142" s="8"/>
    </row>
    <row r="1143" spans="1:16">
      <c r="A1143" s="119"/>
      <c r="B1143" s="2"/>
      <c r="C1143" s="3"/>
      <c r="D1143" s="3"/>
      <c r="E1143" s="3"/>
      <c r="F1143" s="9"/>
      <c r="G1143" s="248" t="str">
        <f t="shared" si="85"/>
        <v/>
      </c>
      <c r="H1143" s="1" t="b">
        <f>IF(B1143="",FALSE,COUNTIF('従業員情報(給与以外)'!$A$4:$A$1000000,$B1143)=0)</f>
        <v>0</v>
      </c>
      <c r="I1143" s="9" t="b">
        <f t="shared" si="86"/>
        <v>1</v>
      </c>
      <c r="J1143" s="9" t="b">
        <f t="shared" si="87"/>
        <v>1</v>
      </c>
      <c r="K1143" s="9" t="b">
        <f t="shared" si="88"/>
        <v>1</v>
      </c>
      <c r="L1143" s="9" t="b">
        <f t="shared" si="89"/>
        <v>1</v>
      </c>
      <c r="M1143" s="1" t="b">
        <f>IF(OR(入力シート!$C$5&lt;&gt;入力リスト!$N$4,入力シート!$J$22&lt;&gt;入力リスト!$K$4),TRUE,IF($F$2=入力リスト!$Q$4,IF(F1143-INT(F1143)&lt;0.6,TRUE,FALSE),TRUE))</f>
        <v>1</v>
      </c>
      <c r="N1143" s="9" t="str">
        <f>IF(F1143="","",IF($F$2=入力リスト!$Q$4,ROUNDDOWN(INT(F1143)+ROUNDDOWN((F1143-INT(F1143))*100,0)/60,2),従業員の給与情報!F1143))</f>
        <v/>
      </c>
      <c r="O1143" s="8"/>
      <c r="P1143" s="8"/>
    </row>
    <row r="1144" spans="1:16">
      <c r="A1144" s="119"/>
      <c r="B1144" s="2"/>
      <c r="C1144" s="3"/>
      <c r="D1144" s="3"/>
      <c r="E1144" s="3"/>
      <c r="F1144" s="9"/>
      <c r="G1144" s="248" t="str">
        <f t="shared" si="85"/>
        <v/>
      </c>
      <c r="H1144" s="1" t="b">
        <f>IF(B1144="",FALSE,COUNTIF('従業員情報(給与以外)'!$A$4:$A$1000000,$B1144)=0)</f>
        <v>0</v>
      </c>
      <c r="I1144" s="9" t="b">
        <f t="shared" si="86"/>
        <v>1</v>
      </c>
      <c r="J1144" s="9" t="b">
        <f t="shared" si="87"/>
        <v>1</v>
      </c>
      <c r="K1144" s="9" t="b">
        <f t="shared" si="88"/>
        <v>1</v>
      </c>
      <c r="L1144" s="9" t="b">
        <f t="shared" si="89"/>
        <v>1</v>
      </c>
      <c r="M1144" s="1" t="b">
        <f>IF(OR(入力シート!$C$5&lt;&gt;入力リスト!$N$4,入力シート!$J$22&lt;&gt;入力リスト!$K$4),TRUE,IF($F$2=入力リスト!$Q$4,IF(F1144-INT(F1144)&lt;0.6,TRUE,FALSE),TRUE))</f>
        <v>1</v>
      </c>
      <c r="N1144" s="9" t="str">
        <f>IF(F1144="","",IF($F$2=入力リスト!$Q$4,ROUNDDOWN(INT(F1144)+ROUNDDOWN((F1144-INT(F1144))*100,0)/60,2),従業員の給与情報!F1144))</f>
        <v/>
      </c>
      <c r="O1144" s="8"/>
      <c r="P1144" s="8"/>
    </row>
    <row r="1145" spans="1:16">
      <c r="A1145" s="119"/>
      <c r="B1145" s="2"/>
      <c r="C1145" s="3"/>
      <c r="D1145" s="3"/>
      <c r="E1145" s="3"/>
      <c r="F1145" s="9"/>
      <c r="G1145" s="248" t="str">
        <f t="shared" si="85"/>
        <v/>
      </c>
      <c r="H1145" s="1" t="b">
        <f>IF(B1145="",FALSE,COUNTIF('従業員情報(給与以外)'!$A$4:$A$1000000,$B1145)=0)</f>
        <v>0</v>
      </c>
      <c r="I1145" s="9" t="b">
        <f t="shared" si="86"/>
        <v>1</v>
      </c>
      <c r="J1145" s="9" t="b">
        <f t="shared" si="87"/>
        <v>1</v>
      </c>
      <c r="K1145" s="9" t="b">
        <f t="shared" si="88"/>
        <v>1</v>
      </c>
      <c r="L1145" s="9" t="b">
        <f t="shared" si="89"/>
        <v>1</v>
      </c>
      <c r="M1145" s="1" t="b">
        <f>IF(OR(入力シート!$C$5&lt;&gt;入力リスト!$N$4,入力シート!$J$22&lt;&gt;入力リスト!$K$4),TRUE,IF($F$2=入力リスト!$Q$4,IF(F1145-INT(F1145)&lt;0.6,TRUE,FALSE),TRUE))</f>
        <v>1</v>
      </c>
      <c r="N1145" s="9" t="str">
        <f>IF(F1145="","",IF($F$2=入力リスト!$Q$4,ROUNDDOWN(INT(F1145)+ROUNDDOWN((F1145-INT(F1145))*100,0)/60,2),従業員の給与情報!F1145))</f>
        <v/>
      </c>
      <c r="O1145" s="8"/>
      <c r="P1145" s="8"/>
    </row>
    <row r="1146" spans="1:16">
      <c r="A1146" s="119"/>
      <c r="B1146" s="2"/>
      <c r="C1146" s="3"/>
      <c r="D1146" s="3"/>
      <c r="E1146" s="3"/>
      <c r="F1146" s="9"/>
      <c r="G1146" s="248" t="str">
        <f t="shared" si="85"/>
        <v/>
      </c>
      <c r="H1146" s="1" t="b">
        <f>IF(B1146="",FALSE,COUNTIF('従業員情報(給与以外)'!$A$4:$A$1000000,$B1146)=0)</f>
        <v>0</v>
      </c>
      <c r="I1146" s="9" t="b">
        <f t="shared" si="86"/>
        <v>1</v>
      </c>
      <c r="J1146" s="9" t="b">
        <f t="shared" si="87"/>
        <v>1</v>
      </c>
      <c r="K1146" s="9" t="b">
        <f t="shared" si="88"/>
        <v>1</v>
      </c>
      <c r="L1146" s="9" t="b">
        <f t="shared" si="89"/>
        <v>1</v>
      </c>
      <c r="M1146" s="1" t="b">
        <f>IF(OR(入力シート!$C$5&lt;&gt;入力リスト!$N$4,入力シート!$J$22&lt;&gt;入力リスト!$K$4),TRUE,IF($F$2=入力リスト!$Q$4,IF(F1146-INT(F1146)&lt;0.6,TRUE,FALSE),TRUE))</f>
        <v>1</v>
      </c>
      <c r="N1146" s="9" t="str">
        <f>IF(F1146="","",IF($F$2=入力リスト!$Q$4,ROUNDDOWN(INT(F1146)+ROUNDDOWN((F1146-INT(F1146))*100,0)/60,2),従業員の給与情報!F1146))</f>
        <v/>
      </c>
      <c r="O1146" s="8"/>
      <c r="P1146" s="8"/>
    </row>
    <row r="1147" spans="1:16">
      <c r="A1147" s="119"/>
      <c r="B1147" s="2"/>
      <c r="C1147" s="3"/>
      <c r="D1147" s="3"/>
      <c r="E1147" s="3"/>
      <c r="F1147" s="9"/>
      <c r="G1147" s="248" t="str">
        <f t="shared" si="85"/>
        <v/>
      </c>
      <c r="H1147" s="1" t="b">
        <f>IF(B1147="",FALSE,COUNTIF('従業員情報(給与以外)'!$A$4:$A$1000000,$B1147)=0)</f>
        <v>0</v>
      </c>
      <c r="I1147" s="9" t="b">
        <f t="shared" si="86"/>
        <v>1</v>
      </c>
      <c r="J1147" s="9" t="b">
        <f t="shared" si="87"/>
        <v>1</v>
      </c>
      <c r="K1147" s="9" t="b">
        <f t="shared" si="88"/>
        <v>1</v>
      </c>
      <c r="L1147" s="9" t="b">
        <f t="shared" si="89"/>
        <v>1</v>
      </c>
      <c r="M1147" s="1" t="b">
        <f>IF(OR(入力シート!$C$5&lt;&gt;入力リスト!$N$4,入力シート!$J$22&lt;&gt;入力リスト!$K$4),TRUE,IF($F$2=入力リスト!$Q$4,IF(F1147-INT(F1147)&lt;0.6,TRUE,FALSE),TRUE))</f>
        <v>1</v>
      </c>
      <c r="N1147" s="9" t="str">
        <f>IF(F1147="","",IF($F$2=入力リスト!$Q$4,ROUNDDOWN(INT(F1147)+ROUNDDOWN((F1147-INT(F1147))*100,0)/60,2),従業員の給与情報!F1147))</f>
        <v/>
      </c>
      <c r="O1147" s="8"/>
      <c r="P1147" s="8"/>
    </row>
    <row r="1148" spans="1:16">
      <c r="A1148" s="119"/>
      <c r="B1148" s="2"/>
      <c r="C1148" s="3"/>
      <c r="D1148" s="3"/>
      <c r="E1148" s="3"/>
      <c r="F1148" s="9"/>
      <c r="G1148" s="248" t="str">
        <f t="shared" si="85"/>
        <v/>
      </c>
      <c r="H1148" s="1" t="b">
        <f>IF(B1148="",FALSE,COUNTIF('従業員情報(給与以外)'!$A$4:$A$1000000,$B1148)=0)</f>
        <v>0</v>
      </c>
      <c r="I1148" s="9" t="b">
        <f t="shared" si="86"/>
        <v>1</v>
      </c>
      <c r="J1148" s="9" t="b">
        <f t="shared" si="87"/>
        <v>1</v>
      </c>
      <c r="K1148" s="9" t="b">
        <f t="shared" si="88"/>
        <v>1</v>
      </c>
      <c r="L1148" s="9" t="b">
        <f t="shared" si="89"/>
        <v>1</v>
      </c>
      <c r="M1148" s="1" t="b">
        <f>IF(OR(入力シート!$C$5&lt;&gt;入力リスト!$N$4,入力シート!$J$22&lt;&gt;入力リスト!$K$4),TRUE,IF($F$2=入力リスト!$Q$4,IF(F1148-INT(F1148)&lt;0.6,TRUE,FALSE),TRUE))</f>
        <v>1</v>
      </c>
      <c r="N1148" s="9" t="str">
        <f>IF(F1148="","",IF($F$2=入力リスト!$Q$4,ROUNDDOWN(INT(F1148)+ROUNDDOWN((F1148-INT(F1148))*100,0)/60,2),従業員の給与情報!F1148))</f>
        <v/>
      </c>
      <c r="O1148" s="8"/>
      <c r="P1148" s="8"/>
    </row>
    <row r="1149" spans="1:16">
      <c r="A1149" s="119"/>
      <c r="B1149" s="2"/>
      <c r="C1149" s="3"/>
      <c r="D1149" s="3"/>
      <c r="E1149" s="3"/>
      <c r="F1149" s="9"/>
      <c r="G1149" s="248" t="str">
        <f t="shared" si="85"/>
        <v/>
      </c>
      <c r="H1149" s="1" t="b">
        <f>IF(B1149="",FALSE,COUNTIF('従業員情報(給与以外)'!$A$4:$A$1000000,$B1149)=0)</f>
        <v>0</v>
      </c>
      <c r="I1149" s="9" t="b">
        <f t="shared" si="86"/>
        <v>1</v>
      </c>
      <c r="J1149" s="9" t="b">
        <f t="shared" si="87"/>
        <v>1</v>
      </c>
      <c r="K1149" s="9" t="b">
        <f t="shared" si="88"/>
        <v>1</v>
      </c>
      <c r="L1149" s="9" t="b">
        <f t="shared" si="89"/>
        <v>1</v>
      </c>
      <c r="M1149" s="1" t="b">
        <f>IF(OR(入力シート!$C$5&lt;&gt;入力リスト!$N$4,入力シート!$J$22&lt;&gt;入力リスト!$K$4),TRUE,IF($F$2=入力リスト!$Q$4,IF(F1149-INT(F1149)&lt;0.6,TRUE,FALSE),TRUE))</f>
        <v>1</v>
      </c>
      <c r="N1149" s="9" t="str">
        <f>IF(F1149="","",IF($F$2=入力リスト!$Q$4,ROUNDDOWN(INT(F1149)+ROUNDDOWN((F1149-INT(F1149))*100,0)/60,2),従業員の給与情報!F1149))</f>
        <v/>
      </c>
      <c r="O1149" s="8"/>
      <c r="P1149" s="8"/>
    </row>
    <row r="1150" spans="1:16">
      <c r="A1150" s="119"/>
      <c r="B1150" s="2"/>
      <c r="C1150" s="3"/>
      <c r="D1150" s="3"/>
      <c r="E1150" s="3"/>
      <c r="F1150" s="9"/>
      <c r="G1150" s="248" t="str">
        <f t="shared" si="85"/>
        <v/>
      </c>
      <c r="H1150" s="1" t="b">
        <f>IF(B1150="",FALSE,COUNTIF('従業員情報(給与以外)'!$A$4:$A$1000000,$B1150)=0)</f>
        <v>0</v>
      </c>
      <c r="I1150" s="9" t="b">
        <f t="shared" si="86"/>
        <v>1</v>
      </c>
      <c r="J1150" s="9" t="b">
        <f t="shared" si="87"/>
        <v>1</v>
      </c>
      <c r="K1150" s="9" t="b">
        <f t="shared" si="88"/>
        <v>1</v>
      </c>
      <c r="L1150" s="9" t="b">
        <f t="shared" si="89"/>
        <v>1</v>
      </c>
      <c r="M1150" s="1" t="b">
        <f>IF(OR(入力シート!$C$5&lt;&gt;入力リスト!$N$4,入力シート!$J$22&lt;&gt;入力リスト!$K$4),TRUE,IF($F$2=入力リスト!$Q$4,IF(F1150-INT(F1150)&lt;0.6,TRUE,FALSE),TRUE))</f>
        <v>1</v>
      </c>
      <c r="N1150" s="9" t="str">
        <f>IF(F1150="","",IF($F$2=入力リスト!$Q$4,ROUNDDOWN(INT(F1150)+ROUNDDOWN((F1150-INT(F1150))*100,0)/60,2),従業員の給与情報!F1150))</f>
        <v/>
      </c>
      <c r="O1150" s="8"/>
      <c r="P1150" s="8"/>
    </row>
    <row r="1151" spans="1:16">
      <c r="A1151" s="119"/>
      <c r="B1151" s="2"/>
      <c r="C1151" s="3"/>
      <c r="D1151" s="3"/>
      <c r="E1151" s="3"/>
      <c r="F1151" s="9"/>
      <c r="G1151" s="248" t="str">
        <f t="shared" si="85"/>
        <v/>
      </c>
      <c r="H1151" s="1" t="b">
        <f>IF(B1151="",FALSE,COUNTIF('従業員情報(給与以外)'!$A$4:$A$1000000,$B1151)=0)</f>
        <v>0</v>
      </c>
      <c r="I1151" s="9" t="b">
        <f t="shared" si="86"/>
        <v>1</v>
      </c>
      <c r="J1151" s="9" t="b">
        <f t="shared" si="87"/>
        <v>1</v>
      </c>
      <c r="K1151" s="9" t="b">
        <f t="shared" si="88"/>
        <v>1</v>
      </c>
      <c r="L1151" s="9" t="b">
        <f t="shared" si="89"/>
        <v>1</v>
      </c>
      <c r="M1151" s="1" t="b">
        <f>IF(OR(入力シート!$C$5&lt;&gt;入力リスト!$N$4,入力シート!$J$22&lt;&gt;入力リスト!$K$4),TRUE,IF($F$2=入力リスト!$Q$4,IF(F1151-INT(F1151)&lt;0.6,TRUE,FALSE),TRUE))</f>
        <v>1</v>
      </c>
      <c r="N1151" s="9" t="str">
        <f>IF(F1151="","",IF($F$2=入力リスト!$Q$4,ROUNDDOWN(INT(F1151)+ROUNDDOWN((F1151-INT(F1151))*100,0)/60,2),従業員の給与情報!F1151))</f>
        <v/>
      </c>
      <c r="O1151" s="8"/>
      <c r="P1151" s="8"/>
    </row>
    <row r="1152" spans="1:16">
      <c r="A1152" s="119"/>
      <c r="B1152" s="2"/>
      <c r="C1152" s="3"/>
      <c r="D1152" s="3"/>
      <c r="E1152" s="3"/>
      <c r="F1152" s="9"/>
      <c r="G1152" s="248" t="str">
        <f t="shared" si="85"/>
        <v/>
      </c>
      <c r="H1152" s="1" t="b">
        <f>IF(B1152="",FALSE,COUNTIF('従業員情報(給与以外)'!$A$4:$A$1000000,$B1152)=0)</f>
        <v>0</v>
      </c>
      <c r="I1152" s="9" t="b">
        <f t="shared" si="86"/>
        <v>1</v>
      </c>
      <c r="J1152" s="9" t="b">
        <f t="shared" si="87"/>
        <v>1</v>
      </c>
      <c r="K1152" s="9" t="b">
        <f t="shared" si="88"/>
        <v>1</v>
      </c>
      <c r="L1152" s="9" t="b">
        <f t="shared" si="89"/>
        <v>1</v>
      </c>
      <c r="M1152" s="1" t="b">
        <f>IF(OR(入力シート!$C$5&lt;&gt;入力リスト!$N$4,入力シート!$J$22&lt;&gt;入力リスト!$K$4),TRUE,IF($F$2=入力リスト!$Q$4,IF(F1152-INT(F1152)&lt;0.6,TRUE,FALSE),TRUE))</f>
        <v>1</v>
      </c>
      <c r="N1152" s="9" t="str">
        <f>IF(F1152="","",IF($F$2=入力リスト!$Q$4,ROUNDDOWN(INT(F1152)+ROUNDDOWN((F1152-INT(F1152))*100,0)/60,2),従業員の給与情報!F1152))</f>
        <v/>
      </c>
      <c r="O1152" s="8"/>
      <c r="P1152" s="8"/>
    </row>
    <row r="1153" spans="1:16">
      <c r="A1153" s="119"/>
      <c r="B1153" s="2"/>
      <c r="C1153" s="3"/>
      <c r="D1153" s="3"/>
      <c r="E1153" s="3"/>
      <c r="F1153" s="9"/>
      <c r="G1153" s="248" t="str">
        <f t="shared" si="85"/>
        <v/>
      </c>
      <c r="H1153" s="1" t="b">
        <f>IF(B1153="",FALSE,COUNTIF('従業員情報(給与以外)'!$A$4:$A$1000000,$B1153)=0)</f>
        <v>0</v>
      </c>
      <c r="I1153" s="9" t="b">
        <f t="shared" si="86"/>
        <v>1</v>
      </c>
      <c r="J1153" s="9" t="b">
        <f t="shared" si="87"/>
        <v>1</v>
      </c>
      <c r="K1153" s="9" t="b">
        <f t="shared" si="88"/>
        <v>1</v>
      </c>
      <c r="L1153" s="9" t="b">
        <f t="shared" si="89"/>
        <v>1</v>
      </c>
      <c r="M1153" s="1" t="b">
        <f>IF(OR(入力シート!$C$5&lt;&gt;入力リスト!$N$4,入力シート!$J$22&lt;&gt;入力リスト!$K$4),TRUE,IF($F$2=入力リスト!$Q$4,IF(F1153-INT(F1153)&lt;0.6,TRUE,FALSE),TRUE))</f>
        <v>1</v>
      </c>
      <c r="N1153" s="9" t="str">
        <f>IF(F1153="","",IF($F$2=入力リスト!$Q$4,ROUNDDOWN(INT(F1153)+ROUNDDOWN((F1153-INT(F1153))*100,0)/60,2),従業員の給与情報!F1153))</f>
        <v/>
      </c>
      <c r="O1153" s="8"/>
      <c r="P1153" s="8"/>
    </row>
    <row r="1154" spans="1:16">
      <c r="A1154" s="119"/>
      <c r="B1154" s="2"/>
      <c r="C1154" s="3"/>
      <c r="D1154" s="3"/>
      <c r="E1154" s="3"/>
      <c r="F1154" s="9"/>
      <c r="G1154" s="248" t="str">
        <f t="shared" si="85"/>
        <v/>
      </c>
      <c r="H1154" s="1" t="b">
        <f>IF(B1154="",FALSE,COUNTIF('従業員情報(給与以外)'!$A$4:$A$1000000,$B1154)=0)</f>
        <v>0</v>
      </c>
      <c r="I1154" s="9" t="b">
        <f t="shared" si="86"/>
        <v>1</v>
      </c>
      <c r="J1154" s="9" t="b">
        <f t="shared" si="87"/>
        <v>1</v>
      </c>
      <c r="K1154" s="9" t="b">
        <f t="shared" si="88"/>
        <v>1</v>
      </c>
      <c r="L1154" s="9" t="b">
        <f t="shared" si="89"/>
        <v>1</v>
      </c>
      <c r="M1154" s="1" t="b">
        <f>IF(OR(入力シート!$C$5&lt;&gt;入力リスト!$N$4,入力シート!$J$22&lt;&gt;入力リスト!$K$4),TRUE,IF($F$2=入力リスト!$Q$4,IF(F1154-INT(F1154)&lt;0.6,TRUE,FALSE),TRUE))</f>
        <v>1</v>
      </c>
      <c r="N1154" s="9" t="str">
        <f>IF(F1154="","",IF($F$2=入力リスト!$Q$4,ROUNDDOWN(INT(F1154)+ROUNDDOWN((F1154-INT(F1154))*100,0)/60,2),従業員の給与情報!F1154))</f>
        <v/>
      </c>
      <c r="O1154" s="8"/>
      <c r="P1154" s="8"/>
    </row>
    <row r="1155" spans="1:16">
      <c r="A1155" s="119"/>
      <c r="B1155" s="2"/>
      <c r="C1155" s="3"/>
      <c r="D1155" s="3"/>
      <c r="E1155" s="3"/>
      <c r="F1155" s="9"/>
      <c r="G1155" s="248" t="str">
        <f t="shared" si="85"/>
        <v/>
      </c>
      <c r="H1155" s="1" t="b">
        <f>IF(B1155="",FALSE,COUNTIF('従業員情報(給与以外)'!$A$4:$A$1000000,$B1155)=0)</f>
        <v>0</v>
      </c>
      <c r="I1155" s="9" t="b">
        <f t="shared" si="86"/>
        <v>1</v>
      </c>
      <c r="J1155" s="9" t="b">
        <f t="shared" si="87"/>
        <v>1</v>
      </c>
      <c r="K1155" s="9" t="b">
        <f t="shared" si="88"/>
        <v>1</v>
      </c>
      <c r="L1155" s="9" t="b">
        <f t="shared" si="89"/>
        <v>1</v>
      </c>
      <c r="M1155" s="1" t="b">
        <f>IF(OR(入力シート!$C$5&lt;&gt;入力リスト!$N$4,入力シート!$J$22&lt;&gt;入力リスト!$K$4),TRUE,IF($F$2=入力リスト!$Q$4,IF(F1155-INT(F1155)&lt;0.6,TRUE,FALSE),TRUE))</f>
        <v>1</v>
      </c>
      <c r="N1155" s="9" t="str">
        <f>IF(F1155="","",IF($F$2=入力リスト!$Q$4,ROUNDDOWN(INT(F1155)+ROUNDDOWN((F1155-INT(F1155))*100,0)/60,2),従業員の給与情報!F1155))</f>
        <v/>
      </c>
      <c r="O1155" s="8"/>
      <c r="P1155" s="8"/>
    </row>
    <row r="1156" spans="1:16">
      <c r="A1156" s="119"/>
      <c r="B1156" s="2"/>
      <c r="C1156" s="3"/>
      <c r="D1156" s="3"/>
      <c r="E1156" s="3"/>
      <c r="F1156" s="9"/>
      <c r="G1156" s="248" t="str">
        <f t="shared" si="85"/>
        <v/>
      </c>
      <c r="H1156" s="1" t="b">
        <f>IF(B1156="",FALSE,COUNTIF('従業員情報(給与以外)'!$A$4:$A$1000000,$B1156)=0)</f>
        <v>0</v>
      </c>
      <c r="I1156" s="9" t="b">
        <f t="shared" si="86"/>
        <v>1</v>
      </c>
      <c r="J1156" s="9" t="b">
        <f t="shared" si="87"/>
        <v>1</v>
      </c>
      <c r="K1156" s="9" t="b">
        <f t="shared" si="88"/>
        <v>1</v>
      </c>
      <c r="L1156" s="9" t="b">
        <f t="shared" si="89"/>
        <v>1</v>
      </c>
      <c r="M1156" s="1" t="b">
        <f>IF(OR(入力シート!$C$5&lt;&gt;入力リスト!$N$4,入力シート!$J$22&lt;&gt;入力リスト!$K$4),TRUE,IF($F$2=入力リスト!$Q$4,IF(F1156-INT(F1156)&lt;0.6,TRUE,FALSE),TRUE))</f>
        <v>1</v>
      </c>
      <c r="N1156" s="9" t="str">
        <f>IF(F1156="","",IF($F$2=入力リスト!$Q$4,ROUNDDOWN(INT(F1156)+ROUNDDOWN((F1156-INT(F1156))*100,0)/60,2),従業員の給与情報!F1156))</f>
        <v/>
      </c>
      <c r="O1156" s="8"/>
      <c r="P1156" s="8"/>
    </row>
    <row r="1157" spans="1:16">
      <c r="A1157" s="119"/>
      <c r="B1157" s="2"/>
      <c r="C1157" s="3"/>
      <c r="D1157" s="3"/>
      <c r="E1157" s="3"/>
      <c r="F1157" s="9"/>
      <c r="G1157" s="248" t="str">
        <f t="shared" ref="G1157:G1220" si="90">IF(AND($B1157="",OR(B1157&lt;&gt;"",C1157&lt;&gt;"",D1157&lt;&gt;"",E1157&lt;&gt;"",F1157&lt;&gt;"")),"従業員番号が空白です。",IF($H1157=TRUE,"この従業員番号は、シート［従業員情報（給与以外）］に存在しません。",IF(I1157=FALSE,"「毎月の固定給与額」","")&amp;IF(AND(I1157=FALSE,OR(J1157=FALSE,K1157=FALSE,L1157=FALSE)),",","")&amp;IF(J1157=FALSE,"「賞与額等」","")&amp;IF(AND(J1157=FALSE,OR(K1157=FALSE,L1157=FALSE)),",","")&amp;IF(K1157=FALSE,"「残業手当」","")&amp;IF(AND(K1157=FALSE,L1157=FALSE),",","")&amp;IF(L1157=FALSE,"「残業時間」","")&amp;IF(OR(I1157=FALSE,J1157=FALSE,K1157=FALSE,L1157=FALSE),"に数値以外が入力されています。","")&amp;IF(M1157,"","「残業時間」を分単位で入力した場合、小数点以下の値は0.6未満にしてください。")))</f>
        <v/>
      </c>
      <c r="H1157" s="1" t="b">
        <f>IF(B1157="",FALSE,COUNTIF('従業員情報(給与以外)'!$A$4:$A$1000000,$B1157)=0)</f>
        <v>0</v>
      </c>
      <c r="I1157" s="9" t="b">
        <f t="shared" ref="I1157:I1220" si="91">OR(C1157="",ISNUMBER(C1157))</f>
        <v>1</v>
      </c>
      <c r="J1157" s="9" t="b">
        <f t="shared" ref="J1157:J1220" si="92">OR(D1157="",ISNUMBER(D1157))</f>
        <v>1</v>
      </c>
      <c r="K1157" s="9" t="b">
        <f t="shared" ref="K1157:K1220" si="93">OR(E1157="",ISNUMBER(E1157))</f>
        <v>1</v>
      </c>
      <c r="L1157" s="9" t="b">
        <f t="shared" ref="L1157:L1220" si="94">OR(F1157="",ISNUMBER(F1157))</f>
        <v>1</v>
      </c>
      <c r="M1157" s="1" t="b">
        <f>IF(OR(入力シート!$C$5&lt;&gt;入力リスト!$N$4,入力シート!$J$22&lt;&gt;入力リスト!$K$4),TRUE,IF($F$2=入力リスト!$Q$4,IF(F1157-INT(F1157)&lt;0.6,TRUE,FALSE),TRUE))</f>
        <v>1</v>
      </c>
      <c r="N1157" s="9" t="str">
        <f>IF(F1157="","",IF($F$2=入力リスト!$Q$4,ROUNDDOWN(INT(F1157)+ROUNDDOWN((F1157-INT(F1157))*100,0)/60,2),従業員の給与情報!F1157))</f>
        <v/>
      </c>
      <c r="O1157" s="8"/>
      <c r="P1157" s="8"/>
    </row>
    <row r="1158" spans="1:16">
      <c r="A1158" s="119"/>
      <c r="B1158" s="2"/>
      <c r="C1158" s="3"/>
      <c r="D1158" s="3"/>
      <c r="E1158" s="3"/>
      <c r="F1158" s="9"/>
      <c r="G1158" s="248" t="str">
        <f t="shared" si="90"/>
        <v/>
      </c>
      <c r="H1158" s="1" t="b">
        <f>IF(B1158="",FALSE,COUNTIF('従業員情報(給与以外)'!$A$4:$A$1000000,$B1158)=0)</f>
        <v>0</v>
      </c>
      <c r="I1158" s="9" t="b">
        <f t="shared" si="91"/>
        <v>1</v>
      </c>
      <c r="J1158" s="9" t="b">
        <f t="shared" si="92"/>
        <v>1</v>
      </c>
      <c r="K1158" s="9" t="b">
        <f t="shared" si="93"/>
        <v>1</v>
      </c>
      <c r="L1158" s="9" t="b">
        <f t="shared" si="94"/>
        <v>1</v>
      </c>
      <c r="M1158" s="1" t="b">
        <f>IF(OR(入力シート!$C$5&lt;&gt;入力リスト!$N$4,入力シート!$J$22&lt;&gt;入力リスト!$K$4),TRUE,IF($F$2=入力リスト!$Q$4,IF(F1158-INT(F1158)&lt;0.6,TRUE,FALSE),TRUE))</f>
        <v>1</v>
      </c>
      <c r="N1158" s="9" t="str">
        <f>IF(F1158="","",IF($F$2=入力リスト!$Q$4,ROUNDDOWN(INT(F1158)+ROUNDDOWN((F1158-INT(F1158))*100,0)/60,2),従業員の給与情報!F1158))</f>
        <v/>
      </c>
      <c r="O1158" s="8"/>
      <c r="P1158" s="8"/>
    </row>
    <row r="1159" spans="1:16">
      <c r="A1159" s="119"/>
      <c r="B1159" s="2"/>
      <c r="C1159" s="3"/>
      <c r="D1159" s="3"/>
      <c r="E1159" s="3"/>
      <c r="F1159" s="9"/>
      <c r="G1159" s="248" t="str">
        <f t="shared" si="90"/>
        <v/>
      </c>
      <c r="H1159" s="1" t="b">
        <f>IF(B1159="",FALSE,COUNTIF('従業員情報(給与以外)'!$A$4:$A$1000000,$B1159)=0)</f>
        <v>0</v>
      </c>
      <c r="I1159" s="9" t="b">
        <f t="shared" si="91"/>
        <v>1</v>
      </c>
      <c r="J1159" s="9" t="b">
        <f t="shared" si="92"/>
        <v>1</v>
      </c>
      <c r="K1159" s="9" t="b">
        <f t="shared" si="93"/>
        <v>1</v>
      </c>
      <c r="L1159" s="9" t="b">
        <f t="shared" si="94"/>
        <v>1</v>
      </c>
      <c r="M1159" s="1" t="b">
        <f>IF(OR(入力シート!$C$5&lt;&gt;入力リスト!$N$4,入力シート!$J$22&lt;&gt;入力リスト!$K$4),TRUE,IF($F$2=入力リスト!$Q$4,IF(F1159-INT(F1159)&lt;0.6,TRUE,FALSE),TRUE))</f>
        <v>1</v>
      </c>
      <c r="N1159" s="9" t="str">
        <f>IF(F1159="","",IF($F$2=入力リスト!$Q$4,ROUNDDOWN(INT(F1159)+ROUNDDOWN((F1159-INT(F1159))*100,0)/60,2),従業員の給与情報!F1159))</f>
        <v/>
      </c>
      <c r="O1159" s="8"/>
      <c r="P1159" s="8"/>
    </row>
    <row r="1160" spans="1:16">
      <c r="A1160" s="119"/>
      <c r="B1160" s="2"/>
      <c r="C1160" s="3"/>
      <c r="D1160" s="3"/>
      <c r="E1160" s="3"/>
      <c r="F1160" s="9"/>
      <c r="G1160" s="248" t="str">
        <f t="shared" si="90"/>
        <v/>
      </c>
      <c r="H1160" s="1" t="b">
        <f>IF(B1160="",FALSE,COUNTIF('従業員情報(給与以外)'!$A$4:$A$1000000,$B1160)=0)</f>
        <v>0</v>
      </c>
      <c r="I1160" s="9" t="b">
        <f t="shared" si="91"/>
        <v>1</v>
      </c>
      <c r="J1160" s="9" t="b">
        <f t="shared" si="92"/>
        <v>1</v>
      </c>
      <c r="K1160" s="9" t="b">
        <f t="shared" si="93"/>
        <v>1</v>
      </c>
      <c r="L1160" s="9" t="b">
        <f t="shared" si="94"/>
        <v>1</v>
      </c>
      <c r="M1160" s="1" t="b">
        <f>IF(OR(入力シート!$C$5&lt;&gt;入力リスト!$N$4,入力シート!$J$22&lt;&gt;入力リスト!$K$4),TRUE,IF($F$2=入力リスト!$Q$4,IF(F1160-INT(F1160)&lt;0.6,TRUE,FALSE),TRUE))</f>
        <v>1</v>
      </c>
      <c r="N1160" s="9" t="str">
        <f>IF(F1160="","",IF($F$2=入力リスト!$Q$4,ROUNDDOWN(INT(F1160)+ROUNDDOWN((F1160-INT(F1160))*100,0)/60,2),従業員の給与情報!F1160))</f>
        <v/>
      </c>
      <c r="O1160" s="8"/>
      <c r="P1160" s="8"/>
    </row>
    <row r="1161" spans="1:16">
      <c r="A1161" s="119"/>
      <c r="B1161" s="2"/>
      <c r="C1161" s="3"/>
      <c r="D1161" s="3"/>
      <c r="E1161" s="3"/>
      <c r="F1161" s="9"/>
      <c r="G1161" s="248" t="str">
        <f t="shared" si="90"/>
        <v/>
      </c>
      <c r="H1161" s="1" t="b">
        <f>IF(B1161="",FALSE,COUNTIF('従業員情報(給与以外)'!$A$4:$A$1000000,$B1161)=0)</f>
        <v>0</v>
      </c>
      <c r="I1161" s="9" t="b">
        <f t="shared" si="91"/>
        <v>1</v>
      </c>
      <c r="J1161" s="9" t="b">
        <f t="shared" si="92"/>
        <v>1</v>
      </c>
      <c r="K1161" s="9" t="b">
        <f t="shared" si="93"/>
        <v>1</v>
      </c>
      <c r="L1161" s="9" t="b">
        <f t="shared" si="94"/>
        <v>1</v>
      </c>
      <c r="M1161" s="1" t="b">
        <f>IF(OR(入力シート!$C$5&lt;&gt;入力リスト!$N$4,入力シート!$J$22&lt;&gt;入力リスト!$K$4),TRUE,IF($F$2=入力リスト!$Q$4,IF(F1161-INT(F1161)&lt;0.6,TRUE,FALSE),TRUE))</f>
        <v>1</v>
      </c>
      <c r="N1161" s="9" t="str">
        <f>IF(F1161="","",IF($F$2=入力リスト!$Q$4,ROUNDDOWN(INT(F1161)+ROUNDDOWN((F1161-INT(F1161))*100,0)/60,2),従業員の給与情報!F1161))</f>
        <v/>
      </c>
      <c r="O1161" s="8"/>
      <c r="P1161" s="8"/>
    </row>
    <row r="1162" spans="1:16">
      <c r="A1162" s="119"/>
      <c r="B1162" s="2"/>
      <c r="C1162" s="3"/>
      <c r="D1162" s="3"/>
      <c r="E1162" s="3"/>
      <c r="F1162" s="9"/>
      <c r="G1162" s="248" t="str">
        <f t="shared" si="90"/>
        <v/>
      </c>
      <c r="H1162" s="1" t="b">
        <f>IF(B1162="",FALSE,COUNTIF('従業員情報(給与以外)'!$A$4:$A$1000000,$B1162)=0)</f>
        <v>0</v>
      </c>
      <c r="I1162" s="9" t="b">
        <f t="shared" si="91"/>
        <v>1</v>
      </c>
      <c r="J1162" s="9" t="b">
        <f t="shared" si="92"/>
        <v>1</v>
      </c>
      <c r="K1162" s="9" t="b">
        <f t="shared" si="93"/>
        <v>1</v>
      </c>
      <c r="L1162" s="9" t="b">
        <f t="shared" si="94"/>
        <v>1</v>
      </c>
      <c r="M1162" s="1" t="b">
        <f>IF(OR(入力シート!$C$5&lt;&gt;入力リスト!$N$4,入力シート!$J$22&lt;&gt;入力リスト!$K$4),TRUE,IF($F$2=入力リスト!$Q$4,IF(F1162-INT(F1162)&lt;0.6,TRUE,FALSE),TRUE))</f>
        <v>1</v>
      </c>
      <c r="N1162" s="9" t="str">
        <f>IF(F1162="","",IF($F$2=入力リスト!$Q$4,ROUNDDOWN(INT(F1162)+ROUNDDOWN((F1162-INT(F1162))*100,0)/60,2),従業員の給与情報!F1162))</f>
        <v/>
      </c>
      <c r="O1162" s="8"/>
      <c r="P1162" s="8"/>
    </row>
    <row r="1163" spans="1:16">
      <c r="A1163" s="119"/>
      <c r="B1163" s="2"/>
      <c r="C1163" s="3"/>
      <c r="D1163" s="3"/>
      <c r="E1163" s="3"/>
      <c r="F1163" s="9"/>
      <c r="G1163" s="248" t="str">
        <f t="shared" si="90"/>
        <v/>
      </c>
      <c r="H1163" s="1" t="b">
        <f>IF(B1163="",FALSE,COUNTIF('従業員情報(給与以外)'!$A$4:$A$1000000,$B1163)=0)</f>
        <v>0</v>
      </c>
      <c r="I1163" s="9" t="b">
        <f t="shared" si="91"/>
        <v>1</v>
      </c>
      <c r="J1163" s="9" t="b">
        <f t="shared" si="92"/>
        <v>1</v>
      </c>
      <c r="K1163" s="9" t="b">
        <f t="shared" si="93"/>
        <v>1</v>
      </c>
      <c r="L1163" s="9" t="b">
        <f t="shared" si="94"/>
        <v>1</v>
      </c>
      <c r="M1163" s="1" t="b">
        <f>IF(OR(入力シート!$C$5&lt;&gt;入力リスト!$N$4,入力シート!$J$22&lt;&gt;入力リスト!$K$4),TRUE,IF($F$2=入力リスト!$Q$4,IF(F1163-INT(F1163)&lt;0.6,TRUE,FALSE),TRUE))</f>
        <v>1</v>
      </c>
      <c r="N1163" s="9" t="str">
        <f>IF(F1163="","",IF($F$2=入力リスト!$Q$4,ROUNDDOWN(INT(F1163)+ROUNDDOWN((F1163-INT(F1163))*100,0)/60,2),従業員の給与情報!F1163))</f>
        <v/>
      </c>
      <c r="O1163" s="8"/>
      <c r="P1163" s="8"/>
    </row>
    <row r="1164" spans="1:16">
      <c r="A1164" s="119"/>
      <c r="B1164" s="2"/>
      <c r="C1164" s="3"/>
      <c r="D1164" s="3"/>
      <c r="E1164" s="3"/>
      <c r="F1164" s="9"/>
      <c r="G1164" s="248" t="str">
        <f t="shared" si="90"/>
        <v/>
      </c>
      <c r="H1164" s="1" t="b">
        <f>IF(B1164="",FALSE,COUNTIF('従業員情報(給与以外)'!$A$4:$A$1000000,$B1164)=0)</f>
        <v>0</v>
      </c>
      <c r="I1164" s="9" t="b">
        <f t="shared" si="91"/>
        <v>1</v>
      </c>
      <c r="J1164" s="9" t="b">
        <f t="shared" si="92"/>
        <v>1</v>
      </c>
      <c r="K1164" s="9" t="b">
        <f t="shared" si="93"/>
        <v>1</v>
      </c>
      <c r="L1164" s="9" t="b">
        <f t="shared" si="94"/>
        <v>1</v>
      </c>
      <c r="M1164" s="1" t="b">
        <f>IF(OR(入力シート!$C$5&lt;&gt;入力リスト!$N$4,入力シート!$J$22&lt;&gt;入力リスト!$K$4),TRUE,IF($F$2=入力リスト!$Q$4,IF(F1164-INT(F1164)&lt;0.6,TRUE,FALSE),TRUE))</f>
        <v>1</v>
      </c>
      <c r="N1164" s="9" t="str">
        <f>IF(F1164="","",IF($F$2=入力リスト!$Q$4,ROUNDDOWN(INT(F1164)+ROUNDDOWN((F1164-INT(F1164))*100,0)/60,2),従業員の給与情報!F1164))</f>
        <v/>
      </c>
      <c r="O1164" s="8"/>
      <c r="P1164" s="8"/>
    </row>
    <row r="1165" spans="1:16">
      <c r="A1165" s="119"/>
      <c r="B1165" s="2"/>
      <c r="C1165" s="3"/>
      <c r="D1165" s="3"/>
      <c r="E1165" s="3"/>
      <c r="F1165" s="9"/>
      <c r="G1165" s="248" t="str">
        <f t="shared" si="90"/>
        <v/>
      </c>
      <c r="H1165" s="1" t="b">
        <f>IF(B1165="",FALSE,COUNTIF('従業員情報(給与以外)'!$A$4:$A$1000000,$B1165)=0)</f>
        <v>0</v>
      </c>
      <c r="I1165" s="9" t="b">
        <f t="shared" si="91"/>
        <v>1</v>
      </c>
      <c r="J1165" s="9" t="b">
        <f t="shared" si="92"/>
        <v>1</v>
      </c>
      <c r="K1165" s="9" t="b">
        <f t="shared" si="93"/>
        <v>1</v>
      </c>
      <c r="L1165" s="9" t="b">
        <f t="shared" si="94"/>
        <v>1</v>
      </c>
      <c r="M1165" s="1" t="b">
        <f>IF(OR(入力シート!$C$5&lt;&gt;入力リスト!$N$4,入力シート!$J$22&lt;&gt;入力リスト!$K$4),TRUE,IF($F$2=入力リスト!$Q$4,IF(F1165-INT(F1165)&lt;0.6,TRUE,FALSE),TRUE))</f>
        <v>1</v>
      </c>
      <c r="N1165" s="9" t="str">
        <f>IF(F1165="","",IF($F$2=入力リスト!$Q$4,ROUNDDOWN(INT(F1165)+ROUNDDOWN((F1165-INT(F1165))*100,0)/60,2),従業員の給与情報!F1165))</f>
        <v/>
      </c>
      <c r="O1165" s="8"/>
      <c r="P1165" s="8"/>
    </row>
    <row r="1166" spans="1:16">
      <c r="A1166" s="119"/>
      <c r="B1166" s="2"/>
      <c r="C1166" s="3"/>
      <c r="D1166" s="3"/>
      <c r="E1166" s="3"/>
      <c r="F1166" s="9"/>
      <c r="G1166" s="248" t="str">
        <f t="shared" si="90"/>
        <v/>
      </c>
      <c r="H1166" s="1" t="b">
        <f>IF(B1166="",FALSE,COUNTIF('従業員情報(給与以外)'!$A$4:$A$1000000,$B1166)=0)</f>
        <v>0</v>
      </c>
      <c r="I1166" s="9" t="b">
        <f t="shared" si="91"/>
        <v>1</v>
      </c>
      <c r="J1166" s="9" t="b">
        <f t="shared" si="92"/>
        <v>1</v>
      </c>
      <c r="K1166" s="9" t="b">
        <f t="shared" si="93"/>
        <v>1</v>
      </c>
      <c r="L1166" s="9" t="b">
        <f t="shared" si="94"/>
        <v>1</v>
      </c>
      <c r="M1166" s="1" t="b">
        <f>IF(OR(入力シート!$C$5&lt;&gt;入力リスト!$N$4,入力シート!$J$22&lt;&gt;入力リスト!$K$4),TRUE,IF($F$2=入力リスト!$Q$4,IF(F1166-INT(F1166)&lt;0.6,TRUE,FALSE),TRUE))</f>
        <v>1</v>
      </c>
      <c r="N1166" s="9" t="str">
        <f>IF(F1166="","",IF($F$2=入力リスト!$Q$4,ROUNDDOWN(INT(F1166)+ROUNDDOWN((F1166-INT(F1166))*100,0)/60,2),従業員の給与情報!F1166))</f>
        <v/>
      </c>
      <c r="O1166" s="8"/>
      <c r="P1166" s="8"/>
    </row>
    <row r="1167" spans="1:16">
      <c r="A1167" s="119"/>
      <c r="B1167" s="2"/>
      <c r="C1167" s="3"/>
      <c r="D1167" s="3"/>
      <c r="E1167" s="3"/>
      <c r="F1167" s="9"/>
      <c r="G1167" s="248" t="str">
        <f t="shared" si="90"/>
        <v/>
      </c>
      <c r="H1167" s="1" t="b">
        <f>IF(B1167="",FALSE,COUNTIF('従業員情報(給与以外)'!$A$4:$A$1000000,$B1167)=0)</f>
        <v>0</v>
      </c>
      <c r="I1167" s="9" t="b">
        <f t="shared" si="91"/>
        <v>1</v>
      </c>
      <c r="J1167" s="9" t="b">
        <f t="shared" si="92"/>
        <v>1</v>
      </c>
      <c r="K1167" s="9" t="b">
        <f t="shared" si="93"/>
        <v>1</v>
      </c>
      <c r="L1167" s="9" t="b">
        <f t="shared" si="94"/>
        <v>1</v>
      </c>
      <c r="M1167" s="1" t="b">
        <f>IF(OR(入力シート!$C$5&lt;&gt;入力リスト!$N$4,入力シート!$J$22&lt;&gt;入力リスト!$K$4),TRUE,IF($F$2=入力リスト!$Q$4,IF(F1167-INT(F1167)&lt;0.6,TRUE,FALSE),TRUE))</f>
        <v>1</v>
      </c>
      <c r="N1167" s="9" t="str">
        <f>IF(F1167="","",IF($F$2=入力リスト!$Q$4,ROUNDDOWN(INT(F1167)+ROUNDDOWN((F1167-INT(F1167))*100,0)/60,2),従業員の給与情報!F1167))</f>
        <v/>
      </c>
      <c r="O1167" s="8"/>
      <c r="P1167" s="8"/>
    </row>
    <row r="1168" spans="1:16">
      <c r="A1168" s="119"/>
      <c r="B1168" s="2"/>
      <c r="C1168" s="3"/>
      <c r="D1168" s="3"/>
      <c r="E1168" s="3"/>
      <c r="F1168" s="9"/>
      <c r="G1168" s="248" t="str">
        <f t="shared" si="90"/>
        <v/>
      </c>
      <c r="H1168" s="1" t="b">
        <f>IF(B1168="",FALSE,COUNTIF('従業員情報(給与以外)'!$A$4:$A$1000000,$B1168)=0)</f>
        <v>0</v>
      </c>
      <c r="I1168" s="9" t="b">
        <f t="shared" si="91"/>
        <v>1</v>
      </c>
      <c r="J1168" s="9" t="b">
        <f t="shared" si="92"/>
        <v>1</v>
      </c>
      <c r="K1168" s="9" t="b">
        <f t="shared" si="93"/>
        <v>1</v>
      </c>
      <c r="L1168" s="9" t="b">
        <f t="shared" si="94"/>
        <v>1</v>
      </c>
      <c r="M1168" s="1" t="b">
        <f>IF(OR(入力シート!$C$5&lt;&gt;入力リスト!$N$4,入力シート!$J$22&lt;&gt;入力リスト!$K$4),TRUE,IF($F$2=入力リスト!$Q$4,IF(F1168-INT(F1168)&lt;0.6,TRUE,FALSE),TRUE))</f>
        <v>1</v>
      </c>
      <c r="N1168" s="9" t="str">
        <f>IF(F1168="","",IF($F$2=入力リスト!$Q$4,ROUNDDOWN(INT(F1168)+ROUNDDOWN((F1168-INT(F1168))*100,0)/60,2),従業員の給与情報!F1168))</f>
        <v/>
      </c>
      <c r="O1168" s="8"/>
      <c r="P1168" s="8"/>
    </row>
    <row r="1169" spans="1:16">
      <c r="A1169" s="119"/>
      <c r="B1169" s="2"/>
      <c r="C1169" s="3"/>
      <c r="D1169" s="3"/>
      <c r="E1169" s="3"/>
      <c r="F1169" s="9"/>
      <c r="G1169" s="248" t="str">
        <f t="shared" si="90"/>
        <v/>
      </c>
      <c r="H1169" s="1" t="b">
        <f>IF(B1169="",FALSE,COUNTIF('従業員情報(給与以外)'!$A$4:$A$1000000,$B1169)=0)</f>
        <v>0</v>
      </c>
      <c r="I1169" s="9" t="b">
        <f t="shared" si="91"/>
        <v>1</v>
      </c>
      <c r="J1169" s="9" t="b">
        <f t="shared" si="92"/>
        <v>1</v>
      </c>
      <c r="K1169" s="9" t="b">
        <f t="shared" si="93"/>
        <v>1</v>
      </c>
      <c r="L1169" s="9" t="b">
        <f t="shared" si="94"/>
        <v>1</v>
      </c>
      <c r="M1169" s="1" t="b">
        <f>IF(OR(入力シート!$C$5&lt;&gt;入力リスト!$N$4,入力シート!$J$22&lt;&gt;入力リスト!$K$4),TRUE,IF($F$2=入力リスト!$Q$4,IF(F1169-INT(F1169)&lt;0.6,TRUE,FALSE),TRUE))</f>
        <v>1</v>
      </c>
      <c r="N1169" s="9" t="str">
        <f>IF(F1169="","",IF($F$2=入力リスト!$Q$4,ROUNDDOWN(INT(F1169)+ROUNDDOWN((F1169-INT(F1169))*100,0)/60,2),従業員の給与情報!F1169))</f>
        <v/>
      </c>
      <c r="O1169" s="8"/>
      <c r="P1169" s="8"/>
    </row>
    <row r="1170" spans="1:16">
      <c r="A1170" s="119"/>
      <c r="B1170" s="2"/>
      <c r="C1170" s="3"/>
      <c r="D1170" s="3"/>
      <c r="E1170" s="3"/>
      <c r="F1170" s="9"/>
      <c r="G1170" s="248" t="str">
        <f t="shared" si="90"/>
        <v/>
      </c>
      <c r="H1170" s="1" t="b">
        <f>IF(B1170="",FALSE,COUNTIF('従業員情報(給与以外)'!$A$4:$A$1000000,$B1170)=0)</f>
        <v>0</v>
      </c>
      <c r="I1170" s="9" t="b">
        <f t="shared" si="91"/>
        <v>1</v>
      </c>
      <c r="J1170" s="9" t="b">
        <f t="shared" si="92"/>
        <v>1</v>
      </c>
      <c r="K1170" s="9" t="b">
        <f t="shared" si="93"/>
        <v>1</v>
      </c>
      <c r="L1170" s="9" t="b">
        <f t="shared" si="94"/>
        <v>1</v>
      </c>
      <c r="M1170" s="1" t="b">
        <f>IF(OR(入力シート!$C$5&lt;&gt;入力リスト!$N$4,入力シート!$J$22&lt;&gt;入力リスト!$K$4),TRUE,IF($F$2=入力リスト!$Q$4,IF(F1170-INT(F1170)&lt;0.6,TRUE,FALSE),TRUE))</f>
        <v>1</v>
      </c>
      <c r="N1170" s="9" t="str">
        <f>IF(F1170="","",IF($F$2=入力リスト!$Q$4,ROUNDDOWN(INT(F1170)+ROUNDDOWN((F1170-INT(F1170))*100,0)/60,2),従業員の給与情報!F1170))</f>
        <v/>
      </c>
      <c r="O1170" s="8"/>
      <c r="P1170" s="8"/>
    </row>
    <row r="1171" spans="1:16">
      <c r="A1171" s="119"/>
      <c r="B1171" s="2"/>
      <c r="C1171" s="3"/>
      <c r="D1171" s="3"/>
      <c r="E1171" s="3"/>
      <c r="F1171" s="9"/>
      <c r="G1171" s="248" t="str">
        <f t="shared" si="90"/>
        <v/>
      </c>
      <c r="H1171" s="1" t="b">
        <f>IF(B1171="",FALSE,COUNTIF('従業員情報(給与以外)'!$A$4:$A$1000000,$B1171)=0)</f>
        <v>0</v>
      </c>
      <c r="I1171" s="9" t="b">
        <f t="shared" si="91"/>
        <v>1</v>
      </c>
      <c r="J1171" s="9" t="b">
        <f t="shared" si="92"/>
        <v>1</v>
      </c>
      <c r="K1171" s="9" t="b">
        <f t="shared" si="93"/>
        <v>1</v>
      </c>
      <c r="L1171" s="9" t="b">
        <f t="shared" si="94"/>
        <v>1</v>
      </c>
      <c r="M1171" s="1" t="b">
        <f>IF(OR(入力シート!$C$5&lt;&gt;入力リスト!$N$4,入力シート!$J$22&lt;&gt;入力リスト!$K$4),TRUE,IF($F$2=入力リスト!$Q$4,IF(F1171-INT(F1171)&lt;0.6,TRUE,FALSE),TRUE))</f>
        <v>1</v>
      </c>
      <c r="N1171" s="9" t="str">
        <f>IF(F1171="","",IF($F$2=入力リスト!$Q$4,ROUNDDOWN(INT(F1171)+ROUNDDOWN((F1171-INT(F1171))*100,0)/60,2),従業員の給与情報!F1171))</f>
        <v/>
      </c>
      <c r="O1171" s="8"/>
      <c r="P1171" s="8"/>
    </row>
    <row r="1172" spans="1:16">
      <c r="A1172" s="119"/>
      <c r="B1172" s="2"/>
      <c r="C1172" s="3"/>
      <c r="D1172" s="3"/>
      <c r="E1172" s="3"/>
      <c r="F1172" s="9"/>
      <c r="G1172" s="248" t="str">
        <f t="shared" si="90"/>
        <v/>
      </c>
      <c r="H1172" s="1" t="b">
        <f>IF(B1172="",FALSE,COUNTIF('従業員情報(給与以外)'!$A$4:$A$1000000,$B1172)=0)</f>
        <v>0</v>
      </c>
      <c r="I1172" s="9" t="b">
        <f t="shared" si="91"/>
        <v>1</v>
      </c>
      <c r="J1172" s="9" t="b">
        <f t="shared" si="92"/>
        <v>1</v>
      </c>
      <c r="K1172" s="9" t="b">
        <f t="shared" si="93"/>
        <v>1</v>
      </c>
      <c r="L1172" s="9" t="b">
        <f t="shared" si="94"/>
        <v>1</v>
      </c>
      <c r="M1172" s="1" t="b">
        <f>IF(OR(入力シート!$C$5&lt;&gt;入力リスト!$N$4,入力シート!$J$22&lt;&gt;入力リスト!$K$4),TRUE,IF($F$2=入力リスト!$Q$4,IF(F1172-INT(F1172)&lt;0.6,TRUE,FALSE),TRUE))</f>
        <v>1</v>
      </c>
      <c r="N1172" s="9" t="str">
        <f>IF(F1172="","",IF($F$2=入力リスト!$Q$4,ROUNDDOWN(INT(F1172)+ROUNDDOWN((F1172-INT(F1172))*100,0)/60,2),従業員の給与情報!F1172))</f>
        <v/>
      </c>
      <c r="O1172" s="8"/>
      <c r="P1172" s="8"/>
    </row>
    <row r="1173" spans="1:16">
      <c r="A1173" s="119"/>
      <c r="B1173" s="2"/>
      <c r="C1173" s="3"/>
      <c r="D1173" s="3"/>
      <c r="E1173" s="3"/>
      <c r="F1173" s="9"/>
      <c r="G1173" s="248" t="str">
        <f t="shared" si="90"/>
        <v/>
      </c>
      <c r="H1173" s="1" t="b">
        <f>IF(B1173="",FALSE,COUNTIF('従業員情報(給与以外)'!$A$4:$A$1000000,$B1173)=0)</f>
        <v>0</v>
      </c>
      <c r="I1173" s="9" t="b">
        <f t="shared" si="91"/>
        <v>1</v>
      </c>
      <c r="J1173" s="9" t="b">
        <f t="shared" si="92"/>
        <v>1</v>
      </c>
      <c r="K1173" s="9" t="b">
        <f t="shared" si="93"/>
        <v>1</v>
      </c>
      <c r="L1173" s="9" t="b">
        <f t="shared" si="94"/>
        <v>1</v>
      </c>
      <c r="M1173" s="1" t="b">
        <f>IF(OR(入力シート!$C$5&lt;&gt;入力リスト!$N$4,入力シート!$J$22&lt;&gt;入力リスト!$K$4),TRUE,IF($F$2=入力リスト!$Q$4,IF(F1173-INT(F1173)&lt;0.6,TRUE,FALSE),TRUE))</f>
        <v>1</v>
      </c>
      <c r="N1173" s="9" t="str">
        <f>IF(F1173="","",IF($F$2=入力リスト!$Q$4,ROUNDDOWN(INT(F1173)+ROUNDDOWN((F1173-INT(F1173))*100,0)/60,2),従業員の給与情報!F1173))</f>
        <v/>
      </c>
      <c r="O1173" s="8"/>
      <c r="P1173" s="8"/>
    </row>
    <row r="1174" spans="1:16">
      <c r="A1174" s="119"/>
      <c r="B1174" s="2"/>
      <c r="C1174" s="3"/>
      <c r="D1174" s="3"/>
      <c r="E1174" s="3"/>
      <c r="F1174" s="9"/>
      <c r="G1174" s="248" t="str">
        <f t="shared" si="90"/>
        <v/>
      </c>
      <c r="H1174" s="1" t="b">
        <f>IF(B1174="",FALSE,COUNTIF('従業員情報(給与以外)'!$A$4:$A$1000000,$B1174)=0)</f>
        <v>0</v>
      </c>
      <c r="I1174" s="9" t="b">
        <f t="shared" si="91"/>
        <v>1</v>
      </c>
      <c r="J1174" s="9" t="b">
        <f t="shared" si="92"/>
        <v>1</v>
      </c>
      <c r="K1174" s="9" t="b">
        <f t="shared" si="93"/>
        <v>1</v>
      </c>
      <c r="L1174" s="9" t="b">
        <f t="shared" si="94"/>
        <v>1</v>
      </c>
      <c r="M1174" s="1" t="b">
        <f>IF(OR(入力シート!$C$5&lt;&gt;入力リスト!$N$4,入力シート!$J$22&lt;&gt;入力リスト!$K$4),TRUE,IF($F$2=入力リスト!$Q$4,IF(F1174-INT(F1174)&lt;0.6,TRUE,FALSE),TRUE))</f>
        <v>1</v>
      </c>
      <c r="N1174" s="9" t="str">
        <f>IF(F1174="","",IF($F$2=入力リスト!$Q$4,ROUNDDOWN(INT(F1174)+ROUNDDOWN((F1174-INT(F1174))*100,0)/60,2),従業員の給与情報!F1174))</f>
        <v/>
      </c>
      <c r="O1174" s="8"/>
      <c r="P1174" s="8"/>
    </row>
    <row r="1175" spans="1:16">
      <c r="A1175" s="119"/>
      <c r="B1175" s="2"/>
      <c r="C1175" s="3"/>
      <c r="D1175" s="3"/>
      <c r="E1175" s="3"/>
      <c r="F1175" s="9"/>
      <c r="G1175" s="248" t="str">
        <f t="shared" si="90"/>
        <v/>
      </c>
      <c r="H1175" s="1" t="b">
        <f>IF(B1175="",FALSE,COUNTIF('従業員情報(給与以外)'!$A$4:$A$1000000,$B1175)=0)</f>
        <v>0</v>
      </c>
      <c r="I1175" s="9" t="b">
        <f t="shared" si="91"/>
        <v>1</v>
      </c>
      <c r="J1175" s="9" t="b">
        <f t="shared" si="92"/>
        <v>1</v>
      </c>
      <c r="K1175" s="9" t="b">
        <f t="shared" si="93"/>
        <v>1</v>
      </c>
      <c r="L1175" s="9" t="b">
        <f t="shared" si="94"/>
        <v>1</v>
      </c>
      <c r="M1175" s="1" t="b">
        <f>IF(OR(入力シート!$C$5&lt;&gt;入力リスト!$N$4,入力シート!$J$22&lt;&gt;入力リスト!$K$4),TRUE,IF($F$2=入力リスト!$Q$4,IF(F1175-INT(F1175)&lt;0.6,TRUE,FALSE),TRUE))</f>
        <v>1</v>
      </c>
      <c r="N1175" s="9" t="str">
        <f>IF(F1175="","",IF($F$2=入力リスト!$Q$4,ROUNDDOWN(INT(F1175)+ROUNDDOWN((F1175-INT(F1175))*100,0)/60,2),従業員の給与情報!F1175))</f>
        <v/>
      </c>
      <c r="O1175" s="8"/>
      <c r="P1175" s="8"/>
    </row>
    <row r="1176" spans="1:16">
      <c r="A1176" s="119"/>
      <c r="B1176" s="2"/>
      <c r="C1176" s="3"/>
      <c r="D1176" s="3"/>
      <c r="E1176" s="3"/>
      <c r="F1176" s="9"/>
      <c r="G1176" s="248" t="str">
        <f t="shared" si="90"/>
        <v/>
      </c>
      <c r="H1176" s="1" t="b">
        <f>IF(B1176="",FALSE,COUNTIF('従業員情報(給与以外)'!$A$4:$A$1000000,$B1176)=0)</f>
        <v>0</v>
      </c>
      <c r="I1176" s="9" t="b">
        <f t="shared" si="91"/>
        <v>1</v>
      </c>
      <c r="J1176" s="9" t="b">
        <f t="shared" si="92"/>
        <v>1</v>
      </c>
      <c r="K1176" s="9" t="b">
        <f t="shared" si="93"/>
        <v>1</v>
      </c>
      <c r="L1176" s="9" t="b">
        <f t="shared" si="94"/>
        <v>1</v>
      </c>
      <c r="M1176" s="1" t="b">
        <f>IF(OR(入力シート!$C$5&lt;&gt;入力リスト!$N$4,入力シート!$J$22&lt;&gt;入力リスト!$K$4),TRUE,IF($F$2=入力リスト!$Q$4,IF(F1176-INT(F1176)&lt;0.6,TRUE,FALSE),TRUE))</f>
        <v>1</v>
      </c>
      <c r="N1176" s="9" t="str">
        <f>IF(F1176="","",IF($F$2=入力リスト!$Q$4,ROUNDDOWN(INT(F1176)+ROUNDDOWN((F1176-INT(F1176))*100,0)/60,2),従業員の給与情報!F1176))</f>
        <v/>
      </c>
      <c r="O1176" s="8"/>
      <c r="P1176" s="8"/>
    </row>
    <row r="1177" spans="1:16">
      <c r="A1177" s="119"/>
      <c r="B1177" s="2"/>
      <c r="C1177" s="3"/>
      <c r="D1177" s="3"/>
      <c r="E1177" s="3"/>
      <c r="F1177" s="9"/>
      <c r="G1177" s="248" t="str">
        <f t="shared" si="90"/>
        <v/>
      </c>
      <c r="H1177" s="1" t="b">
        <f>IF(B1177="",FALSE,COUNTIF('従業員情報(給与以外)'!$A$4:$A$1000000,$B1177)=0)</f>
        <v>0</v>
      </c>
      <c r="I1177" s="9" t="b">
        <f t="shared" si="91"/>
        <v>1</v>
      </c>
      <c r="J1177" s="9" t="b">
        <f t="shared" si="92"/>
        <v>1</v>
      </c>
      <c r="K1177" s="9" t="b">
        <f t="shared" si="93"/>
        <v>1</v>
      </c>
      <c r="L1177" s="9" t="b">
        <f t="shared" si="94"/>
        <v>1</v>
      </c>
      <c r="M1177" s="1" t="b">
        <f>IF(OR(入力シート!$C$5&lt;&gt;入力リスト!$N$4,入力シート!$J$22&lt;&gt;入力リスト!$K$4),TRUE,IF($F$2=入力リスト!$Q$4,IF(F1177-INT(F1177)&lt;0.6,TRUE,FALSE),TRUE))</f>
        <v>1</v>
      </c>
      <c r="N1177" s="9" t="str">
        <f>IF(F1177="","",IF($F$2=入力リスト!$Q$4,ROUNDDOWN(INT(F1177)+ROUNDDOWN((F1177-INT(F1177))*100,0)/60,2),従業員の給与情報!F1177))</f>
        <v/>
      </c>
      <c r="O1177" s="8"/>
      <c r="P1177" s="8"/>
    </row>
    <row r="1178" spans="1:16">
      <c r="A1178" s="119"/>
      <c r="B1178" s="2"/>
      <c r="C1178" s="3"/>
      <c r="D1178" s="3"/>
      <c r="E1178" s="3"/>
      <c r="F1178" s="9"/>
      <c r="G1178" s="248" t="str">
        <f t="shared" si="90"/>
        <v/>
      </c>
      <c r="H1178" s="1" t="b">
        <f>IF(B1178="",FALSE,COUNTIF('従業員情報(給与以外)'!$A$4:$A$1000000,$B1178)=0)</f>
        <v>0</v>
      </c>
      <c r="I1178" s="9" t="b">
        <f t="shared" si="91"/>
        <v>1</v>
      </c>
      <c r="J1178" s="9" t="b">
        <f t="shared" si="92"/>
        <v>1</v>
      </c>
      <c r="K1178" s="9" t="b">
        <f t="shared" si="93"/>
        <v>1</v>
      </c>
      <c r="L1178" s="9" t="b">
        <f t="shared" si="94"/>
        <v>1</v>
      </c>
      <c r="M1178" s="1" t="b">
        <f>IF(OR(入力シート!$C$5&lt;&gt;入力リスト!$N$4,入力シート!$J$22&lt;&gt;入力リスト!$K$4),TRUE,IF($F$2=入力リスト!$Q$4,IF(F1178-INT(F1178)&lt;0.6,TRUE,FALSE),TRUE))</f>
        <v>1</v>
      </c>
      <c r="N1178" s="9" t="str">
        <f>IF(F1178="","",IF($F$2=入力リスト!$Q$4,ROUNDDOWN(INT(F1178)+ROUNDDOWN((F1178-INT(F1178))*100,0)/60,2),従業員の給与情報!F1178))</f>
        <v/>
      </c>
      <c r="O1178" s="8"/>
      <c r="P1178" s="8"/>
    </row>
    <row r="1179" spans="1:16">
      <c r="A1179" s="119"/>
      <c r="B1179" s="2"/>
      <c r="C1179" s="3"/>
      <c r="D1179" s="3"/>
      <c r="E1179" s="3"/>
      <c r="F1179" s="9"/>
      <c r="G1179" s="248" t="str">
        <f t="shared" si="90"/>
        <v/>
      </c>
      <c r="H1179" s="1" t="b">
        <f>IF(B1179="",FALSE,COUNTIF('従業員情報(給与以外)'!$A$4:$A$1000000,$B1179)=0)</f>
        <v>0</v>
      </c>
      <c r="I1179" s="9" t="b">
        <f t="shared" si="91"/>
        <v>1</v>
      </c>
      <c r="J1179" s="9" t="b">
        <f t="shared" si="92"/>
        <v>1</v>
      </c>
      <c r="K1179" s="9" t="b">
        <f t="shared" si="93"/>
        <v>1</v>
      </c>
      <c r="L1179" s="9" t="b">
        <f t="shared" si="94"/>
        <v>1</v>
      </c>
      <c r="M1179" s="1" t="b">
        <f>IF(OR(入力シート!$C$5&lt;&gt;入力リスト!$N$4,入力シート!$J$22&lt;&gt;入力リスト!$K$4),TRUE,IF($F$2=入力リスト!$Q$4,IF(F1179-INT(F1179)&lt;0.6,TRUE,FALSE),TRUE))</f>
        <v>1</v>
      </c>
      <c r="N1179" s="9" t="str">
        <f>IF(F1179="","",IF($F$2=入力リスト!$Q$4,ROUNDDOWN(INT(F1179)+ROUNDDOWN((F1179-INT(F1179))*100,0)/60,2),従業員の給与情報!F1179))</f>
        <v/>
      </c>
      <c r="O1179" s="8"/>
      <c r="P1179" s="8"/>
    </row>
    <row r="1180" spans="1:16">
      <c r="A1180" s="119"/>
      <c r="B1180" s="2"/>
      <c r="C1180" s="3"/>
      <c r="D1180" s="3"/>
      <c r="E1180" s="3"/>
      <c r="F1180" s="9"/>
      <c r="G1180" s="248" t="str">
        <f t="shared" si="90"/>
        <v/>
      </c>
      <c r="H1180" s="1" t="b">
        <f>IF(B1180="",FALSE,COUNTIF('従業員情報(給与以外)'!$A$4:$A$1000000,$B1180)=0)</f>
        <v>0</v>
      </c>
      <c r="I1180" s="9" t="b">
        <f t="shared" si="91"/>
        <v>1</v>
      </c>
      <c r="J1180" s="9" t="b">
        <f t="shared" si="92"/>
        <v>1</v>
      </c>
      <c r="K1180" s="9" t="b">
        <f t="shared" si="93"/>
        <v>1</v>
      </c>
      <c r="L1180" s="9" t="b">
        <f t="shared" si="94"/>
        <v>1</v>
      </c>
      <c r="M1180" s="1" t="b">
        <f>IF(OR(入力シート!$C$5&lt;&gt;入力リスト!$N$4,入力シート!$J$22&lt;&gt;入力リスト!$K$4),TRUE,IF($F$2=入力リスト!$Q$4,IF(F1180-INT(F1180)&lt;0.6,TRUE,FALSE),TRUE))</f>
        <v>1</v>
      </c>
      <c r="N1180" s="9" t="str">
        <f>IF(F1180="","",IF($F$2=入力リスト!$Q$4,ROUNDDOWN(INT(F1180)+ROUNDDOWN((F1180-INT(F1180))*100,0)/60,2),従業員の給与情報!F1180))</f>
        <v/>
      </c>
      <c r="O1180" s="8"/>
      <c r="P1180" s="8"/>
    </row>
    <row r="1181" spans="1:16">
      <c r="A1181" s="119"/>
      <c r="B1181" s="2"/>
      <c r="C1181" s="3"/>
      <c r="D1181" s="3"/>
      <c r="E1181" s="3"/>
      <c r="F1181" s="9"/>
      <c r="G1181" s="248" t="str">
        <f t="shared" si="90"/>
        <v/>
      </c>
      <c r="H1181" s="1" t="b">
        <f>IF(B1181="",FALSE,COUNTIF('従業員情報(給与以外)'!$A$4:$A$1000000,$B1181)=0)</f>
        <v>0</v>
      </c>
      <c r="I1181" s="9" t="b">
        <f t="shared" si="91"/>
        <v>1</v>
      </c>
      <c r="J1181" s="9" t="b">
        <f t="shared" si="92"/>
        <v>1</v>
      </c>
      <c r="K1181" s="9" t="b">
        <f t="shared" si="93"/>
        <v>1</v>
      </c>
      <c r="L1181" s="9" t="b">
        <f t="shared" si="94"/>
        <v>1</v>
      </c>
      <c r="M1181" s="1" t="b">
        <f>IF(OR(入力シート!$C$5&lt;&gt;入力リスト!$N$4,入力シート!$J$22&lt;&gt;入力リスト!$K$4),TRUE,IF($F$2=入力リスト!$Q$4,IF(F1181-INT(F1181)&lt;0.6,TRUE,FALSE),TRUE))</f>
        <v>1</v>
      </c>
      <c r="N1181" s="9" t="str">
        <f>IF(F1181="","",IF($F$2=入力リスト!$Q$4,ROUNDDOWN(INT(F1181)+ROUNDDOWN((F1181-INT(F1181))*100,0)/60,2),従業員の給与情報!F1181))</f>
        <v/>
      </c>
      <c r="O1181" s="8"/>
      <c r="P1181" s="8"/>
    </row>
    <row r="1182" spans="1:16">
      <c r="A1182" s="119"/>
      <c r="B1182" s="2"/>
      <c r="C1182" s="3"/>
      <c r="D1182" s="3"/>
      <c r="E1182" s="3"/>
      <c r="F1182" s="9"/>
      <c r="G1182" s="248" t="str">
        <f t="shared" si="90"/>
        <v/>
      </c>
      <c r="H1182" s="1" t="b">
        <f>IF(B1182="",FALSE,COUNTIF('従業員情報(給与以外)'!$A$4:$A$1000000,$B1182)=0)</f>
        <v>0</v>
      </c>
      <c r="I1182" s="9" t="b">
        <f t="shared" si="91"/>
        <v>1</v>
      </c>
      <c r="J1182" s="9" t="b">
        <f t="shared" si="92"/>
        <v>1</v>
      </c>
      <c r="K1182" s="9" t="b">
        <f t="shared" si="93"/>
        <v>1</v>
      </c>
      <c r="L1182" s="9" t="b">
        <f t="shared" si="94"/>
        <v>1</v>
      </c>
      <c r="M1182" s="1" t="b">
        <f>IF(OR(入力シート!$C$5&lt;&gt;入力リスト!$N$4,入力シート!$J$22&lt;&gt;入力リスト!$K$4),TRUE,IF($F$2=入力リスト!$Q$4,IF(F1182-INT(F1182)&lt;0.6,TRUE,FALSE),TRUE))</f>
        <v>1</v>
      </c>
      <c r="N1182" s="9" t="str">
        <f>IF(F1182="","",IF($F$2=入力リスト!$Q$4,ROUNDDOWN(INT(F1182)+ROUNDDOWN((F1182-INT(F1182))*100,0)/60,2),従業員の給与情報!F1182))</f>
        <v/>
      </c>
      <c r="O1182" s="8"/>
      <c r="P1182" s="8"/>
    </row>
    <row r="1183" spans="1:16">
      <c r="A1183" s="119"/>
      <c r="B1183" s="2"/>
      <c r="C1183" s="3"/>
      <c r="D1183" s="3"/>
      <c r="E1183" s="3"/>
      <c r="F1183" s="9"/>
      <c r="G1183" s="248" t="str">
        <f t="shared" si="90"/>
        <v/>
      </c>
      <c r="H1183" s="1" t="b">
        <f>IF(B1183="",FALSE,COUNTIF('従業員情報(給与以外)'!$A$4:$A$1000000,$B1183)=0)</f>
        <v>0</v>
      </c>
      <c r="I1183" s="9" t="b">
        <f t="shared" si="91"/>
        <v>1</v>
      </c>
      <c r="J1183" s="9" t="b">
        <f t="shared" si="92"/>
        <v>1</v>
      </c>
      <c r="K1183" s="9" t="b">
        <f t="shared" si="93"/>
        <v>1</v>
      </c>
      <c r="L1183" s="9" t="b">
        <f t="shared" si="94"/>
        <v>1</v>
      </c>
      <c r="M1183" s="1" t="b">
        <f>IF(OR(入力シート!$C$5&lt;&gt;入力リスト!$N$4,入力シート!$J$22&lt;&gt;入力リスト!$K$4),TRUE,IF($F$2=入力リスト!$Q$4,IF(F1183-INT(F1183)&lt;0.6,TRUE,FALSE),TRUE))</f>
        <v>1</v>
      </c>
      <c r="N1183" s="9" t="str">
        <f>IF(F1183="","",IF($F$2=入力リスト!$Q$4,ROUNDDOWN(INT(F1183)+ROUNDDOWN((F1183-INT(F1183))*100,0)/60,2),従業員の給与情報!F1183))</f>
        <v/>
      </c>
      <c r="O1183" s="8"/>
      <c r="P1183" s="8"/>
    </row>
    <row r="1184" spans="1:16">
      <c r="A1184" s="119"/>
      <c r="B1184" s="2"/>
      <c r="C1184" s="3"/>
      <c r="D1184" s="3"/>
      <c r="E1184" s="3"/>
      <c r="F1184" s="9"/>
      <c r="G1184" s="248" t="str">
        <f t="shared" si="90"/>
        <v/>
      </c>
      <c r="H1184" s="1" t="b">
        <f>IF(B1184="",FALSE,COUNTIF('従業員情報(給与以外)'!$A$4:$A$1000000,$B1184)=0)</f>
        <v>0</v>
      </c>
      <c r="I1184" s="9" t="b">
        <f t="shared" si="91"/>
        <v>1</v>
      </c>
      <c r="J1184" s="9" t="b">
        <f t="shared" si="92"/>
        <v>1</v>
      </c>
      <c r="K1184" s="9" t="b">
        <f t="shared" si="93"/>
        <v>1</v>
      </c>
      <c r="L1184" s="9" t="b">
        <f t="shared" si="94"/>
        <v>1</v>
      </c>
      <c r="M1184" s="1" t="b">
        <f>IF(OR(入力シート!$C$5&lt;&gt;入力リスト!$N$4,入力シート!$J$22&lt;&gt;入力リスト!$K$4),TRUE,IF($F$2=入力リスト!$Q$4,IF(F1184-INT(F1184)&lt;0.6,TRUE,FALSE),TRUE))</f>
        <v>1</v>
      </c>
      <c r="N1184" s="9" t="str">
        <f>IF(F1184="","",IF($F$2=入力リスト!$Q$4,ROUNDDOWN(INT(F1184)+ROUNDDOWN((F1184-INT(F1184))*100,0)/60,2),従業員の給与情報!F1184))</f>
        <v/>
      </c>
      <c r="O1184" s="8"/>
      <c r="P1184" s="8"/>
    </row>
    <row r="1185" spans="1:16">
      <c r="A1185" s="119"/>
      <c r="B1185" s="2"/>
      <c r="C1185" s="3"/>
      <c r="D1185" s="3"/>
      <c r="E1185" s="3"/>
      <c r="F1185" s="9"/>
      <c r="G1185" s="248" t="str">
        <f t="shared" si="90"/>
        <v/>
      </c>
      <c r="H1185" s="1" t="b">
        <f>IF(B1185="",FALSE,COUNTIF('従業員情報(給与以外)'!$A$4:$A$1000000,$B1185)=0)</f>
        <v>0</v>
      </c>
      <c r="I1185" s="9" t="b">
        <f t="shared" si="91"/>
        <v>1</v>
      </c>
      <c r="J1185" s="9" t="b">
        <f t="shared" si="92"/>
        <v>1</v>
      </c>
      <c r="K1185" s="9" t="b">
        <f t="shared" si="93"/>
        <v>1</v>
      </c>
      <c r="L1185" s="9" t="b">
        <f t="shared" si="94"/>
        <v>1</v>
      </c>
      <c r="M1185" s="1" t="b">
        <f>IF(OR(入力シート!$C$5&lt;&gt;入力リスト!$N$4,入力シート!$J$22&lt;&gt;入力リスト!$K$4),TRUE,IF($F$2=入力リスト!$Q$4,IF(F1185-INT(F1185)&lt;0.6,TRUE,FALSE),TRUE))</f>
        <v>1</v>
      </c>
      <c r="N1185" s="9" t="str">
        <f>IF(F1185="","",IF($F$2=入力リスト!$Q$4,ROUNDDOWN(INT(F1185)+ROUNDDOWN((F1185-INT(F1185))*100,0)/60,2),従業員の給与情報!F1185))</f>
        <v/>
      </c>
      <c r="O1185" s="8"/>
      <c r="P1185" s="8"/>
    </row>
    <row r="1186" spans="1:16">
      <c r="A1186" s="119"/>
      <c r="B1186" s="2"/>
      <c r="C1186" s="3"/>
      <c r="D1186" s="3"/>
      <c r="E1186" s="3"/>
      <c r="F1186" s="9"/>
      <c r="G1186" s="248" t="str">
        <f t="shared" si="90"/>
        <v/>
      </c>
      <c r="H1186" s="1" t="b">
        <f>IF(B1186="",FALSE,COUNTIF('従業員情報(給与以外)'!$A$4:$A$1000000,$B1186)=0)</f>
        <v>0</v>
      </c>
      <c r="I1186" s="9" t="b">
        <f t="shared" si="91"/>
        <v>1</v>
      </c>
      <c r="J1186" s="9" t="b">
        <f t="shared" si="92"/>
        <v>1</v>
      </c>
      <c r="K1186" s="9" t="b">
        <f t="shared" si="93"/>
        <v>1</v>
      </c>
      <c r="L1186" s="9" t="b">
        <f t="shared" si="94"/>
        <v>1</v>
      </c>
      <c r="M1186" s="1" t="b">
        <f>IF(OR(入力シート!$C$5&lt;&gt;入力リスト!$N$4,入力シート!$J$22&lt;&gt;入力リスト!$K$4),TRUE,IF($F$2=入力リスト!$Q$4,IF(F1186-INT(F1186)&lt;0.6,TRUE,FALSE),TRUE))</f>
        <v>1</v>
      </c>
      <c r="N1186" s="9" t="str">
        <f>IF(F1186="","",IF($F$2=入力リスト!$Q$4,ROUNDDOWN(INT(F1186)+ROUNDDOWN((F1186-INT(F1186))*100,0)/60,2),従業員の給与情報!F1186))</f>
        <v/>
      </c>
      <c r="O1186" s="8"/>
      <c r="P1186" s="8"/>
    </row>
    <row r="1187" spans="1:16">
      <c r="A1187" s="119"/>
      <c r="B1187" s="2"/>
      <c r="C1187" s="3"/>
      <c r="D1187" s="3"/>
      <c r="E1187" s="3"/>
      <c r="F1187" s="9"/>
      <c r="G1187" s="248" t="str">
        <f t="shared" si="90"/>
        <v/>
      </c>
      <c r="H1187" s="1" t="b">
        <f>IF(B1187="",FALSE,COUNTIF('従業員情報(給与以外)'!$A$4:$A$1000000,$B1187)=0)</f>
        <v>0</v>
      </c>
      <c r="I1187" s="9" t="b">
        <f t="shared" si="91"/>
        <v>1</v>
      </c>
      <c r="J1187" s="9" t="b">
        <f t="shared" si="92"/>
        <v>1</v>
      </c>
      <c r="K1187" s="9" t="b">
        <f t="shared" si="93"/>
        <v>1</v>
      </c>
      <c r="L1187" s="9" t="b">
        <f t="shared" si="94"/>
        <v>1</v>
      </c>
      <c r="M1187" s="1" t="b">
        <f>IF(OR(入力シート!$C$5&lt;&gt;入力リスト!$N$4,入力シート!$J$22&lt;&gt;入力リスト!$K$4),TRUE,IF($F$2=入力リスト!$Q$4,IF(F1187-INT(F1187)&lt;0.6,TRUE,FALSE),TRUE))</f>
        <v>1</v>
      </c>
      <c r="N1187" s="9" t="str">
        <f>IF(F1187="","",IF($F$2=入力リスト!$Q$4,ROUNDDOWN(INT(F1187)+ROUNDDOWN((F1187-INT(F1187))*100,0)/60,2),従業員の給与情報!F1187))</f>
        <v/>
      </c>
      <c r="O1187" s="8"/>
      <c r="P1187" s="8"/>
    </row>
    <row r="1188" spans="1:16">
      <c r="A1188" s="119"/>
      <c r="B1188" s="2"/>
      <c r="C1188" s="3"/>
      <c r="D1188" s="3"/>
      <c r="E1188" s="3"/>
      <c r="F1188" s="9"/>
      <c r="G1188" s="248" t="str">
        <f t="shared" si="90"/>
        <v/>
      </c>
      <c r="H1188" s="1" t="b">
        <f>IF(B1188="",FALSE,COUNTIF('従業員情報(給与以外)'!$A$4:$A$1000000,$B1188)=0)</f>
        <v>0</v>
      </c>
      <c r="I1188" s="9" t="b">
        <f t="shared" si="91"/>
        <v>1</v>
      </c>
      <c r="J1188" s="9" t="b">
        <f t="shared" si="92"/>
        <v>1</v>
      </c>
      <c r="K1188" s="9" t="b">
        <f t="shared" si="93"/>
        <v>1</v>
      </c>
      <c r="L1188" s="9" t="b">
        <f t="shared" si="94"/>
        <v>1</v>
      </c>
      <c r="M1188" s="1" t="b">
        <f>IF(OR(入力シート!$C$5&lt;&gt;入力リスト!$N$4,入力シート!$J$22&lt;&gt;入力リスト!$K$4),TRUE,IF($F$2=入力リスト!$Q$4,IF(F1188-INT(F1188)&lt;0.6,TRUE,FALSE),TRUE))</f>
        <v>1</v>
      </c>
      <c r="N1188" s="9" t="str">
        <f>IF(F1188="","",IF($F$2=入力リスト!$Q$4,ROUNDDOWN(INT(F1188)+ROUNDDOWN((F1188-INT(F1188))*100,0)/60,2),従業員の給与情報!F1188))</f>
        <v/>
      </c>
      <c r="O1188" s="8"/>
      <c r="P1188" s="8"/>
    </row>
    <row r="1189" spans="1:16">
      <c r="A1189" s="119"/>
      <c r="B1189" s="2"/>
      <c r="C1189" s="3"/>
      <c r="D1189" s="3"/>
      <c r="E1189" s="3"/>
      <c r="F1189" s="9"/>
      <c r="G1189" s="248" t="str">
        <f t="shared" si="90"/>
        <v/>
      </c>
      <c r="H1189" s="1" t="b">
        <f>IF(B1189="",FALSE,COUNTIF('従業員情報(給与以外)'!$A$4:$A$1000000,$B1189)=0)</f>
        <v>0</v>
      </c>
      <c r="I1189" s="9" t="b">
        <f t="shared" si="91"/>
        <v>1</v>
      </c>
      <c r="J1189" s="9" t="b">
        <f t="shared" si="92"/>
        <v>1</v>
      </c>
      <c r="K1189" s="9" t="b">
        <f t="shared" si="93"/>
        <v>1</v>
      </c>
      <c r="L1189" s="9" t="b">
        <f t="shared" si="94"/>
        <v>1</v>
      </c>
      <c r="M1189" s="1" t="b">
        <f>IF(OR(入力シート!$C$5&lt;&gt;入力リスト!$N$4,入力シート!$J$22&lt;&gt;入力リスト!$K$4),TRUE,IF($F$2=入力リスト!$Q$4,IF(F1189-INT(F1189)&lt;0.6,TRUE,FALSE),TRUE))</f>
        <v>1</v>
      </c>
      <c r="N1189" s="9" t="str">
        <f>IF(F1189="","",IF($F$2=入力リスト!$Q$4,ROUNDDOWN(INT(F1189)+ROUNDDOWN((F1189-INT(F1189))*100,0)/60,2),従業員の給与情報!F1189))</f>
        <v/>
      </c>
      <c r="O1189" s="8"/>
      <c r="P1189" s="8"/>
    </row>
    <row r="1190" spans="1:16">
      <c r="A1190" s="119"/>
      <c r="B1190" s="2"/>
      <c r="C1190" s="3"/>
      <c r="D1190" s="3"/>
      <c r="E1190" s="3"/>
      <c r="F1190" s="9"/>
      <c r="G1190" s="248" t="str">
        <f t="shared" si="90"/>
        <v/>
      </c>
      <c r="H1190" s="1" t="b">
        <f>IF(B1190="",FALSE,COUNTIF('従業員情報(給与以外)'!$A$4:$A$1000000,$B1190)=0)</f>
        <v>0</v>
      </c>
      <c r="I1190" s="9" t="b">
        <f t="shared" si="91"/>
        <v>1</v>
      </c>
      <c r="J1190" s="9" t="b">
        <f t="shared" si="92"/>
        <v>1</v>
      </c>
      <c r="K1190" s="9" t="b">
        <f t="shared" si="93"/>
        <v>1</v>
      </c>
      <c r="L1190" s="9" t="b">
        <f t="shared" si="94"/>
        <v>1</v>
      </c>
      <c r="M1190" s="1" t="b">
        <f>IF(OR(入力シート!$C$5&lt;&gt;入力リスト!$N$4,入力シート!$J$22&lt;&gt;入力リスト!$K$4),TRUE,IF($F$2=入力リスト!$Q$4,IF(F1190-INT(F1190)&lt;0.6,TRUE,FALSE),TRUE))</f>
        <v>1</v>
      </c>
      <c r="N1190" s="9" t="str">
        <f>IF(F1190="","",IF($F$2=入力リスト!$Q$4,ROUNDDOWN(INT(F1190)+ROUNDDOWN((F1190-INT(F1190))*100,0)/60,2),従業員の給与情報!F1190))</f>
        <v/>
      </c>
      <c r="O1190" s="8"/>
      <c r="P1190" s="8"/>
    </row>
    <row r="1191" spans="1:16">
      <c r="A1191" s="119"/>
      <c r="B1191" s="2"/>
      <c r="C1191" s="3"/>
      <c r="D1191" s="3"/>
      <c r="E1191" s="3"/>
      <c r="F1191" s="9"/>
      <c r="G1191" s="248" t="str">
        <f t="shared" si="90"/>
        <v/>
      </c>
      <c r="H1191" s="1" t="b">
        <f>IF(B1191="",FALSE,COUNTIF('従業員情報(給与以外)'!$A$4:$A$1000000,$B1191)=0)</f>
        <v>0</v>
      </c>
      <c r="I1191" s="9" t="b">
        <f t="shared" si="91"/>
        <v>1</v>
      </c>
      <c r="J1191" s="9" t="b">
        <f t="shared" si="92"/>
        <v>1</v>
      </c>
      <c r="K1191" s="9" t="b">
        <f t="shared" si="93"/>
        <v>1</v>
      </c>
      <c r="L1191" s="9" t="b">
        <f t="shared" si="94"/>
        <v>1</v>
      </c>
      <c r="M1191" s="1" t="b">
        <f>IF(OR(入力シート!$C$5&lt;&gt;入力リスト!$N$4,入力シート!$J$22&lt;&gt;入力リスト!$K$4),TRUE,IF($F$2=入力リスト!$Q$4,IF(F1191-INT(F1191)&lt;0.6,TRUE,FALSE),TRUE))</f>
        <v>1</v>
      </c>
      <c r="N1191" s="9" t="str">
        <f>IF(F1191="","",IF($F$2=入力リスト!$Q$4,ROUNDDOWN(INT(F1191)+ROUNDDOWN((F1191-INT(F1191))*100,0)/60,2),従業員の給与情報!F1191))</f>
        <v/>
      </c>
      <c r="O1191" s="8"/>
      <c r="P1191" s="8"/>
    </row>
    <row r="1192" spans="1:16">
      <c r="A1192" s="119"/>
      <c r="B1192" s="2"/>
      <c r="C1192" s="3"/>
      <c r="D1192" s="3"/>
      <c r="E1192" s="3"/>
      <c r="F1192" s="9"/>
      <c r="G1192" s="248" t="str">
        <f t="shared" si="90"/>
        <v/>
      </c>
      <c r="H1192" s="1" t="b">
        <f>IF(B1192="",FALSE,COUNTIF('従業員情報(給与以外)'!$A$4:$A$1000000,$B1192)=0)</f>
        <v>0</v>
      </c>
      <c r="I1192" s="9" t="b">
        <f t="shared" si="91"/>
        <v>1</v>
      </c>
      <c r="J1192" s="9" t="b">
        <f t="shared" si="92"/>
        <v>1</v>
      </c>
      <c r="K1192" s="9" t="b">
        <f t="shared" si="93"/>
        <v>1</v>
      </c>
      <c r="L1192" s="9" t="b">
        <f t="shared" si="94"/>
        <v>1</v>
      </c>
      <c r="M1192" s="1" t="b">
        <f>IF(OR(入力シート!$C$5&lt;&gt;入力リスト!$N$4,入力シート!$J$22&lt;&gt;入力リスト!$K$4),TRUE,IF($F$2=入力リスト!$Q$4,IF(F1192-INT(F1192)&lt;0.6,TRUE,FALSE),TRUE))</f>
        <v>1</v>
      </c>
      <c r="N1192" s="9" t="str">
        <f>IF(F1192="","",IF($F$2=入力リスト!$Q$4,ROUNDDOWN(INT(F1192)+ROUNDDOWN((F1192-INT(F1192))*100,0)/60,2),従業員の給与情報!F1192))</f>
        <v/>
      </c>
      <c r="O1192" s="8"/>
      <c r="P1192" s="8"/>
    </row>
    <row r="1193" spans="1:16">
      <c r="A1193" s="119"/>
      <c r="B1193" s="2"/>
      <c r="C1193" s="3"/>
      <c r="D1193" s="3"/>
      <c r="E1193" s="3"/>
      <c r="F1193" s="9"/>
      <c r="G1193" s="248" t="str">
        <f t="shared" si="90"/>
        <v/>
      </c>
      <c r="H1193" s="1" t="b">
        <f>IF(B1193="",FALSE,COUNTIF('従業員情報(給与以外)'!$A$4:$A$1000000,$B1193)=0)</f>
        <v>0</v>
      </c>
      <c r="I1193" s="9" t="b">
        <f t="shared" si="91"/>
        <v>1</v>
      </c>
      <c r="J1193" s="9" t="b">
        <f t="shared" si="92"/>
        <v>1</v>
      </c>
      <c r="K1193" s="9" t="b">
        <f t="shared" si="93"/>
        <v>1</v>
      </c>
      <c r="L1193" s="9" t="b">
        <f t="shared" si="94"/>
        <v>1</v>
      </c>
      <c r="M1193" s="1" t="b">
        <f>IF(OR(入力シート!$C$5&lt;&gt;入力リスト!$N$4,入力シート!$J$22&lt;&gt;入力リスト!$K$4),TRUE,IF($F$2=入力リスト!$Q$4,IF(F1193-INT(F1193)&lt;0.6,TRUE,FALSE),TRUE))</f>
        <v>1</v>
      </c>
      <c r="N1193" s="9" t="str">
        <f>IF(F1193="","",IF($F$2=入力リスト!$Q$4,ROUNDDOWN(INT(F1193)+ROUNDDOWN((F1193-INT(F1193))*100,0)/60,2),従業員の給与情報!F1193))</f>
        <v/>
      </c>
      <c r="O1193" s="8"/>
      <c r="P1193" s="8"/>
    </row>
    <row r="1194" spans="1:16">
      <c r="A1194" s="119"/>
      <c r="B1194" s="2"/>
      <c r="C1194" s="3"/>
      <c r="D1194" s="3"/>
      <c r="E1194" s="3"/>
      <c r="F1194" s="9"/>
      <c r="G1194" s="248" t="str">
        <f t="shared" si="90"/>
        <v/>
      </c>
      <c r="H1194" s="1" t="b">
        <f>IF(B1194="",FALSE,COUNTIF('従業員情報(給与以外)'!$A$4:$A$1000000,$B1194)=0)</f>
        <v>0</v>
      </c>
      <c r="I1194" s="9" t="b">
        <f t="shared" si="91"/>
        <v>1</v>
      </c>
      <c r="J1194" s="9" t="b">
        <f t="shared" si="92"/>
        <v>1</v>
      </c>
      <c r="K1194" s="9" t="b">
        <f t="shared" si="93"/>
        <v>1</v>
      </c>
      <c r="L1194" s="9" t="b">
        <f t="shared" si="94"/>
        <v>1</v>
      </c>
      <c r="M1194" s="1" t="b">
        <f>IF(OR(入力シート!$C$5&lt;&gt;入力リスト!$N$4,入力シート!$J$22&lt;&gt;入力リスト!$K$4),TRUE,IF($F$2=入力リスト!$Q$4,IF(F1194-INT(F1194)&lt;0.6,TRUE,FALSE),TRUE))</f>
        <v>1</v>
      </c>
      <c r="N1194" s="9" t="str">
        <f>IF(F1194="","",IF($F$2=入力リスト!$Q$4,ROUNDDOWN(INT(F1194)+ROUNDDOWN((F1194-INT(F1194))*100,0)/60,2),従業員の給与情報!F1194))</f>
        <v/>
      </c>
      <c r="O1194" s="8"/>
      <c r="P1194" s="8"/>
    </row>
    <row r="1195" spans="1:16">
      <c r="A1195" s="119"/>
      <c r="B1195" s="2"/>
      <c r="C1195" s="3"/>
      <c r="D1195" s="3"/>
      <c r="E1195" s="3"/>
      <c r="F1195" s="9"/>
      <c r="G1195" s="248" t="str">
        <f t="shared" si="90"/>
        <v/>
      </c>
      <c r="H1195" s="1" t="b">
        <f>IF(B1195="",FALSE,COUNTIF('従業員情報(給与以外)'!$A$4:$A$1000000,$B1195)=0)</f>
        <v>0</v>
      </c>
      <c r="I1195" s="9" t="b">
        <f t="shared" si="91"/>
        <v>1</v>
      </c>
      <c r="J1195" s="9" t="b">
        <f t="shared" si="92"/>
        <v>1</v>
      </c>
      <c r="K1195" s="9" t="b">
        <f t="shared" si="93"/>
        <v>1</v>
      </c>
      <c r="L1195" s="9" t="b">
        <f t="shared" si="94"/>
        <v>1</v>
      </c>
      <c r="M1195" s="1" t="b">
        <f>IF(OR(入力シート!$C$5&lt;&gt;入力リスト!$N$4,入力シート!$J$22&lt;&gt;入力リスト!$K$4),TRUE,IF($F$2=入力リスト!$Q$4,IF(F1195-INT(F1195)&lt;0.6,TRUE,FALSE),TRUE))</f>
        <v>1</v>
      </c>
      <c r="N1195" s="9" t="str">
        <f>IF(F1195="","",IF($F$2=入力リスト!$Q$4,ROUNDDOWN(INT(F1195)+ROUNDDOWN((F1195-INT(F1195))*100,0)/60,2),従業員の給与情報!F1195))</f>
        <v/>
      </c>
      <c r="O1195" s="8"/>
      <c r="P1195" s="8"/>
    </row>
    <row r="1196" spans="1:16">
      <c r="A1196" s="119"/>
      <c r="B1196" s="2"/>
      <c r="C1196" s="3"/>
      <c r="D1196" s="3"/>
      <c r="E1196" s="3"/>
      <c r="F1196" s="9"/>
      <c r="G1196" s="248" t="str">
        <f t="shared" si="90"/>
        <v/>
      </c>
      <c r="H1196" s="1" t="b">
        <f>IF(B1196="",FALSE,COUNTIF('従業員情報(給与以外)'!$A$4:$A$1000000,$B1196)=0)</f>
        <v>0</v>
      </c>
      <c r="I1196" s="9" t="b">
        <f t="shared" si="91"/>
        <v>1</v>
      </c>
      <c r="J1196" s="9" t="b">
        <f t="shared" si="92"/>
        <v>1</v>
      </c>
      <c r="K1196" s="9" t="b">
        <f t="shared" si="93"/>
        <v>1</v>
      </c>
      <c r="L1196" s="9" t="b">
        <f t="shared" si="94"/>
        <v>1</v>
      </c>
      <c r="M1196" s="1" t="b">
        <f>IF(OR(入力シート!$C$5&lt;&gt;入力リスト!$N$4,入力シート!$J$22&lt;&gt;入力リスト!$K$4),TRUE,IF($F$2=入力リスト!$Q$4,IF(F1196-INT(F1196)&lt;0.6,TRUE,FALSE),TRUE))</f>
        <v>1</v>
      </c>
      <c r="N1196" s="9" t="str">
        <f>IF(F1196="","",IF($F$2=入力リスト!$Q$4,ROUNDDOWN(INT(F1196)+ROUNDDOWN((F1196-INT(F1196))*100,0)/60,2),従業員の給与情報!F1196))</f>
        <v/>
      </c>
      <c r="O1196" s="8"/>
      <c r="P1196" s="8"/>
    </row>
    <row r="1197" spans="1:16">
      <c r="A1197" s="119"/>
      <c r="B1197" s="2"/>
      <c r="C1197" s="3"/>
      <c r="D1197" s="3"/>
      <c r="E1197" s="3"/>
      <c r="F1197" s="9"/>
      <c r="G1197" s="248" t="str">
        <f t="shared" si="90"/>
        <v/>
      </c>
      <c r="H1197" s="1" t="b">
        <f>IF(B1197="",FALSE,COUNTIF('従業員情報(給与以外)'!$A$4:$A$1000000,$B1197)=0)</f>
        <v>0</v>
      </c>
      <c r="I1197" s="9" t="b">
        <f t="shared" si="91"/>
        <v>1</v>
      </c>
      <c r="J1197" s="9" t="b">
        <f t="shared" si="92"/>
        <v>1</v>
      </c>
      <c r="K1197" s="9" t="b">
        <f t="shared" si="93"/>
        <v>1</v>
      </c>
      <c r="L1197" s="9" t="b">
        <f t="shared" si="94"/>
        <v>1</v>
      </c>
      <c r="M1197" s="1" t="b">
        <f>IF(OR(入力シート!$C$5&lt;&gt;入力リスト!$N$4,入力シート!$J$22&lt;&gt;入力リスト!$K$4),TRUE,IF($F$2=入力リスト!$Q$4,IF(F1197-INT(F1197)&lt;0.6,TRUE,FALSE),TRUE))</f>
        <v>1</v>
      </c>
      <c r="N1197" s="9" t="str">
        <f>IF(F1197="","",IF($F$2=入力リスト!$Q$4,ROUNDDOWN(INT(F1197)+ROUNDDOWN((F1197-INT(F1197))*100,0)/60,2),従業員の給与情報!F1197))</f>
        <v/>
      </c>
      <c r="O1197" s="8"/>
      <c r="P1197" s="8"/>
    </row>
    <row r="1198" spans="1:16">
      <c r="A1198" s="119"/>
      <c r="B1198" s="2"/>
      <c r="C1198" s="3"/>
      <c r="D1198" s="3"/>
      <c r="E1198" s="3"/>
      <c r="F1198" s="9"/>
      <c r="G1198" s="248" t="str">
        <f t="shared" si="90"/>
        <v/>
      </c>
      <c r="H1198" s="1" t="b">
        <f>IF(B1198="",FALSE,COUNTIF('従業員情報(給与以外)'!$A$4:$A$1000000,$B1198)=0)</f>
        <v>0</v>
      </c>
      <c r="I1198" s="9" t="b">
        <f t="shared" si="91"/>
        <v>1</v>
      </c>
      <c r="J1198" s="9" t="b">
        <f t="shared" si="92"/>
        <v>1</v>
      </c>
      <c r="K1198" s="9" t="b">
        <f t="shared" si="93"/>
        <v>1</v>
      </c>
      <c r="L1198" s="9" t="b">
        <f t="shared" si="94"/>
        <v>1</v>
      </c>
      <c r="M1198" s="1" t="b">
        <f>IF(OR(入力シート!$C$5&lt;&gt;入力リスト!$N$4,入力シート!$J$22&lt;&gt;入力リスト!$K$4),TRUE,IF($F$2=入力リスト!$Q$4,IF(F1198-INT(F1198)&lt;0.6,TRUE,FALSE),TRUE))</f>
        <v>1</v>
      </c>
      <c r="N1198" s="9" t="str">
        <f>IF(F1198="","",IF($F$2=入力リスト!$Q$4,ROUNDDOWN(INT(F1198)+ROUNDDOWN((F1198-INT(F1198))*100,0)/60,2),従業員の給与情報!F1198))</f>
        <v/>
      </c>
      <c r="O1198" s="8"/>
      <c r="P1198" s="8"/>
    </row>
    <row r="1199" spans="1:16">
      <c r="A1199" s="119"/>
      <c r="B1199" s="2"/>
      <c r="C1199" s="3"/>
      <c r="D1199" s="3"/>
      <c r="E1199" s="3"/>
      <c r="F1199" s="9"/>
      <c r="G1199" s="248" t="str">
        <f t="shared" si="90"/>
        <v/>
      </c>
      <c r="H1199" s="1" t="b">
        <f>IF(B1199="",FALSE,COUNTIF('従業員情報(給与以外)'!$A$4:$A$1000000,$B1199)=0)</f>
        <v>0</v>
      </c>
      <c r="I1199" s="9" t="b">
        <f t="shared" si="91"/>
        <v>1</v>
      </c>
      <c r="J1199" s="9" t="b">
        <f t="shared" si="92"/>
        <v>1</v>
      </c>
      <c r="K1199" s="9" t="b">
        <f t="shared" si="93"/>
        <v>1</v>
      </c>
      <c r="L1199" s="9" t="b">
        <f t="shared" si="94"/>
        <v>1</v>
      </c>
      <c r="M1199" s="1" t="b">
        <f>IF(OR(入力シート!$C$5&lt;&gt;入力リスト!$N$4,入力シート!$J$22&lt;&gt;入力リスト!$K$4),TRUE,IF($F$2=入力リスト!$Q$4,IF(F1199-INT(F1199)&lt;0.6,TRUE,FALSE),TRUE))</f>
        <v>1</v>
      </c>
      <c r="N1199" s="9" t="str">
        <f>IF(F1199="","",IF($F$2=入力リスト!$Q$4,ROUNDDOWN(INT(F1199)+ROUNDDOWN((F1199-INT(F1199))*100,0)/60,2),従業員の給与情報!F1199))</f>
        <v/>
      </c>
      <c r="O1199" s="8"/>
      <c r="P1199" s="8"/>
    </row>
    <row r="1200" spans="1:16">
      <c r="A1200" s="119"/>
      <c r="B1200" s="2"/>
      <c r="C1200" s="3"/>
      <c r="D1200" s="3"/>
      <c r="E1200" s="3"/>
      <c r="F1200" s="9"/>
      <c r="G1200" s="248" t="str">
        <f t="shared" si="90"/>
        <v/>
      </c>
      <c r="H1200" s="1" t="b">
        <f>IF(B1200="",FALSE,COUNTIF('従業員情報(給与以外)'!$A$4:$A$1000000,$B1200)=0)</f>
        <v>0</v>
      </c>
      <c r="I1200" s="9" t="b">
        <f t="shared" si="91"/>
        <v>1</v>
      </c>
      <c r="J1200" s="9" t="b">
        <f t="shared" si="92"/>
        <v>1</v>
      </c>
      <c r="K1200" s="9" t="b">
        <f t="shared" si="93"/>
        <v>1</v>
      </c>
      <c r="L1200" s="9" t="b">
        <f t="shared" si="94"/>
        <v>1</v>
      </c>
      <c r="M1200" s="1" t="b">
        <f>IF(OR(入力シート!$C$5&lt;&gt;入力リスト!$N$4,入力シート!$J$22&lt;&gt;入力リスト!$K$4),TRUE,IF($F$2=入力リスト!$Q$4,IF(F1200-INT(F1200)&lt;0.6,TRUE,FALSE),TRUE))</f>
        <v>1</v>
      </c>
      <c r="N1200" s="9" t="str">
        <f>IF(F1200="","",IF($F$2=入力リスト!$Q$4,ROUNDDOWN(INT(F1200)+ROUNDDOWN((F1200-INT(F1200))*100,0)/60,2),従業員の給与情報!F1200))</f>
        <v/>
      </c>
      <c r="O1200" s="8"/>
      <c r="P1200" s="8"/>
    </row>
    <row r="1201" spans="1:16">
      <c r="A1201" s="119"/>
      <c r="B1201" s="2"/>
      <c r="C1201" s="3"/>
      <c r="D1201" s="3"/>
      <c r="E1201" s="3"/>
      <c r="F1201" s="9"/>
      <c r="G1201" s="248" t="str">
        <f t="shared" si="90"/>
        <v/>
      </c>
      <c r="H1201" s="1" t="b">
        <f>IF(B1201="",FALSE,COUNTIF('従業員情報(給与以外)'!$A$4:$A$1000000,$B1201)=0)</f>
        <v>0</v>
      </c>
      <c r="I1201" s="9" t="b">
        <f t="shared" si="91"/>
        <v>1</v>
      </c>
      <c r="J1201" s="9" t="b">
        <f t="shared" si="92"/>
        <v>1</v>
      </c>
      <c r="K1201" s="9" t="b">
        <f t="shared" si="93"/>
        <v>1</v>
      </c>
      <c r="L1201" s="9" t="b">
        <f t="shared" si="94"/>
        <v>1</v>
      </c>
      <c r="M1201" s="1" t="b">
        <f>IF(OR(入力シート!$C$5&lt;&gt;入力リスト!$N$4,入力シート!$J$22&lt;&gt;入力リスト!$K$4),TRUE,IF($F$2=入力リスト!$Q$4,IF(F1201-INT(F1201)&lt;0.6,TRUE,FALSE),TRUE))</f>
        <v>1</v>
      </c>
      <c r="N1201" s="9" t="str">
        <f>IF(F1201="","",IF($F$2=入力リスト!$Q$4,ROUNDDOWN(INT(F1201)+ROUNDDOWN((F1201-INT(F1201))*100,0)/60,2),従業員の給与情報!F1201))</f>
        <v/>
      </c>
      <c r="O1201" s="8"/>
      <c r="P1201" s="8"/>
    </row>
    <row r="1202" spans="1:16">
      <c r="A1202" s="119"/>
      <c r="B1202" s="2"/>
      <c r="C1202" s="3"/>
      <c r="D1202" s="3"/>
      <c r="E1202" s="3"/>
      <c r="F1202" s="9"/>
      <c r="G1202" s="248" t="str">
        <f t="shared" si="90"/>
        <v/>
      </c>
      <c r="H1202" s="1" t="b">
        <f>IF(B1202="",FALSE,COUNTIF('従業員情報(給与以外)'!$A$4:$A$1000000,$B1202)=0)</f>
        <v>0</v>
      </c>
      <c r="I1202" s="9" t="b">
        <f t="shared" si="91"/>
        <v>1</v>
      </c>
      <c r="J1202" s="9" t="b">
        <f t="shared" si="92"/>
        <v>1</v>
      </c>
      <c r="K1202" s="9" t="b">
        <f t="shared" si="93"/>
        <v>1</v>
      </c>
      <c r="L1202" s="9" t="b">
        <f t="shared" si="94"/>
        <v>1</v>
      </c>
      <c r="M1202" s="1" t="b">
        <f>IF(OR(入力シート!$C$5&lt;&gt;入力リスト!$N$4,入力シート!$J$22&lt;&gt;入力リスト!$K$4),TRUE,IF($F$2=入力リスト!$Q$4,IF(F1202-INT(F1202)&lt;0.6,TRUE,FALSE),TRUE))</f>
        <v>1</v>
      </c>
      <c r="N1202" s="9" t="str">
        <f>IF(F1202="","",IF($F$2=入力リスト!$Q$4,ROUNDDOWN(INT(F1202)+ROUNDDOWN((F1202-INT(F1202))*100,0)/60,2),従業員の給与情報!F1202))</f>
        <v/>
      </c>
      <c r="O1202" s="8"/>
      <c r="P1202" s="8"/>
    </row>
    <row r="1203" spans="1:16">
      <c r="A1203" s="119"/>
      <c r="B1203" s="2"/>
      <c r="C1203" s="3"/>
      <c r="D1203" s="3"/>
      <c r="E1203" s="3"/>
      <c r="F1203" s="9"/>
      <c r="G1203" s="248" t="str">
        <f t="shared" si="90"/>
        <v/>
      </c>
      <c r="H1203" s="1" t="b">
        <f>IF(B1203="",FALSE,COUNTIF('従業員情報(給与以外)'!$A$4:$A$1000000,$B1203)=0)</f>
        <v>0</v>
      </c>
      <c r="I1203" s="9" t="b">
        <f t="shared" si="91"/>
        <v>1</v>
      </c>
      <c r="J1203" s="9" t="b">
        <f t="shared" si="92"/>
        <v>1</v>
      </c>
      <c r="K1203" s="9" t="b">
        <f t="shared" si="93"/>
        <v>1</v>
      </c>
      <c r="L1203" s="9" t="b">
        <f t="shared" si="94"/>
        <v>1</v>
      </c>
      <c r="M1203" s="1" t="b">
        <f>IF(OR(入力シート!$C$5&lt;&gt;入力リスト!$N$4,入力シート!$J$22&lt;&gt;入力リスト!$K$4),TRUE,IF($F$2=入力リスト!$Q$4,IF(F1203-INT(F1203)&lt;0.6,TRUE,FALSE),TRUE))</f>
        <v>1</v>
      </c>
      <c r="N1203" s="9" t="str">
        <f>IF(F1203="","",IF($F$2=入力リスト!$Q$4,ROUNDDOWN(INT(F1203)+ROUNDDOWN((F1203-INT(F1203))*100,0)/60,2),従業員の給与情報!F1203))</f>
        <v/>
      </c>
      <c r="O1203" s="8"/>
      <c r="P1203" s="8"/>
    </row>
    <row r="1204" spans="1:16">
      <c r="A1204" s="119"/>
      <c r="B1204" s="2"/>
      <c r="C1204" s="3"/>
      <c r="D1204" s="3"/>
      <c r="E1204" s="3"/>
      <c r="F1204" s="9"/>
      <c r="G1204" s="248" t="str">
        <f t="shared" si="90"/>
        <v/>
      </c>
      <c r="H1204" s="1" t="b">
        <f>IF(B1204="",FALSE,COUNTIF('従業員情報(給与以外)'!$A$4:$A$1000000,$B1204)=0)</f>
        <v>0</v>
      </c>
      <c r="I1204" s="9" t="b">
        <f t="shared" si="91"/>
        <v>1</v>
      </c>
      <c r="J1204" s="9" t="b">
        <f t="shared" si="92"/>
        <v>1</v>
      </c>
      <c r="K1204" s="9" t="b">
        <f t="shared" si="93"/>
        <v>1</v>
      </c>
      <c r="L1204" s="9" t="b">
        <f t="shared" si="94"/>
        <v>1</v>
      </c>
      <c r="M1204" s="1" t="b">
        <f>IF(OR(入力シート!$C$5&lt;&gt;入力リスト!$N$4,入力シート!$J$22&lt;&gt;入力リスト!$K$4),TRUE,IF($F$2=入力リスト!$Q$4,IF(F1204-INT(F1204)&lt;0.6,TRUE,FALSE),TRUE))</f>
        <v>1</v>
      </c>
      <c r="N1204" s="9" t="str">
        <f>IF(F1204="","",IF($F$2=入力リスト!$Q$4,ROUNDDOWN(INT(F1204)+ROUNDDOWN((F1204-INT(F1204))*100,0)/60,2),従業員の給与情報!F1204))</f>
        <v/>
      </c>
      <c r="O1204" s="8"/>
      <c r="P1204" s="8"/>
    </row>
    <row r="1205" spans="1:16">
      <c r="A1205" s="119"/>
      <c r="B1205" s="2"/>
      <c r="C1205" s="3"/>
      <c r="D1205" s="3"/>
      <c r="E1205" s="3"/>
      <c r="F1205" s="9"/>
      <c r="G1205" s="248" t="str">
        <f t="shared" si="90"/>
        <v/>
      </c>
      <c r="H1205" s="1" t="b">
        <f>IF(B1205="",FALSE,COUNTIF('従業員情報(給与以外)'!$A$4:$A$1000000,$B1205)=0)</f>
        <v>0</v>
      </c>
      <c r="I1205" s="9" t="b">
        <f t="shared" si="91"/>
        <v>1</v>
      </c>
      <c r="J1205" s="9" t="b">
        <f t="shared" si="92"/>
        <v>1</v>
      </c>
      <c r="K1205" s="9" t="b">
        <f t="shared" si="93"/>
        <v>1</v>
      </c>
      <c r="L1205" s="9" t="b">
        <f t="shared" si="94"/>
        <v>1</v>
      </c>
      <c r="M1205" s="1" t="b">
        <f>IF(OR(入力シート!$C$5&lt;&gt;入力リスト!$N$4,入力シート!$J$22&lt;&gt;入力リスト!$K$4),TRUE,IF($F$2=入力リスト!$Q$4,IF(F1205-INT(F1205)&lt;0.6,TRUE,FALSE),TRUE))</f>
        <v>1</v>
      </c>
      <c r="N1205" s="9" t="str">
        <f>IF(F1205="","",IF($F$2=入力リスト!$Q$4,ROUNDDOWN(INT(F1205)+ROUNDDOWN((F1205-INT(F1205))*100,0)/60,2),従業員の給与情報!F1205))</f>
        <v/>
      </c>
      <c r="O1205" s="8"/>
      <c r="P1205" s="8"/>
    </row>
    <row r="1206" spans="1:16">
      <c r="A1206" s="119"/>
      <c r="B1206" s="2"/>
      <c r="C1206" s="3"/>
      <c r="D1206" s="3"/>
      <c r="E1206" s="3"/>
      <c r="F1206" s="9"/>
      <c r="G1206" s="248" t="str">
        <f t="shared" si="90"/>
        <v/>
      </c>
      <c r="H1206" s="1" t="b">
        <f>IF(B1206="",FALSE,COUNTIF('従業員情報(給与以外)'!$A$4:$A$1000000,$B1206)=0)</f>
        <v>0</v>
      </c>
      <c r="I1206" s="9" t="b">
        <f t="shared" si="91"/>
        <v>1</v>
      </c>
      <c r="J1206" s="9" t="b">
        <f t="shared" si="92"/>
        <v>1</v>
      </c>
      <c r="K1206" s="9" t="b">
        <f t="shared" si="93"/>
        <v>1</v>
      </c>
      <c r="L1206" s="9" t="b">
        <f t="shared" si="94"/>
        <v>1</v>
      </c>
      <c r="M1206" s="1" t="b">
        <f>IF(OR(入力シート!$C$5&lt;&gt;入力リスト!$N$4,入力シート!$J$22&lt;&gt;入力リスト!$K$4),TRUE,IF($F$2=入力リスト!$Q$4,IF(F1206-INT(F1206)&lt;0.6,TRUE,FALSE),TRUE))</f>
        <v>1</v>
      </c>
      <c r="N1206" s="9" t="str">
        <f>IF(F1206="","",IF($F$2=入力リスト!$Q$4,ROUNDDOWN(INT(F1206)+ROUNDDOWN((F1206-INT(F1206))*100,0)/60,2),従業員の給与情報!F1206))</f>
        <v/>
      </c>
      <c r="O1206" s="8"/>
      <c r="P1206" s="8"/>
    </row>
    <row r="1207" spans="1:16">
      <c r="A1207" s="119"/>
      <c r="B1207" s="2"/>
      <c r="C1207" s="3"/>
      <c r="D1207" s="3"/>
      <c r="E1207" s="3"/>
      <c r="F1207" s="9"/>
      <c r="G1207" s="248" t="str">
        <f t="shared" si="90"/>
        <v/>
      </c>
      <c r="H1207" s="1" t="b">
        <f>IF(B1207="",FALSE,COUNTIF('従業員情報(給与以外)'!$A$4:$A$1000000,$B1207)=0)</f>
        <v>0</v>
      </c>
      <c r="I1207" s="9" t="b">
        <f t="shared" si="91"/>
        <v>1</v>
      </c>
      <c r="J1207" s="9" t="b">
        <f t="shared" si="92"/>
        <v>1</v>
      </c>
      <c r="K1207" s="9" t="b">
        <f t="shared" si="93"/>
        <v>1</v>
      </c>
      <c r="L1207" s="9" t="b">
        <f t="shared" si="94"/>
        <v>1</v>
      </c>
      <c r="M1207" s="1" t="b">
        <f>IF(OR(入力シート!$C$5&lt;&gt;入力リスト!$N$4,入力シート!$J$22&lt;&gt;入力リスト!$K$4),TRUE,IF($F$2=入力リスト!$Q$4,IF(F1207-INT(F1207)&lt;0.6,TRUE,FALSE),TRUE))</f>
        <v>1</v>
      </c>
      <c r="N1207" s="9" t="str">
        <f>IF(F1207="","",IF($F$2=入力リスト!$Q$4,ROUNDDOWN(INT(F1207)+ROUNDDOWN((F1207-INT(F1207))*100,0)/60,2),従業員の給与情報!F1207))</f>
        <v/>
      </c>
      <c r="O1207" s="8"/>
      <c r="P1207" s="8"/>
    </row>
    <row r="1208" spans="1:16">
      <c r="A1208" s="119"/>
      <c r="B1208" s="2"/>
      <c r="C1208" s="3"/>
      <c r="D1208" s="3"/>
      <c r="E1208" s="3"/>
      <c r="F1208" s="9"/>
      <c r="G1208" s="248" t="str">
        <f t="shared" si="90"/>
        <v/>
      </c>
      <c r="H1208" s="1" t="b">
        <f>IF(B1208="",FALSE,COUNTIF('従業員情報(給与以外)'!$A$4:$A$1000000,$B1208)=0)</f>
        <v>0</v>
      </c>
      <c r="I1208" s="9" t="b">
        <f t="shared" si="91"/>
        <v>1</v>
      </c>
      <c r="J1208" s="9" t="b">
        <f t="shared" si="92"/>
        <v>1</v>
      </c>
      <c r="K1208" s="9" t="b">
        <f t="shared" si="93"/>
        <v>1</v>
      </c>
      <c r="L1208" s="9" t="b">
        <f t="shared" si="94"/>
        <v>1</v>
      </c>
      <c r="M1208" s="1" t="b">
        <f>IF(OR(入力シート!$C$5&lt;&gt;入力リスト!$N$4,入力シート!$J$22&lt;&gt;入力リスト!$K$4),TRUE,IF($F$2=入力リスト!$Q$4,IF(F1208-INT(F1208)&lt;0.6,TRUE,FALSE),TRUE))</f>
        <v>1</v>
      </c>
      <c r="N1208" s="9" t="str">
        <f>IF(F1208="","",IF($F$2=入力リスト!$Q$4,ROUNDDOWN(INT(F1208)+ROUNDDOWN((F1208-INT(F1208))*100,0)/60,2),従業員の給与情報!F1208))</f>
        <v/>
      </c>
      <c r="O1208" s="8"/>
      <c r="P1208" s="8"/>
    </row>
    <row r="1209" spans="1:16">
      <c r="A1209" s="119"/>
      <c r="B1209" s="2"/>
      <c r="C1209" s="3"/>
      <c r="D1209" s="3"/>
      <c r="E1209" s="3"/>
      <c r="F1209" s="9"/>
      <c r="G1209" s="248" t="str">
        <f t="shared" si="90"/>
        <v/>
      </c>
      <c r="H1209" s="1" t="b">
        <f>IF(B1209="",FALSE,COUNTIF('従業員情報(給与以外)'!$A$4:$A$1000000,$B1209)=0)</f>
        <v>0</v>
      </c>
      <c r="I1209" s="9" t="b">
        <f t="shared" si="91"/>
        <v>1</v>
      </c>
      <c r="J1209" s="9" t="b">
        <f t="shared" si="92"/>
        <v>1</v>
      </c>
      <c r="K1209" s="9" t="b">
        <f t="shared" si="93"/>
        <v>1</v>
      </c>
      <c r="L1209" s="9" t="b">
        <f t="shared" si="94"/>
        <v>1</v>
      </c>
      <c r="M1209" s="1" t="b">
        <f>IF(OR(入力シート!$C$5&lt;&gt;入力リスト!$N$4,入力シート!$J$22&lt;&gt;入力リスト!$K$4),TRUE,IF($F$2=入力リスト!$Q$4,IF(F1209-INT(F1209)&lt;0.6,TRUE,FALSE),TRUE))</f>
        <v>1</v>
      </c>
      <c r="N1209" s="9" t="str">
        <f>IF(F1209="","",IF($F$2=入力リスト!$Q$4,ROUNDDOWN(INT(F1209)+ROUNDDOWN((F1209-INT(F1209))*100,0)/60,2),従業員の給与情報!F1209))</f>
        <v/>
      </c>
      <c r="O1209" s="8"/>
      <c r="P1209" s="8"/>
    </row>
    <row r="1210" spans="1:16">
      <c r="A1210" s="119"/>
      <c r="B1210" s="2"/>
      <c r="C1210" s="3"/>
      <c r="D1210" s="3"/>
      <c r="E1210" s="3"/>
      <c r="F1210" s="9"/>
      <c r="G1210" s="248" t="str">
        <f t="shared" si="90"/>
        <v/>
      </c>
      <c r="H1210" s="1" t="b">
        <f>IF(B1210="",FALSE,COUNTIF('従業員情報(給与以外)'!$A$4:$A$1000000,$B1210)=0)</f>
        <v>0</v>
      </c>
      <c r="I1210" s="9" t="b">
        <f t="shared" si="91"/>
        <v>1</v>
      </c>
      <c r="J1210" s="9" t="b">
        <f t="shared" si="92"/>
        <v>1</v>
      </c>
      <c r="K1210" s="9" t="b">
        <f t="shared" si="93"/>
        <v>1</v>
      </c>
      <c r="L1210" s="9" t="b">
        <f t="shared" si="94"/>
        <v>1</v>
      </c>
      <c r="M1210" s="1" t="b">
        <f>IF(OR(入力シート!$C$5&lt;&gt;入力リスト!$N$4,入力シート!$J$22&lt;&gt;入力リスト!$K$4),TRUE,IF($F$2=入力リスト!$Q$4,IF(F1210-INT(F1210)&lt;0.6,TRUE,FALSE),TRUE))</f>
        <v>1</v>
      </c>
      <c r="N1210" s="9" t="str">
        <f>IF(F1210="","",IF($F$2=入力リスト!$Q$4,ROUNDDOWN(INT(F1210)+ROUNDDOWN((F1210-INT(F1210))*100,0)/60,2),従業員の給与情報!F1210))</f>
        <v/>
      </c>
      <c r="O1210" s="8"/>
      <c r="P1210" s="8"/>
    </row>
    <row r="1211" spans="1:16">
      <c r="A1211" s="119"/>
      <c r="B1211" s="2"/>
      <c r="C1211" s="3"/>
      <c r="D1211" s="3"/>
      <c r="E1211" s="3"/>
      <c r="F1211" s="9"/>
      <c r="G1211" s="248" t="str">
        <f t="shared" si="90"/>
        <v/>
      </c>
      <c r="H1211" s="1" t="b">
        <f>IF(B1211="",FALSE,COUNTIF('従業員情報(給与以外)'!$A$4:$A$1000000,$B1211)=0)</f>
        <v>0</v>
      </c>
      <c r="I1211" s="9" t="b">
        <f t="shared" si="91"/>
        <v>1</v>
      </c>
      <c r="J1211" s="9" t="b">
        <f t="shared" si="92"/>
        <v>1</v>
      </c>
      <c r="K1211" s="9" t="b">
        <f t="shared" si="93"/>
        <v>1</v>
      </c>
      <c r="L1211" s="9" t="b">
        <f t="shared" si="94"/>
        <v>1</v>
      </c>
      <c r="M1211" s="1" t="b">
        <f>IF(OR(入力シート!$C$5&lt;&gt;入力リスト!$N$4,入力シート!$J$22&lt;&gt;入力リスト!$K$4),TRUE,IF($F$2=入力リスト!$Q$4,IF(F1211-INT(F1211)&lt;0.6,TRUE,FALSE),TRUE))</f>
        <v>1</v>
      </c>
      <c r="N1211" s="9" t="str">
        <f>IF(F1211="","",IF($F$2=入力リスト!$Q$4,ROUNDDOWN(INT(F1211)+ROUNDDOWN((F1211-INT(F1211))*100,0)/60,2),従業員の給与情報!F1211))</f>
        <v/>
      </c>
      <c r="O1211" s="8"/>
      <c r="P1211" s="8"/>
    </row>
    <row r="1212" spans="1:16">
      <c r="A1212" s="119"/>
      <c r="B1212" s="2"/>
      <c r="C1212" s="3"/>
      <c r="D1212" s="3"/>
      <c r="E1212" s="3"/>
      <c r="F1212" s="9"/>
      <c r="G1212" s="248" t="str">
        <f t="shared" si="90"/>
        <v/>
      </c>
      <c r="H1212" s="1" t="b">
        <f>IF(B1212="",FALSE,COUNTIF('従業員情報(給与以外)'!$A$4:$A$1000000,$B1212)=0)</f>
        <v>0</v>
      </c>
      <c r="I1212" s="9" t="b">
        <f t="shared" si="91"/>
        <v>1</v>
      </c>
      <c r="J1212" s="9" t="b">
        <f t="shared" si="92"/>
        <v>1</v>
      </c>
      <c r="K1212" s="9" t="b">
        <f t="shared" si="93"/>
        <v>1</v>
      </c>
      <c r="L1212" s="9" t="b">
        <f t="shared" si="94"/>
        <v>1</v>
      </c>
      <c r="M1212" s="1" t="b">
        <f>IF(OR(入力シート!$C$5&lt;&gt;入力リスト!$N$4,入力シート!$J$22&lt;&gt;入力リスト!$K$4),TRUE,IF($F$2=入力リスト!$Q$4,IF(F1212-INT(F1212)&lt;0.6,TRUE,FALSE),TRUE))</f>
        <v>1</v>
      </c>
      <c r="N1212" s="9" t="str">
        <f>IF(F1212="","",IF($F$2=入力リスト!$Q$4,ROUNDDOWN(INT(F1212)+ROUNDDOWN((F1212-INT(F1212))*100,0)/60,2),従業員の給与情報!F1212))</f>
        <v/>
      </c>
      <c r="O1212" s="8"/>
      <c r="P1212" s="8"/>
    </row>
    <row r="1213" spans="1:16">
      <c r="A1213" s="119"/>
      <c r="B1213" s="2"/>
      <c r="C1213" s="3"/>
      <c r="D1213" s="3"/>
      <c r="E1213" s="3"/>
      <c r="F1213" s="9"/>
      <c r="G1213" s="248" t="str">
        <f t="shared" si="90"/>
        <v/>
      </c>
      <c r="H1213" s="1" t="b">
        <f>IF(B1213="",FALSE,COUNTIF('従業員情報(給与以外)'!$A$4:$A$1000000,$B1213)=0)</f>
        <v>0</v>
      </c>
      <c r="I1213" s="9" t="b">
        <f t="shared" si="91"/>
        <v>1</v>
      </c>
      <c r="J1213" s="9" t="b">
        <f t="shared" si="92"/>
        <v>1</v>
      </c>
      <c r="K1213" s="9" t="b">
        <f t="shared" si="93"/>
        <v>1</v>
      </c>
      <c r="L1213" s="9" t="b">
        <f t="shared" si="94"/>
        <v>1</v>
      </c>
      <c r="M1213" s="1" t="b">
        <f>IF(OR(入力シート!$C$5&lt;&gt;入力リスト!$N$4,入力シート!$J$22&lt;&gt;入力リスト!$K$4),TRUE,IF($F$2=入力リスト!$Q$4,IF(F1213-INT(F1213)&lt;0.6,TRUE,FALSE),TRUE))</f>
        <v>1</v>
      </c>
      <c r="N1213" s="9" t="str">
        <f>IF(F1213="","",IF($F$2=入力リスト!$Q$4,ROUNDDOWN(INT(F1213)+ROUNDDOWN((F1213-INT(F1213))*100,0)/60,2),従業員の給与情報!F1213))</f>
        <v/>
      </c>
      <c r="O1213" s="8"/>
      <c r="P1213" s="8"/>
    </row>
    <row r="1214" spans="1:16">
      <c r="A1214" s="119"/>
      <c r="B1214" s="2"/>
      <c r="C1214" s="3"/>
      <c r="D1214" s="3"/>
      <c r="E1214" s="3"/>
      <c r="F1214" s="9"/>
      <c r="G1214" s="248" t="str">
        <f t="shared" si="90"/>
        <v/>
      </c>
      <c r="H1214" s="1" t="b">
        <f>IF(B1214="",FALSE,COUNTIF('従業員情報(給与以外)'!$A$4:$A$1000000,$B1214)=0)</f>
        <v>0</v>
      </c>
      <c r="I1214" s="9" t="b">
        <f t="shared" si="91"/>
        <v>1</v>
      </c>
      <c r="J1214" s="9" t="b">
        <f t="shared" si="92"/>
        <v>1</v>
      </c>
      <c r="K1214" s="9" t="b">
        <f t="shared" si="93"/>
        <v>1</v>
      </c>
      <c r="L1214" s="9" t="b">
        <f t="shared" si="94"/>
        <v>1</v>
      </c>
      <c r="M1214" s="1" t="b">
        <f>IF(OR(入力シート!$C$5&lt;&gt;入力リスト!$N$4,入力シート!$J$22&lt;&gt;入力リスト!$K$4),TRUE,IF($F$2=入力リスト!$Q$4,IF(F1214-INT(F1214)&lt;0.6,TRUE,FALSE),TRUE))</f>
        <v>1</v>
      </c>
      <c r="N1214" s="9" t="str">
        <f>IF(F1214="","",IF($F$2=入力リスト!$Q$4,ROUNDDOWN(INT(F1214)+ROUNDDOWN((F1214-INT(F1214))*100,0)/60,2),従業員の給与情報!F1214))</f>
        <v/>
      </c>
      <c r="O1214" s="8"/>
      <c r="P1214" s="8"/>
    </row>
    <row r="1215" spans="1:16">
      <c r="A1215" s="119"/>
      <c r="B1215" s="2"/>
      <c r="C1215" s="3"/>
      <c r="D1215" s="3"/>
      <c r="E1215" s="3"/>
      <c r="F1215" s="9"/>
      <c r="G1215" s="248" t="str">
        <f t="shared" si="90"/>
        <v/>
      </c>
      <c r="H1215" s="1" t="b">
        <f>IF(B1215="",FALSE,COUNTIF('従業員情報(給与以外)'!$A$4:$A$1000000,$B1215)=0)</f>
        <v>0</v>
      </c>
      <c r="I1215" s="9" t="b">
        <f t="shared" si="91"/>
        <v>1</v>
      </c>
      <c r="J1215" s="9" t="b">
        <f t="shared" si="92"/>
        <v>1</v>
      </c>
      <c r="K1215" s="9" t="b">
        <f t="shared" si="93"/>
        <v>1</v>
      </c>
      <c r="L1215" s="9" t="b">
        <f t="shared" si="94"/>
        <v>1</v>
      </c>
      <c r="M1215" s="1" t="b">
        <f>IF(OR(入力シート!$C$5&lt;&gt;入力リスト!$N$4,入力シート!$J$22&lt;&gt;入力リスト!$K$4),TRUE,IF($F$2=入力リスト!$Q$4,IF(F1215-INT(F1215)&lt;0.6,TRUE,FALSE),TRUE))</f>
        <v>1</v>
      </c>
      <c r="N1215" s="9" t="str">
        <f>IF(F1215="","",IF($F$2=入力リスト!$Q$4,ROUNDDOWN(INT(F1215)+ROUNDDOWN((F1215-INT(F1215))*100,0)/60,2),従業員の給与情報!F1215))</f>
        <v/>
      </c>
      <c r="O1215" s="8"/>
      <c r="P1215" s="8"/>
    </row>
    <row r="1216" spans="1:16">
      <c r="A1216" s="119"/>
      <c r="B1216" s="2"/>
      <c r="C1216" s="3"/>
      <c r="D1216" s="3"/>
      <c r="E1216" s="3"/>
      <c r="F1216" s="9"/>
      <c r="G1216" s="248" t="str">
        <f t="shared" si="90"/>
        <v/>
      </c>
      <c r="H1216" s="1" t="b">
        <f>IF(B1216="",FALSE,COUNTIF('従業員情報(給与以外)'!$A$4:$A$1000000,$B1216)=0)</f>
        <v>0</v>
      </c>
      <c r="I1216" s="9" t="b">
        <f t="shared" si="91"/>
        <v>1</v>
      </c>
      <c r="J1216" s="9" t="b">
        <f t="shared" si="92"/>
        <v>1</v>
      </c>
      <c r="K1216" s="9" t="b">
        <f t="shared" si="93"/>
        <v>1</v>
      </c>
      <c r="L1216" s="9" t="b">
        <f t="shared" si="94"/>
        <v>1</v>
      </c>
      <c r="M1216" s="1" t="b">
        <f>IF(OR(入力シート!$C$5&lt;&gt;入力リスト!$N$4,入力シート!$J$22&lt;&gt;入力リスト!$K$4),TRUE,IF($F$2=入力リスト!$Q$4,IF(F1216-INT(F1216)&lt;0.6,TRUE,FALSE),TRUE))</f>
        <v>1</v>
      </c>
      <c r="N1216" s="9" t="str">
        <f>IF(F1216="","",IF($F$2=入力リスト!$Q$4,ROUNDDOWN(INT(F1216)+ROUNDDOWN((F1216-INT(F1216))*100,0)/60,2),従業員の給与情報!F1216))</f>
        <v/>
      </c>
      <c r="O1216" s="8"/>
      <c r="P1216" s="8"/>
    </row>
    <row r="1217" spans="1:16">
      <c r="A1217" s="119"/>
      <c r="B1217" s="2"/>
      <c r="C1217" s="3"/>
      <c r="D1217" s="3"/>
      <c r="E1217" s="3"/>
      <c r="F1217" s="9"/>
      <c r="G1217" s="248" t="str">
        <f t="shared" si="90"/>
        <v/>
      </c>
      <c r="H1217" s="1" t="b">
        <f>IF(B1217="",FALSE,COUNTIF('従業員情報(給与以外)'!$A$4:$A$1000000,$B1217)=0)</f>
        <v>0</v>
      </c>
      <c r="I1217" s="9" t="b">
        <f t="shared" si="91"/>
        <v>1</v>
      </c>
      <c r="J1217" s="9" t="b">
        <f t="shared" si="92"/>
        <v>1</v>
      </c>
      <c r="K1217" s="9" t="b">
        <f t="shared" si="93"/>
        <v>1</v>
      </c>
      <c r="L1217" s="9" t="b">
        <f t="shared" si="94"/>
        <v>1</v>
      </c>
      <c r="M1217" s="1" t="b">
        <f>IF(OR(入力シート!$C$5&lt;&gt;入力リスト!$N$4,入力シート!$J$22&lt;&gt;入力リスト!$K$4),TRUE,IF($F$2=入力リスト!$Q$4,IF(F1217-INT(F1217)&lt;0.6,TRUE,FALSE),TRUE))</f>
        <v>1</v>
      </c>
      <c r="N1217" s="9" t="str">
        <f>IF(F1217="","",IF($F$2=入力リスト!$Q$4,ROUNDDOWN(INT(F1217)+ROUNDDOWN((F1217-INT(F1217))*100,0)/60,2),従業員の給与情報!F1217))</f>
        <v/>
      </c>
      <c r="O1217" s="8"/>
      <c r="P1217" s="8"/>
    </row>
    <row r="1218" spans="1:16">
      <c r="A1218" s="119"/>
      <c r="B1218" s="2"/>
      <c r="C1218" s="3"/>
      <c r="D1218" s="3"/>
      <c r="E1218" s="3"/>
      <c r="F1218" s="9"/>
      <c r="G1218" s="248" t="str">
        <f t="shared" si="90"/>
        <v/>
      </c>
      <c r="H1218" s="1" t="b">
        <f>IF(B1218="",FALSE,COUNTIF('従業員情報(給与以外)'!$A$4:$A$1000000,$B1218)=0)</f>
        <v>0</v>
      </c>
      <c r="I1218" s="9" t="b">
        <f t="shared" si="91"/>
        <v>1</v>
      </c>
      <c r="J1218" s="9" t="b">
        <f t="shared" si="92"/>
        <v>1</v>
      </c>
      <c r="K1218" s="9" t="b">
        <f t="shared" si="93"/>
        <v>1</v>
      </c>
      <c r="L1218" s="9" t="b">
        <f t="shared" si="94"/>
        <v>1</v>
      </c>
      <c r="M1218" s="1" t="b">
        <f>IF(OR(入力シート!$C$5&lt;&gt;入力リスト!$N$4,入力シート!$J$22&lt;&gt;入力リスト!$K$4),TRUE,IF($F$2=入力リスト!$Q$4,IF(F1218-INT(F1218)&lt;0.6,TRUE,FALSE),TRUE))</f>
        <v>1</v>
      </c>
      <c r="N1218" s="9" t="str">
        <f>IF(F1218="","",IF($F$2=入力リスト!$Q$4,ROUNDDOWN(INT(F1218)+ROUNDDOWN((F1218-INT(F1218))*100,0)/60,2),従業員の給与情報!F1218))</f>
        <v/>
      </c>
      <c r="O1218" s="8"/>
      <c r="P1218" s="8"/>
    </row>
    <row r="1219" spans="1:16">
      <c r="A1219" s="119"/>
      <c r="B1219" s="2"/>
      <c r="C1219" s="3"/>
      <c r="D1219" s="3"/>
      <c r="E1219" s="3"/>
      <c r="F1219" s="9"/>
      <c r="G1219" s="248" t="str">
        <f t="shared" si="90"/>
        <v/>
      </c>
      <c r="H1219" s="1" t="b">
        <f>IF(B1219="",FALSE,COUNTIF('従業員情報(給与以外)'!$A$4:$A$1000000,$B1219)=0)</f>
        <v>0</v>
      </c>
      <c r="I1219" s="9" t="b">
        <f t="shared" si="91"/>
        <v>1</v>
      </c>
      <c r="J1219" s="9" t="b">
        <f t="shared" si="92"/>
        <v>1</v>
      </c>
      <c r="K1219" s="9" t="b">
        <f t="shared" si="93"/>
        <v>1</v>
      </c>
      <c r="L1219" s="9" t="b">
        <f t="shared" si="94"/>
        <v>1</v>
      </c>
      <c r="M1219" s="1" t="b">
        <f>IF(OR(入力シート!$C$5&lt;&gt;入力リスト!$N$4,入力シート!$J$22&lt;&gt;入力リスト!$K$4),TRUE,IF($F$2=入力リスト!$Q$4,IF(F1219-INT(F1219)&lt;0.6,TRUE,FALSE),TRUE))</f>
        <v>1</v>
      </c>
      <c r="N1219" s="9" t="str">
        <f>IF(F1219="","",IF($F$2=入力リスト!$Q$4,ROUNDDOWN(INT(F1219)+ROUNDDOWN((F1219-INT(F1219))*100,0)/60,2),従業員の給与情報!F1219))</f>
        <v/>
      </c>
      <c r="O1219" s="8"/>
      <c r="P1219" s="8"/>
    </row>
    <row r="1220" spans="1:16">
      <c r="A1220" s="119"/>
      <c r="B1220" s="2"/>
      <c r="C1220" s="3"/>
      <c r="D1220" s="3"/>
      <c r="E1220" s="3"/>
      <c r="F1220" s="9"/>
      <c r="G1220" s="248" t="str">
        <f t="shared" si="90"/>
        <v/>
      </c>
      <c r="H1220" s="1" t="b">
        <f>IF(B1220="",FALSE,COUNTIF('従業員情報(給与以外)'!$A$4:$A$1000000,$B1220)=0)</f>
        <v>0</v>
      </c>
      <c r="I1220" s="9" t="b">
        <f t="shared" si="91"/>
        <v>1</v>
      </c>
      <c r="J1220" s="9" t="b">
        <f t="shared" si="92"/>
        <v>1</v>
      </c>
      <c r="K1220" s="9" t="b">
        <f t="shared" si="93"/>
        <v>1</v>
      </c>
      <c r="L1220" s="9" t="b">
        <f t="shared" si="94"/>
        <v>1</v>
      </c>
      <c r="M1220" s="1" t="b">
        <f>IF(OR(入力シート!$C$5&lt;&gt;入力リスト!$N$4,入力シート!$J$22&lt;&gt;入力リスト!$K$4),TRUE,IF($F$2=入力リスト!$Q$4,IF(F1220-INT(F1220)&lt;0.6,TRUE,FALSE),TRUE))</f>
        <v>1</v>
      </c>
      <c r="N1220" s="9" t="str">
        <f>IF(F1220="","",IF($F$2=入力リスト!$Q$4,ROUNDDOWN(INT(F1220)+ROUNDDOWN((F1220-INT(F1220))*100,0)/60,2),従業員の給与情報!F1220))</f>
        <v/>
      </c>
      <c r="O1220" s="8"/>
      <c r="P1220" s="8"/>
    </row>
    <row r="1221" spans="1:16">
      <c r="A1221" s="119"/>
      <c r="B1221" s="2"/>
      <c r="C1221" s="3"/>
      <c r="D1221" s="3"/>
      <c r="E1221" s="3"/>
      <c r="F1221" s="9"/>
      <c r="G1221" s="248" t="str">
        <f t="shared" ref="G1221:G1284" si="95">IF(AND($B1221="",OR(B1221&lt;&gt;"",C1221&lt;&gt;"",D1221&lt;&gt;"",E1221&lt;&gt;"",F1221&lt;&gt;"")),"従業員番号が空白です。",IF($H1221=TRUE,"この従業員番号は、シート［従業員情報（給与以外）］に存在しません。",IF(I1221=FALSE,"「毎月の固定給与額」","")&amp;IF(AND(I1221=FALSE,OR(J1221=FALSE,K1221=FALSE,L1221=FALSE)),",","")&amp;IF(J1221=FALSE,"「賞与額等」","")&amp;IF(AND(J1221=FALSE,OR(K1221=FALSE,L1221=FALSE)),",","")&amp;IF(K1221=FALSE,"「残業手当」","")&amp;IF(AND(K1221=FALSE,L1221=FALSE),",","")&amp;IF(L1221=FALSE,"「残業時間」","")&amp;IF(OR(I1221=FALSE,J1221=FALSE,K1221=FALSE,L1221=FALSE),"に数値以外が入力されています。","")&amp;IF(M1221,"","「残業時間」を分単位で入力した場合、小数点以下の値は0.6未満にしてください。")))</f>
        <v/>
      </c>
      <c r="H1221" s="1" t="b">
        <f>IF(B1221="",FALSE,COUNTIF('従業員情報(給与以外)'!$A$4:$A$1000000,$B1221)=0)</f>
        <v>0</v>
      </c>
      <c r="I1221" s="9" t="b">
        <f t="shared" ref="I1221:I1284" si="96">OR(C1221="",ISNUMBER(C1221))</f>
        <v>1</v>
      </c>
      <c r="J1221" s="9" t="b">
        <f t="shared" ref="J1221:J1284" si="97">OR(D1221="",ISNUMBER(D1221))</f>
        <v>1</v>
      </c>
      <c r="K1221" s="9" t="b">
        <f t="shared" ref="K1221:K1284" si="98">OR(E1221="",ISNUMBER(E1221))</f>
        <v>1</v>
      </c>
      <c r="L1221" s="9" t="b">
        <f t="shared" ref="L1221:L1284" si="99">OR(F1221="",ISNUMBER(F1221))</f>
        <v>1</v>
      </c>
      <c r="M1221" s="1" t="b">
        <f>IF(OR(入力シート!$C$5&lt;&gt;入力リスト!$N$4,入力シート!$J$22&lt;&gt;入力リスト!$K$4),TRUE,IF($F$2=入力リスト!$Q$4,IF(F1221-INT(F1221)&lt;0.6,TRUE,FALSE),TRUE))</f>
        <v>1</v>
      </c>
      <c r="N1221" s="9" t="str">
        <f>IF(F1221="","",IF($F$2=入力リスト!$Q$4,ROUNDDOWN(INT(F1221)+ROUNDDOWN((F1221-INT(F1221))*100,0)/60,2),従業員の給与情報!F1221))</f>
        <v/>
      </c>
      <c r="O1221" s="8"/>
      <c r="P1221" s="8"/>
    </row>
    <row r="1222" spans="1:16">
      <c r="A1222" s="119"/>
      <c r="B1222" s="2"/>
      <c r="C1222" s="3"/>
      <c r="D1222" s="3"/>
      <c r="E1222" s="3"/>
      <c r="F1222" s="9"/>
      <c r="G1222" s="248" t="str">
        <f t="shared" si="95"/>
        <v/>
      </c>
      <c r="H1222" s="1" t="b">
        <f>IF(B1222="",FALSE,COUNTIF('従業員情報(給与以外)'!$A$4:$A$1000000,$B1222)=0)</f>
        <v>0</v>
      </c>
      <c r="I1222" s="9" t="b">
        <f t="shared" si="96"/>
        <v>1</v>
      </c>
      <c r="J1222" s="9" t="b">
        <f t="shared" si="97"/>
        <v>1</v>
      </c>
      <c r="K1222" s="9" t="b">
        <f t="shared" si="98"/>
        <v>1</v>
      </c>
      <c r="L1222" s="9" t="b">
        <f t="shared" si="99"/>
        <v>1</v>
      </c>
      <c r="M1222" s="1" t="b">
        <f>IF(OR(入力シート!$C$5&lt;&gt;入力リスト!$N$4,入力シート!$J$22&lt;&gt;入力リスト!$K$4),TRUE,IF($F$2=入力リスト!$Q$4,IF(F1222-INT(F1222)&lt;0.6,TRUE,FALSE),TRUE))</f>
        <v>1</v>
      </c>
      <c r="N1222" s="9" t="str">
        <f>IF(F1222="","",IF($F$2=入力リスト!$Q$4,ROUNDDOWN(INT(F1222)+ROUNDDOWN((F1222-INT(F1222))*100,0)/60,2),従業員の給与情報!F1222))</f>
        <v/>
      </c>
      <c r="O1222" s="8"/>
      <c r="P1222" s="8"/>
    </row>
    <row r="1223" spans="1:16">
      <c r="A1223" s="119"/>
      <c r="B1223" s="2"/>
      <c r="C1223" s="3"/>
      <c r="D1223" s="3"/>
      <c r="E1223" s="3"/>
      <c r="F1223" s="9"/>
      <c r="G1223" s="248" t="str">
        <f t="shared" si="95"/>
        <v/>
      </c>
      <c r="H1223" s="1" t="b">
        <f>IF(B1223="",FALSE,COUNTIF('従業員情報(給与以外)'!$A$4:$A$1000000,$B1223)=0)</f>
        <v>0</v>
      </c>
      <c r="I1223" s="9" t="b">
        <f t="shared" si="96"/>
        <v>1</v>
      </c>
      <c r="J1223" s="9" t="b">
        <f t="shared" si="97"/>
        <v>1</v>
      </c>
      <c r="K1223" s="9" t="b">
        <f t="shared" si="98"/>
        <v>1</v>
      </c>
      <c r="L1223" s="9" t="b">
        <f t="shared" si="99"/>
        <v>1</v>
      </c>
      <c r="M1223" s="1" t="b">
        <f>IF(OR(入力シート!$C$5&lt;&gt;入力リスト!$N$4,入力シート!$J$22&lt;&gt;入力リスト!$K$4),TRUE,IF($F$2=入力リスト!$Q$4,IF(F1223-INT(F1223)&lt;0.6,TRUE,FALSE),TRUE))</f>
        <v>1</v>
      </c>
      <c r="N1223" s="9" t="str">
        <f>IF(F1223="","",IF($F$2=入力リスト!$Q$4,ROUNDDOWN(INT(F1223)+ROUNDDOWN((F1223-INT(F1223))*100,0)/60,2),従業員の給与情報!F1223))</f>
        <v/>
      </c>
      <c r="O1223" s="8"/>
      <c r="P1223" s="8"/>
    </row>
    <row r="1224" spans="1:16">
      <c r="A1224" s="119"/>
      <c r="B1224" s="2"/>
      <c r="C1224" s="3"/>
      <c r="D1224" s="3"/>
      <c r="E1224" s="3"/>
      <c r="F1224" s="9"/>
      <c r="G1224" s="248" t="str">
        <f t="shared" si="95"/>
        <v/>
      </c>
      <c r="H1224" s="1" t="b">
        <f>IF(B1224="",FALSE,COUNTIF('従業員情報(給与以外)'!$A$4:$A$1000000,$B1224)=0)</f>
        <v>0</v>
      </c>
      <c r="I1224" s="9" t="b">
        <f t="shared" si="96"/>
        <v>1</v>
      </c>
      <c r="J1224" s="9" t="b">
        <f t="shared" si="97"/>
        <v>1</v>
      </c>
      <c r="K1224" s="9" t="b">
        <f t="shared" si="98"/>
        <v>1</v>
      </c>
      <c r="L1224" s="9" t="b">
        <f t="shared" si="99"/>
        <v>1</v>
      </c>
      <c r="M1224" s="1" t="b">
        <f>IF(OR(入力シート!$C$5&lt;&gt;入力リスト!$N$4,入力シート!$J$22&lt;&gt;入力リスト!$K$4),TRUE,IF($F$2=入力リスト!$Q$4,IF(F1224-INT(F1224)&lt;0.6,TRUE,FALSE),TRUE))</f>
        <v>1</v>
      </c>
      <c r="N1224" s="9" t="str">
        <f>IF(F1224="","",IF($F$2=入力リスト!$Q$4,ROUNDDOWN(INT(F1224)+ROUNDDOWN((F1224-INT(F1224))*100,0)/60,2),従業員の給与情報!F1224))</f>
        <v/>
      </c>
      <c r="O1224" s="8"/>
      <c r="P1224" s="8"/>
    </row>
    <row r="1225" spans="1:16">
      <c r="A1225" s="119"/>
      <c r="B1225" s="2"/>
      <c r="C1225" s="3"/>
      <c r="D1225" s="3"/>
      <c r="E1225" s="3"/>
      <c r="F1225" s="9"/>
      <c r="G1225" s="248" t="str">
        <f t="shared" si="95"/>
        <v/>
      </c>
      <c r="H1225" s="1" t="b">
        <f>IF(B1225="",FALSE,COUNTIF('従業員情報(給与以外)'!$A$4:$A$1000000,$B1225)=0)</f>
        <v>0</v>
      </c>
      <c r="I1225" s="9" t="b">
        <f t="shared" si="96"/>
        <v>1</v>
      </c>
      <c r="J1225" s="9" t="b">
        <f t="shared" si="97"/>
        <v>1</v>
      </c>
      <c r="K1225" s="9" t="b">
        <f t="shared" si="98"/>
        <v>1</v>
      </c>
      <c r="L1225" s="9" t="b">
        <f t="shared" si="99"/>
        <v>1</v>
      </c>
      <c r="M1225" s="1" t="b">
        <f>IF(OR(入力シート!$C$5&lt;&gt;入力リスト!$N$4,入力シート!$J$22&lt;&gt;入力リスト!$K$4),TRUE,IF($F$2=入力リスト!$Q$4,IF(F1225-INT(F1225)&lt;0.6,TRUE,FALSE),TRUE))</f>
        <v>1</v>
      </c>
      <c r="N1225" s="9" t="str">
        <f>IF(F1225="","",IF($F$2=入力リスト!$Q$4,ROUNDDOWN(INT(F1225)+ROUNDDOWN((F1225-INT(F1225))*100,0)/60,2),従業員の給与情報!F1225))</f>
        <v/>
      </c>
      <c r="O1225" s="8"/>
      <c r="P1225" s="8"/>
    </row>
    <row r="1226" spans="1:16">
      <c r="A1226" s="119"/>
      <c r="B1226" s="2"/>
      <c r="C1226" s="3"/>
      <c r="D1226" s="3"/>
      <c r="E1226" s="3"/>
      <c r="F1226" s="9"/>
      <c r="G1226" s="248" t="str">
        <f t="shared" si="95"/>
        <v/>
      </c>
      <c r="H1226" s="1" t="b">
        <f>IF(B1226="",FALSE,COUNTIF('従業員情報(給与以外)'!$A$4:$A$1000000,$B1226)=0)</f>
        <v>0</v>
      </c>
      <c r="I1226" s="9" t="b">
        <f t="shared" si="96"/>
        <v>1</v>
      </c>
      <c r="J1226" s="9" t="b">
        <f t="shared" si="97"/>
        <v>1</v>
      </c>
      <c r="K1226" s="9" t="b">
        <f t="shared" si="98"/>
        <v>1</v>
      </c>
      <c r="L1226" s="9" t="b">
        <f t="shared" si="99"/>
        <v>1</v>
      </c>
      <c r="M1226" s="1" t="b">
        <f>IF(OR(入力シート!$C$5&lt;&gt;入力リスト!$N$4,入力シート!$J$22&lt;&gt;入力リスト!$K$4),TRUE,IF($F$2=入力リスト!$Q$4,IF(F1226-INT(F1226)&lt;0.6,TRUE,FALSE),TRUE))</f>
        <v>1</v>
      </c>
      <c r="N1226" s="9" t="str">
        <f>IF(F1226="","",IF($F$2=入力リスト!$Q$4,ROUNDDOWN(INT(F1226)+ROUNDDOWN((F1226-INT(F1226))*100,0)/60,2),従業員の給与情報!F1226))</f>
        <v/>
      </c>
      <c r="O1226" s="8"/>
      <c r="P1226" s="8"/>
    </row>
    <row r="1227" spans="1:16">
      <c r="A1227" s="119"/>
      <c r="B1227" s="2"/>
      <c r="C1227" s="3"/>
      <c r="D1227" s="3"/>
      <c r="E1227" s="3"/>
      <c r="F1227" s="9"/>
      <c r="G1227" s="248" t="str">
        <f t="shared" si="95"/>
        <v/>
      </c>
      <c r="H1227" s="1" t="b">
        <f>IF(B1227="",FALSE,COUNTIF('従業員情報(給与以外)'!$A$4:$A$1000000,$B1227)=0)</f>
        <v>0</v>
      </c>
      <c r="I1227" s="9" t="b">
        <f t="shared" si="96"/>
        <v>1</v>
      </c>
      <c r="J1227" s="9" t="b">
        <f t="shared" si="97"/>
        <v>1</v>
      </c>
      <c r="K1227" s="9" t="b">
        <f t="shared" si="98"/>
        <v>1</v>
      </c>
      <c r="L1227" s="9" t="b">
        <f t="shared" si="99"/>
        <v>1</v>
      </c>
      <c r="M1227" s="1" t="b">
        <f>IF(OR(入力シート!$C$5&lt;&gt;入力リスト!$N$4,入力シート!$J$22&lt;&gt;入力リスト!$K$4),TRUE,IF($F$2=入力リスト!$Q$4,IF(F1227-INT(F1227)&lt;0.6,TRUE,FALSE),TRUE))</f>
        <v>1</v>
      </c>
      <c r="N1227" s="9" t="str">
        <f>IF(F1227="","",IF($F$2=入力リスト!$Q$4,ROUNDDOWN(INT(F1227)+ROUNDDOWN((F1227-INT(F1227))*100,0)/60,2),従業員の給与情報!F1227))</f>
        <v/>
      </c>
      <c r="O1227" s="8"/>
      <c r="P1227" s="8"/>
    </row>
    <row r="1228" spans="1:16">
      <c r="A1228" s="119"/>
      <c r="B1228" s="2"/>
      <c r="C1228" s="3"/>
      <c r="D1228" s="3"/>
      <c r="E1228" s="3"/>
      <c r="F1228" s="9"/>
      <c r="G1228" s="248" t="str">
        <f t="shared" si="95"/>
        <v/>
      </c>
      <c r="H1228" s="1" t="b">
        <f>IF(B1228="",FALSE,COUNTIF('従業員情報(給与以外)'!$A$4:$A$1000000,$B1228)=0)</f>
        <v>0</v>
      </c>
      <c r="I1228" s="9" t="b">
        <f t="shared" si="96"/>
        <v>1</v>
      </c>
      <c r="J1228" s="9" t="b">
        <f t="shared" si="97"/>
        <v>1</v>
      </c>
      <c r="K1228" s="9" t="b">
        <f t="shared" si="98"/>
        <v>1</v>
      </c>
      <c r="L1228" s="9" t="b">
        <f t="shared" si="99"/>
        <v>1</v>
      </c>
      <c r="M1228" s="1" t="b">
        <f>IF(OR(入力シート!$C$5&lt;&gt;入力リスト!$N$4,入力シート!$J$22&lt;&gt;入力リスト!$K$4),TRUE,IF($F$2=入力リスト!$Q$4,IF(F1228-INT(F1228)&lt;0.6,TRUE,FALSE),TRUE))</f>
        <v>1</v>
      </c>
      <c r="N1228" s="9" t="str">
        <f>IF(F1228="","",IF($F$2=入力リスト!$Q$4,ROUNDDOWN(INT(F1228)+ROUNDDOWN((F1228-INT(F1228))*100,0)/60,2),従業員の給与情報!F1228))</f>
        <v/>
      </c>
      <c r="O1228" s="8"/>
      <c r="P1228" s="8"/>
    </row>
    <row r="1229" spans="1:16">
      <c r="A1229" s="119"/>
      <c r="B1229" s="2"/>
      <c r="C1229" s="3"/>
      <c r="D1229" s="3"/>
      <c r="E1229" s="3"/>
      <c r="F1229" s="9"/>
      <c r="G1229" s="248" t="str">
        <f t="shared" si="95"/>
        <v/>
      </c>
      <c r="H1229" s="1" t="b">
        <f>IF(B1229="",FALSE,COUNTIF('従業員情報(給与以外)'!$A$4:$A$1000000,$B1229)=0)</f>
        <v>0</v>
      </c>
      <c r="I1229" s="9" t="b">
        <f t="shared" si="96"/>
        <v>1</v>
      </c>
      <c r="J1229" s="9" t="b">
        <f t="shared" si="97"/>
        <v>1</v>
      </c>
      <c r="K1229" s="9" t="b">
        <f t="shared" si="98"/>
        <v>1</v>
      </c>
      <c r="L1229" s="9" t="b">
        <f t="shared" si="99"/>
        <v>1</v>
      </c>
      <c r="M1229" s="1" t="b">
        <f>IF(OR(入力シート!$C$5&lt;&gt;入力リスト!$N$4,入力シート!$J$22&lt;&gt;入力リスト!$K$4),TRUE,IF($F$2=入力リスト!$Q$4,IF(F1229-INT(F1229)&lt;0.6,TRUE,FALSE),TRUE))</f>
        <v>1</v>
      </c>
      <c r="N1229" s="9" t="str">
        <f>IF(F1229="","",IF($F$2=入力リスト!$Q$4,ROUNDDOWN(INT(F1229)+ROUNDDOWN((F1229-INT(F1229))*100,0)/60,2),従業員の給与情報!F1229))</f>
        <v/>
      </c>
      <c r="O1229" s="8"/>
      <c r="P1229" s="8"/>
    </row>
    <row r="1230" spans="1:16">
      <c r="A1230" s="119"/>
      <c r="B1230" s="2"/>
      <c r="C1230" s="3"/>
      <c r="D1230" s="3"/>
      <c r="E1230" s="3"/>
      <c r="F1230" s="9"/>
      <c r="G1230" s="248" t="str">
        <f t="shared" si="95"/>
        <v/>
      </c>
      <c r="H1230" s="1" t="b">
        <f>IF(B1230="",FALSE,COUNTIF('従業員情報(給与以外)'!$A$4:$A$1000000,$B1230)=0)</f>
        <v>0</v>
      </c>
      <c r="I1230" s="9" t="b">
        <f t="shared" si="96"/>
        <v>1</v>
      </c>
      <c r="J1230" s="9" t="b">
        <f t="shared" si="97"/>
        <v>1</v>
      </c>
      <c r="K1230" s="9" t="b">
        <f t="shared" si="98"/>
        <v>1</v>
      </c>
      <c r="L1230" s="9" t="b">
        <f t="shared" si="99"/>
        <v>1</v>
      </c>
      <c r="M1230" s="1" t="b">
        <f>IF(OR(入力シート!$C$5&lt;&gt;入力リスト!$N$4,入力シート!$J$22&lt;&gt;入力リスト!$K$4),TRUE,IF($F$2=入力リスト!$Q$4,IF(F1230-INT(F1230)&lt;0.6,TRUE,FALSE),TRUE))</f>
        <v>1</v>
      </c>
      <c r="N1230" s="9" t="str">
        <f>IF(F1230="","",IF($F$2=入力リスト!$Q$4,ROUNDDOWN(INT(F1230)+ROUNDDOWN((F1230-INT(F1230))*100,0)/60,2),従業員の給与情報!F1230))</f>
        <v/>
      </c>
      <c r="O1230" s="8"/>
      <c r="P1230" s="8"/>
    </row>
    <row r="1231" spans="1:16">
      <c r="A1231" s="119"/>
      <c r="B1231" s="2"/>
      <c r="C1231" s="3"/>
      <c r="D1231" s="3"/>
      <c r="E1231" s="3"/>
      <c r="F1231" s="9"/>
      <c r="G1231" s="248" t="str">
        <f t="shared" si="95"/>
        <v/>
      </c>
      <c r="H1231" s="1" t="b">
        <f>IF(B1231="",FALSE,COUNTIF('従業員情報(給与以外)'!$A$4:$A$1000000,$B1231)=0)</f>
        <v>0</v>
      </c>
      <c r="I1231" s="9" t="b">
        <f t="shared" si="96"/>
        <v>1</v>
      </c>
      <c r="J1231" s="9" t="b">
        <f t="shared" si="97"/>
        <v>1</v>
      </c>
      <c r="K1231" s="9" t="b">
        <f t="shared" si="98"/>
        <v>1</v>
      </c>
      <c r="L1231" s="9" t="b">
        <f t="shared" si="99"/>
        <v>1</v>
      </c>
      <c r="M1231" s="1" t="b">
        <f>IF(OR(入力シート!$C$5&lt;&gt;入力リスト!$N$4,入力シート!$J$22&lt;&gt;入力リスト!$K$4),TRUE,IF($F$2=入力リスト!$Q$4,IF(F1231-INT(F1231)&lt;0.6,TRUE,FALSE),TRUE))</f>
        <v>1</v>
      </c>
      <c r="N1231" s="9" t="str">
        <f>IF(F1231="","",IF($F$2=入力リスト!$Q$4,ROUNDDOWN(INT(F1231)+ROUNDDOWN((F1231-INT(F1231))*100,0)/60,2),従業員の給与情報!F1231))</f>
        <v/>
      </c>
      <c r="O1231" s="8"/>
      <c r="P1231" s="8"/>
    </row>
    <row r="1232" spans="1:16">
      <c r="A1232" s="119"/>
      <c r="B1232" s="2"/>
      <c r="C1232" s="3"/>
      <c r="D1232" s="3"/>
      <c r="E1232" s="3"/>
      <c r="F1232" s="9"/>
      <c r="G1232" s="248" t="str">
        <f t="shared" si="95"/>
        <v/>
      </c>
      <c r="H1232" s="1" t="b">
        <f>IF(B1232="",FALSE,COUNTIF('従業員情報(給与以外)'!$A$4:$A$1000000,$B1232)=0)</f>
        <v>0</v>
      </c>
      <c r="I1232" s="9" t="b">
        <f t="shared" si="96"/>
        <v>1</v>
      </c>
      <c r="J1232" s="9" t="b">
        <f t="shared" si="97"/>
        <v>1</v>
      </c>
      <c r="K1232" s="9" t="b">
        <f t="shared" si="98"/>
        <v>1</v>
      </c>
      <c r="L1232" s="9" t="b">
        <f t="shared" si="99"/>
        <v>1</v>
      </c>
      <c r="M1232" s="1" t="b">
        <f>IF(OR(入力シート!$C$5&lt;&gt;入力リスト!$N$4,入力シート!$J$22&lt;&gt;入力リスト!$K$4),TRUE,IF($F$2=入力リスト!$Q$4,IF(F1232-INT(F1232)&lt;0.6,TRUE,FALSE),TRUE))</f>
        <v>1</v>
      </c>
      <c r="N1232" s="9" t="str">
        <f>IF(F1232="","",IF($F$2=入力リスト!$Q$4,ROUNDDOWN(INT(F1232)+ROUNDDOWN((F1232-INT(F1232))*100,0)/60,2),従業員の給与情報!F1232))</f>
        <v/>
      </c>
      <c r="O1232" s="8"/>
      <c r="P1232" s="8"/>
    </row>
    <row r="1233" spans="1:16">
      <c r="A1233" s="119"/>
      <c r="B1233" s="2"/>
      <c r="C1233" s="3"/>
      <c r="D1233" s="3"/>
      <c r="E1233" s="3"/>
      <c r="F1233" s="9"/>
      <c r="G1233" s="248" t="str">
        <f t="shared" si="95"/>
        <v/>
      </c>
      <c r="H1233" s="1" t="b">
        <f>IF(B1233="",FALSE,COUNTIF('従業員情報(給与以外)'!$A$4:$A$1000000,$B1233)=0)</f>
        <v>0</v>
      </c>
      <c r="I1233" s="9" t="b">
        <f t="shared" si="96"/>
        <v>1</v>
      </c>
      <c r="J1233" s="9" t="b">
        <f t="shared" si="97"/>
        <v>1</v>
      </c>
      <c r="K1233" s="9" t="b">
        <f t="shared" si="98"/>
        <v>1</v>
      </c>
      <c r="L1233" s="9" t="b">
        <f t="shared" si="99"/>
        <v>1</v>
      </c>
      <c r="M1233" s="1" t="b">
        <f>IF(OR(入力シート!$C$5&lt;&gt;入力リスト!$N$4,入力シート!$J$22&lt;&gt;入力リスト!$K$4),TRUE,IF($F$2=入力リスト!$Q$4,IF(F1233-INT(F1233)&lt;0.6,TRUE,FALSE),TRUE))</f>
        <v>1</v>
      </c>
      <c r="N1233" s="9" t="str">
        <f>IF(F1233="","",IF($F$2=入力リスト!$Q$4,ROUNDDOWN(INT(F1233)+ROUNDDOWN((F1233-INT(F1233))*100,0)/60,2),従業員の給与情報!F1233))</f>
        <v/>
      </c>
      <c r="O1233" s="8"/>
      <c r="P1233" s="8"/>
    </row>
    <row r="1234" spans="1:16">
      <c r="A1234" s="119"/>
      <c r="B1234" s="2"/>
      <c r="C1234" s="3"/>
      <c r="D1234" s="3"/>
      <c r="E1234" s="3"/>
      <c r="F1234" s="9"/>
      <c r="G1234" s="248" t="str">
        <f t="shared" si="95"/>
        <v/>
      </c>
      <c r="H1234" s="1" t="b">
        <f>IF(B1234="",FALSE,COUNTIF('従業員情報(給与以外)'!$A$4:$A$1000000,$B1234)=0)</f>
        <v>0</v>
      </c>
      <c r="I1234" s="9" t="b">
        <f t="shared" si="96"/>
        <v>1</v>
      </c>
      <c r="J1234" s="9" t="b">
        <f t="shared" si="97"/>
        <v>1</v>
      </c>
      <c r="K1234" s="9" t="b">
        <f t="shared" si="98"/>
        <v>1</v>
      </c>
      <c r="L1234" s="9" t="b">
        <f t="shared" si="99"/>
        <v>1</v>
      </c>
      <c r="M1234" s="1" t="b">
        <f>IF(OR(入力シート!$C$5&lt;&gt;入力リスト!$N$4,入力シート!$J$22&lt;&gt;入力リスト!$K$4),TRUE,IF($F$2=入力リスト!$Q$4,IF(F1234-INT(F1234)&lt;0.6,TRUE,FALSE),TRUE))</f>
        <v>1</v>
      </c>
      <c r="N1234" s="9" t="str">
        <f>IF(F1234="","",IF($F$2=入力リスト!$Q$4,ROUNDDOWN(INT(F1234)+ROUNDDOWN((F1234-INT(F1234))*100,0)/60,2),従業員の給与情報!F1234))</f>
        <v/>
      </c>
      <c r="O1234" s="8"/>
      <c r="P1234" s="8"/>
    </row>
    <row r="1235" spans="1:16">
      <c r="A1235" s="119"/>
      <c r="B1235" s="2"/>
      <c r="C1235" s="3"/>
      <c r="D1235" s="3"/>
      <c r="E1235" s="3"/>
      <c r="F1235" s="9"/>
      <c r="G1235" s="248" t="str">
        <f t="shared" si="95"/>
        <v/>
      </c>
      <c r="H1235" s="1" t="b">
        <f>IF(B1235="",FALSE,COUNTIF('従業員情報(給与以外)'!$A$4:$A$1000000,$B1235)=0)</f>
        <v>0</v>
      </c>
      <c r="I1235" s="9" t="b">
        <f t="shared" si="96"/>
        <v>1</v>
      </c>
      <c r="J1235" s="9" t="b">
        <f t="shared" si="97"/>
        <v>1</v>
      </c>
      <c r="K1235" s="9" t="b">
        <f t="shared" si="98"/>
        <v>1</v>
      </c>
      <c r="L1235" s="9" t="b">
        <f t="shared" si="99"/>
        <v>1</v>
      </c>
      <c r="M1235" s="1" t="b">
        <f>IF(OR(入力シート!$C$5&lt;&gt;入力リスト!$N$4,入力シート!$J$22&lt;&gt;入力リスト!$K$4),TRUE,IF($F$2=入力リスト!$Q$4,IF(F1235-INT(F1235)&lt;0.6,TRUE,FALSE),TRUE))</f>
        <v>1</v>
      </c>
      <c r="N1235" s="9" t="str">
        <f>IF(F1235="","",IF($F$2=入力リスト!$Q$4,ROUNDDOWN(INT(F1235)+ROUNDDOWN((F1235-INT(F1235))*100,0)/60,2),従業員の給与情報!F1235))</f>
        <v/>
      </c>
      <c r="O1235" s="8"/>
      <c r="P1235" s="8"/>
    </row>
    <row r="1236" spans="1:16">
      <c r="A1236" s="119"/>
      <c r="B1236" s="2"/>
      <c r="C1236" s="3"/>
      <c r="D1236" s="3"/>
      <c r="E1236" s="3"/>
      <c r="F1236" s="9"/>
      <c r="G1236" s="248" t="str">
        <f t="shared" si="95"/>
        <v/>
      </c>
      <c r="H1236" s="1" t="b">
        <f>IF(B1236="",FALSE,COUNTIF('従業員情報(給与以外)'!$A$4:$A$1000000,$B1236)=0)</f>
        <v>0</v>
      </c>
      <c r="I1236" s="9" t="b">
        <f t="shared" si="96"/>
        <v>1</v>
      </c>
      <c r="J1236" s="9" t="b">
        <f t="shared" si="97"/>
        <v>1</v>
      </c>
      <c r="K1236" s="9" t="b">
        <f t="shared" si="98"/>
        <v>1</v>
      </c>
      <c r="L1236" s="9" t="b">
        <f t="shared" si="99"/>
        <v>1</v>
      </c>
      <c r="M1236" s="1" t="b">
        <f>IF(OR(入力シート!$C$5&lt;&gt;入力リスト!$N$4,入力シート!$J$22&lt;&gt;入力リスト!$K$4),TRUE,IF($F$2=入力リスト!$Q$4,IF(F1236-INT(F1236)&lt;0.6,TRUE,FALSE),TRUE))</f>
        <v>1</v>
      </c>
      <c r="N1236" s="9" t="str">
        <f>IF(F1236="","",IF($F$2=入力リスト!$Q$4,ROUNDDOWN(INT(F1236)+ROUNDDOWN((F1236-INT(F1236))*100,0)/60,2),従業員の給与情報!F1236))</f>
        <v/>
      </c>
      <c r="O1236" s="8"/>
      <c r="P1236" s="8"/>
    </row>
    <row r="1237" spans="1:16">
      <c r="A1237" s="119"/>
      <c r="B1237" s="2"/>
      <c r="C1237" s="3"/>
      <c r="D1237" s="3"/>
      <c r="E1237" s="3"/>
      <c r="F1237" s="9"/>
      <c r="G1237" s="248" t="str">
        <f t="shared" si="95"/>
        <v/>
      </c>
      <c r="H1237" s="1" t="b">
        <f>IF(B1237="",FALSE,COUNTIF('従業員情報(給与以外)'!$A$4:$A$1000000,$B1237)=0)</f>
        <v>0</v>
      </c>
      <c r="I1237" s="9" t="b">
        <f t="shared" si="96"/>
        <v>1</v>
      </c>
      <c r="J1237" s="9" t="b">
        <f t="shared" si="97"/>
        <v>1</v>
      </c>
      <c r="K1237" s="9" t="b">
        <f t="shared" si="98"/>
        <v>1</v>
      </c>
      <c r="L1237" s="9" t="b">
        <f t="shared" si="99"/>
        <v>1</v>
      </c>
      <c r="M1237" s="1" t="b">
        <f>IF(OR(入力シート!$C$5&lt;&gt;入力リスト!$N$4,入力シート!$J$22&lt;&gt;入力リスト!$K$4),TRUE,IF($F$2=入力リスト!$Q$4,IF(F1237-INT(F1237)&lt;0.6,TRUE,FALSE),TRUE))</f>
        <v>1</v>
      </c>
      <c r="N1237" s="9" t="str">
        <f>IF(F1237="","",IF($F$2=入力リスト!$Q$4,ROUNDDOWN(INT(F1237)+ROUNDDOWN((F1237-INT(F1237))*100,0)/60,2),従業員の給与情報!F1237))</f>
        <v/>
      </c>
      <c r="O1237" s="8"/>
      <c r="P1237" s="8"/>
    </row>
    <row r="1238" spans="1:16">
      <c r="A1238" s="119"/>
      <c r="B1238" s="2"/>
      <c r="C1238" s="3"/>
      <c r="D1238" s="3"/>
      <c r="E1238" s="3"/>
      <c r="F1238" s="9"/>
      <c r="G1238" s="248" t="str">
        <f t="shared" si="95"/>
        <v/>
      </c>
      <c r="H1238" s="1" t="b">
        <f>IF(B1238="",FALSE,COUNTIF('従業員情報(給与以外)'!$A$4:$A$1000000,$B1238)=0)</f>
        <v>0</v>
      </c>
      <c r="I1238" s="9" t="b">
        <f t="shared" si="96"/>
        <v>1</v>
      </c>
      <c r="J1238" s="9" t="b">
        <f t="shared" si="97"/>
        <v>1</v>
      </c>
      <c r="K1238" s="9" t="b">
        <f t="shared" si="98"/>
        <v>1</v>
      </c>
      <c r="L1238" s="9" t="b">
        <f t="shared" si="99"/>
        <v>1</v>
      </c>
      <c r="M1238" s="1" t="b">
        <f>IF(OR(入力シート!$C$5&lt;&gt;入力リスト!$N$4,入力シート!$J$22&lt;&gt;入力リスト!$K$4),TRUE,IF($F$2=入力リスト!$Q$4,IF(F1238-INT(F1238)&lt;0.6,TRUE,FALSE),TRUE))</f>
        <v>1</v>
      </c>
      <c r="N1238" s="9" t="str">
        <f>IF(F1238="","",IF($F$2=入力リスト!$Q$4,ROUNDDOWN(INT(F1238)+ROUNDDOWN((F1238-INT(F1238))*100,0)/60,2),従業員の給与情報!F1238))</f>
        <v/>
      </c>
      <c r="O1238" s="8"/>
      <c r="P1238" s="8"/>
    </row>
    <row r="1239" spans="1:16">
      <c r="A1239" s="119"/>
      <c r="B1239" s="2"/>
      <c r="C1239" s="3"/>
      <c r="D1239" s="3"/>
      <c r="E1239" s="3"/>
      <c r="F1239" s="9"/>
      <c r="G1239" s="248" t="str">
        <f t="shared" si="95"/>
        <v/>
      </c>
      <c r="H1239" s="1" t="b">
        <f>IF(B1239="",FALSE,COUNTIF('従業員情報(給与以外)'!$A$4:$A$1000000,$B1239)=0)</f>
        <v>0</v>
      </c>
      <c r="I1239" s="9" t="b">
        <f t="shared" si="96"/>
        <v>1</v>
      </c>
      <c r="J1239" s="9" t="b">
        <f t="shared" si="97"/>
        <v>1</v>
      </c>
      <c r="K1239" s="9" t="b">
        <f t="shared" si="98"/>
        <v>1</v>
      </c>
      <c r="L1239" s="9" t="b">
        <f t="shared" si="99"/>
        <v>1</v>
      </c>
      <c r="M1239" s="1" t="b">
        <f>IF(OR(入力シート!$C$5&lt;&gt;入力リスト!$N$4,入力シート!$J$22&lt;&gt;入力リスト!$K$4),TRUE,IF($F$2=入力リスト!$Q$4,IF(F1239-INT(F1239)&lt;0.6,TRUE,FALSE),TRUE))</f>
        <v>1</v>
      </c>
      <c r="N1239" s="9" t="str">
        <f>IF(F1239="","",IF($F$2=入力リスト!$Q$4,ROUNDDOWN(INT(F1239)+ROUNDDOWN((F1239-INT(F1239))*100,0)/60,2),従業員の給与情報!F1239))</f>
        <v/>
      </c>
      <c r="O1239" s="8"/>
      <c r="P1239" s="8"/>
    </row>
    <row r="1240" spans="1:16">
      <c r="A1240" s="119"/>
      <c r="B1240" s="2"/>
      <c r="C1240" s="3"/>
      <c r="D1240" s="3"/>
      <c r="E1240" s="3"/>
      <c r="F1240" s="9"/>
      <c r="G1240" s="248" t="str">
        <f t="shared" si="95"/>
        <v/>
      </c>
      <c r="H1240" s="1" t="b">
        <f>IF(B1240="",FALSE,COUNTIF('従業員情報(給与以外)'!$A$4:$A$1000000,$B1240)=0)</f>
        <v>0</v>
      </c>
      <c r="I1240" s="9" t="b">
        <f t="shared" si="96"/>
        <v>1</v>
      </c>
      <c r="J1240" s="9" t="b">
        <f t="shared" si="97"/>
        <v>1</v>
      </c>
      <c r="K1240" s="9" t="b">
        <f t="shared" si="98"/>
        <v>1</v>
      </c>
      <c r="L1240" s="9" t="b">
        <f t="shared" si="99"/>
        <v>1</v>
      </c>
      <c r="M1240" s="1" t="b">
        <f>IF(OR(入力シート!$C$5&lt;&gt;入力リスト!$N$4,入力シート!$J$22&lt;&gt;入力リスト!$K$4),TRUE,IF($F$2=入力リスト!$Q$4,IF(F1240-INT(F1240)&lt;0.6,TRUE,FALSE),TRUE))</f>
        <v>1</v>
      </c>
      <c r="N1240" s="9" t="str">
        <f>IF(F1240="","",IF($F$2=入力リスト!$Q$4,ROUNDDOWN(INT(F1240)+ROUNDDOWN((F1240-INT(F1240))*100,0)/60,2),従業員の給与情報!F1240))</f>
        <v/>
      </c>
      <c r="O1240" s="8"/>
      <c r="P1240" s="8"/>
    </row>
    <row r="1241" spans="1:16">
      <c r="A1241" s="119"/>
      <c r="B1241" s="2"/>
      <c r="C1241" s="3"/>
      <c r="D1241" s="3"/>
      <c r="E1241" s="3"/>
      <c r="F1241" s="9"/>
      <c r="G1241" s="248" t="str">
        <f t="shared" si="95"/>
        <v/>
      </c>
      <c r="H1241" s="1" t="b">
        <f>IF(B1241="",FALSE,COUNTIF('従業員情報(給与以外)'!$A$4:$A$1000000,$B1241)=0)</f>
        <v>0</v>
      </c>
      <c r="I1241" s="9" t="b">
        <f t="shared" si="96"/>
        <v>1</v>
      </c>
      <c r="J1241" s="9" t="b">
        <f t="shared" si="97"/>
        <v>1</v>
      </c>
      <c r="K1241" s="9" t="b">
        <f t="shared" si="98"/>
        <v>1</v>
      </c>
      <c r="L1241" s="9" t="b">
        <f t="shared" si="99"/>
        <v>1</v>
      </c>
      <c r="M1241" s="1" t="b">
        <f>IF(OR(入力シート!$C$5&lt;&gt;入力リスト!$N$4,入力シート!$J$22&lt;&gt;入力リスト!$K$4),TRUE,IF($F$2=入力リスト!$Q$4,IF(F1241-INT(F1241)&lt;0.6,TRUE,FALSE),TRUE))</f>
        <v>1</v>
      </c>
      <c r="N1241" s="9" t="str">
        <f>IF(F1241="","",IF($F$2=入力リスト!$Q$4,ROUNDDOWN(INT(F1241)+ROUNDDOWN((F1241-INT(F1241))*100,0)/60,2),従業員の給与情報!F1241))</f>
        <v/>
      </c>
      <c r="O1241" s="8"/>
      <c r="P1241" s="8"/>
    </row>
    <row r="1242" spans="1:16">
      <c r="A1242" s="119"/>
      <c r="B1242" s="2"/>
      <c r="C1242" s="3"/>
      <c r="D1242" s="3"/>
      <c r="E1242" s="3"/>
      <c r="F1242" s="9"/>
      <c r="G1242" s="248" t="str">
        <f t="shared" si="95"/>
        <v/>
      </c>
      <c r="H1242" s="1" t="b">
        <f>IF(B1242="",FALSE,COUNTIF('従業員情報(給与以外)'!$A$4:$A$1000000,$B1242)=0)</f>
        <v>0</v>
      </c>
      <c r="I1242" s="9" t="b">
        <f t="shared" si="96"/>
        <v>1</v>
      </c>
      <c r="J1242" s="9" t="b">
        <f t="shared" si="97"/>
        <v>1</v>
      </c>
      <c r="K1242" s="9" t="b">
        <f t="shared" si="98"/>
        <v>1</v>
      </c>
      <c r="L1242" s="9" t="b">
        <f t="shared" si="99"/>
        <v>1</v>
      </c>
      <c r="M1242" s="1" t="b">
        <f>IF(OR(入力シート!$C$5&lt;&gt;入力リスト!$N$4,入力シート!$J$22&lt;&gt;入力リスト!$K$4),TRUE,IF($F$2=入力リスト!$Q$4,IF(F1242-INT(F1242)&lt;0.6,TRUE,FALSE),TRUE))</f>
        <v>1</v>
      </c>
      <c r="N1242" s="9" t="str">
        <f>IF(F1242="","",IF($F$2=入力リスト!$Q$4,ROUNDDOWN(INT(F1242)+ROUNDDOWN((F1242-INT(F1242))*100,0)/60,2),従業員の給与情報!F1242))</f>
        <v/>
      </c>
      <c r="O1242" s="8"/>
      <c r="P1242" s="8"/>
    </row>
    <row r="1243" spans="1:16">
      <c r="A1243" s="119"/>
      <c r="B1243" s="2"/>
      <c r="C1243" s="3"/>
      <c r="D1243" s="3"/>
      <c r="E1243" s="3"/>
      <c r="F1243" s="9"/>
      <c r="G1243" s="248" t="str">
        <f t="shared" si="95"/>
        <v/>
      </c>
      <c r="H1243" s="1" t="b">
        <f>IF(B1243="",FALSE,COUNTIF('従業員情報(給与以外)'!$A$4:$A$1000000,$B1243)=0)</f>
        <v>0</v>
      </c>
      <c r="I1243" s="9" t="b">
        <f t="shared" si="96"/>
        <v>1</v>
      </c>
      <c r="J1243" s="9" t="b">
        <f t="shared" si="97"/>
        <v>1</v>
      </c>
      <c r="K1243" s="9" t="b">
        <f t="shared" si="98"/>
        <v>1</v>
      </c>
      <c r="L1243" s="9" t="b">
        <f t="shared" si="99"/>
        <v>1</v>
      </c>
      <c r="M1243" s="1" t="b">
        <f>IF(OR(入力シート!$C$5&lt;&gt;入力リスト!$N$4,入力シート!$J$22&lt;&gt;入力リスト!$K$4),TRUE,IF($F$2=入力リスト!$Q$4,IF(F1243-INT(F1243)&lt;0.6,TRUE,FALSE),TRUE))</f>
        <v>1</v>
      </c>
      <c r="N1243" s="9" t="str">
        <f>IF(F1243="","",IF($F$2=入力リスト!$Q$4,ROUNDDOWN(INT(F1243)+ROUNDDOWN((F1243-INT(F1243))*100,0)/60,2),従業員の給与情報!F1243))</f>
        <v/>
      </c>
      <c r="O1243" s="8"/>
      <c r="P1243" s="8"/>
    </row>
    <row r="1244" spans="1:16">
      <c r="A1244" s="119"/>
      <c r="B1244" s="2"/>
      <c r="C1244" s="3"/>
      <c r="D1244" s="3"/>
      <c r="E1244" s="3"/>
      <c r="F1244" s="9"/>
      <c r="G1244" s="248" t="str">
        <f t="shared" si="95"/>
        <v/>
      </c>
      <c r="H1244" s="1" t="b">
        <f>IF(B1244="",FALSE,COUNTIF('従業員情報(給与以外)'!$A$4:$A$1000000,$B1244)=0)</f>
        <v>0</v>
      </c>
      <c r="I1244" s="9" t="b">
        <f t="shared" si="96"/>
        <v>1</v>
      </c>
      <c r="J1244" s="9" t="b">
        <f t="shared" si="97"/>
        <v>1</v>
      </c>
      <c r="K1244" s="9" t="b">
        <f t="shared" si="98"/>
        <v>1</v>
      </c>
      <c r="L1244" s="9" t="b">
        <f t="shared" si="99"/>
        <v>1</v>
      </c>
      <c r="M1244" s="1" t="b">
        <f>IF(OR(入力シート!$C$5&lt;&gt;入力リスト!$N$4,入力シート!$J$22&lt;&gt;入力リスト!$K$4),TRUE,IF($F$2=入力リスト!$Q$4,IF(F1244-INT(F1244)&lt;0.6,TRUE,FALSE),TRUE))</f>
        <v>1</v>
      </c>
      <c r="N1244" s="9" t="str">
        <f>IF(F1244="","",IF($F$2=入力リスト!$Q$4,ROUNDDOWN(INT(F1244)+ROUNDDOWN((F1244-INT(F1244))*100,0)/60,2),従業員の給与情報!F1244))</f>
        <v/>
      </c>
      <c r="O1244" s="8"/>
      <c r="P1244" s="8"/>
    </row>
    <row r="1245" spans="1:16">
      <c r="A1245" s="119"/>
      <c r="B1245" s="2"/>
      <c r="C1245" s="3"/>
      <c r="D1245" s="3"/>
      <c r="E1245" s="3"/>
      <c r="F1245" s="9"/>
      <c r="G1245" s="248" t="str">
        <f t="shared" si="95"/>
        <v/>
      </c>
      <c r="H1245" s="1" t="b">
        <f>IF(B1245="",FALSE,COUNTIF('従業員情報(給与以外)'!$A$4:$A$1000000,$B1245)=0)</f>
        <v>0</v>
      </c>
      <c r="I1245" s="9" t="b">
        <f t="shared" si="96"/>
        <v>1</v>
      </c>
      <c r="J1245" s="9" t="b">
        <f t="shared" si="97"/>
        <v>1</v>
      </c>
      <c r="K1245" s="9" t="b">
        <f t="shared" si="98"/>
        <v>1</v>
      </c>
      <c r="L1245" s="9" t="b">
        <f t="shared" si="99"/>
        <v>1</v>
      </c>
      <c r="M1245" s="1" t="b">
        <f>IF(OR(入力シート!$C$5&lt;&gt;入力リスト!$N$4,入力シート!$J$22&lt;&gt;入力リスト!$K$4),TRUE,IF($F$2=入力リスト!$Q$4,IF(F1245-INT(F1245)&lt;0.6,TRUE,FALSE),TRUE))</f>
        <v>1</v>
      </c>
      <c r="N1245" s="9" t="str">
        <f>IF(F1245="","",IF($F$2=入力リスト!$Q$4,ROUNDDOWN(INT(F1245)+ROUNDDOWN((F1245-INT(F1245))*100,0)/60,2),従業員の給与情報!F1245))</f>
        <v/>
      </c>
      <c r="O1245" s="8"/>
      <c r="P1245" s="8"/>
    </row>
    <row r="1246" spans="1:16">
      <c r="A1246" s="119"/>
      <c r="B1246" s="2"/>
      <c r="C1246" s="3"/>
      <c r="D1246" s="3"/>
      <c r="E1246" s="3"/>
      <c r="F1246" s="9"/>
      <c r="G1246" s="248" t="str">
        <f t="shared" si="95"/>
        <v/>
      </c>
      <c r="H1246" s="1" t="b">
        <f>IF(B1246="",FALSE,COUNTIF('従業員情報(給与以外)'!$A$4:$A$1000000,$B1246)=0)</f>
        <v>0</v>
      </c>
      <c r="I1246" s="9" t="b">
        <f t="shared" si="96"/>
        <v>1</v>
      </c>
      <c r="J1246" s="9" t="b">
        <f t="shared" si="97"/>
        <v>1</v>
      </c>
      <c r="K1246" s="9" t="b">
        <f t="shared" si="98"/>
        <v>1</v>
      </c>
      <c r="L1246" s="9" t="b">
        <f t="shared" si="99"/>
        <v>1</v>
      </c>
      <c r="M1246" s="1" t="b">
        <f>IF(OR(入力シート!$C$5&lt;&gt;入力リスト!$N$4,入力シート!$J$22&lt;&gt;入力リスト!$K$4),TRUE,IF($F$2=入力リスト!$Q$4,IF(F1246-INT(F1246)&lt;0.6,TRUE,FALSE),TRUE))</f>
        <v>1</v>
      </c>
      <c r="N1246" s="9" t="str">
        <f>IF(F1246="","",IF($F$2=入力リスト!$Q$4,ROUNDDOWN(INT(F1246)+ROUNDDOWN((F1246-INT(F1246))*100,0)/60,2),従業員の給与情報!F1246))</f>
        <v/>
      </c>
      <c r="O1246" s="8"/>
      <c r="P1246" s="8"/>
    </row>
    <row r="1247" spans="1:16">
      <c r="A1247" s="119"/>
      <c r="B1247" s="2"/>
      <c r="C1247" s="3"/>
      <c r="D1247" s="3"/>
      <c r="E1247" s="3"/>
      <c r="F1247" s="9"/>
      <c r="G1247" s="248" t="str">
        <f t="shared" si="95"/>
        <v/>
      </c>
      <c r="H1247" s="1" t="b">
        <f>IF(B1247="",FALSE,COUNTIF('従業員情報(給与以外)'!$A$4:$A$1000000,$B1247)=0)</f>
        <v>0</v>
      </c>
      <c r="I1247" s="9" t="b">
        <f t="shared" si="96"/>
        <v>1</v>
      </c>
      <c r="J1247" s="9" t="b">
        <f t="shared" si="97"/>
        <v>1</v>
      </c>
      <c r="K1247" s="9" t="b">
        <f t="shared" si="98"/>
        <v>1</v>
      </c>
      <c r="L1247" s="9" t="b">
        <f t="shared" si="99"/>
        <v>1</v>
      </c>
      <c r="M1247" s="1" t="b">
        <f>IF(OR(入力シート!$C$5&lt;&gt;入力リスト!$N$4,入力シート!$J$22&lt;&gt;入力リスト!$K$4),TRUE,IF($F$2=入力リスト!$Q$4,IF(F1247-INT(F1247)&lt;0.6,TRUE,FALSE),TRUE))</f>
        <v>1</v>
      </c>
      <c r="N1247" s="9" t="str">
        <f>IF(F1247="","",IF($F$2=入力リスト!$Q$4,ROUNDDOWN(INT(F1247)+ROUNDDOWN((F1247-INT(F1247))*100,0)/60,2),従業員の給与情報!F1247))</f>
        <v/>
      </c>
      <c r="O1247" s="8"/>
      <c r="P1247" s="8"/>
    </row>
    <row r="1248" spans="1:16">
      <c r="A1248" s="119"/>
      <c r="B1248" s="2"/>
      <c r="C1248" s="3"/>
      <c r="D1248" s="3"/>
      <c r="E1248" s="3"/>
      <c r="F1248" s="9"/>
      <c r="G1248" s="248" t="str">
        <f t="shared" si="95"/>
        <v/>
      </c>
      <c r="H1248" s="1" t="b">
        <f>IF(B1248="",FALSE,COUNTIF('従業員情報(給与以外)'!$A$4:$A$1000000,$B1248)=0)</f>
        <v>0</v>
      </c>
      <c r="I1248" s="9" t="b">
        <f t="shared" si="96"/>
        <v>1</v>
      </c>
      <c r="J1248" s="9" t="b">
        <f t="shared" si="97"/>
        <v>1</v>
      </c>
      <c r="K1248" s="9" t="b">
        <f t="shared" si="98"/>
        <v>1</v>
      </c>
      <c r="L1248" s="9" t="b">
        <f t="shared" si="99"/>
        <v>1</v>
      </c>
      <c r="M1248" s="1" t="b">
        <f>IF(OR(入力シート!$C$5&lt;&gt;入力リスト!$N$4,入力シート!$J$22&lt;&gt;入力リスト!$K$4),TRUE,IF($F$2=入力リスト!$Q$4,IF(F1248-INT(F1248)&lt;0.6,TRUE,FALSE),TRUE))</f>
        <v>1</v>
      </c>
      <c r="N1248" s="9" t="str">
        <f>IF(F1248="","",IF($F$2=入力リスト!$Q$4,ROUNDDOWN(INT(F1248)+ROUNDDOWN((F1248-INT(F1248))*100,0)/60,2),従業員の給与情報!F1248))</f>
        <v/>
      </c>
      <c r="O1248" s="8"/>
      <c r="P1248" s="8"/>
    </row>
    <row r="1249" spans="1:16">
      <c r="A1249" s="119"/>
      <c r="B1249" s="2"/>
      <c r="C1249" s="3"/>
      <c r="D1249" s="3"/>
      <c r="E1249" s="3"/>
      <c r="F1249" s="9"/>
      <c r="G1249" s="248" t="str">
        <f t="shared" si="95"/>
        <v/>
      </c>
      <c r="H1249" s="1" t="b">
        <f>IF(B1249="",FALSE,COUNTIF('従業員情報(給与以外)'!$A$4:$A$1000000,$B1249)=0)</f>
        <v>0</v>
      </c>
      <c r="I1249" s="9" t="b">
        <f t="shared" si="96"/>
        <v>1</v>
      </c>
      <c r="J1249" s="9" t="b">
        <f t="shared" si="97"/>
        <v>1</v>
      </c>
      <c r="K1249" s="9" t="b">
        <f t="shared" si="98"/>
        <v>1</v>
      </c>
      <c r="L1249" s="9" t="b">
        <f t="shared" si="99"/>
        <v>1</v>
      </c>
      <c r="M1249" s="1" t="b">
        <f>IF(OR(入力シート!$C$5&lt;&gt;入力リスト!$N$4,入力シート!$J$22&lt;&gt;入力リスト!$K$4),TRUE,IF($F$2=入力リスト!$Q$4,IF(F1249-INT(F1249)&lt;0.6,TRUE,FALSE),TRUE))</f>
        <v>1</v>
      </c>
      <c r="N1249" s="9" t="str">
        <f>IF(F1249="","",IF($F$2=入力リスト!$Q$4,ROUNDDOWN(INT(F1249)+ROUNDDOWN((F1249-INT(F1249))*100,0)/60,2),従業員の給与情報!F1249))</f>
        <v/>
      </c>
      <c r="O1249" s="8"/>
      <c r="P1249" s="8"/>
    </row>
    <row r="1250" spans="1:16">
      <c r="A1250" s="119"/>
      <c r="B1250" s="2"/>
      <c r="C1250" s="3"/>
      <c r="D1250" s="3"/>
      <c r="E1250" s="3"/>
      <c r="F1250" s="9"/>
      <c r="G1250" s="248" t="str">
        <f t="shared" si="95"/>
        <v/>
      </c>
      <c r="H1250" s="1" t="b">
        <f>IF(B1250="",FALSE,COUNTIF('従業員情報(給与以外)'!$A$4:$A$1000000,$B1250)=0)</f>
        <v>0</v>
      </c>
      <c r="I1250" s="9" t="b">
        <f t="shared" si="96"/>
        <v>1</v>
      </c>
      <c r="J1250" s="9" t="b">
        <f t="shared" si="97"/>
        <v>1</v>
      </c>
      <c r="K1250" s="9" t="b">
        <f t="shared" si="98"/>
        <v>1</v>
      </c>
      <c r="L1250" s="9" t="b">
        <f t="shared" si="99"/>
        <v>1</v>
      </c>
      <c r="M1250" s="1" t="b">
        <f>IF(OR(入力シート!$C$5&lt;&gt;入力リスト!$N$4,入力シート!$J$22&lt;&gt;入力リスト!$K$4),TRUE,IF($F$2=入力リスト!$Q$4,IF(F1250-INT(F1250)&lt;0.6,TRUE,FALSE),TRUE))</f>
        <v>1</v>
      </c>
      <c r="N1250" s="9" t="str">
        <f>IF(F1250="","",IF($F$2=入力リスト!$Q$4,ROUNDDOWN(INT(F1250)+ROUNDDOWN((F1250-INT(F1250))*100,0)/60,2),従業員の給与情報!F1250))</f>
        <v/>
      </c>
      <c r="O1250" s="8"/>
      <c r="P1250" s="8"/>
    </row>
    <row r="1251" spans="1:16">
      <c r="A1251" s="119"/>
      <c r="B1251" s="2"/>
      <c r="C1251" s="3"/>
      <c r="D1251" s="3"/>
      <c r="E1251" s="3"/>
      <c r="F1251" s="9"/>
      <c r="G1251" s="248" t="str">
        <f t="shared" si="95"/>
        <v/>
      </c>
      <c r="H1251" s="1" t="b">
        <f>IF(B1251="",FALSE,COUNTIF('従業員情報(給与以外)'!$A$4:$A$1000000,$B1251)=0)</f>
        <v>0</v>
      </c>
      <c r="I1251" s="9" t="b">
        <f t="shared" si="96"/>
        <v>1</v>
      </c>
      <c r="J1251" s="9" t="b">
        <f t="shared" si="97"/>
        <v>1</v>
      </c>
      <c r="K1251" s="9" t="b">
        <f t="shared" si="98"/>
        <v>1</v>
      </c>
      <c r="L1251" s="9" t="b">
        <f t="shared" si="99"/>
        <v>1</v>
      </c>
      <c r="M1251" s="1" t="b">
        <f>IF(OR(入力シート!$C$5&lt;&gt;入力リスト!$N$4,入力シート!$J$22&lt;&gt;入力リスト!$K$4),TRUE,IF($F$2=入力リスト!$Q$4,IF(F1251-INT(F1251)&lt;0.6,TRUE,FALSE),TRUE))</f>
        <v>1</v>
      </c>
      <c r="N1251" s="9" t="str">
        <f>IF(F1251="","",IF($F$2=入力リスト!$Q$4,ROUNDDOWN(INT(F1251)+ROUNDDOWN((F1251-INT(F1251))*100,0)/60,2),従業員の給与情報!F1251))</f>
        <v/>
      </c>
      <c r="O1251" s="8"/>
      <c r="P1251" s="8"/>
    </row>
    <row r="1252" spans="1:16">
      <c r="A1252" s="119"/>
      <c r="B1252" s="2"/>
      <c r="C1252" s="3"/>
      <c r="D1252" s="3"/>
      <c r="E1252" s="3"/>
      <c r="F1252" s="9"/>
      <c r="G1252" s="248" t="str">
        <f t="shared" si="95"/>
        <v/>
      </c>
      <c r="H1252" s="1" t="b">
        <f>IF(B1252="",FALSE,COUNTIF('従業員情報(給与以外)'!$A$4:$A$1000000,$B1252)=0)</f>
        <v>0</v>
      </c>
      <c r="I1252" s="9" t="b">
        <f t="shared" si="96"/>
        <v>1</v>
      </c>
      <c r="J1252" s="9" t="b">
        <f t="shared" si="97"/>
        <v>1</v>
      </c>
      <c r="K1252" s="9" t="b">
        <f t="shared" si="98"/>
        <v>1</v>
      </c>
      <c r="L1252" s="9" t="b">
        <f t="shared" si="99"/>
        <v>1</v>
      </c>
      <c r="M1252" s="1" t="b">
        <f>IF(OR(入力シート!$C$5&lt;&gt;入力リスト!$N$4,入力シート!$J$22&lt;&gt;入力リスト!$K$4),TRUE,IF($F$2=入力リスト!$Q$4,IF(F1252-INT(F1252)&lt;0.6,TRUE,FALSE),TRUE))</f>
        <v>1</v>
      </c>
      <c r="N1252" s="9" t="str">
        <f>IF(F1252="","",IF($F$2=入力リスト!$Q$4,ROUNDDOWN(INT(F1252)+ROUNDDOWN((F1252-INT(F1252))*100,0)/60,2),従業員の給与情報!F1252))</f>
        <v/>
      </c>
      <c r="O1252" s="8"/>
      <c r="P1252" s="8"/>
    </row>
    <row r="1253" spans="1:16">
      <c r="A1253" s="119"/>
      <c r="B1253" s="2"/>
      <c r="C1253" s="3"/>
      <c r="D1253" s="3"/>
      <c r="E1253" s="3"/>
      <c r="F1253" s="9"/>
      <c r="G1253" s="248" t="str">
        <f t="shared" si="95"/>
        <v/>
      </c>
      <c r="H1253" s="1" t="b">
        <f>IF(B1253="",FALSE,COUNTIF('従業員情報(給与以外)'!$A$4:$A$1000000,$B1253)=0)</f>
        <v>0</v>
      </c>
      <c r="I1253" s="9" t="b">
        <f t="shared" si="96"/>
        <v>1</v>
      </c>
      <c r="J1253" s="9" t="b">
        <f t="shared" si="97"/>
        <v>1</v>
      </c>
      <c r="K1253" s="9" t="b">
        <f t="shared" si="98"/>
        <v>1</v>
      </c>
      <c r="L1253" s="9" t="b">
        <f t="shared" si="99"/>
        <v>1</v>
      </c>
      <c r="M1253" s="1" t="b">
        <f>IF(OR(入力シート!$C$5&lt;&gt;入力リスト!$N$4,入力シート!$J$22&lt;&gt;入力リスト!$K$4),TRUE,IF($F$2=入力リスト!$Q$4,IF(F1253-INT(F1253)&lt;0.6,TRUE,FALSE),TRUE))</f>
        <v>1</v>
      </c>
      <c r="N1253" s="9" t="str">
        <f>IF(F1253="","",IF($F$2=入力リスト!$Q$4,ROUNDDOWN(INT(F1253)+ROUNDDOWN((F1253-INT(F1253))*100,0)/60,2),従業員の給与情報!F1253))</f>
        <v/>
      </c>
      <c r="O1253" s="8"/>
      <c r="P1253" s="8"/>
    </row>
    <row r="1254" spans="1:16">
      <c r="A1254" s="119"/>
      <c r="B1254" s="2"/>
      <c r="C1254" s="3"/>
      <c r="D1254" s="3"/>
      <c r="E1254" s="3"/>
      <c r="F1254" s="9"/>
      <c r="G1254" s="248" t="str">
        <f t="shared" si="95"/>
        <v/>
      </c>
      <c r="H1254" s="1" t="b">
        <f>IF(B1254="",FALSE,COUNTIF('従業員情報(給与以外)'!$A$4:$A$1000000,$B1254)=0)</f>
        <v>0</v>
      </c>
      <c r="I1254" s="9" t="b">
        <f t="shared" si="96"/>
        <v>1</v>
      </c>
      <c r="J1254" s="9" t="b">
        <f t="shared" si="97"/>
        <v>1</v>
      </c>
      <c r="K1254" s="9" t="b">
        <f t="shared" si="98"/>
        <v>1</v>
      </c>
      <c r="L1254" s="9" t="b">
        <f t="shared" si="99"/>
        <v>1</v>
      </c>
      <c r="M1254" s="1" t="b">
        <f>IF(OR(入力シート!$C$5&lt;&gt;入力リスト!$N$4,入力シート!$J$22&lt;&gt;入力リスト!$K$4),TRUE,IF($F$2=入力リスト!$Q$4,IF(F1254-INT(F1254)&lt;0.6,TRUE,FALSE),TRUE))</f>
        <v>1</v>
      </c>
      <c r="N1254" s="9" t="str">
        <f>IF(F1254="","",IF($F$2=入力リスト!$Q$4,ROUNDDOWN(INT(F1254)+ROUNDDOWN((F1254-INT(F1254))*100,0)/60,2),従業員の給与情報!F1254))</f>
        <v/>
      </c>
      <c r="O1254" s="8"/>
      <c r="P1254" s="8"/>
    </row>
    <row r="1255" spans="1:16">
      <c r="A1255" s="119"/>
      <c r="B1255" s="2"/>
      <c r="C1255" s="3"/>
      <c r="D1255" s="3"/>
      <c r="E1255" s="3"/>
      <c r="F1255" s="9"/>
      <c r="G1255" s="248" t="str">
        <f t="shared" si="95"/>
        <v/>
      </c>
      <c r="H1255" s="1" t="b">
        <f>IF(B1255="",FALSE,COUNTIF('従業員情報(給与以外)'!$A$4:$A$1000000,$B1255)=0)</f>
        <v>0</v>
      </c>
      <c r="I1255" s="9" t="b">
        <f t="shared" si="96"/>
        <v>1</v>
      </c>
      <c r="J1255" s="9" t="b">
        <f t="shared" si="97"/>
        <v>1</v>
      </c>
      <c r="K1255" s="9" t="b">
        <f t="shared" si="98"/>
        <v>1</v>
      </c>
      <c r="L1255" s="9" t="b">
        <f t="shared" si="99"/>
        <v>1</v>
      </c>
      <c r="M1255" s="1" t="b">
        <f>IF(OR(入力シート!$C$5&lt;&gt;入力リスト!$N$4,入力シート!$J$22&lt;&gt;入力リスト!$K$4),TRUE,IF($F$2=入力リスト!$Q$4,IF(F1255-INT(F1255)&lt;0.6,TRUE,FALSE),TRUE))</f>
        <v>1</v>
      </c>
      <c r="N1255" s="9" t="str">
        <f>IF(F1255="","",IF($F$2=入力リスト!$Q$4,ROUNDDOWN(INT(F1255)+ROUNDDOWN((F1255-INT(F1255))*100,0)/60,2),従業員の給与情報!F1255))</f>
        <v/>
      </c>
      <c r="O1255" s="8"/>
      <c r="P1255" s="8"/>
    </row>
    <row r="1256" spans="1:16">
      <c r="A1256" s="119"/>
      <c r="B1256" s="2"/>
      <c r="C1256" s="3"/>
      <c r="D1256" s="3"/>
      <c r="E1256" s="3"/>
      <c r="F1256" s="9"/>
      <c r="G1256" s="248" t="str">
        <f t="shared" si="95"/>
        <v/>
      </c>
      <c r="H1256" s="1" t="b">
        <f>IF(B1256="",FALSE,COUNTIF('従業員情報(給与以外)'!$A$4:$A$1000000,$B1256)=0)</f>
        <v>0</v>
      </c>
      <c r="I1256" s="9" t="b">
        <f t="shared" si="96"/>
        <v>1</v>
      </c>
      <c r="J1256" s="9" t="b">
        <f t="shared" si="97"/>
        <v>1</v>
      </c>
      <c r="K1256" s="9" t="b">
        <f t="shared" si="98"/>
        <v>1</v>
      </c>
      <c r="L1256" s="9" t="b">
        <f t="shared" si="99"/>
        <v>1</v>
      </c>
      <c r="M1256" s="1" t="b">
        <f>IF(OR(入力シート!$C$5&lt;&gt;入力リスト!$N$4,入力シート!$J$22&lt;&gt;入力リスト!$K$4),TRUE,IF($F$2=入力リスト!$Q$4,IF(F1256-INT(F1256)&lt;0.6,TRUE,FALSE),TRUE))</f>
        <v>1</v>
      </c>
      <c r="N1256" s="9" t="str">
        <f>IF(F1256="","",IF($F$2=入力リスト!$Q$4,ROUNDDOWN(INT(F1256)+ROUNDDOWN((F1256-INT(F1256))*100,0)/60,2),従業員の給与情報!F1256))</f>
        <v/>
      </c>
      <c r="O1256" s="8"/>
      <c r="P1256" s="8"/>
    </row>
    <row r="1257" spans="1:16">
      <c r="A1257" s="119"/>
      <c r="B1257" s="2"/>
      <c r="C1257" s="3"/>
      <c r="D1257" s="3"/>
      <c r="E1257" s="3"/>
      <c r="F1257" s="9"/>
      <c r="G1257" s="248" t="str">
        <f t="shared" si="95"/>
        <v/>
      </c>
      <c r="H1257" s="1" t="b">
        <f>IF(B1257="",FALSE,COUNTIF('従業員情報(給与以外)'!$A$4:$A$1000000,$B1257)=0)</f>
        <v>0</v>
      </c>
      <c r="I1257" s="9" t="b">
        <f t="shared" si="96"/>
        <v>1</v>
      </c>
      <c r="J1257" s="9" t="b">
        <f t="shared" si="97"/>
        <v>1</v>
      </c>
      <c r="K1257" s="9" t="b">
        <f t="shared" si="98"/>
        <v>1</v>
      </c>
      <c r="L1257" s="9" t="b">
        <f t="shared" si="99"/>
        <v>1</v>
      </c>
      <c r="M1257" s="1" t="b">
        <f>IF(OR(入力シート!$C$5&lt;&gt;入力リスト!$N$4,入力シート!$J$22&lt;&gt;入力リスト!$K$4),TRUE,IF($F$2=入力リスト!$Q$4,IF(F1257-INT(F1257)&lt;0.6,TRUE,FALSE),TRUE))</f>
        <v>1</v>
      </c>
      <c r="N1257" s="9" t="str">
        <f>IF(F1257="","",IF($F$2=入力リスト!$Q$4,ROUNDDOWN(INT(F1257)+ROUNDDOWN((F1257-INT(F1257))*100,0)/60,2),従業員の給与情報!F1257))</f>
        <v/>
      </c>
      <c r="O1257" s="8"/>
      <c r="P1257" s="8"/>
    </row>
    <row r="1258" spans="1:16">
      <c r="A1258" s="119"/>
      <c r="B1258" s="2"/>
      <c r="C1258" s="3"/>
      <c r="D1258" s="3"/>
      <c r="E1258" s="3"/>
      <c r="F1258" s="9"/>
      <c r="G1258" s="248" t="str">
        <f t="shared" si="95"/>
        <v/>
      </c>
      <c r="H1258" s="1" t="b">
        <f>IF(B1258="",FALSE,COUNTIF('従業員情報(給与以外)'!$A$4:$A$1000000,$B1258)=0)</f>
        <v>0</v>
      </c>
      <c r="I1258" s="9" t="b">
        <f t="shared" si="96"/>
        <v>1</v>
      </c>
      <c r="J1258" s="9" t="b">
        <f t="shared" si="97"/>
        <v>1</v>
      </c>
      <c r="K1258" s="9" t="b">
        <f t="shared" si="98"/>
        <v>1</v>
      </c>
      <c r="L1258" s="9" t="b">
        <f t="shared" si="99"/>
        <v>1</v>
      </c>
      <c r="M1258" s="1" t="b">
        <f>IF(OR(入力シート!$C$5&lt;&gt;入力リスト!$N$4,入力シート!$J$22&lt;&gt;入力リスト!$K$4),TRUE,IF($F$2=入力リスト!$Q$4,IF(F1258-INT(F1258)&lt;0.6,TRUE,FALSE),TRUE))</f>
        <v>1</v>
      </c>
      <c r="N1258" s="9" t="str">
        <f>IF(F1258="","",IF($F$2=入力リスト!$Q$4,ROUNDDOWN(INT(F1258)+ROUNDDOWN((F1258-INT(F1258))*100,0)/60,2),従業員の給与情報!F1258))</f>
        <v/>
      </c>
      <c r="O1258" s="8"/>
      <c r="P1258" s="8"/>
    </row>
    <row r="1259" spans="1:16">
      <c r="A1259" s="119"/>
      <c r="B1259" s="2"/>
      <c r="C1259" s="3"/>
      <c r="D1259" s="3"/>
      <c r="E1259" s="3"/>
      <c r="F1259" s="9"/>
      <c r="G1259" s="248" t="str">
        <f t="shared" si="95"/>
        <v/>
      </c>
      <c r="H1259" s="1" t="b">
        <f>IF(B1259="",FALSE,COUNTIF('従業員情報(給与以外)'!$A$4:$A$1000000,$B1259)=0)</f>
        <v>0</v>
      </c>
      <c r="I1259" s="9" t="b">
        <f t="shared" si="96"/>
        <v>1</v>
      </c>
      <c r="J1259" s="9" t="b">
        <f t="shared" si="97"/>
        <v>1</v>
      </c>
      <c r="K1259" s="9" t="b">
        <f t="shared" si="98"/>
        <v>1</v>
      </c>
      <c r="L1259" s="9" t="b">
        <f t="shared" si="99"/>
        <v>1</v>
      </c>
      <c r="M1259" s="1" t="b">
        <f>IF(OR(入力シート!$C$5&lt;&gt;入力リスト!$N$4,入力シート!$J$22&lt;&gt;入力リスト!$K$4),TRUE,IF($F$2=入力リスト!$Q$4,IF(F1259-INT(F1259)&lt;0.6,TRUE,FALSE),TRUE))</f>
        <v>1</v>
      </c>
      <c r="N1259" s="9" t="str">
        <f>IF(F1259="","",IF($F$2=入力リスト!$Q$4,ROUNDDOWN(INT(F1259)+ROUNDDOWN((F1259-INT(F1259))*100,0)/60,2),従業員の給与情報!F1259))</f>
        <v/>
      </c>
      <c r="O1259" s="8"/>
      <c r="P1259" s="8"/>
    </row>
    <row r="1260" spans="1:16">
      <c r="A1260" s="119"/>
      <c r="B1260" s="2"/>
      <c r="C1260" s="3"/>
      <c r="D1260" s="3"/>
      <c r="E1260" s="3"/>
      <c r="F1260" s="9"/>
      <c r="G1260" s="248" t="str">
        <f t="shared" si="95"/>
        <v/>
      </c>
      <c r="H1260" s="1" t="b">
        <f>IF(B1260="",FALSE,COUNTIF('従業員情報(給与以外)'!$A$4:$A$1000000,$B1260)=0)</f>
        <v>0</v>
      </c>
      <c r="I1260" s="9" t="b">
        <f t="shared" si="96"/>
        <v>1</v>
      </c>
      <c r="J1260" s="9" t="b">
        <f t="shared" si="97"/>
        <v>1</v>
      </c>
      <c r="K1260" s="9" t="b">
        <f t="shared" si="98"/>
        <v>1</v>
      </c>
      <c r="L1260" s="9" t="b">
        <f t="shared" si="99"/>
        <v>1</v>
      </c>
      <c r="M1260" s="1" t="b">
        <f>IF(OR(入力シート!$C$5&lt;&gt;入力リスト!$N$4,入力シート!$J$22&lt;&gt;入力リスト!$K$4),TRUE,IF($F$2=入力リスト!$Q$4,IF(F1260-INT(F1260)&lt;0.6,TRUE,FALSE),TRUE))</f>
        <v>1</v>
      </c>
      <c r="N1260" s="9" t="str">
        <f>IF(F1260="","",IF($F$2=入力リスト!$Q$4,ROUNDDOWN(INT(F1260)+ROUNDDOWN((F1260-INT(F1260))*100,0)/60,2),従業員の給与情報!F1260))</f>
        <v/>
      </c>
      <c r="O1260" s="8"/>
      <c r="P1260" s="8"/>
    </row>
    <row r="1261" spans="1:16">
      <c r="A1261" s="119"/>
      <c r="B1261" s="2"/>
      <c r="C1261" s="3"/>
      <c r="D1261" s="3"/>
      <c r="E1261" s="3"/>
      <c r="F1261" s="9"/>
      <c r="G1261" s="248" t="str">
        <f t="shared" si="95"/>
        <v/>
      </c>
      <c r="H1261" s="1" t="b">
        <f>IF(B1261="",FALSE,COUNTIF('従業員情報(給与以外)'!$A$4:$A$1000000,$B1261)=0)</f>
        <v>0</v>
      </c>
      <c r="I1261" s="9" t="b">
        <f t="shared" si="96"/>
        <v>1</v>
      </c>
      <c r="J1261" s="9" t="b">
        <f t="shared" si="97"/>
        <v>1</v>
      </c>
      <c r="K1261" s="9" t="b">
        <f t="shared" si="98"/>
        <v>1</v>
      </c>
      <c r="L1261" s="9" t="b">
        <f t="shared" si="99"/>
        <v>1</v>
      </c>
      <c r="M1261" s="1" t="b">
        <f>IF(OR(入力シート!$C$5&lt;&gt;入力リスト!$N$4,入力シート!$J$22&lt;&gt;入力リスト!$K$4),TRUE,IF($F$2=入力リスト!$Q$4,IF(F1261-INT(F1261)&lt;0.6,TRUE,FALSE),TRUE))</f>
        <v>1</v>
      </c>
      <c r="N1261" s="9" t="str">
        <f>IF(F1261="","",IF($F$2=入力リスト!$Q$4,ROUNDDOWN(INT(F1261)+ROUNDDOWN((F1261-INT(F1261))*100,0)/60,2),従業員の給与情報!F1261))</f>
        <v/>
      </c>
      <c r="O1261" s="8"/>
      <c r="P1261" s="8"/>
    </row>
    <row r="1262" spans="1:16">
      <c r="A1262" s="119"/>
      <c r="B1262" s="2"/>
      <c r="C1262" s="3"/>
      <c r="D1262" s="3"/>
      <c r="E1262" s="3"/>
      <c r="F1262" s="9"/>
      <c r="G1262" s="248" t="str">
        <f t="shared" si="95"/>
        <v/>
      </c>
      <c r="H1262" s="1" t="b">
        <f>IF(B1262="",FALSE,COUNTIF('従業員情報(給与以外)'!$A$4:$A$1000000,$B1262)=0)</f>
        <v>0</v>
      </c>
      <c r="I1262" s="9" t="b">
        <f t="shared" si="96"/>
        <v>1</v>
      </c>
      <c r="J1262" s="9" t="b">
        <f t="shared" si="97"/>
        <v>1</v>
      </c>
      <c r="K1262" s="9" t="b">
        <f t="shared" si="98"/>
        <v>1</v>
      </c>
      <c r="L1262" s="9" t="b">
        <f t="shared" si="99"/>
        <v>1</v>
      </c>
      <c r="M1262" s="1" t="b">
        <f>IF(OR(入力シート!$C$5&lt;&gt;入力リスト!$N$4,入力シート!$J$22&lt;&gt;入力リスト!$K$4),TRUE,IF($F$2=入力リスト!$Q$4,IF(F1262-INT(F1262)&lt;0.6,TRUE,FALSE),TRUE))</f>
        <v>1</v>
      </c>
      <c r="N1262" s="9" t="str">
        <f>IF(F1262="","",IF($F$2=入力リスト!$Q$4,ROUNDDOWN(INT(F1262)+ROUNDDOWN((F1262-INT(F1262))*100,0)/60,2),従業員の給与情報!F1262))</f>
        <v/>
      </c>
      <c r="O1262" s="8"/>
      <c r="P1262" s="8"/>
    </row>
    <row r="1263" spans="1:16">
      <c r="A1263" s="119"/>
      <c r="B1263" s="2"/>
      <c r="C1263" s="3"/>
      <c r="D1263" s="3"/>
      <c r="E1263" s="3"/>
      <c r="F1263" s="9"/>
      <c r="G1263" s="248" t="str">
        <f t="shared" si="95"/>
        <v/>
      </c>
      <c r="H1263" s="1" t="b">
        <f>IF(B1263="",FALSE,COUNTIF('従業員情報(給与以外)'!$A$4:$A$1000000,$B1263)=0)</f>
        <v>0</v>
      </c>
      <c r="I1263" s="9" t="b">
        <f t="shared" si="96"/>
        <v>1</v>
      </c>
      <c r="J1263" s="9" t="b">
        <f t="shared" si="97"/>
        <v>1</v>
      </c>
      <c r="K1263" s="9" t="b">
        <f t="shared" si="98"/>
        <v>1</v>
      </c>
      <c r="L1263" s="9" t="b">
        <f t="shared" si="99"/>
        <v>1</v>
      </c>
      <c r="M1263" s="1" t="b">
        <f>IF(OR(入力シート!$C$5&lt;&gt;入力リスト!$N$4,入力シート!$J$22&lt;&gt;入力リスト!$K$4),TRUE,IF($F$2=入力リスト!$Q$4,IF(F1263-INT(F1263)&lt;0.6,TRUE,FALSE),TRUE))</f>
        <v>1</v>
      </c>
      <c r="N1263" s="9" t="str">
        <f>IF(F1263="","",IF($F$2=入力リスト!$Q$4,ROUNDDOWN(INT(F1263)+ROUNDDOWN((F1263-INT(F1263))*100,0)/60,2),従業員の給与情報!F1263))</f>
        <v/>
      </c>
      <c r="O1263" s="8"/>
      <c r="P1263" s="8"/>
    </row>
    <row r="1264" spans="1:16">
      <c r="A1264" s="119"/>
      <c r="B1264" s="2"/>
      <c r="C1264" s="3"/>
      <c r="D1264" s="3"/>
      <c r="E1264" s="3"/>
      <c r="F1264" s="9"/>
      <c r="G1264" s="248" t="str">
        <f t="shared" si="95"/>
        <v/>
      </c>
      <c r="H1264" s="1" t="b">
        <f>IF(B1264="",FALSE,COUNTIF('従業員情報(給与以外)'!$A$4:$A$1000000,$B1264)=0)</f>
        <v>0</v>
      </c>
      <c r="I1264" s="9" t="b">
        <f t="shared" si="96"/>
        <v>1</v>
      </c>
      <c r="J1264" s="9" t="b">
        <f t="shared" si="97"/>
        <v>1</v>
      </c>
      <c r="K1264" s="9" t="b">
        <f t="shared" si="98"/>
        <v>1</v>
      </c>
      <c r="L1264" s="9" t="b">
        <f t="shared" si="99"/>
        <v>1</v>
      </c>
      <c r="M1264" s="1" t="b">
        <f>IF(OR(入力シート!$C$5&lt;&gt;入力リスト!$N$4,入力シート!$J$22&lt;&gt;入力リスト!$K$4),TRUE,IF($F$2=入力リスト!$Q$4,IF(F1264-INT(F1264)&lt;0.6,TRUE,FALSE),TRUE))</f>
        <v>1</v>
      </c>
      <c r="N1264" s="9" t="str">
        <f>IF(F1264="","",IF($F$2=入力リスト!$Q$4,ROUNDDOWN(INT(F1264)+ROUNDDOWN((F1264-INT(F1264))*100,0)/60,2),従業員の給与情報!F1264))</f>
        <v/>
      </c>
      <c r="O1264" s="8"/>
      <c r="P1264" s="8"/>
    </row>
    <row r="1265" spans="1:16">
      <c r="A1265" s="119"/>
      <c r="B1265" s="2"/>
      <c r="C1265" s="3"/>
      <c r="D1265" s="3"/>
      <c r="E1265" s="3"/>
      <c r="F1265" s="9"/>
      <c r="G1265" s="248" t="str">
        <f t="shared" si="95"/>
        <v/>
      </c>
      <c r="H1265" s="1" t="b">
        <f>IF(B1265="",FALSE,COUNTIF('従業員情報(給与以外)'!$A$4:$A$1000000,$B1265)=0)</f>
        <v>0</v>
      </c>
      <c r="I1265" s="9" t="b">
        <f t="shared" si="96"/>
        <v>1</v>
      </c>
      <c r="J1265" s="9" t="b">
        <f t="shared" si="97"/>
        <v>1</v>
      </c>
      <c r="K1265" s="9" t="b">
        <f t="shared" si="98"/>
        <v>1</v>
      </c>
      <c r="L1265" s="9" t="b">
        <f t="shared" si="99"/>
        <v>1</v>
      </c>
      <c r="M1265" s="1" t="b">
        <f>IF(OR(入力シート!$C$5&lt;&gt;入力リスト!$N$4,入力シート!$J$22&lt;&gt;入力リスト!$K$4),TRUE,IF($F$2=入力リスト!$Q$4,IF(F1265-INT(F1265)&lt;0.6,TRUE,FALSE),TRUE))</f>
        <v>1</v>
      </c>
      <c r="N1265" s="9" t="str">
        <f>IF(F1265="","",IF($F$2=入力リスト!$Q$4,ROUNDDOWN(INT(F1265)+ROUNDDOWN((F1265-INT(F1265))*100,0)/60,2),従業員の給与情報!F1265))</f>
        <v/>
      </c>
      <c r="O1265" s="8"/>
      <c r="P1265" s="8"/>
    </row>
    <row r="1266" spans="1:16">
      <c r="A1266" s="119"/>
      <c r="B1266" s="2"/>
      <c r="C1266" s="3"/>
      <c r="D1266" s="3"/>
      <c r="E1266" s="3"/>
      <c r="F1266" s="9"/>
      <c r="G1266" s="248" t="str">
        <f t="shared" si="95"/>
        <v/>
      </c>
      <c r="H1266" s="1" t="b">
        <f>IF(B1266="",FALSE,COUNTIF('従業員情報(給与以外)'!$A$4:$A$1000000,$B1266)=0)</f>
        <v>0</v>
      </c>
      <c r="I1266" s="9" t="b">
        <f t="shared" si="96"/>
        <v>1</v>
      </c>
      <c r="J1266" s="9" t="b">
        <f t="shared" si="97"/>
        <v>1</v>
      </c>
      <c r="K1266" s="9" t="b">
        <f t="shared" si="98"/>
        <v>1</v>
      </c>
      <c r="L1266" s="9" t="b">
        <f t="shared" si="99"/>
        <v>1</v>
      </c>
      <c r="M1266" s="1" t="b">
        <f>IF(OR(入力シート!$C$5&lt;&gt;入力リスト!$N$4,入力シート!$J$22&lt;&gt;入力リスト!$K$4),TRUE,IF($F$2=入力リスト!$Q$4,IF(F1266-INT(F1266)&lt;0.6,TRUE,FALSE),TRUE))</f>
        <v>1</v>
      </c>
      <c r="N1266" s="9" t="str">
        <f>IF(F1266="","",IF($F$2=入力リスト!$Q$4,ROUNDDOWN(INT(F1266)+ROUNDDOWN((F1266-INT(F1266))*100,0)/60,2),従業員の給与情報!F1266))</f>
        <v/>
      </c>
      <c r="O1266" s="8"/>
      <c r="P1266" s="8"/>
    </row>
    <row r="1267" spans="1:16">
      <c r="A1267" s="119"/>
      <c r="B1267" s="2"/>
      <c r="C1267" s="3"/>
      <c r="D1267" s="3"/>
      <c r="E1267" s="3"/>
      <c r="F1267" s="9"/>
      <c r="G1267" s="248" t="str">
        <f t="shared" si="95"/>
        <v/>
      </c>
      <c r="H1267" s="1" t="b">
        <f>IF(B1267="",FALSE,COUNTIF('従業員情報(給与以外)'!$A$4:$A$1000000,$B1267)=0)</f>
        <v>0</v>
      </c>
      <c r="I1267" s="9" t="b">
        <f t="shared" si="96"/>
        <v>1</v>
      </c>
      <c r="J1267" s="9" t="b">
        <f t="shared" si="97"/>
        <v>1</v>
      </c>
      <c r="K1267" s="9" t="b">
        <f t="shared" si="98"/>
        <v>1</v>
      </c>
      <c r="L1267" s="9" t="b">
        <f t="shared" si="99"/>
        <v>1</v>
      </c>
      <c r="M1267" s="1" t="b">
        <f>IF(OR(入力シート!$C$5&lt;&gt;入力リスト!$N$4,入力シート!$J$22&lt;&gt;入力リスト!$K$4),TRUE,IF($F$2=入力リスト!$Q$4,IF(F1267-INT(F1267)&lt;0.6,TRUE,FALSE),TRUE))</f>
        <v>1</v>
      </c>
      <c r="N1267" s="9" t="str">
        <f>IF(F1267="","",IF($F$2=入力リスト!$Q$4,ROUNDDOWN(INT(F1267)+ROUNDDOWN((F1267-INT(F1267))*100,0)/60,2),従業員の給与情報!F1267))</f>
        <v/>
      </c>
      <c r="O1267" s="8"/>
      <c r="P1267" s="8"/>
    </row>
    <row r="1268" spans="1:16">
      <c r="A1268" s="119"/>
      <c r="B1268" s="2"/>
      <c r="C1268" s="3"/>
      <c r="D1268" s="3"/>
      <c r="E1268" s="3"/>
      <c r="F1268" s="9"/>
      <c r="G1268" s="248" t="str">
        <f t="shared" si="95"/>
        <v/>
      </c>
      <c r="H1268" s="1" t="b">
        <f>IF(B1268="",FALSE,COUNTIF('従業員情報(給与以外)'!$A$4:$A$1000000,$B1268)=0)</f>
        <v>0</v>
      </c>
      <c r="I1268" s="9" t="b">
        <f t="shared" si="96"/>
        <v>1</v>
      </c>
      <c r="J1268" s="9" t="b">
        <f t="shared" si="97"/>
        <v>1</v>
      </c>
      <c r="K1268" s="9" t="b">
        <f t="shared" si="98"/>
        <v>1</v>
      </c>
      <c r="L1268" s="9" t="b">
        <f t="shared" si="99"/>
        <v>1</v>
      </c>
      <c r="M1268" s="1" t="b">
        <f>IF(OR(入力シート!$C$5&lt;&gt;入力リスト!$N$4,入力シート!$J$22&lt;&gt;入力リスト!$K$4),TRUE,IF($F$2=入力リスト!$Q$4,IF(F1268-INT(F1268)&lt;0.6,TRUE,FALSE),TRUE))</f>
        <v>1</v>
      </c>
      <c r="N1268" s="9" t="str">
        <f>IF(F1268="","",IF($F$2=入力リスト!$Q$4,ROUNDDOWN(INT(F1268)+ROUNDDOWN((F1268-INT(F1268))*100,0)/60,2),従業員の給与情報!F1268))</f>
        <v/>
      </c>
      <c r="O1268" s="8"/>
      <c r="P1268" s="8"/>
    </row>
    <row r="1269" spans="1:16">
      <c r="A1269" s="119"/>
      <c r="B1269" s="2"/>
      <c r="C1269" s="3"/>
      <c r="D1269" s="3"/>
      <c r="E1269" s="3"/>
      <c r="F1269" s="9"/>
      <c r="G1269" s="248" t="str">
        <f t="shared" si="95"/>
        <v/>
      </c>
      <c r="H1269" s="1" t="b">
        <f>IF(B1269="",FALSE,COUNTIF('従業員情報(給与以外)'!$A$4:$A$1000000,$B1269)=0)</f>
        <v>0</v>
      </c>
      <c r="I1269" s="9" t="b">
        <f t="shared" si="96"/>
        <v>1</v>
      </c>
      <c r="J1269" s="9" t="b">
        <f t="shared" si="97"/>
        <v>1</v>
      </c>
      <c r="K1269" s="9" t="b">
        <f t="shared" si="98"/>
        <v>1</v>
      </c>
      <c r="L1269" s="9" t="b">
        <f t="shared" si="99"/>
        <v>1</v>
      </c>
      <c r="M1269" s="1" t="b">
        <f>IF(OR(入力シート!$C$5&lt;&gt;入力リスト!$N$4,入力シート!$J$22&lt;&gt;入力リスト!$K$4),TRUE,IF($F$2=入力リスト!$Q$4,IF(F1269-INT(F1269)&lt;0.6,TRUE,FALSE),TRUE))</f>
        <v>1</v>
      </c>
      <c r="N1269" s="9" t="str">
        <f>IF(F1269="","",IF($F$2=入力リスト!$Q$4,ROUNDDOWN(INT(F1269)+ROUNDDOWN((F1269-INT(F1269))*100,0)/60,2),従業員の給与情報!F1269))</f>
        <v/>
      </c>
      <c r="O1269" s="8"/>
      <c r="P1269" s="8"/>
    </row>
    <row r="1270" spans="1:16">
      <c r="A1270" s="119"/>
      <c r="B1270" s="2"/>
      <c r="C1270" s="3"/>
      <c r="D1270" s="3"/>
      <c r="E1270" s="3"/>
      <c r="F1270" s="9"/>
      <c r="G1270" s="248" t="str">
        <f t="shared" si="95"/>
        <v/>
      </c>
      <c r="H1270" s="1" t="b">
        <f>IF(B1270="",FALSE,COUNTIF('従業員情報(給与以外)'!$A$4:$A$1000000,$B1270)=0)</f>
        <v>0</v>
      </c>
      <c r="I1270" s="9" t="b">
        <f t="shared" si="96"/>
        <v>1</v>
      </c>
      <c r="J1270" s="9" t="b">
        <f t="shared" si="97"/>
        <v>1</v>
      </c>
      <c r="K1270" s="9" t="b">
        <f t="shared" si="98"/>
        <v>1</v>
      </c>
      <c r="L1270" s="9" t="b">
        <f t="shared" si="99"/>
        <v>1</v>
      </c>
      <c r="M1270" s="1" t="b">
        <f>IF(OR(入力シート!$C$5&lt;&gt;入力リスト!$N$4,入力シート!$J$22&lt;&gt;入力リスト!$K$4),TRUE,IF($F$2=入力リスト!$Q$4,IF(F1270-INT(F1270)&lt;0.6,TRUE,FALSE),TRUE))</f>
        <v>1</v>
      </c>
      <c r="N1270" s="9" t="str">
        <f>IF(F1270="","",IF($F$2=入力リスト!$Q$4,ROUNDDOWN(INT(F1270)+ROUNDDOWN((F1270-INT(F1270))*100,0)/60,2),従業員の給与情報!F1270))</f>
        <v/>
      </c>
      <c r="O1270" s="8"/>
      <c r="P1270" s="8"/>
    </row>
    <row r="1271" spans="1:16">
      <c r="A1271" s="119"/>
      <c r="B1271" s="2"/>
      <c r="C1271" s="3"/>
      <c r="D1271" s="3"/>
      <c r="E1271" s="3"/>
      <c r="F1271" s="9"/>
      <c r="G1271" s="248" t="str">
        <f t="shared" si="95"/>
        <v/>
      </c>
      <c r="H1271" s="1" t="b">
        <f>IF(B1271="",FALSE,COUNTIF('従業員情報(給与以外)'!$A$4:$A$1000000,$B1271)=0)</f>
        <v>0</v>
      </c>
      <c r="I1271" s="9" t="b">
        <f t="shared" si="96"/>
        <v>1</v>
      </c>
      <c r="J1271" s="9" t="b">
        <f t="shared" si="97"/>
        <v>1</v>
      </c>
      <c r="K1271" s="9" t="b">
        <f t="shared" si="98"/>
        <v>1</v>
      </c>
      <c r="L1271" s="9" t="b">
        <f t="shared" si="99"/>
        <v>1</v>
      </c>
      <c r="M1271" s="1" t="b">
        <f>IF(OR(入力シート!$C$5&lt;&gt;入力リスト!$N$4,入力シート!$J$22&lt;&gt;入力リスト!$K$4),TRUE,IF($F$2=入力リスト!$Q$4,IF(F1271-INT(F1271)&lt;0.6,TRUE,FALSE),TRUE))</f>
        <v>1</v>
      </c>
      <c r="N1271" s="9" t="str">
        <f>IF(F1271="","",IF($F$2=入力リスト!$Q$4,ROUNDDOWN(INT(F1271)+ROUNDDOWN((F1271-INT(F1271))*100,0)/60,2),従業員の給与情報!F1271))</f>
        <v/>
      </c>
      <c r="O1271" s="8"/>
      <c r="P1271" s="8"/>
    </row>
    <row r="1272" spans="1:16">
      <c r="A1272" s="119"/>
      <c r="B1272" s="2"/>
      <c r="C1272" s="3"/>
      <c r="D1272" s="3"/>
      <c r="E1272" s="3"/>
      <c r="F1272" s="9"/>
      <c r="G1272" s="248" t="str">
        <f t="shared" si="95"/>
        <v/>
      </c>
      <c r="H1272" s="1" t="b">
        <f>IF(B1272="",FALSE,COUNTIF('従業員情報(給与以外)'!$A$4:$A$1000000,$B1272)=0)</f>
        <v>0</v>
      </c>
      <c r="I1272" s="9" t="b">
        <f t="shared" si="96"/>
        <v>1</v>
      </c>
      <c r="J1272" s="9" t="b">
        <f t="shared" si="97"/>
        <v>1</v>
      </c>
      <c r="K1272" s="9" t="b">
        <f t="shared" si="98"/>
        <v>1</v>
      </c>
      <c r="L1272" s="9" t="b">
        <f t="shared" si="99"/>
        <v>1</v>
      </c>
      <c r="M1272" s="1" t="b">
        <f>IF(OR(入力シート!$C$5&lt;&gt;入力リスト!$N$4,入力シート!$J$22&lt;&gt;入力リスト!$K$4),TRUE,IF($F$2=入力リスト!$Q$4,IF(F1272-INT(F1272)&lt;0.6,TRUE,FALSE),TRUE))</f>
        <v>1</v>
      </c>
      <c r="N1272" s="9" t="str">
        <f>IF(F1272="","",IF($F$2=入力リスト!$Q$4,ROUNDDOWN(INT(F1272)+ROUNDDOWN((F1272-INT(F1272))*100,0)/60,2),従業員の給与情報!F1272))</f>
        <v/>
      </c>
      <c r="O1272" s="8"/>
      <c r="P1272" s="8"/>
    </row>
    <row r="1273" spans="1:16">
      <c r="A1273" s="119"/>
      <c r="B1273" s="2"/>
      <c r="C1273" s="3"/>
      <c r="D1273" s="3"/>
      <c r="E1273" s="3"/>
      <c r="F1273" s="9"/>
      <c r="G1273" s="248" t="str">
        <f t="shared" si="95"/>
        <v/>
      </c>
      <c r="H1273" s="1" t="b">
        <f>IF(B1273="",FALSE,COUNTIF('従業員情報(給与以外)'!$A$4:$A$1000000,$B1273)=0)</f>
        <v>0</v>
      </c>
      <c r="I1273" s="9" t="b">
        <f t="shared" si="96"/>
        <v>1</v>
      </c>
      <c r="J1273" s="9" t="b">
        <f t="shared" si="97"/>
        <v>1</v>
      </c>
      <c r="K1273" s="9" t="b">
        <f t="shared" si="98"/>
        <v>1</v>
      </c>
      <c r="L1273" s="9" t="b">
        <f t="shared" si="99"/>
        <v>1</v>
      </c>
      <c r="M1273" s="1" t="b">
        <f>IF(OR(入力シート!$C$5&lt;&gt;入力リスト!$N$4,入力シート!$J$22&lt;&gt;入力リスト!$K$4),TRUE,IF($F$2=入力リスト!$Q$4,IF(F1273-INT(F1273)&lt;0.6,TRUE,FALSE),TRUE))</f>
        <v>1</v>
      </c>
      <c r="N1273" s="9" t="str">
        <f>IF(F1273="","",IF($F$2=入力リスト!$Q$4,ROUNDDOWN(INT(F1273)+ROUNDDOWN((F1273-INT(F1273))*100,0)/60,2),従業員の給与情報!F1273))</f>
        <v/>
      </c>
      <c r="O1273" s="8"/>
      <c r="P1273" s="8"/>
    </row>
    <row r="1274" spans="1:16">
      <c r="A1274" s="119"/>
      <c r="B1274" s="2"/>
      <c r="C1274" s="3"/>
      <c r="D1274" s="3"/>
      <c r="E1274" s="3"/>
      <c r="F1274" s="9"/>
      <c r="G1274" s="248" t="str">
        <f t="shared" si="95"/>
        <v/>
      </c>
      <c r="H1274" s="1" t="b">
        <f>IF(B1274="",FALSE,COUNTIF('従業員情報(給与以外)'!$A$4:$A$1000000,$B1274)=0)</f>
        <v>0</v>
      </c>
      <c r="I1274" s="9" t="b">
        <f t="shared" si="96"/>
        <v>1</v>
      </c>
      <c r="J1274" s="9" t="b">
        <f t="shared" si="97"/>
        <v>1</v>
      </c>
      <c r="K1274" s="9" t="b">
        <f t="shared" si="98"/>
        <v>1</v>
      </c>
      <c r="L1274" s="9" t="b">
        <f t="shared" si="99"/>
        <v>1</v>
      </c>
      <c r="M1274" s="1" t="b">
        <f>IF(OR(入力シート!$C$5&lt;&gt;入力リスト!$N$4,入力シート!$J$22&lt;&gt;入力リスト!$K$4),TRUE,IF($F$2=入力リスト!$Q$4,IF(F1274-INT(F1274)&lt;0.6,TRUE,FALSE),TRUE))</f>
        <v>1</v>
      </c>
      <c r="N1274" s="9" t="str">
        <f>IF(F1274="","",IF($F$2=入力リスト!$Q$4,ROUNDDOWN(INT(F1274)+ROUNDDOWN((F1274-INT(F1274))*100,0)/60,2),従業員の給与情報!F1274))</f>
        <v/>
      </c>
      <c r="O1274" s="8"/>
      <c r="P1274" s="8"/>
    </row>
    <row r="1275" spans="1:16">
      <c r="A1275" s="119"/>
      <c r="B1275" s="2"/>
      <c r="C1275" s="3"/>
      <c r="D1275" s="3"/>
      <c r="E1275" s="3"/>
      <c r="F1275" s="9"/>
      <c r="G1275" s="248" t="str">
        <f t="shared" si="95"/>
        <v/>
      </c>
      <c r="H1275" s="1" t="b">
        <f>IF(B1275="",FALSE,COUNTIF('従業員情報(給与以外)'!$A$4:$A$1000000,$B1275)=0)</f>
        <v>0</v>
      </c>
      <c r="I1275" s="9" t="b">
        <f t="shared" si="96"/>
        <v>1</v>
      </c>
      <c r="J1275" s="9" t="b">
        <f t="shared" si="97"/>
        <v>1</v>
      </c>
      <c r="K1275" s="9" t="b">
        <f t="shared" si="98"/>
        <v>1</v>
      </c>
      <c r="L1275" s="9" t="b">
        <f t="shared" si="99"/>
        <v>1</v>
      </c>
      <c r="M1275" s="1" t="b">
        <f>IF(OR(入力シート!$C$5&lt;&gt;入力リスト!$N$4,入力シート!$J$22&lt;&gt;入力リスト!$K$4),TRUE,IF($F$2=入力リスト!$Q$4,IF(F1275-INT(F1275)&lt;0.6,TRUE,FALSE),TRUE))</f>
        <v>1</v>
      </c>
      <c r="N1275" s="9" t="str">
        <f>IF(F1275="","",IF($F$2=入力リスト!$Q$4,ROUNDDOWN(INT(F1275)+ROUNDDOWN((F1275-INT(F1275))*100,0)/60,2),従業員の給与情報!F1275))</f>
        <v/>
      </c>
      <c r="O1275" s="8"/>
      <c r="P1275" s="8"/>
    </row>
    <row r="1276" spans="1:16">
      <c r="A1276" s="119"/>
      <c r="B1276" s="2"/>
      <c r="C1276" s="3"/>
      <c r="D1276" s="3"/>
      <c r="E1276" s="3"/>
      <c r="F1276" s="9"/>
      <c r="G1276" s="248" t="str">
        <f t="shared" si="95"/>
        <v/>
      </c>
      <c r="H1276" s="1" t="b">
        <f>IF(B1276="",FALSE,COUNTIF('従業員情報(給与以外)'!$A$4:$A$1000000,$B1276)=0)</f>
        <v>0</v>
      </c>
      <c r="I1276" s="9" t="b">
        <f t="shared" si="96"/>
        <v>1</v>
      </c>
      <c r="J1276" s="9" t="b">
        <f t="shared" si="97"/>
        <v>1</v>
      </c>
      <c r="K1276" s="9" t="b">
        <f t="shared" si="98"/>
        <v>1</v>
      </c>
      <c r="L1276" s="9" t="b">
        <f t="shared" si="99"/>
        <v>1</v>
      </c>
      <c r="M1276" s="1" t="b">
        <f>IF(OR(入力シート!$C$5&lt;&gt;入力リスト!$N$4,入力シート!$J$22&lt;&gt;入力リスト!$K$4),TRUE,IF($F$2=入力リスト!$Q$4,IF(F1276-INT(F1276)&lt;0.6,TRUE,FALSE),TRUE))</f>
        <v>1</v>
      </c>
      <c r="N1276" s="9" t="str">
        <f>IF(F1276="","",IF($F$2=入力リスト!$Q$4,ROUNDDOWN(INT(F1276)+ROUNDDOWN((F1276-INT(F1276))*100,0)/60,2),従業員の給与情報!F1276))</f>
        <v/>
      </c>
      <c r="O1276" s="8"/>
      <c r="P1276" s="8"/>
    </row>
    <row r="1277" spans="1:16">
      <c r="A1277" s="119"/>
      <c r="B1277" s="2"/>
      <c r="C1277" s="3"/>
      <c r="D1277" s="3"/>
      <c r="E1277" s="3"/>
      <c r="F1277" s="9"/>
      <c r="G1277" s="248" t="str">
        <f t="shared" si="95"/>
        <v/>
      </c>
      <c r="H1277" s="1" t="b">
        <f>IF(B1277="",FALSE,COUNTIF('従業員情報(給与以外)'!$A$4:$A$1000000,$B1277)=0)</f>
        <v>0</v>
      </c>
      <c r="I1277" s="9" t="b">
        <f t="shared" si="96"/>
        <v>1</v>
      </c>
      <c r="J1277" s="9" t="b">
        <f t="shared" si="97"/>
        <v>1</v>
      </c>
      <c r="K1277" s="9" t="b">
        <f t="shared" si="98"/>
        <v>1</v>
      </c>
      <c r="L1277" s="9" t="b">
        <f t="shared" si="99"/>
        <v>1</v>
      </c>
      <c r="M1277" s="1" t="b">
        <f>IF(OR(入力シート!$C$5&lt;&gt;入力リスト!$N$4,入力シート!$J$22&lt;&gt;入力リスト!$K$4),TRUE,IF($F$2=入力リスト!$Q$4,IF(F1277-INT(F1277)&lt;0.6,TRUE,FALSE),TRUE))</f>
        <v>1</v>
      </c>
      <c r="N1277" s="9" t="str">
        <f>IF(F1277="","",IF($F$2=入力リスト!$Q$4,ROUNDDOWN(INT(F1277)+ROUNDDOWN((F1277-INT(F1277))*100,0)/60,2),従業員の給与情報!F1277))</f>
        <v/>
      </c>
      <c r="O1277" s="8"/>
      <c r="P1277" s="8"/>
    </row>
    <row r="1278" spans="1:16">
      <c r="A1278" s="119"/>
      <c r="B1278" s="2"/>
      <c r="C1278" s="3"/>
      <c r="D1278" s="3"/>
      <c r="E1278" s="3"/>
      <c r="F1278" s="9"/>
      <c r="G1278" s="248" t="str">
        <f t="shared" si="95"/>
        <v/>
      </c>
      <c r="H1278" s="1" t="b">
        <f>IF(B1278="",FALSE,COUNTIF('従業員情報(給与以外)'!$A$4:$A$1000000,$B1278)=0)</f>
        <v>0</v>
      </c>
      <c r="I1278" s="9" t="b">
        <f t="shared" si="96"/>
        <v>1</v>
      </c>
      <c r="J1278" s="9" t="b">
        <f t="shared" si="97"/>
        <v>1</v>
      </c>
      <c r="K1278" s="9" t="b">
        <f t="shared" si="98"/>
        <v>1</v>
      </c>
      <c r="L1278" s="9" t="b">
        <f t="shared" si="99"/>
        <v>1</v>
      </c>
      <c r="M1278" s="1" t="b">
        <f>IF(OR(入力シート!$C$5&lt;&gt;入力リスト!$N$4,入力シート!$J$22&lt;&gt;入力リスト!$K$4),TRUE,IF($F$2=入力リスト!$Q$4,IF(F1278-INT(F1278)&lt;0.6,TRUE,FALSE),TRUE))</f>
        <v>1</v>
      </c>
      <c r="N1278" s="9" t="str">
        <f>IF(F1278="","",IF($F$2=入力リスト!$Q$4,ROUNDDOWN(INT(F1278)+ROUNDDOWN((F1278-INT(F1278))*100,0)/60,2),従業員の給与情報!F1278))</f>
        <v/>
      </c>
      <c r="O1278" s="8"/>
      <c r="P1278" s="8"/>
    </row>
    <row r="1279" spans="1:16">
      <c r="A1279" s="119"/>
      <c r="B1279" s="2"/>
      <c r="C1279" s="3"/>
      <c r="D1279" s="3"/>
      <c r="E1279" s="3"/>
      <c r="F1279" s="9"/>
      <c r="G1279" s="248" t="str">
        <f t="shared" si="95"/>
        <v/>
      </c>
      <c r="H1279" s="1" t="b">
        <f>IF(B1279="",FALSE,COUNTIF('従業員情報(給与以外)'!$A$4:$A$1000000,$B1279)=0)</f>
        <v>0</v>
      </c>
      <c r="I1279" s="9" t="b">
        <f t="shared" si="96"/>
        <v>1</v>
      </c>
      <c r="J1279" s="9" t="b">
        <f t="shared" si="97"/>
        <v>1</v>
      </c>
      <c r="K1279" s="9" t="b">
        <f t="shared" si="98"/>
        <v>1</v>
      </c>
      <c r="L1279" s="9" t="b">
        <f t="shared" si="99"/>
        <v>1</v>
      </c>
      <c r="M1279" s="1" t="b">
        <f>IF(OR(入力シート!$C$5&lt;&gt;入力リスト!$N$4,入力シート!$J$22&lt;&gt;入力リスト!$K$4),TRUE,IF($F$2=入力リスト!$Q$4,IF(F1279-INT(F1279)&lt;0.6,TRUE,FALSE),TRUE))</f>
        <v>1</v>
      </c>
      <c r="N1279" s="9" t="str">
        <f>IF(F1279="","",IF($F$2=入力リスト!$Q$4,ROUNDDOWN(INT(F1279)+ROUNDDOWN((F1279-INT(F1279))*100,0)/60,2),従業員の給与情報!F1279))</f>
        <v/>
      </c>
      <c r="O1279" s="8"/>
      <c r="P1279" s="8"/>
    </row>
    <row r="1280" spans="1:16">
      <c r="A1280" s="119"/>
      <c r="B1280" s="2"/>
      <c r="C1280" s="3"/>
      <c r="D1280" s="3"/>
      <c r="E1280" s="3"/>
      <c r="F1280" s="9"/>
      <c r="G1280" s="248" t="str">
        <f t="shared" si="95"/>
        <v/>
      </c>
      <c r="H1280" s="1" t="b">
        <f>IF(B1280="",FALSE,COUNTIF('従業員情報(給与以外)'!$A$4:$A$1000000,$B1280)=0)</f>
        <v>0</v>
      </c>
      <c r="I1280" s="9" t="b">
        <f t="shared" si="96"/>
        <v>1</v>
      </c>
      <c r="J1280" s="9" t="b">
        <f t="shared" si="97"/>
        <v>1</v>
      </c>
      <c r="K1280" s="9" t="b">
        <f t="shared" si="98"/>
        <v>1</v>
      </c>
      <c r="L1280" s="9" t="b">
        <f t="shared" si="99"/>
        <v>1</v>
      </c>
      <c r="M1280" s="1" t="b">
        <f>IF(OR(入力シート!$C$5&lt;&gt;入力リスト!$N$4,入力シート!$J$22&lt;&gt;入力リスト!$K$4),TRUE,IF($F$2=入力リスト!$Q$4,IF(F1280-INT(F1280)&lt;0.6,TRUE,FALSE),TRUE))</f>
        <v>1</v>
      </c>
      <c r="N1280" s="9" t="str">
        <f>IF(F1280="","",IF($F$2=入力リスト!$Q$4,ROUNDDOWN(INT(F1280)+ROUNDDOWN((F1280-INT(F1280))*100,0)/60,2),従業員の給与情報!F1280))</f>
        <v/>
      </c>
      <c r="O1280" s="8"/>
      <c r="P1280" s="8"/>
    </row>
    <row r="1281" spans="1:16">
      <c r="A1281" s="119"/>
      <c r="B1281" s="2"/>
      <c r="C1281" s="3"/>
      <c r="D1281" s="3"/>
      <c r="E1281" s="3"/>
      <c r="F1281" s="9"/>
      <c r="G1281" s="248" t="str">
        <f t="shared" si="95"/>
        <v/>
      </c>
      <c r="H1281" s="1" t="b">
        <f>IF(B1281="",FALSE,COUNTIF('従業員情報(給与以外)'!$A$4:$A$1000000,$B1281)=0)</f>
        <v>0</v>
      </c>
      <c r="I1281" s="9" t="b">
        <f t="shared" si="96"/>
        <v>1</v>
      </c>
      <c r="J1281" s="9" t="b">
        <f t="shared" si="97"/>
        <v>1</v>
      </c>
      <c r="K1281" s="9" t="b">
        <f t="shared" si="98"/>
        <v>1</v>
      </c>
      <c r="L1281" s="9" t="b">
        <f t="shared" si="99"/>
        <v>1</v>
      </c>
      <c r="M1281" s="1" t="b">
        <f>IF(OR(入力シート!$C$5&lt;&gt;入力リスト!$N$4,入力シート!$J$22&lt;&gt;入力リスト!$K$4),TRUE,IF($F$2=入力リスト!$Q$4,IF(F1281-INT(F1281)&lt;0.6,TRUE,FALSE),TRUE))</f>
        <v>1</v>
      </c>
      <c r="N1281" s="9" t="str">
        <f>IF(F1281="","",IF($F$2=入力リスト!$Q$4,ROUNDDOWN(INT(F1281)+ROUNDDOWN((F1281-INT(F1281))*100,0)/60,2),従業員の給与情報!F1281))</f>
        <v/>
      </c>
      <c r="O1281" s="8"/>
      <c r="P1281" s="8"/>
    </row>
    <row r="1282" spans="1:16">
      <c r="A1282" s="119"/>
      <c r="B1282" s="2"/>
      <c r="C1282" s="3"/>
      <c r="D1282" s="3"/>
      <c r="E1282" s="3"/>
      <c r="F1282" s="9"/>
      <c r="G1282" s="248" t="str">
        <f t="shared" si="95"/>
        <v/>
      </c>
      <c r="H1282" s="1" t="b">
        <f>IF(B1282="",FALSE,COUNTIF('従業員情報(給与以外)'!$A$4:$A$1000000,$B1282)=0)</f>
        <v>0</v>
      </c>
      <c r="I1282" s="9" t="b">
        <f t="shared" si="96"/>
        <v>1</v>
      </c>
      <c r="J1282" s="9" t="b">
        <f t="shared" si="97"/>
        <v>1</v>
      </c>
      <c r="K1282" s="9" t="b">
        <f t="shared" si="98"/>
        <v>1</v>
      </c>
      <c r="L1282" s="9" t="b">
        <f t="shared" si="99"/>
        <v>1</v>
      </c>
      <c r="M1282" s="1" t="b">
        <f>IF(OR(入力シート!$C$5&lt;&gt;入力リスト!$N$4,入力シート!$J$22&lt;&gt;入力リスト!$K$4),TRUE,IF($F$2=入力リスト!$Q$4,IF(F1282-INT(F1282)&lt;0.6,TRUE,FALSE),TRUE))</f>
        <v>1</v>
      </c>
      <c r="N1282" s="9" t="str">
        <f>IF(F1282="","",IF($F$2=入力リスト!$Q$4,ROUNDDOWN(INT(F1282)+ROUNDDOWN((F1282-INT(F1282))*100,0)/60,2),従業員の給与情報!F1282))</f>
        <v/>
      </c>
      <c r="O1282" s="8"/>
      <c r="P1282" s="8"/>
    </row>
    <row r="1283" spans="1:16">
      <c r="A1283" s="119"/>
      <c r="B1283" s="2"/>
      <c r="C1283" s="3"/>
      <c r="D1283" s="3"/>
      <c r="E1283" s="3"/>
      <c r="F1283" s="9"/>
      <c r="G1283" s="248" t="str">
        <f t="shared" si="95"/>
        <v/>
      </c>
      <c r="H1283" s="1" t="b">
        <f>IF(B1283="",FALSE,COUNTIF('従業員情報(給与以外)'!$A$4:$A$1000000,$B1283)=0)</f>
        <v>0</v>
      </c>
      <c r="I1283" s="9" t="b">
        <f t="shared" si="96"/>
        <v>1</v>
      </c>
      <c r="J1283" s="9" t="b">
        <f t="shared" si="97"/>
        <v>1</v>
      </c>
      <c r="K1283" s="9" t="b">
        <f t="shared" si="98"/>
        <v>1</v>
      </c>
      <c r="L1283" s="9" t="b">
        <f t="shared" si="99"/>
        <v>1</v>
      </c>
      <c r="M1283" s="1" t="b">
        <f>IF(OR(入力シート!$C$5&lt;&gt;入力リスト!$N$4,入力シート!$J$22&lt;&gt;入力リスト!$K$4),TRUE,IF($F$2=入力リスト!$Q$4,IF(F1283-INT(F1283)&lt;0.6,TRUE,FALSE),TRUE))</f>
        <v>1</v>
      </c>
      <c r="N1283" s="9" t="str">
        <f>IF(F1283="","",IF($F$2=入力リスト!$Q$4,ROUNDDOWN(INT(F1283)+ROUNDDOWN((F1283-INT(F1283))*100,0)/60,2),従業員の給与情報!F1283))</f>
        <v/>
      </c>
      <c r="O1283" s="8"/>
      <c r="P1283" s="8"/>
    </row>
    <row r="1284" spans="1:16">
      <c r="A1284" s="119"/>
      <c r="B1284" s="2"/>
      <c r="C1284" s="3"/>
      <c r="D1284" s="3"/>
      <c r="E1284" s="3"/>
      <c r="F1284" s="9"/>
      <c r="G1284" s="248" t="str">
        <f t="shared" si="95"/>
        <v/>
      </c>
      <c r="H1284" s="1" t="b">
        <f>IF(B1284="",FALSE,COUNTIF('従業員情報(給与以外)'!$A$4:$A$1000000,$B1284)=0)</f>
        <v>0</v>
      </c>
      <c r="I1284" s="9" t="b">
        <f t="shared" si="96"/>
        <v>1</v>
      </c>
      <c r="J1284" s="9" t="b">
        <f t="shared" si="97"/>
        <v>1</v>
      </c>
      <c r="K1284" s="9" t="b">
        <f t="shared" si="98"/>
        <v>1</v>
      </c>
      <c r="L1284" s="9" t="b">
        <f t="shared" si="99"/>
        <v>1</v>
      </c>
      <c r="M1284" s="1" t="b">
        <f>IF(OR(入力シート!$C$5&lt;&gt;入力リスト!$N$4,入力シート!$J$22&lt;&gt;入力リスト!$K$4),TRUE,IF($F$2=入力リスト!$Q$4,IF(F1284-INT(F1284)&lt;0.6,TRUE,FALSE),TRUE))</f>
        <v>1</v>
      </c>
      <c r="N1284" s="9" t="str">
        <f>IF(F1284="","",IF($F$2=入力リスト!$Q$4,ROUNDDOWN(INT(F1284)+ROUNDDOWN((F1284-INT(F1284))*100,0)/60,2),従業員の給与情報!F1284))</f>
        <v/>
      </c>
      <c r="O1284" s="8"/>
      <c r="P1284" s="8"/>
    </row>
    <row r="1285" spans="1:16">
      <c r="A1285" s="119"/>
      <c r="B1285" s="2"/>
      <c r="C1285" s="3"/>
      <c r="D1285" s="3"/>
      <c r="E1285" s="3"/>
      <c r="F1285" s="9"/>
      <c r="G1285" s="248" t="str">
        <f t="shared" ref="G1285:G1348" si="100">IF(AND($B1285="",OR(B1285&lt;&gt;"",C1285&lt;&gt;"",D1285&lt;&gt;"",E1285&lt;&gt;"",F1285&lt;&gt;"")),"従業員番号が空白です。",IF($H1285=TRUE,"この従業員番号は、シート［従業員情報（給与以外）］に存在しません。",IF(I1285=FALSE,"「毎月の固定給与額」","")&amp;IF(AND(I1285=FALSE,OR(J1285=FALSE,K1285=FALSE,L1285=FALSE)),",","")&amp;IF(J1285=FALSE,"「賞与額等」","")&amp;IF(AND(J1285=FALSE,OR(K1285=FALSE,L1285=FALSE)),",","")&amp;IF(K1285=FALSE,"「残業手当」","")&amp;IF(AND(K1285=FALSE,L1285=FALSE),",","")&amp;IF(L1285=FALSE,"「残業時間」","")&amp;IF(OR(I1285=FALSE,J1285=FALSE,K1285=FALSE,L1285=FALSE),"に数値以外が入力されています。","")&amp;IF(M1285,"","「残業時間」を分単位で入力した場合、小数点以下の値は0.6未満にしてください。")))</f>
        <v/>
      </c>
      <c r="H1285" s="1" t="b">
        <f>IF(B1285="",FALSE,COUNTIF('従業員情報(給与以外)'!$A$4:$A$1000000,$B1285)=0)</f>
        <v>0</v>
      </c>
      <c r="I1285" s="9" t="b">
        <f t="shared" ref="I1285:I1348" si="101">OR(C1285="",ISNUMBER(C1285))</f>
        <v>1</v>
      </c>
      <c r="J1285" s="9" t="b">
        <f t="shared" ref="J1285:J1348" si="102">OR(D1285="",ISNUMBER(D1285))</f>
        <v>1</v>
      </c>
      <c r="K1285" s="9" t="b">
        <f t="shared" ref="K1285:K1348" si="103">OR(E1285="",ISNUMBER(E1285))</f>
        <v>1</v>
      </c>
      <c r="L1285" s="9" t="b">
        <f t="shared" ref="L1285:L1348" si="104">OR(F1285="",ISNUMBER(F1285))</f>
        <v>1</v>
      </c>
      <c r="M1285" s="1" t="b">
        <f>IF(OR(入力シート!$C$5&lt;&gt;入力リスト!$N$4,入力シート!$J$22&lt;&gt;入力リスト!$K$4),TRUE,IF($F$2=入力リスト!$Q$4,IF(F1285-INT(F1285)&lt;0.6,TRUE,FALSE),TRUE))</f>
        <v>1</v>
      </c>
      <c r="N1285" s="9" t="str">
        <f>IF(F1285="","",IF($F$2=入力リスト!$Q$4,ROUNDDOWN(INT(F1285)+ROUNDDOWN((F1285-INT(F1285))*100,0)/60,2),従業員の給与情報!F1285))</f>
        <v/>
      </c>
      <c r="O1285" s="8"/>
      <c r="P1285" s="8"/>
    </row>
    <row r="1286" spans="1:16">
      <c r="A1286" s="119"/>
      <c r="B1286" s="2"/>
      <c r="C1286" s="3"/>
      <c r="D1286" s="3"/>
      <c r="E1286" s="3"/>
      <c r="F1286" s="9"/>
      <c r="G1286" s="248" t="str">
        <f t="shared" si="100"/>
        <v/>
      </c>
      <c r="H1286" s="1" t="b">
        <f>IF(B1286="",FALSE,COUNTIF('従業員情報(給与以外)'!$A$4:$A$1000000,$B1286)=0)</f>
        <v>0</v>
      </c>
      <c r="I1286" s="9" t="b">
        <f t="shared" si="101"/>
        <v>1</v>
      </c>
      <c r="J1286" s="9" t="b">
        <f t="shared" si="102"/>
        <v>1</v>
      </c>
      <c r="K1286" s="9" t="b">
        <f t="shared" si="103"/>
        <v>1</v>
      </c>
      <c r="L1286" s="9" t="b">
        <f t="shared" si="104"/>
        <v>1</v>
      </c>
      <c r="M1286" s="1" t="b">
        <f>IF(OR(入力シート!$C$5&lt;&gt;入力リスト!$N$4,入力シート!$J$22&lt;&gt;入力リスト!$K$4),TRUE,IF($F$2=入力リスト!$Q$4,IF(F1286-INT(F1286)&lt;0.6,TRUE,FALSE),TRUE))</f>
        <v>1</v>
      </c>
      <c r="N1286" s="9" t="str">
        <f>IF(F1286="","",IF($F$2=入力リスト!$Q$4,ROUNDDOWN(INT(F1286)+ROUNDDOWN((F1286-INT(F1286))*100,0)/60,2),従業員の給与情報!F1286))</f>
        <v/>
      </c>
      <c r="O1286" s="8"/>
      <c r="P1286" s="8"/>
    </row>
    <row r="1287" spans="1:16">
      <c r="A1287" s="119"/>
      <c r="B1287" s="2"/>
      <c r="C1287" s="3"/>
      <c r="D1287" s="3"/>
      <c r="E1287" s="3"/>
      <c r="F1287" s="9"/>
      <c r="G1287" s="248" t="str">
        <f t="shared" si="100"/>
        <v/>
      </c>
      <c r="H1287" s="1" t="b">
        <f>IF(B1287="",FALSE,COUNTIF('従業員情報(給与以外)'!$A$4:$A$1000000,$B1287)=0)</f>
        <v>0</v>
      </c>
      <c r="I1287" s="9" t="b">
        <f t="shared" si="101"/>
        <v>1</v>
      </c>
      <c r="J1287" s="9" t="b">
        <f t="shared" si="102"/>
        <v>1</v>
      </c>
      <c r="K1287" s="9" t="b">
        <f t="shared" si="103"/>
        <v>1</v>
      </c>
      <c r="L1287" s="9" t="b">
        <f t="shared" si="104"/>
        <v>1</v>
      </c>
      <c r="M1287" s="1" t="b">
        <f>IF(OR(入力シート!$C$5&lt;&gt;入力リスト!$N$4,入力シート!$J$22&lt;&gt;入力リスト!$K$4),TRUE,IF($F$2=入力リスト!$Q$4,IF(F1287-INT(F1287)&lt;0.6,TRUE,FALSE),TRUE))</f>
        <v>1</v>
      </c>
      <c r="N1287" s="9" t="str">
        <f>IF(F1287="","",IF($F$2=入力リスト!$Q$4,ROUNDDOWN(INT(F1287)+ROUNDDOWN((F1287-INT(F1287))*100,0)/60,2),従業員の給与情報!F1287))</f>
        <v/>
      </c>
      <c r="O1287" s="8"/>
      <c r="P1287" s="8"/>
    </row>
    <row r="1288" spans="1:16">
      <c r="A1288" s="119"/>
      <c r="B1288" s="2"/>
      <c r="C1288" s="3"/>
      <c r="D1288" s="3"/>
      <c r="E1288" s="3"/>
      <c r="F1288" s="9"/>
      <c r="G1288" s="248" t="str">
        <f t="shared" si="100"/>
        <v/>
      </c>
      <c r="H1288" s="1" t="b">
        <f>IF(B1288="",FALSE,COUNTIF('従業員情報(給与以外)'!$A$4:$A$1000000,$B1288)=0)</f>
        <v>0</v>
      </c>
      <c r="I1288" s="9" t="b">
        <f t="shared" si="101"/>
        <v>1</v>
      </c>
      <c r="J1288" s="9" t="b">
        <f t="shared" si="102"/>
        <v>1</v>
      </c>
      <c r="K1288" s="9" t="b">
        <f t="shared" si="103"/>
        <v>1</v>
      </c>
      <c r="L1288" s="9" t="b">
        <f t="shared" si="104"/>
        <v>1</v>
      </c>
      <c r="M1288" s="1" t="b">
        <f>IF(OR(入力シート!$C$5&lt;&gt;入力リスト!$N$4,入力シート!$J$22&lt;&gt;入力リスト!$K$4),TRUE,IF($F$2=入力リスト!$Q$4,IF(F1288-INT(F1288)&lt;0.6,TRUE,FALSE),TRUE))</f>
        <v>1</v>
      </c>
      <c r="N1288" s="9" t="str">
        <f>IF(F1288="","",IF($F$2=入力リスト!$Q$4,ROUNDDOWN(INT(F1288)+ROUNDDOWN((F1288-INT(F1288))*100,0)/60,2),従業員の給与情報!F1288))</f>
        <v/>
      </c>
      <c r="O1288" s="8"/>
      <c r="P1288" s="8"/>
    </row>
    <row r="1289" spans="1:16">
      <c r="A1289" s="119"/>
      <c r="B1289" s="2"/>
      <c r="C1289" s="3"/>
      <c r="D1289" s="3"/>
      <c r="E1289" s="3"/>
      <c r="F1289" s="9"/>
      <c r="G1289" s="248" t="str">
        <f t="shared" si="100"/>
        <v/>
      </c>
      <c r="H1289" s="1" t="b">
        <f>IF(B1289="",FALSE,COUNTIF('従業員情報(給与以外)'!$A$4:$A$1000000,$B1289)=0)</f>
        <v>0</v>
      </c>
      <c r="I1289" s="9" t="b">
        <f t="shared" si="101"/>
        <v>1</v>
      </c>
      <c r="J1289" s="9" t="b">
        <f t="shared" si="102"/>
        <v>1</v>
      </c>
      <c r="K1289" s="9" t="b">
        <f t="shared" si="103"/>
        <v>1</v>
      </c>
      <c r="L1289" s="9" t="b">
        <f t="shared" si="104"/>
        <v>1</v>
      </c>
      <c r="M1289" s="1" t="b">
        <f>IF(OR(入力シート!$C$5&lt;&gt;入力リスト!$N$4,入力シート!$J$22&lt;&gt;入力リスト!$K$4),TRUE,IF($F$2=入力リスト!$Q$4,IF(F1289-INT(F1289)&lt;0.6,TRUE,FALSE),TRUE))</f>
        <v>1</v>
      </c>
      <c r="N1289" s="9" t="str">
        <f>IF(F1289="","",IF($F$2=入力リスト!$Q$4,ROUNDDOWN(INT(F1289)+ROUNDDOWN((F1289-INT(F1289))*100,0)/60,2),従業員の給与情報!F1289))</f>
        <v/>
      </c>
      <c r="O1289" s="8"/>
      <c r="P1289" s="8"/>
    </row>
    <row r="1290" spans="1:16">
      <c r="A1290" s="119"/>
      <c r="B1290" s="2"/>
      <c r="C1290" s="3"/>
      <c r="D1290" s="3"/>
      <c r="E1290" s="3"/>
      <c r="F1290" s="9"/>
      <c r="G1290" s="248" t="str">
        <f t="shared" si="100"/>
        <v/>
      </c>
      <c r="H1290" s="1" t="b">
        <f>IF(B1290="",FALSE,COUNTIF('従業員情報(給与以外)'!$A$4:$A$1000000,$B1290)=0)</f>
        <v>0</v>
      </c>
      <c r="I1290" s="9" t="b">
        <f t="shared" si="101"/>
        <v>1</v>
      </c>
      <c r="J1290" s="9" t="b">
        <f t="shared" si="102"/>
        <v>1</v>
      </c>
      <c r="K1290" s="9" t="b">
        <f t="shared" si="103"/>
        <v>1</v>
      </c>
      <c r="L1290" s="9" t="b">
        <f t="shared" si="104"/>
        <v>1</v>
      </c>
      <c r="M1290" s="1" t="b">
        <f>IF(OR(入力シート!$C$5&lt;&gt;入力リスト!$N$4,入力シート!$J$22&lt;&gt;入力リスト!$K$4),TRUE,IF($F$2=入力リスト!$Q$4,IF(F1290-INT(F1290)&lt;0.6,TRUE,FALSE),TRUE))</f>
        <v>1</v>
      </c>
      <c r="N1290" s="9" t="str">
        <f>IF(F1290="","",IF($F$2=入力リスト!$Q$4,ROUNDDOWN(INT(F1290)+ROUNDDOWN((F1290-INT(F1290))*100,0)/60,2),従業員の給与情報!F1290))</f>
        <v/>
      </c>
      <c r="O1290" s="8"/>
      <c r="P1290" s="8"/>
    </row>
    <row r="1291" spans="1:16">
      <c r="A1291" s="119"/>
      <c r="B1291" s="2"/>
      <c r="C1291" s="3"/>
      <c r="D1291" s="3"/>
      <c r="E1291" s="3"/>
      <c r="F1291" s="9"/>
      <c r="G1291" s="248" t="str">
        <f t="shared" si="100"/>
        <v/>
      </c>
      <c r="H1291" s="1" t="b">
        <f>IF(B1291="",FALSE,COUNTIF('従業員情報(給与以外)'!$A$4:$A$1000000,$B1291)=0)</f>
        <v>0</v>
      </c>
      <c r="I1291" s="9" t="b">
        <f t="shared" si="101"/>
        <v>1</v>
      </c>
      <c r="J1291" s="9" t="b">
        <f t="shared" si="102"/>
        <v>1</v>
      </c>
      <c r="K1291" s="9" t="b">
        <f t="shared" si="103"/>
        <v>1</v>
      </c>
      <c r="L1291" s="9" t="b">
        <f t="shared" si="104"/>
        <v>1</v>
      </c>
      <c r="M1291" s="1" t="b">
        <f>IF(OR(入力シート!$C$5&lt;&gt;入力リスト!$N$4,入力シート!$J$22&lt;&gt;入力リスト!$K$4),TRUE,IF($F$2=入力リスト!$Q$4,IF(F1291-INT(F1291)&lt;0.6,TRUE,FALSE),TRUE))</f>
        <v>1</v>
      </c>
      <c r="N1291" s="9" t="str">
        <f>IF(F1291="","",IF($F$2=入力リスト!$Q$4,ROUNDDOWN(INT(F1291)+ROUNDDOWN((F1291-INT(F1291))*100,0)/60,2),従業員の給与情報!F1291))</f>
        <v/>
      </c>
      <c r="O1291" s="8"/>
      <c r="P1291" s="8"/>
    </row>
    <row r="1292" spans="1:16">
      <c r="A1292" s="119"/>
      <c r="B1292" s="2"/>
      <c r="C1292" s="3"/>
      <c r="D1292" s="3"/>
      <c r="E1292" s="3"/>
      <c r="F1292" s="9"/>
      <c r="G1292" s="248" t="str">
        <f t="shared" si="100"/>
        <v/>
      </c>
      <c r="H1292" s="1" t="b">
        <f>IF(B1292="",FALSE,COUNTIF('従業員情報(給与以外)'!$A$4:$A$1000000,$B1292)=0)</f>
        <v>0</v>
      </c>
      <c r="I1292" s="9" t="b">
        <f t="shared" si="101"/>
        <v>1</v>
      </c>
      <c r="J1292" s="9" t="b">
        <f t="shared" si="102"/>
        <v>1</v>
      </c>
      <c r="K1292" s="9" t="b">
        <f t="shared" si="103"/>
        <v>1</v>
      </c>
      <c r="L1292" s="9" t="b">
        <f t="shared" si="104"/>
        <v>1</v>
      </c>
      <c r="M1292" s="1" t="b">
        <f>IF(OR(入力シート!$C$5&lt;&gt;入力リスト!$N$4,入力シート!$J$22&lt;&gt;入力リスト!$K$4),TRUE,IF($F$2=入力リスト!$Q$4,IF(F1292-INT(F1292)&lt;0.6,TRUE,FALSE),TRUE))</f>
        <v>1</v>
      </c>
      <c r="N1292" s="9" t="str">
        <f>IF(F1292="","",IF($F$2=入力リスト!$Q$4,ROUNDDOWN(INT(F1292)+ROUNDDOWN((F1292-INT(F1292))*100,0)/60,2),従業員の給与情報!F1292))</f>
        <v/>
      </c>
      <c r="O1292" s="8"/>
      <c r="P1292" s="8"/>
    </row>
    <row r="1293" spans="1:16">
      <c r="A1293" s="119"/>
      <c r="B1293" s="2"/>
      <c r="C1293" s="3"/>
      <c r="D1293" s="3"/>
      <c r="E1293" s="3"/>
      <c r="F1293" s="9"/>
      <c r="G1293" s="248" t="str">
        <f t="shared" si="100"/>
        <v/>
      </c>
      <c r="H1293" s="1" t="b">
        <f>IF(B1293="",FALSE,COUNTIF('従業員情報(給与以外)'!$A$4:$A$1000000,$B1293)=0)</f>
        <v>0</v>
      </c>
      <c r="I1293" s="9" t="b">
        <f t="shared" si="101"/>
        <v>1</v>
      </c>
      <c r="J1293" s="9" t="b">
        <f t="shared" si="102"/>
        <v>1</v>
      </c>
      <c r="K1293" s="9" t="b">
        <f t="shared" si="103"/>
        <v>1</v>
      </c>
      <c r="L1293" s="9" t="b">
        <f t="shared" si="104"/>
        <v>1</v>
      </c>
      <c r="M1293" s="1" t="b">
        <f>IF(OR(入力シート!$C$5&lt;&gt;入力リスト!$N$4,入力シート!$J$22&lt;&gt;入力リスト!$K$4),TRUE,IF($F$2=入力リスト!$Q$4,IF(F1293-INT(F1293)&lt;0.6,TRUE,FALSE),TRUE))</f>
        <v>1</v>
      </c>
      <c r="N1293" s="9" t="str">
        <f>IF(F1293="","",IF($F$2=入力リスト!$Q$4,ROUNDDOWN(INT(F1293)+ROUNDDOWN((F1293-INT(F1293))*100,0)/60,2),従業員の給与情報!F1293))</f>
        <v/>
      </c>
      <c r="O1293" s="8"/>
      <c r="P1293" s="8"/>
    </row>
    <row r="1294" spans="1:16">
      <c r="A1294" s="119"/>
      <c r="B1294" s="2"/>
      <c r="C1294" s="3"/>
      <c r="D1294" s="3"/>
      <c r="E1294" s="3"/>
      <c r="F1294" s="9"/>
      <c r="G1294" s="248" t="str">
        <f t="shared" si="100"/>
        <v/>
      </c>
      <c r="H1294" s="1" t="b">
        <f>IF(B1294="",FALSE,COUNTIF('従業員情報(給与以外)'!$A$4:$A$1000000,$B1294)=0)</f>
        <v>0</v>
      </c>
      <c r="I1294" s="9" t="b">
        <f t="shared" si="101"/>
        <v>1</v>
      </c>
      <c r="J1294" s="9" t="b">
        <f t="shared" si="102"/>
        <v>1</v>
      </c>
      <c r="K1294" s="9" t="b">
        <f t="shared" si="103"/>
        <v>1</v>
      </c>
      <c r="L1294" s="9" t="b">
        <f t="shared" si="104"/>
        <v>1</v>
      </c>
      <c r="M1294" s="1" t="b">
        <f>IF(OR(入力シート!$C$5&lt;&gt;入力リスト!$N$4,入力シート!$J$22&lt;&gt;入力リスト!$K$4),TRUE,IF($F$2=入力リスト!$Q$4,IF(F1294-INT(F1294)&lt;0.6,TRUE,FALSE),TRUE))</f>
        <v>1</v>
      </c>
      <c r="N1294" s="9" t="str">
        <f>IF(F1294="","",IF($F$2=入力リスト!$Q$4,ROUNDDOWN(INT(F1294)+ROUNDDOWN((F1294-INT(F1294))*100,0)/60,2),従業員の給与情報!F1294))</f>
        <v/>
      </c>
      <c r="O1294" s="8"/>
      <c r="P1294" s="8"/>
    </row>
    <row r="1295" spans="1:16">
      <c r="A1295" s="119"/>
      <c r="B1295" s="2"/>
      <c r="C1295" s="3"/>
      <c r="D1295" s="3"/>
      <c r="E1295" s="3"/>
      <c r="F1295" s="9"/>
      <c r="G1295" s="248" t="str">
        <f t="shared" si="100"/>
        <v/>
      </c>
      <c r="H1295" s="1" t="b">
        <f>IF(B1295="",FALSE,COUNTIF('従業員情報(給与以外)'!$A$4:$A$1000000,$B1295)=0)</f>
        <v>0</v>
      </c>
      <c r="I1295" s="9" t="b">
        <f t="shared" si="101"/>
        <v>1</v>
      </c>
      <c r="J1295" s="9" t="b">
        <f t="shared" si="102"/>
        <v>1</v>
      </c>
      <c r="K1295" s="9" t="b">
        <f t="shared" si="103"/>
        <v>1</v>
      </c>
      <c r="L1295" s="9" t="b">
        <f t="shared" si="104"/>
        <v>1</v>
      </c>
      <c r="M1295" s="1" t="b">
        <f>IF(OR(入力シート!$C$5&lt;&gt;入力リスト!$N$4,入力シート!$J$22&lt;&gt;入力リスト!$K$4),TRUE,IF($F$2=入力リスト!$Q$4,IF(F1295-INT(F1295)&lt;0.6,TRUE,FALSE),TRUE))</f>
        <v>1</v>
      </c>
      <c r="N1295" s="9" t="str">
        <f>IF(F1295="","",IF($F$2=入力リスト!$Q$4,ROUNDDOWN(INT(F1295)+ROUNDDOWN((F1295-INT(F1295))*100,0)/60,2),従業員の給与情報!F1295))</f>
        <v/>
      </c>
      <c r="O1295" s="8"/>
      <c r="P1295" s="8"/>
    </row>
    <row r="1296" spans="1:16">
      <c r="A1296" s="119"/>
      <c r="B1296" s="2"/>
      <c r="C1296" s="3"/>
      <c r="D1296" s="3"/>
      <c r="E1296" s="3"/>
      <c r="F1296" s="9"/>
      <c r="G1296" s="248" t="str">
        <f t="shared" si="100"/>
        <v/>
      </c>
      <c r="H1296" s="1" t="b">
        <f>IF(B1296="",FALSE,COUNTIF('従業員情報(給与以外)'!$A$4:$A$1000000,$B1296)=0)</f>
        <v>0</v>
      </c>
      <c r="I1296" s="9" t="b">
        <f t="shared" si="101"/>
        <v>1</v>
      </c>
      <c r="J1296" s="9" t="b">
        <f t="shared" si="102"/>
        <v>1</v>
      </c>
      <c r="K1296" s="9" t="b">
        <f t="shared" si="103"/>
        <v>1</v>
      </c>
      <c r="L1296" s="9" t="b">
        <f t="shared" si="104"/>
        <v>1</v>
      </c>
      <c r="M1296" s="1" t="b">
        <f>IF(OR(入力シート!$C$5&lt;&gt;入力リスト!$N$4,入力シート!$J$22&lt;&gt;入力リスト!$K$4),TRUE,IF($F$2=入力リスト!$Q$4,IF(F1296-INT(F1296)&lt;0.6,TRUE,FALSE),TRUE))</f>
        <v>1</v>
      </c>
      <c r="N1296" s="9" t="str">
        <f>IF(F1296="","",IF($F$2=入力リスト!$Q$4,ROUNDDOWN(INT(F1296)+ROUNDDOWN((F1296-INT(F1296))*100,0)/60,2),従業員の給与情報!F1296))</f>
        <v/>
      </c>
      <c r="O1296" s="8"/>
      <c r="P1296" s="8"/>
    </row>
    <row r="1297" spans="1:16">
      <c r="A1297" s="119"/>
      <c r="B1297" s="2"/>
      <c r="C1297" s="3"/>
      <c r="D1297" s="3"/>
      <c r="E1297" s="3"/>
      <c r="F1297" s="9"/>
      <c r="G1297" s="248" t="str">
        <f t="shared" si="100"/>
        <v/>
      </c>
      <c r="H1297" s="1" t="b">
        <f>IF(B1297="",FALSE,COUNTIF('従業員情報(給与以外)'!$A$4:$A$1000000,$B1297)=0)</f>
        <v>0</v>
      </c>
      <c r="I1297" s="9" t="b">
        <f t="shared" si="101"/>
        <v>1</v>
      </c>
      <c r="J1297" s="9" t="b">
        <f t="shared" si="102"/>
        <v>1</v>
      </c>
      <c r="K1297" s="9" t="b">
        <f t="shared" si="103"/>
        <v>1</v>
      </c>
      <c r="L1297" s="9" t="b">
        <f t="shared" si="104"/>
        <v>1</v>
      </c>
      <c r="M1297" s="1" t="b">
        <f>IF(OR(入力シート!$C$5&lt;&gt;入力リスト!$N$4,入力シート!$J$22&lt;&gt;入力リスト!$K$4),TRUE,IF($F$2=入力リスト!$Q$4,IF(F1297-INT(F1297)&lt;0.6,TRUE,FALSE),TRUE))</f>
        <v>1</v>
      </c>
      <c r="N1297" s="9" t="str">
        <f>IF(F1297="","",IF($F$2=入力リスト!$Q$4,ROUNDDOWN(INT(F1297)+ROUNDDOWN((F1297-INT(F1297))*100,0)/60,2),従業員の給与情報!F1297))</f>
        <v/>
      </c>
      <c r="O1297" s="8"/>
      <c r="P1297" s="8"/>
    </row>
    <row r="1298" spans="1:16">
      <c r="A1298" s="119"/>
      <c r="B1298" s="2"/>
      <c r="C1298" s="3"/>
      <c r="D1298" s="3"/>
      <c r="E1298" s="3"/>
      <c r="F1298" s="9"/>
      <c r="G1298" s="248" t="str">
        <f t="shared" si="100"/>
        <v/>
      </c>
      <c r="H1298" s="1" t="b">
        <f>IF(B1298="",FALSE,COUNTIF('従業員情報(給与以外)'!$A$4:$A$1000000,$B1298)=0)</f>
        <v>0</v>
      </c>
      <c r="I1298" s="9" t="b">
        <f t="shared" si="101"/>
        <v>1</v>
      </c>
      <c r="J1298" s="9" t="b">
        <f t="shared" si="102"/>
        <v>1</v>
      </c>
      <c r="K1298" s="9" t="b">
        <f t="shared" si="103"/>
        <v>1</v>
      </c>
      <c r="L1298" s="9" t="b">
        <f t="shared" si="104"/>
        <v>1</v>
      </c>
      <c r="M1298" s="1" t="b">
        <f>IF(OR(入力シート!$C$5&lt;&gt;入力リスト!$N$4,入力シート!$J$22&lt;&gt;入力リスト!$K$4),TRUE,IF($F$2=入力リスト!$Q$4,IF(F1298-INT(F1298)&lt;0.6,TRUE,FALSE),TRUE))</f>
        <v>1</v>
      </c>
      <c r="N1298" s="9" t="str">
        <f>IF(F1298="","",IF($F$2=入力リスト!$Q$4,ROUNDDOWN(INT(F1298)+ROUNDDOWN((F1298-INT(F1298))*100,0)/60,2),従業員の給与情報!F1298))</f>
        <v/>
      </c>
      <c r="O1298" s="8"/>
      <c r="P1298" s="8"/>
    </row>
    <row r="1299" spans="1:16">
      <c r="A1299" s="119"/>
      <c r="B1299" s="2"/>
      <c r="C1299" s="3"/>
      <c r="D1299" s="3"/>
      <c r="E1299" s="3"/>
      <c r="F1299" s="9"/>
      <c r="G1299" s="248" t="str">
        <f t="shared" si="100"/>
        <v/>
      </c>
      <c r="H1299" s="1" t="b">
        <f>IF(B1299="",FALSE,COUNTIF('従業員情報(給与以外)'!$A$4:$A$1000000,$B1299)=0)</f>
        <v>0</v>
      </c>
      <c r="I1299" s="9" t="b">
        <f t="shared" si="101"/>
        <v>1</v>
      </c>
      <c r="J1299" s="9" t="b">
        <f t="shared" si="102"/>
        <v>1</v>
      </c>
      <c r="K1299" s="9" t="b">
        <f t="shared" si="103"/>
        <v>1</v>
      </c>
      <c r="L1299" s="9" t="b">
        <f t="shared" si="104"/>
        <v>1</v>
      </c>
      <c r="M1299" s="1" t="b">
        <f>IF(OR(入力シート!$C$5&lt;&gt;入力リスト!$N$4,入力シート!$J$22&lt;&gt;入力リスト!$K$4),TRUE,IF($F$2=入力リスト!$Q$4,IF(F1299-INT(F1299)&lt;0.6,TRUE,FALSE),TRUE))</f>
        <v>1</v>
      </c>
      <c r="N1299" s="9" t="str">
        <f>IF(F1299="","",IF($F$2=入力リスト!$Q$4,ROUNDDOWN(INT(F1299)+ROUNDDOWN((F1299-INT(F1299))*100,0)/60,2),従業員の給与情報!F1299))</f>
        <v/>
      </c>
      <c r="O1299" s="8"/>
      <c r="P1299" s="8"/>
    </row>
    <row r="1300" spans="1:16">
      <c r="A1300" s="119"/>
      <c r="B1300" s="2"/>
      <c r="C1300" s="3"/>
      <c r="D1300" s="3"/>
      <c r="E1300" s="3"/>
      <c r="F1300" s="9"/>
      <c r="G1300" s="248" t="str">
        <f t="shared" si="100"/>
        <v/>
      </c>
      <c r="H1300" s="1" t="b">
        <f>IF(B1300="",FALSE,COUNTIF('従業員情報(給与以外)'!$A$4:$A$1000000,$B1300)=0)</f>
        <v>0</v>
      </c>
      <c r="I1300" s="9" t="b">
        <f t="shared" si="101"/>
        <v>1</v>
      </c>
      <c r="J1300" s="9" t="b">
        <f t="shared" si="102"/>
        <v>1</v>
      </c>
      <c r="K1300" s="9" t="b">
        <f t="shared" si="103"/>
        <v>1</v>
      </c>
      <c r="L1300" s="9" t="b">
        <f t="shared" si="104"/>
        <v>1</v>
      </c>
      <c r="M1300" s="1" t="b">
        <f>IF(OR(入力シート!$C$5&lt;&gt;入力リスト!$N$4,入力シート!$J$22&lt;&gt;入力リスト!$K$4),TRUE,IF($F$2=入力リスト!$Q$4,IF(F1300-INT(F1300)&lt;0.6,TRUE,FALSE),TRUE))</f>
        <v>1</v>
      </c>
      <c r="N1300" s="9" t="str">
        <f>IF(F1300="","",IF($F$2=入力リスト!$Q$4,ROUNDDOWN(INT(F1300)+ROUNDDOWN((F1300-INT(F1300))*100,0)/60,2),従業員の給与情報!F1300))</f>
        <v/>
      </c>
      <c r="O1300" s="8"/>
      <c r="P1300" s="8"/>
    </row>
    <row r="1301" spans="1:16">
      <c r="A1301" s="119"/>
      <c r="B1301" s="2"/>
      <c r="C1301" s="3"/>
      <c r="D1301" s="3"/>
      <c r="E1301" s="3"/>
      <c r="F1301" s="9"/>
      <c r="G1301" s="248" t="str">
        <f t="shared" si="100"/>
        <v/>
      </c>
      <c r="H1301" s="1" t="b">
        <f>IF(B1301="",FALSE,COUNTIF('従業員情報(給与以外)'!$A$4:$A$1000000,$B1301)=0)</f>
        <v>0</v>
      </c>
      <c r="I1301" s="9" t="b">
        <f t="shared" si="101"/>
        <v>1</v>
      </c>
      <c r="J1301" s="9" t="b">
        <f t="shared" si="102"/>
        <v>1</v>
      </c>
      <c r="K1301" s="9" t="b">
        <f t="shared" si="103"/>
        <v>1</v>
      </c>
      <c r="L1301" s="9" t="b">
        <f t="shared" si="104"/>
        <v>1</v>
      </c>
      <c r="M1301" s="1" t="b">
        <f>IF(OR(入力シート!$C$5&lt;&gt;入力リスト!$N$4,入力シート!$J$22&lt;&gt;入力リスト!$K$4),TRUE,IF($F$2=入力リスト!$Q$4,IF(F1301-INT(F1301)&lt;0.6,TRUE,FALSE),TRUE))</f>
        <v>1</v>
      </c>
      <c r="N1301" s="9" t="str">
        <f>IF(F1301="","",IF($F$2=入力リスト!$Q$4,ROUNDDOWN(INT(F1301)+ROUNDDOWN((F1301-INT(F1301))*100,0)/60,2),従業員の給与情報!F1301))</f>
        <v/>
      </c>
      <c r="O1301" s="8"/>
      <c r="P1301" s="8"/>
    </row>
    <row r="1302" spans="1:16">
      <c r="A1302" s="119"/>
      <c r="B1302" s="2"/>
      <c r="C1302" s="3"/>
      <c r="D1302" s="3"/>
      <c r="E1302" s="3"/>
      <c r="F1302" s="9"/>
      <c r="G1302" s="248" t="str">
        <f t="shared" si="100"/>
        <v/>
      </c>
      <c r="H1302" s="1" t="b">
        <f>IF(B1302="",FALSE,COUNTIF('従業員情報(給与以外)'!$A$4:$A$1000000,$B1302)=0)</f>
        <v>0</v>
      </c>
      <c r="I1302" s="9" t="b">
        <f t="shared" si="101"/>
        <v>1</v>
      </c>
      <c r="J1302" s="9" t="b">
        <f t="shared" si="102"/>
        <v>1</v>
      </c>
      <c r="K1302" s="9" t="b">
        <f t="shared" si="103"/>
        <v>1</v>
      </c>
      <c r="L1302" s="9" t="b">
        <f t="shared" si="104"/>
        <v>1</v>
      </c>
      <c r="M1302" s="1" t="b">
        <f>IF(OR(入力シート!$C$5&lt;&gt;入力リスト!$N$4,入力シート!$J$22&lt;&gt;入力リスト!$K$4),TRUE,IF($F$2=入力リスト!$Q$4,IF(F1302-INT(F1302)&lt;0.6,TRUE,FALSE),TRUE))</f>
        <v>1</v>
      </c>
      <c r="N1302" s="9" t="str">
        <f>IF(F1302="","",IF($F$2=入力リスト!$Q$4,ROUNDDOWN(INT(F1302)+ROUNDDOWN((F1302-INT(F1302))*100,0)/60,2),従業員の給与情報!F1302))</f>
        <v/>
      </c>
      <c r="O1302" s="8"/>
      <c r="P1302" s="8"/>
    </row>
    <row r="1303" spans="1:16">
      <c r="A1303" s="119"/>
      <c r="B1303" s="2"/>
      <c r="C1303" s="3"/>
      <c r="D1303" s="3"/>
      <c r="E1303" s="3"/>
      <c r="F1303" s="9"/>
      <c r="G1303" s="248" t="str">
        <f t="shared" si="100"/>
        <v/>
      </c>
      <c r="H1303" s="1" t="b">
        <f>IF(B1303="",FALSE,COUNTIF('従業員情報(給与以外)'!$A$4:$A$1000000,$B1303)=0)</f>
        <v>0</v>
      </c>
      <c r="I1303" s="9" t="b">
        <f t="shared" si="101"/>
        <v>1</v>
      </c>
      <c r="J1303" s="9" t="b">
        <f t="shared" si="102"/>
        <v>1</v>
      </c>
      <c r="K1303" s="9" t="b">
        <f t="shared" si="103"/>
        <v>1</v>
      </c>
      <c r="L1303" s="9" t="b">
        <f t="shared" si="104"/>
        <v>1</v>
      </c>
      <c r="M1303" s="1" t="b">
        <f>IF(OR(入力シート!$C$5&lt;&gt;入力リスト!$N$4,入力シート!$J$22&lt;&gt;入力リスト!$K$4),TRUE,IF($F$2=入力リスト!$Q$4,IF(F1303-INT(F1303)&lt;0.6,TRUE,FALSE),TRUE))</f>
        <v>1</v>
      </c>
      <c r="N1303" s="9" t="str">
        <f>IF(F1303="","",IF($F$2=入力リスト!$Q$4,ROUNDDOWN(INT(F1303)+ROUNDDOWN((F1303-INT(F1303))*100,0)/60,2),従業員の給与情報!F1303))</f>
        <v/>
      </c>
      <c r="O1303" s="8"/>
      <c r="P1303" s="8"/>
    </row>
    <row r="1304" spans="1:16">
      <c r="A1304" s="119"/>
      <c r="B1304" s="2"/>
      <c r="C1304" s="3"/>
      <c r="D1304" s="3"/>
      <c r="E1304" s="3"/>
      <c r="F1304" s="9"/>
      <c r="G1304" s="248" t="str">
        <f t="shared" si="100"/>
        <v/>
      </c>
      <c r="H1304" s="1" t="b">
        <f>IF(B1304="",FALSE,COUNTIF('従業員情報(給与以外)'!$A$4:$A$1000000,$B1304)=0)</f>
        <v>0</v>
      </c>
      <c r="I1304" s="9" t="b">
        <f t="shared" si="101"/>
        <v>1</v>
      </c>
      <c r="J1304" s="9" t="b">
        <f t="shared" si="102"/>
        <v>1</v>
      </c>
      <c r="K1304" s="9" t="b">
        <f t="shared" si="103"/>
        <v>1</v>
      </c>
      <c r="L1304" s="9" t="b">
        <f t="shared" si="104"/>
        <v>1</v>
      </c>
      <c r="M1304" s="1" t="b">
        <f>IF(OR(入力シート!$C$5&lt;&gt;入力リスト!$N$4,入力シート!$J$22&lt;&gt;入力リスト!$K$4),TRUE,IF($F$2=入力リスト!$Q$4,IF(F1304-INT(F1304)&lt;0.6,TRUE,FALSE),TRUE))</f>
        <v>1</v>
      </c>
      <c r="N1304" s="9" t="str">
        <f>IF(F1304="","",IF($F$2=入力リスト!$Q$4,ROUNDDOWN(INT(F1304)+ROUNDDOWN((F1304-INT(F1304))*100,0)/60,2),従業員の給与情報!F1304))</f>
        <v/>
      </c>
      <c r="O1304" s="8"/>
      <c r="P1304" s="8"/>
    </row>
    <row r="1305" spans="1:16">
      <c r="A1305" s="119"/>
      <c r="B1305" s="2"/>
      <c r="C1305" s="3"/>
      <c r="D1305" s="3"/>
      <c r="E1305" s="3"/>
      <c r="F1305" s="9"/>
      <c r="G1305" s="248" t="str">
        <f t="shared" si="100"/>
        <v/>
      </c>
      <c r="H1305" s="1" t="b">
        <f>IF(B1305="",FALSE,COUNTIF('従業員情報(給与以外)'!$A$4:$A$1000000,$B1305)=0)</f>
        <v>0</v>
      </c>
      <c r="I1305" s="9" t="b">
        <f t="shared" si="101"/>
        <v>1</v>
      </c>
      <c r="J1305" s="9" t="b">
        <f t="shared" si="102"/>
        <v>1</v>
      </c>
      <c r="K1305" s="9" t="b">
        <f t="shared" si="103"/>
        <v>1</v>
      </c>
      <c r="L1305" s="9" t="b">
        <f t="shared" si="104"/>
        <v>1</v>
      </c>
      <c r="M1305" s="1" t="b">
        <f>IF(OR(入力シート!$C$5&lt;&gt;入力リスト!$N$4,入力シート!$J$22&lt;&gt;入力リスト!$K$4),TRUE,IF($F$2=入力リスト!$Q$4,IF(F1305-INT(F1305)&lt;0.6,TRUE,FALSE),TRUE))</f>
        <v>1</v>
      </c>
      <c r="N1305" s="9" t="str">
        <f>IF(F1305="","",IF($F$2=入力リスト!$Q$4,ROUNDDOWN(INT(F1305)+ROUNDDOWN((F1305-INT(F1305))*100,0)/60,2),従業員の給与情報!F1305))</f>
        <v/>
      </c>
      <c r="O1305" s="8"/>
      <c r="P1305" s="8"/>
    </row>
    <row r="1306" spans="1:16">
      <c r="A1306" s="119"/>
      <c r="B1306" s="2"/>
      <c r="C1306" s="3"/>
      <c r="D1306" s="3"/>
      <c r="E1306" s="3"/>
      <c r="F1306" s="9"/>
      <c r="G1306" s="248" t="str">
        <f t="shared" si="100"/>
        <v/>
      </c>
      <c r="H1306" s="1" t="b">
        <f>IF(B1306="",FALSE,COUNTIF('従業員情報(給与以外)'!$A$4:$A$1000000,$B1306)=0)</f>
        <v>0</v>
      </c>
      <c r="I1306" s="9" t="b">
        <f t="shared" si="101"/>
        <v>1</v>
      </c>
      <c r="J1306" s="9" t="b">
        <f t="shared" si="102"/>
        <v>1</v>
      </c>
      <c r="K1306" s="9" t="b">
        <f t="shared" si="103"/>
        <v>1</v>
      </c>
      <c r="L1306" s="9" t="b">
        <f t="shared" si="104"/>
        <v>1</v>
      </c>
      <c r="M1306" s="1" t="b">
        <f>IF(OR(入力シート!$C$5&lt;&gt;入力リスト!$N$4,入力シート!$J$22&lt;&gt;入力リスト!$K$4),TRUE,IF($F$2=入力リスト!$Q$4,IF(F1306-INT(F1306)&lt;0.6,TRUE,FALSE),TRUE))</f>
        <v>1</v>
      </c>
      <c r="N1306" s="9" t="str">
        <f>IF(F1306="","",IF($F$2=入力リスト!$Q$4,ROUNDDOWN(INT(F1306)+ROUNDDOWN((F1306-INT(F1306))*100,0)/60,2),従業員の給与情報!F1306))</f>
        <v/>
      </c>
      <c r="O1306" s="8"/>
      <c r="P1306" s="8"/>
    </row>
    <row r="1307" spans="1:16">
      <c r="A1307" s="119"/>
      <c r="B1307" s="2"/>
      <c r="C1307" s="3"/>
      <c r="D1307" s="3"/>
      <c r="E1307" s="3"/>
      <c r="F1307" s="9"/>
      <c r="G1307" s="248" t="str">
        <f t="shared" si="100"/>
        <v/>
      </c>
      <c r="H1307" s="1" t="b">
        <f>IF(B1307="",FALSE,COUNTIF('従業員情報(給与以外)'!$A$4:$A$1000000,$B1307)=0)</f>
        <v>0</v>
      </c>
      <c r="I1307" s="9" t="b">
        <f t="shared" si="101"/>
        <v>1</v>
      </c>
      <c r="J1307" s="9" t="b">
        <f t="shared" si="102"/>
        <v>1</v>
      </c>
      <c r="K1307" s="9" t="b">
        <f t="shared" si="103"/>
        <v>1</v>
      </c>
      <c r="L1307" s="9" t="b">
        <f t="shared" si="104"/>
        <v>1</v>
      </c>
      <c r="M1307" s="1" t="b">
        <f>IF(OR(入力シート!$C$5&lt;&gt;入力リスト!$N$4,入力シート!$J$22&lt;&gt;入力リスト!$K$4),TRUE,IF($F$2=入力リスト!$Q$4,IF(F1307-INT(F1307)&lt;0.6,TRUE,FALSE),TRUE))</f>
        <v>1</v>
      </c>
      <c r="N1307" s="9" t="str">
        <f>IF(F1307="","",IF($F$2=入力リスト!$Q$4,ROUNDDOWN(INT(F1307)+ROUNDDOWN((F1307-INT(F1307))*100,0)/60,2),従業員の給与情報!F1307))</f>
        <v/>
      </c>
      <c r="O1307" s="8"/>
      <c r="P1307" s="8"/>
    </row>
    <row r="1308" spans="1:16">
      <c r="A1308" s="119"/>
      <c r="B1308" s="2"/>
      <c r="C1308" s="3"/>
      <c r="D1308" s="3"/>
      <c r="E1308" s="3"/>
      <c r="F1308" s="9"/>
      <c r="G1308" s="248" t="str">
        <f t="shared" si="100"/>
        <v/>
      </c>
      <c r="H1308" s="1" t="b">
        <f>IF(B1308="",FALSE,COUNTIF('従業員情報(給与以外)'!$A$4:$A$1000000,$B1308)=0)</f>
        <v>0</v>
      </c>
      <c r="I1308" s="9" t="b">
        <f t="shared" si="101"/>
        <v>1</v>
      </c>
      <c r="J1308" s="9" t="b">
        <f t="shared" si="102"/>
        <v>1</v>
      </c>
      <c r="K1308" s="9" t="b">
        <f t="shared" si="103"/>
        <v>1</v>
      </c>
      <c r="L1308" s="9" t="b">
        <f t="shared" si="104"/>
        <v>1</v>
      </c>
      <c r="M1308" s="1" t="b">
        <f>IF(OR(入力シート!$C$5&lt;&gt;入力リスト!$N$4,入力シート!$J$22&lt;&gt;入力リスト!$K$4),TRUE,IF($F$2=入力リスト!$Q$4,IF(F1308-INT(F1308)&lt;0.6,TRUE,FALSE),TRUE))</f>
        <v>1</v>
      </c>
      <c r="N1308" s="9" t="str">
        <f>IF(F1308="","",IF($F$2=入力リスト!$Q$4,ROUNDDOWN(INT(F1308)+ROUNDDOWN((F1308-INT(F1308))*100,0)/60,2),従業員の給与情報!F1308))</f>
        <v/>
      </c>
      <c r="O1308" s="8"/>
      <c r="P1308" s="8"/>
    </row>
    <row r="1309" spans="1:16">
      <c r="A1309" s="119"/>
      <c r="B1309" s="2"/>
      <c r="C1309" s="3"/>
      <c r="D1309" s="3"/>
      <c r="E1309" s="3"/>
      <c r="F1309" s="9"/>
      <c r="G1309" s="248" t="str">
        <f t="shared" si="100"/>
        <v/>
      </c>
      <c r="H1309" s="1" t="b">
        <f>IF(B1309="",FALSE,COUNTIF('従業員情報(給与以外)'!$A$4:$A$1000000,$B1309)=0)</f>
        <v>0</v>
      </c>
      <c r="I1309" s="9" t="b">
        <f t="shared" si="101"/>
        <v>1</v>
      </c>
      <c r="J1309" s="9" t="b">
        <f t="shared" si="102"/>
        <v>1</v>
      </c>
      <c r="K1309" s="9" t="b">
        <f t="shared" si="103"/>
        <v>1</v>
      </c>
      <c r="L1309" s="9" t="b">
        <f t="shared" si="104"/>
        <v>1</v>
      </c>
      <c r="M1309" s="1" t="b">
        <f>IF(OR(入力シート!$C$5&lt;&gt;入力リスト!$N$4,入力シート!$J$22&lt;&gt;入力リスト!$K$4),TRUE,IF($F$2=入力リスト!$Q$4,IF(F1309-INT(F1309)&lt;0.6,TRUE,FALSE),TRUE))</f>
        <v>1</v>
      </c>
      <c r="N1309" s="9" t="str">
        <f>IF(F1309="","",IF($F$2=入力リスト!$Q$4,ROUNDDOWN(INT(F1309)+ROUNDDOWN((F1309-INT(F1309))*100,0)/60,2),従業員の給与情報!F1309))</f>
        <v/>
      </c>
      <c r="O1309" s="8"/>
      <c r="P1309" s="8"/>
    </row>
    <row r="1310" spans="1:16">
      <c r="A1310" s="119"/>
      <c r="B1310" s="2"/>
      <c r="C1310" s="3"/>
      <c r="D1310" s="3"/>
      <c r="E1310" s="3"/>
      <c r="F1310" s="9"/>
      <c r="G1310" s="248" t="str">
        <f t="shared" si="100"/>
        <v/>
      </c>
      <c r="H1310" s="1" t="b">
        <f>IF(B1310="",FALSE,COUNTIF('従業員情報(給与以外)'!$A$4:$A$1000000,$B1310)=0)</f>
        <v>0</v>
      </c>
      <c r="I1310" s="9" t="b">
        <f t="shared" si="101"/>
        <v>1</v>
      </c>
      <c r="J1310" s="9" t="b">
        <f t="shared" si="102"/>
        <v>1</v>
      </c>
      <c r="K1310" s="9" t="b">
        <f t="shared" si="103"/>
        <v>1</v>
      </c>
      <c r="L1310" s="9" t="b">
        <f t="shared" si="104"/>
        <v>1</v>
      </c>
      <c r="M1310" s="1" t="b">
        <f>IF(OR(入力シート!$C$5&lt;&gt;入力リスト!$N$4,入力シート!$J$22&lt;&gt;入力リスト!$K$4),TRUE,IF($F$2=入力リスト!$Q$4,IF(F1310-INT(F1310)&lt;0.6,TRUE,FALSE),TRUE))</f>
        <v>1</v>
      </c>
      <c r="N1310" s="9" t="str">
        <f>IF(F1310="","",IF($F$2=入力リスト!$Q$4,ROUNDDOWN(INT(F1310)+ROUNDDOWN((F1310-INT(F1310))*100,0)/60,2),従業員の給与情報!F1310))</f>
        <v/>
      </c>
      <c r="O1310" s="8"/>
      <c r="P1310" s="8"/>
    </row>
    <row r="1311" spans="1:16">
      <c r="A1311" s="119"/>
      <c r="B1311" s="2"/>
      <c r="C1311" s="3"/>
      <c r="D1311" s="3"/>
      <c r="E1311" s="3"/>
      <c r="F1311" s="9"/>
      <c r="G1311" s="248" t="str">
        <f t="shared" si="100"/>
        <v/>
      </c>
      <c r="H1311" s="1" t="b">
        <f>IF(B1311="",FALSE,COUNTIF('従業員情報(給与以外)'!$A$4:$A$1000000,$B1311)=0)</f>
        <v>0</v>
      </c>
      <c r="I1311" s="9" t="b">
        <f t="shared" si="101"/>
        <v>1</v>
      </c>
      <c r="J1311" s="9" t="b">
        <f t="shared" si="102"/>
        <v>1</v>
      </c>
      <c r="K1311" s="9" t="b">
        <f t="shared" si="103"/>
        <v>1</v>
      </c>
      <c r="L1311" s="9" t="b">
        <f t="shared" si="104"/>
        <v>1</v>
      </c>
      <c r="M1311" s="1" t="b">
        <f>IF(OR(入力シート!$C$5&lt;&gt;入力リスト!$N$4,入力シート!$J$22&lt;&gt;入力リスト!$K$4),TRUE,IF($F$2=入力リスト!$Q$4,IF(F1311-INT(F1311)&lt;0.6,TRUE,FALSE),TRUE))</f>
        <v>1</v>
      </c>
      <c r="N1311" s="9" t="str">
        <f>IF(F1311="","",IF($F$2=入力リスト!$Q$4,ROUNDDOWN(INT(F1311)+ROUNDDOWN((F1311-INT(F1311))*100,0)/60,2),従業員の給与情報!F1311))</f>
        <v/>
      </c>
      <c r="O1311" s="8"/>
      <c r="P1311" s="8"/>
    </row>
    <row r="1312" spans="1:16">
      <c r="A1312" s="119"/>
      <c r="B1312" s="2"/>
      <c r="C1312" s="3"/>
      <c r="D1312" s="3"/>
      <c r="E1312" s="3"/>
      <c r="F1312" s="9"/>
      <c r="G1312" s="248" t="str">
        <f t="shared" si="100"/>
        <v/>
      </c>
      <c r="H1312" s="1" t="b">
        <f>IF(B1312="",FALSE,COUNTIF('従業員情報(給与以外)'!$A$4:$A$1000000,$B1312)=0)</f>
        <v>0</v>
      </c>
      <c r="I1312" s="9" t="b">
        <f t="shared" si="101"/>
        <v>1</v>
      </c>
      <c r="J1312" s="9" t="b">
        <f t="shared" si="102"/>
        <v>1</v>
      </c>
      <c r="K1312" s="9" t="b">
        <f t="shared" si="103"/>
        <v>1</v>
      </c>
      <c r="L1312" s="9" t="b">
        <f t="shared" si="104"/>
        <v>1</v>
      </c>
      <c r="M1312" s="1" t="b">
        <f>IF(OR(入力シート!$C$5&lt;&gt;入力リスト!$N$4,入力シート!$J$22&lt;&gt;入力リスト!$K$4),TRUE,IF($F$2=入力リスト!$Q$4,IF(F1312-INT(F1312)&lt;0.6,TRUE,FALSE),TRUE))</f>
        <v>1</v>
      </c>
      <c r="N1312" s="9" t="str">
        <f>IF(F1312="","",IF($F$2=入力リスト!$Q$4,ROUNDDOWN(INT(F1312)+ROUNDDOWN((F1312-INT(F1312))*100,0)/60,2),従業員の給与情報!F1312))</f>
        <v/>
      </c>
      <c r="O1312" s="8"/>
      <c r="P1312" s="8"/>
    </row>
    <row r="1313" spans="1:16">
      <c r="A1313" s="119"/>
      <c r="B1313" s="2"/>
      <c r="C1313" s="3"/>
      <c r="D1313" s="3"/>
      <c r="E1313" s="3"/>
      <c r="F1313" s="9"/>
      <c r="G1313" s="248" t="str">
        <f t="shared" si="100"/>
        <v/>
      </c>
      <c r="H1313" s="1" t="b">
        <f>IF(B1313="",FALSE,COUNTIF('従業員情報(給与以外)'!$A$4:$A$1000000,$B1313)=0)</f>
        <v>0</v>
      </c>
      <c r="I1313" s="9" t="b">
        <f t="shared" si="101"/>
        <v>1</v>
      </c>
      <c r="J1313" s="9" t="b">
        <f t="shared" si="102"/>
        <v>1</v>
      </c>
      <c r="K1313" s="9" t="b">
        <f t="shared" si="103"/>
        <v>1</v>
      </c>
      <c r="L1313" s="9" t="b">
        <f t="shared" si="104"/>
        <v>1</v>
      </c>
      <c r="M1313" s="1" t="b">
        <f>IF(OR(入力シート!$C$5&lt;&gt;入力リスト!$N$4,入力シート!$J$22&lt;&gt;入力リスト!$K$4),TRUE,IF($F$2=入力リスト!$Q$4,IF(F1313-INT(F1313)&lt;0.6,TRUE,FALSE),TRUE))</f>
        <v>1</v>
      </c>
      <c r="N1313" s="9" t="str">
        <f>IF(F1313="","",IF($F$2=入力リスト!$Q$4,ROUNDDOWN(INT(F1313)+ROUNDDOWN((F1313-INT(F1313))*100,0)/60,2),従業員の給与情報!F1313))</f>
        <v/>
      </c>
      <c r="O1313" s="8"/>
      <c r="P1313" s="8"/>
    </row>
    <row r="1314" spans="1:16">
      <c r="A1314" s="119"/>
      <c r="B1314" s="2"/>
      <c r="C1314" s="3"/>
      <c r="D1314" s="3"/>
      <c r="E1314" s="3"/>
      <c r="F1314" s="9"/>
      <c r="G1314" s="248" t="str">
        <f t="shared" si="100"/>
        <v/>
      </c>
      <c r="H1314" s="1" t="b">
        <f>IF(B1314="",FALSE,COUNTIF('従業員情報(給与以外)'!$A$4:$A$1000000,$B1314)=0)</f>
        <v>0</v>
      </c>
      <c r="I1314" s="9" t="b">
        <f t="shared" si="101"/>
        <v>1</v>
      </c>
      <c r="J1314" s="9" t="b">
        <f t="shared" si="102"/>
        <v>1</v>
      </c>
      <c r="K1314" s="9" t="b">
        <f t="shared" si="103"/>
        <v>1</v>
      </c>
      <c r="L1314" s="9" t="b">
        <f t="shared" si="104"/>
        <v>1</v>
      </c>
      <c r="M1314" s="1" t="b">
        <f>IF(OR(入力シート!$C$5&lt;&gt;入力リスト!$N$4,入力シート!$J$22&lt;&gt;入力リスト!$K$4),TRUE,IF($F$2=入力リスト!$Q$4,IF(F1314-INT(F1314)&lt;0.6,TRUE,FALSE),TRUE))</f>
        <v>1</v>
      </c>
      <c r="N1314" s="9" t="str">
        <f>IF(F1314="","",IF($F$2=入力リスト!$Q$4,ROUNDDOWN(INT(F1314)+ROUNDDOWN((F1314-INT(F1314))*100,0)/60,2),従業員の給与情報!F1314))</f>
        <v/>
      </c>
      <c r="O1314" s="8"/>
      <c r="P1314" s="8"/>
    </row>
    <row r="1315" spans="1:16">
      <c r="A1315" s="119"/>
      <c r="B1315" s="2"/>
      <c r="C1315" s="3"/>
      <c r="D1315" s="3"/>
      <c r="E1315" s="3"/>
      <c r="F1315" s="9"/>
      <c r="G1315" s="248" t="str">
        <f t="shared" si="100"/>
        <v/>
      </c>
      <c r="H1315" s="1" t="b">
        <f>IF(B1315="",FALSE,COUNTIF('従業員情報(給与以外)'!$A$4:$A$1000000,$B1315)=0)</f>
        <v>0</v>
      </c>
      <c r="I1315" s="9" t="b">
        <f t="shared" si="101"/>
        <v>1</v>
      </c>
      <c r="J1315" s="9" t="b">
        <f t="shared" si="102"/>
        <v>1</v>
      </c>
      <c r="K1315" s="9" t="b">
        <f t="shared" si="103"/>
        <v>1</v>
      </c>
      <c r="L1315" s="9" t="b">
        <f t="shared" si="104"/>
        <v>1</v>
      </c>
      <c r="M1315" s="1" t="b">
        <f>IF(OR(入力シート!$C$5&lt;&gt;入力リスト!$N$4,入力シート!$J$22&lt;&gt;入力リスト!$K$4),TRUE,IF($F$2=入力リスト!$Q$4,IF(F1315-INT(F1315)&lt;0.6,TRUE,FALSE),TRUE))</f>
        <v>1</v>
      </c>
      <c r="N1315" s="9" t="str">
        <f>IF(F1315="","",IF($F$2=入力リスト!$Q$4,ROUNDDOWN(INT(F1315)+ROUNDDOWN((F1315-INT(F1315))*100,0)/60,2),従業員の給与情報!F1315))</f>
        <v/>
      </c>
      <c r="O1315" s="8"/>
      <c r="P1315" s="8"/>
    </row>
    <row r="1316" spans="1:16">
      <c r="A1316" s="119"/>
      <c r="B1316" s="2"/>
      <c r="C1316" s="3"/>
      <c r="D1316" s="3"/>
      <c r="E1316" s="3"/>
      <c r="F1316" s="9"/>
      <c r="G1316" s="248" t="str">
        <f t="shared" si="100"/>
        <v/>
      </c>
      <c r="H1316" s="1" t="b">
        <f>IF(B1316="",FALSE,COUNTIF('従業員情報(給与以外)'!$A$4:$A$1000000,$B1316)=0)</f>
        <v>0</v>
      </c>
      <c r="I1316" s="9" t="b">
        <f t="shared" si="101"/>
        <v>1</v>
      </c>
      <c r="J1316" s="9" t="b">
        <f t="shared" si="102"/>
        <v>1</v>
      </c>
      <c r="K1316" s="9" t="b">
        <f t="shared" si="103"/>
        <v>1</v>
      </c>
      <c r="L1316" s="9" t="b">
        <f t="shared" si="104"/>
        <v>1</v>
      </c>
      <c r="M1316" s="1" t="b">
        <f>IF(OR(入力シート!$C$5&lt;&gt;入力リスト!$N$4,入力シート!$J$22&lt;&gt;入力リスト!$K$4),TRUE,IF($F$2=入力リスト!$Q$4,IF(F1316-INT(F1316)&lt;0.6,TRUE,FALSE),TRUE))</f>
        <v>1</v>
      </c>
      <c r="N1316" s="9" t="str">
        <f>IF(F1316="","",IF($F$2=入力リスト!$Q$4,ROUNDDOWN(INT(F1316)+ROUNDDOWN((F1316-INT(F1316))*100,0)/60,2),従業員の給与情報!F1316))</f>
        <v/>
      </c>
      <c r="O1316" s="8"/>
      <c r="P1316" s="8"/>
    </row>
    <row r="1317" spans="1:16">
      <c r="A1317" s="119"/>
      <c r="B1317" s="2"/>
      <c r="C1317" s="3"/>
      <c r="D1317" s="3"/>
      <c r="E1317" s="3"/>
      <c r="F1317" s="9"/>
      <c r="G1317" s="248" t="str">
        <f t="shared" si="100"/>
        <v/>
      </c>
      <c r="H1317" s="1" t="b">
        <f>IF(B1317="",FALSE,COUNTIF('従業員情報(給与以外)'!$A$4:$A$1000000,$B1317)=0)</f>
        <v>0</v>
      </c>
      <c r="I1317" s="9" t="b">
        <f t="shared" si="101"/>
        <v>1</v>
      </c>
      <c r="J1317" s="9" t="b">
        <f t="shared" si="102"/>
        <v>1</v>
      </c>
      <c r="K1317" s="9" t="b">
        <f t="shared" si="103"/>
        <v>1</v>
      </c>
      <c r="L1317" s="9" t="b">
        <f t="shared" si="104"/>
        <v>1</v>
      </c>
      <c r="M1317" s="1" t="b">
        <f>IF(OR(入力シート!$C$5&lt;&gt;入力リスト!$N$4,入力シート!$J$22&lt;&gt;入力リスト!$K$4),TRUE,IF($F$2=入力リスト!$Q$4,IF(F1317-INT(F1317)&lt;0.6,TRUE,FALSE),TRUE))</f>
        <v>1</v>
      </c>
      <c r="N1317" s="9" t="str">
        <f>IF(F1317="","",IF($F$2=入力リスト!$Q$4,ROUNDDOWN(INT(F1317)+ROUNDDOWN((F1317-INT(F1317))*100,0)/60,2),従業員の給与情報!F1317))</f>
        <v/>
      </c>
      <c r="O1317" s="8"/>
      <c r="P1317" s="8"/>
    </row>
    <row r="1318" spans="1:16">
      <c r="A1318" s="119"/>
      <c r="B1318" s="2"/>
      <c r="C1318" s="3"/>
      <c r="D1318" s="3"/>
      <c r="E1318" s="3"/>
      <c r="F1318" s="9"/>
      <c r="G1318" s="248" t="str">
        <f t="shared" si="100"/>
        <v/>
      </c>
      <c r="H1318" s="1" t="b">
        <f>IF(B1318="",FALSE,COUNTIF('従業員情報(給与以外)'!$A$4:$A$1000000,$B1318)=0)</f>
        <v>0</v>
      </c>
      <c r="I1318" s="9" t="b">
        <f t="shared" si="101"/>
        <v>1</v>
      </c>
      <c r="J1318" s="9" t="b">
        <f t="shared" si="102"/>
        <v>1</v>
      </c>
      <c r="K1318" s="9" t="b">
        <f t="shared" si="103"/>
        <v>1</v>
      </c>
      <c r="L1318" s="9" t="b">
        <f t="shared" si="104"/>
        <v>1</v>
      </c>
      <c r="M1318" s="1" t="b">
        <f>IF(OR(入力シート!$C$5&lt;&gt;入力リスト!$N$4,入力シート!$J$22&lt;&gt;入力リスト!$K$4),TRUE,IF($F$2=入力リスト!$Q$4,IF(F1318-INT(F1318)&lt;0.6,TRUE,FALSE),TRUE))</f>
        <v>1</v>
      </c>
      <c r="N1318" s="9" t="str">
        <f>IF(F1318="","",IF($F$2=入力リスト!$Q$4,ROUNDDOWN(INT(F1318)+ROUNDDOWN((F1318-INT(F1318))*100,0)/60,2),従業員の給与情報!F1318))</f>
        <v/>
      </c>
      <c r="O1318" s="8"/>
      <c r="P1318" s="8"/>
    </row>
    <row r="1319" spans="1:16">
      <c r="A1319" s="119"/>
      <c r="B1319" s="2"/>
      <c r="C1319" s="3"/>
      <c r="D1319" s="3"/>
      <c r="E1319" s="3"/>
      <c r="F1319" s="9"/>
      <c r="G1319" s="248" t="str">
        <f t="shared" si="100"/>
        <v/>
      </c>
      <c r="H1319" s="1" t="b">
        <f>IF(B1319="",FALSE,COUNTIF('従業員情報(給与以外)'!$A$4:$A$1000000,$B1319)=0)</f>
        <v>0</v>
      </c>
      <c r="I1319" s="9" t="b">
        <f t="shared" si="101"/>
        <v>1</v>
      </c>
      <c r="J1319" s="9" t="b">
        <f t="shared" si="102"/>
        <v>1</v>
      </c>
      <c r="K1319" s="9" t="b">
        <f t="shared" si="103"/>
        <v>1</v>
      </c>
      <c r="L1319" s="9" t="b">
        <f t="shared" si="104"/>
        <v>1</v>
      </c>
      <c r="M1319" s="1" t="b">
        <f>IF(OR(入力シート!$C$5&lt;&gt;入力リスト!$N$4,入力シート!$J$22&lt;&gt;入力リスト!$K$4),TRUE,IF($F$2=入力リスト!$Q$4,IF(F1319-INT(F1319)&lt;0.6,TRUE,FALSE),TRUE))</f>
        <v>1</v>
      </c>
      <c r="N1319" s="9" t="str">
        <f>IF(F1319="","",IF($F$2=入力リスト!$Q$4,ROUNDDOWN(INT(F1319)+ROUNDDOWN((F1319-INT(F1319))*100,0)/60,2),従業員の給与情報!F1319))</f>
        <v/>
      </c>
      <c r="O1319" s="8"/>
      <c r="P1319" s="8"/>
    </row>
    <row r="1320" spans="1:16">
      <c r="A1320" s="119"/>
      <c r="B1320" s="2"/>
      <c r="C1320" s="3"/>
      <c r="D1320" s="3"/>
      <c r="E1320" s="3"/>
      <c r="F1320" s="9"/>
      <c r="G1320" s="248" t="str">
        <f t="shared" si="100"/>
        <v/>
      </c>
      <c r="H1320" s="1" t="b">
        <f>IF(B1320="",FALSE,COUNTIF('従業員情報(給与以外)'!$A$4:$A$1000000,$B1320)=0)</f>
        <v>0</v>
      </c>
      <c r="I1320" s="9" t="b">
        <f t="shared" si="101"/>
        <v>1</v>
      </c>
      <c r="J1320" s="9" t="b">
        <f t="shared" si="102"/>
        <v>1</v>
      </c>
      <c r="K1320" s="9" t="b">
        <f t="shared" si="103"/>
        <v>1</v>
      </c>
      <c r="L1320" s="9" t="b">
        <f t="shared" si="104"/>
        <v>1</v>
      </c>
      <c r="M1320" s="1" t="b">
        <f>IF(OR(入力シート!$C$5&lt;&gt;入力リスト!$N$4,入力シート!$J$22&lt;&gt;入力リスト!$K$4),TRUE,IF($F$2=入力リスト!$Q$4,IF(F1320-INT(F1320)&lt;0.6,TRUE,FALSE),TRUE))</f>
        <v>1</v>
      </c>
      <c r="N1320" s="9" t="str">
        <f>IF(F1320="","",IF($F$2=入力リスト!$Q$4,ROUNDDOWN(INT(F1320)+ROUNDDOWN((F1320-INT(F1320))*100,0)/60,2),従業員の給与情報!F1320))</f>
        <v/>
      </c>
      <c r="O1320" s="8"/>
      <c r="P1320" s="8"/>
    </row>
    <row r="1321" spans="1:16">
      <c r="A1321" s="119"/>
      <c r="B1321" s="2"/>
      <c r="C1321" s="3"/>
      <c r="D1321" s="3"/>
      <c r="E1321" s="3"/>
      <c r="F1321" s="9"/>
      <c r="G1321" s="248" t="str">
        <f t="shared" si="100"/>
        <v/>
      </c>
      <c r="H1321" s="1" t="b">
        <f>IF(B1321="",FALSE,COUNTIF('従業員情報(給与以外)'!$A$4:$A$1000000,$B1321)=0)</f>
        <v>0</v>
      </c>
      <c r="I1321" s="9" t="b">
        <f t="shared" si="101"/>
        <v>1</v>
      </c>
      <c r="J1321" s="9" t="b">
        <f t="shared" si="102"/>
        <v>1</v>
      </c>
      <c r="K1321" s="9" t="b">
        <f t="shared" si="103"/>
        <v>1</v>
      </c>
      <c r="L1321" s="9" t="b">
        <f t="shared" si="104"/>
        <v>1</v>
      </c>
      <c r="M1321" s="1" t="b">
        <f>IF(OR(入力シート!$C$5&lt;&gt;入力リスト!$N$4,入力シート!$J$22&lt;&gt;入力リスト!$K$4),TRUE,IF($F$2=入力リスト!$Q$4,IF(F1321-INT(F1321)&lt;0.6,TRUE,FALSE),TRUE))</f>
        <v>1</v>
      </c>
      <c r="N1321" s="9" t="str">
        <f>IF(F1321="","",IF($F$2=入力リスト!$Q$4,ROUNDDOWN(INT(F1321)+ROUNDDOWN((F1321-INT(F1321))*100,0)/60,2),従業員の給与情報!F1321))</f>
        <v/>
      </c>
      <c r="O1321" s="8"/>
      <c r="P1321" s="8"/>
    </row>
    <row r="1322" spans="1:16">
      <c r="A1322" s="119"/>
      <c r="B1322" s="2"/>
      <c r="C1322" s="3"/>
      <c r="D1322" s="3"/>
      <c r="E1322" s="3"/>
      <c r="F1322" s="9"/>
      <c r="G1322" s="248" t="str">
        <f t="shared" si="100"/>
        <v/>
      </c>
      <c r="H1322" s="1" t="b">
        <f>IF(B1322="",FALSE,COUNTIF('従業員情報(給与以外)'!$A$4:$A$1000000,$B1322)=0)</f>
        <v>0</v>
      </c>
      <c r="I1322" s="9" t="b">
        <f t="shared" si="101"/>
        <v>1</v>
      </c>
      <c r="J1322" s="9" t="b">
        <f t="shared" si="102"/>
        <v>1</v>
      </c>
      <c r="K1322" s="9" t="b">
        <f t="shared" si="103"/>
        <v>1</v>
      </c>
      <c r="L1322" s="9" t="b">
        <f t="shared" si="104"/>
        <v>1</v>
      </c>
      <c r="M1322" s="1" t="b">
        <f>IF(OR(入力シート!$C$5&lt;&gt;入力リスト!$N$4,入力シート!$J$22&lt;&gt;入力リスト!$K$4),TRUE,IF($F$2=入力リスト!$Q$4,IF(F1322-INT(F1322)&lt;0.6,TRUE,FALSE),TRUE))</f>
        <v>1</v>
      </c>
      <c r="N1322" s="9" t="str">
        <f>IF(F1322="","",IF($F$2=入力リスト!$Q$4,ROUNDDOWN(INT(F1322)+ROUNDDOWN((F1322-INT(F1322))*100,0)/60,2),従業員の給与情報!F1322))</f>
        <v/>
      </c>
      <c r="O1322" s="8"/>
      <c r="P1322" s="8"/>
    </row>
    <row r="1323" spans="1:16">
      <c r="A1323" s="119"/>
      <c r="B1323" s="2"/>
      <c r="C1323" s="3"/>
      <c r="D1323" s="3"/>
      <c r="E1323" s="3"/>
      <c r="F1323" s="9"/>
      <c r="G1323" s="248" t="str">
        <f t="shared" si="100"/>
        <v/>
      </c>
      <c r="H1323" s="1" t="b">
        <f>IF(B1323="",FALSE,COUNTIF('従業員情報(給与以外)'!$A$4:$A$1000000,$B1323)=0)</f>
        <v>0</v>
      </c>
      <c r="I1323" s="9" t="b">
        <f t="shared" si="101"/>
        <v>1</v>
      </c>
      <c r="J1323" s="9" t="b">
        <f t="shared" si="102"/>
        <v>1</v>
      </c>
      <c r="K1323" s="9" t="b">
        <f t="shared" si="103"/>
        <v>1</v>
      </c>
      <c r="L1323" s="9" t="b">
        <f t="shared" si="104"/>
        <v>1</v>
      </c>
      <c r="M1323" s="1" t="b">
        <f>IF(OR(入力シート!$C$5&lt;&gt;入力リスト!$N$4,入力シート!$J$22&lt;&gt;入力リスト!$K$4),TRUE,IF($F$2=入力リスト!$Q$4,IF(F1323-INT(F1323)&lt;0.6,TRUE,FALSE),TRUE))</f>
        <v>1</v>
      </c>
      <c r="N1323" s="9" t="str">
        <f>IF(F1323="","",IF($F$2=入力リスト!$Q$4,ROUNDDOWN(INT(F1323)+ROUNDDOWN((F1323-INT(F1323))*100,0)/60,2),従業員の給与情報!F1323))</f>
        <v/>
      </c>
      <c r="O1323" s="8"/>
      <c r="P1323" s="8"/>
    </row>
    <row r="1324" spans="1:16">
      <c r="A1324" s="119"/>
      <c r="B1324" s="2"/>
      <c r="C1324" s="3"/>
      <c r="D1324" s="3"/>
      <c r="E1324" s="3"/>
      <c r="F1324" s="9"/>
      <c r="G1324" s="248" t="str">
        <f t="shared" si="100"/>
        <v/>
      </c>
      <c r="H1324" s="1" t="b">
        <f>IF(B1324="",FALSE,COUNTIF('従業員情報(給与以外)'!$A$4:$A$1000000,$B1324)=0)</f>
        <v>0</v>
      </c>
      <c r="I1324" s="9" t="b">
        <f t="shared" si="101"/>
        <v>1</v>
      </c>
      <c r="J1324" s="9" t="b">
        <f t="shared" si="102"/>
        <v>1</v>
      </c>
      <c r="K1324" s="9" t="b">
        <f t="shared" si="103"/>
        <v>1</v>
      </c>
      <c r="L1324" s="9" t="b">
        <f t="shared" si="104"/>
        <v>1</v>
      </c>
      <c r="M1324" s="1" t="b">
        <f>IF(OR(入力シート!$C$5&lt;&gt;入力リスト!$N$4,入力シート!$J$22&lt;&gt;入力リスト!$K$4),TRUE,IF($F$2=入力リスト!$Q$4,IF(F1324-INT(F1324)&lt;0.6,TRUE,FALSE),TRUE))</f>
        <v>1</v>
      </c>
      <c r="N1324" s="9" t="str">
        <f>IF(F1324="","",IF($F$2=入力リスト!$Q$4,ROUNDDOWN(INT(F1324)+ROUNDDOWN((F1324-INT(F1324))*100,0)/60,2),従業員の給与情報!F1324))</f>
        <v/>
      </c>
      <c r="O1324" s="8"/>
      <c r="P1324" s="8"/>
    </row>
    <row r="1325" spans="1:16">
      <c r="A1325" s="119"/>
      <c r="B1325" s="2"/>
      <c r="C1325" s="3"/>
      <c r="D1325" s="3"/>
      <c r="E1325" s="3"/>
      <c r="F1325" s="9"/>
      <c r="G1325" s="248" t="str">
        <f t="shared" si="100"/>
        <v/>
      </c>
      <c r="H1325" s="1" t="b">
        <f>IF(B1325="",FALSE,COUNTIF('従業員情報(給与以外)'!$A$4:$A$1000000,$B1325)=0)</f>
        <v>0</v>
      </c>
      <c r="I1325" s="9" t="b">
        <f t="shared" si="101"/>
        <v>1</v>
      </c>
      <c r="J1325" s="9" t="b">
        <f t="shared" si="102"/>
        <v>1</v>
      </c>
      <c r="K1325" s="9" t="b">
        <f t="shared" si="103"/>
        <v>1</v>
      </c>
      <c r="L1325" s="9" t="b">
        <f t="shared" si="104"/>
        <v>1</v>
      </c>
      <c r="M1325" s="1" t="b">
        <f>IF(OR(入力シート!$C$5&lt;&gt;入力リスト!$N$4,入力シート!$J$22&lt;&gt;入力リスト!$K$4),TRUE,IF($F$2=入力リスト!$Q$4,IF(F1325-INT(F1325)&lt;0.6,TRUE,FALSE),TRUE))</f>
        <v>1</v>
      </c>
      <c r="N1325" s="9" t="str">
        <f>IF(F1325="","",IF($F$2=入力リスト!$Q$4,ROUNDDOWN(INT(F1325)+ROUNDDOWN((F1325-INT(F1325))*100,0)/60,2),従業員の給与情報!F1325))</f>
        <v/>
      </c>
      <c r="O1325" s="8"/>
      <c r="P1325" s="8"/>
    </row>
    <row r="1326" spans="1:16">
      <c r="A1326" s="119"/>
      <c r="B1326" s="2"/>
      <c r="C1326" s="3"/>
      <c r="D1326" s="3"/>
      <c r="E1326" s="3"/>
      <c r="F1326" s="9"/>
      <c r="G1326" s="248" t="str">
        <f t="shared" si="100"/>
        <v/>
      </c>
      <c r="H1326" s="1" t="b">
        <f>IF(B1326="",FALSE,COUNTIF('従業員情報(給与以外)'!$A$4:$A$1000000,$B1326)=0)</f>
        <v>0</v>
      </c>
      <c r="I1326" s="9" t="b">
        <f t="shared" si="101"/>
        <v>1</v>
      </c>
      <c r="J1326" s="9" t="b">
        <f t="shared" si="102"/>
        <v>1</v>
      </c>
      <c r="K1326" s="9" t="b">
        <f t="shared" si="103"/>
        <v>1</v>
      </c>
      <c r="L1326" s="9" t="b">
        <f t="shared" si="104"/>
        <v>1</v>
      </c>
      <c r="M1326" s="1" t="b">
        <f>IF(OR(入力シート!$C$5&lt;&gt;入力リスト!$N$4,入力シート!$J$22&lt;&gt;入力リスト!$K$4),TRUE,IF($F$2=入力リスト!$Q$4,IF(F1326-INT(F1326)&lt;0.6,TRUE,FALSE),TRUE))</f>
        <v>1</v>
      </c>
      <c r="N1326" s="9" t="str">
        <f>IF(F1326="","",IF($F$2=入力リスト!$Q$4,ROUNDDOWN(INT(F1326)+ROUNDDOWN((F1326-INT(F1326))*100,0)/60,2),従業員の給与情報!F1326))</f>
        <v/>
      </c>
      <c r="O1326" s="8"/>
      <c r="P1326" s="8"/>
    </row>
    <row r="1327" spans="1:16">
      <c r="A1327" s="119"/>
      <c r="B1327" s="2"/>
      <c r="C1327" s="3"/>
      <c r="D1327" s="3"/>
      <c r="E1327" s="3"/>
      <c r="F1327" s="9"/>
      <c r="G1327" s="248" t="str">
        <f t="shared" si="100"/>
        <v/>
      </c>
      <c r="H1327" s="1" t="b">
        <f>IF(B1327="",FALSE,COUNTIF('従業員情報(給与以外)'!$A$4:$A$1000000,$B1327)=0)</f>
        <v>0</v>
      </c>
      <c r="I1327" s="9" t="b">
        <f t="shared" si="101"/>
        <v>1</v>
      </c>
      <c r="J1327" s="9" t="b">
        <f t="shared" si="102"/>
        <v>1</v>
      </c>
      <c r="K1327" s="9" t="b">
        <f t="shared" si="103"/>
        <v>1</v>
      </c>
      <c r="L1327" s="9" t="b">
        <f t="shared" si="104"/>
        <v>1</v>
      </c>
      <c r="M1327" s="1" t="b">
        <f>IF(OR(入力シート!$C$5&lt;&gt;入力リスト!$N$4,入力シート!$J$22&lt;&gt;入力リスト!$K$4),TRUE,IF($F$2=入力リスト!$Q$4,IF(F1327-INT(F1327)&lt;0.6,TRUE,FALSE),TRUE))</f>
        <v>1</v>
      </c>
      <c r="N1327" s="9" t="str">
        <f>IF(F1327="","",IF($F$2=入力リスト!$Q$4,ROUNDDOWN(INT(F1327)+ROUNDDOWN((F1327-INT(F1327))*100,0)/60,2),従業員の給与情報!F1327))</f>
        <v/>
      </c>
      <c r="O1327" s="8"/>
      <c r="P1327" s="8"/>
    </row>
    <row r="1328" spans="1:16">
      <c r="A1328" s="119"/>
      <c r="B1328" s="2"/>
      <c r="C1328" s="3"/>
      <c r="D1328" s="3"/>
      <c r="E1328" s="3"/>
      <c r="F1328" s="9"/>
      <c r="G1328" s="248" t="str">
        <f t="shared" si="100"/>
        <v/>
      </c>
      <c r="H1328" s="1" t="b">
        <f>IF(B1328="",FALSE,COUNTIF('従業員情報(給与以外)'!$A$4:$A$1000000,$B1328)=0)</f>
        <v>0</v>
      </c>
      <c r="I1328" s="9" t="b">
        <f t="shared" si="101"/>
        <v>1</v>
      </c>
      <c r="J1328" s="9" t="b">
        <f t="shared" si="102"/>
        <v>1</v>
      </c>
      <c r="K1328" s="9" t="b">
        <f t="shared" si="103"/>
        <v>1</v>
      </c>
      <c r="L1328" s="9" t="b">
        <f t="shared" si="104"/>
        <v>1</v>
      </c>
      <c r="M1328" s="1" t="b">
        <f>IF(OR(入力シート!$C$5&lt;&gt;入力リスト!$N$4,入力シート!$J$22&lt;&gt;入力リスト!$K$4),TRUE,IF($F$2=入力リスト!$Q$4,IF(F1328-INT(F1328)&lt;0.6,TRUE,FALSE),TRUE))</f>
        <v>1</v>
      </c>
      <c r="N1328" s="9" t="str">
        <f>IF(F1328="","",IF($F$2=入力リスト!$Q$4,ROUNDDOWN(INT(F1328)+ROUNDDOWN((F1328-INT(F1328))*100,0)/60,2),従業員の給与情報!F1328))</f>
        <v/>
      </c>
      <c r="O1328" s="8"/>
      <c r="P1328" s="8"/>
    </row>
    <row r="1329" spans="1:16">
      <c r="A1329" s="119"/>
      <c r="B1329" s="2"/>
      <c r="C1329" s="3"/>
      <c r="D1329" s="3"/>
      <c r="E1329" s="3"/>
      <c r="F1329" s="9"/>
      <c r="G1329" s="248" t="str">
        <f t="shared" si="100"/>
        <v/>
      </c>
      <c r="H1329" s="1" t="b">
        <f>IF(B1329="",FALSE,COUNTIF('従業員情報(給与以外)'!$A$4:$A$1000000,$B1329)=0)</f>
        <v>0</v>
      </c>
      <c r="I1329" s="9" t="b">
        <f t="shared" si="101"/>
        <v>1</v>
      </c>
      <c r="J1329" s="9" t="b">
        <f t="shared" si="102"/>
        <v>1</v>
      </c>
      <c r="K1329" s="9" t="b">
        <f t="shared" si="103"/>
        <v>1</v>
      </c>
      <c r="L1329" s="9" t="b">
        <f t="shared" si="104"/>
        <v>1</v>
      </c>
      <c r="M1329" s="1" t="b">
        <f>IF(OR(入力シート!$C$5&lt;&gt;入力リスト!$N$4,入力シート!$J$22&lt;&gt;入力リスト!$K$4),TRUE,IF($F$2=入力リスト!$Q$4,IF(F1329-INT(F1329)&lt;0.6,TRUE,FALSE),TRUE))</f>
        <v>1</v>
      </c>
      <c r="N1329" s="9" t="str">
        <f>IF(F1329="","",IF($F$2=入力リスト!$Q$4,ROUNDDOWN(INT(F1329)+ROUNDDOWN((F1329-INT(F1329))*100,0)/60,2),従業員の給与情報!F1329))</f>
        <v/>
      </c>
      <c r="O1329" s="8"/>
      <c r="P1329" s="8"/>
    </row>
    <row r="1330" spans="1:16">
      <c r="A1330" s="119"/>
      <c r="B1330" s="2"/>
      <c r="C1330" s="3"/>
      <c r="D1330" s="3"/>
      <c r="E1330" s="3"/>
      <c r="F1330" s="9"/>
      <c r="G1330" s="248" t="str">
        <f t="shared" si="100"/>
        <v/>
      </c>
      <c r="H1330" s="1" t="b">
        <f>IF(B1330="",FALSE,COUNTIF('従業員情報(給与以外)'!$A$4:$A$1000000,$B1330)=0)</f>
        <v>0</v>
      </c>
      <c r="I1330" s="9" t="b">
        <f t="shared" si="101"/>
        <v>1</v>
      </c>
      <c r="J1330" s="9" t="b">
        <f t="shared" si="102"/>
        <v>1</v>
      </c>
      <c r="K1330" s="9" t="b">
        <f t="shared" si="103"/>
        <v>1</v>
      </c>
      <c r="L1330" s="9" t="b">
        <f t="shared" si="104"/>
        <v>1</v>
      </c>
      <c r="M1330" s="1" t="b">
        <f>IF(OR(入力シート!$C$5&lt;&gt;入力リスト!$N$4,入力シート!$J$22&lt;&gt;入力リスト!$K$4),TRUE,IF($F$2=入力リスト!$Q$4,IF(F1330-INT(F1330)&lt;0.6,TRUE,FALSE),TRUE))</f>
        <v>1</v>
      </c>
      <c r="N1330" s="9" t="str">
        <f>IF(F1330="","",IF($F$2=入力リスト!$Q$4,ROUNDDOWN(INT(F1330)+ROUNDDOWN((F1330-INT(F1330))*100,0)/60,2),従業員の給与情報!F1330))</f>
        <v/>
      </c>
      <c r="O1330" s="8"/>
      <c r="P1330" s="8"/>
    </row>
    <row r="1331" spans="1:16">
      <c r="A1331" s="119"/>
      <c r="B1331" s="2"/>
      <c r="C1331" s="3"/>
      <c r="D1331" s="3"/>
      <c r="E1331" s="3"/>
      <c r="F1331" s="9"/>
      <c r="G1331" s="248" t="str">
        <f t="shared" si="100"/>
        <v/>
      </c>
      <c r="H1331" s="1" t="b">
        <f>IF(B1331="",FALSE,COUNTIF('従業員情報(給与以外)'!$A$4:$A$1000000,$B1331)=0)</f>
        <v>0</v>
      </c>
      <c r="I1331" s="9" t="b">
        <f t="shared" si="101"/>
        <v>1</v>
      </c>
      <c r="J1331" s="9" t="b">
        <f t="shared" si="102"/>
        <v>1</v>
      </c>
      <c r="K1331" s="9" t="b">
        <f t="shared" si="103"/>
        <v>1</v>
      </c>
      <c r="L1331" s="9" t="b">
        <f t="shared" si="104"/>
        <v>1</v>
      </c>
      <c r="M1331" s="1" t="b">
        <f>IF(OR(入力シート!$C$5&lt;&gt;入力リスト!$N$4,入力シート!$J$22&lt;&gt;入力リスト!$K$4),TRUE,IF($F$2=入力リスト!$Q$4,IF(F1331-INT(F1331)&lt;0.6,TRUE,FALSE),TRUE))</f>
        <v>1</v>
      </c>
      <c r="N1331" s="9" t="str">
        <f>IF(F1331="","",IF($F$2=入力リスト!$Q$4,ROUNDDOWN(INT(F1331)+ROUNDDOWN((F1331-INT(F1331))*100,0)/60,2),従業員の給与情報!F1331))</f>
        <v/>
      </c>
      <c r="O1331" s="8"/>
      <c r="P1331" s="8"/>
    </row>
    <row r="1332" spans="1:16">
      <c r="A1332" s="119"/>
      <c r="B1332" s="2"/>
      <c r="C1332" s="3"/>
      <c r="D1332" s="3"/>
      <c r="E1332" s="3"/>
      <c r="F1332" s="9"/>
      <c r="G1332" s="248" t="str">
        <f t="shared" si="100"/>
        <v/>
      </c>
      <c r="H1332" s="1" t="b">
        <f>IF(B1332="",FALSE,COUNTIF('従業員情報(給与以外)'!$A$4:$A$1000000,$B1332)=0)</f>
        <v>0</v>
      </c>
      <c r="I1332" s="9" t="b">
        <f t="shared" si="101"/>
        <v>1</v>
      </c>
      <c r="J1332" s="9" t="b">
        <f t="shared" si="102"/>
        <v>1</v>
      </c>
      <c r="K1332" s="9" t="b">
        <f t="shared" si="103"/>
        <v>1</v>
      </c>
      <c r="L1332" s="9" t="b">
        <f t="shared" si="104"/>
        <v>1</v>
      </c>
      <c r="M1332" s="1" t="b">
        <f>IF(OR(入力シート!$C$5&lt;&gt;入力リスト!$N$4,入力シート!$J$22&lt;&gt;入力リスト!$K$4),TRUE,IF($F$2=入力リスト!$Q$4,IF(F1332-INT(F1332)&lt;0.6,TRUE,FALSE),TRUE))</f>
        <v>1</v>
      </c>
      <c r="N1332" s="9" t="str">
        <f>IF(F1332="","",IF($F$2=入力リスト!$Q$4,ROUNDDOWN(INT(F1332)+ROUNDDOWN((F1332-INT(F1332))*100,0)/60,2),従業員の給与情報!F1332))</f>
        <v/>
      </c>
      <c r="O1332" s="8"/>
      <c r="P1332" s="8"/>
    </row>
    <row r="1333" spans="1:16">
      <c r="A1333" s="119"/>
      <c r="B1333" s="2"/>
      <c r="C1333" s="3"/>
      <c r="D1333" s="3"/>
      <c r="E1333" s="3"/>
      <c r="F1333" s="9"/>
      <c r="G1333" s="248" t="str">
        <f t="shared" si="100"/>
        <v/>
      </c>
      <c r="H1333" s="1" t="b">
        <f>IF(B1333="",FALSE,COUNTIF('従業員情報(給与以外)'!$A$4:$A$1000000,$B1333)=0)</f>
        <v>0</v>
      </c>
      <c r="I1333" s="9" t="b">
        <f t="shared" si="101"/>
        <v>1</v>
      </c>
      <c r="J1333" s="9" t="b">
        <f t="shared" si="102"/>
        <v>1</v>
      </c>
      <c r="K1333" s="9" t="b">
        <f t="shared" si="103"/>
        <v>1</v>
      </c>
      <c r="L1333" s="9" t="b">
        <f t="shared" si="104"/>
        <v>1</v>
      </c>
      <c r="M1333" s="1" t="b">
        <f>IF(OR(入力シート!$C$5&lt;&gt;入力リスト!$N$4,入力シート!$J$22&lt;&gt;入力リスト!$K$4),TRUE,IF($F$2=入力リスト!$Q$4,IF(F1333-INT(F1333)&lt;0.6,TRUE,FALSE),TRUE))</f>
        <v>1</v>
      </c>
      <c r="N1333" s="9" t="str">
        <f>IF(F1333="","",IF($F$2=入力リスト!$Q$4,ROUNDDOWN(INT(F1333)+ROUNDDOWN((F1333-INT(F1333))*100,0)/60,2),従業員の給与情報!F1333))</f>
        <v/>
      </c>
      <c r="O1333" s="8"/>
      <c r="P1333" s="8"/>
    </row>
    <row r="1334" spans="1:16">
      <c r="A1334" s="119"/>
      <c r="B1334" s="2"/>
      <c r="C1334" s="3"/>
      <c r="D1334" s="3"/>
      <c r="E1334" s="3"/>
      <c r="F1334" s="9"/>
      <c r="G1334" s="248" t="str">
        <f t="shared" si="100"/>
        <v/>
      </c>
      <c r="H1334" s="1" t="b">
        <f>IF(B1334="",FALSE,COUNTIF('従業員情報(給与以外)'!$A$4:$A$1000000,$B1334)=0)</f>
        <v>0</v>
      </c>
      <c r="I1334" s="9" t="b">
        <f t="shared" si="101"/>
        <v>1</v>
      </c>
      <c r="J1334" s="9" t="b">
        <f t="shared" si="102"/>
        <v>1</v>
      </c>
      <c r="K1334" s="9" t="b">
        <f t="shared" si="103"/>
        <v>1</v>
      </c>
      <c r="L1334" s="9" t="b">
        <f t="shared" si="104"/>
        <v>1</v>
      </c>
      <c r="M1334" s="1" t="b">
        <f>IF(OR(入力シート!$C$5&lt;&gt;入力リスト!$N$4,入力シート!$J$22&lt;&gt;入力リスト!$K$4),TRUE,IF($F$2=入力リスト!$Q$4,IF(F1334-INT(F1334)&lt;0.6,TRUE,FALSE),TRUE))</f>
        <v>1</v>
      </c>
      <c r="N1334" s="9" t="str">
        <f>IF(F1334="","",IF($F$2=入力リスト!$Q$4,ROUNDDOWN(INT(F1334)+ROUNDDOWN((F1334-INT(F1334))*100,0)/60,2),従業員の給与情報!F1334))</f>
        <v/>
      </c>
      <c r="O1334" s="8"/>
      <c r="P1334" s="8"/>
    </row>
    <row r="1335" spans="1:16">
      <c r="A1335" s="119"/>
      <c r="B1335" s="2"/>
      <c r="C1335" s="3"/>
      <c r="D1335" s="3"/>
      <c r="E1335" s="3"/>
      <c r="F1335" s="9"/>
      <c r="G1335" s="248" t="str">
        <f t="shared" si="100"/>
        <v/>
      </c>
      <c r="H1335" s="1" t="b">
        <f>IF(B1335="",FALSE,COUNTIF('従業員情報(給与以外)'!$A$4:$A$1000000,$B1335)=0)</f>
        <v>0</v>
      </c>
      <c r="I1335" s="9" t="b">
        <f t="shared" si="101"/>
        <v>1</v>
      </c>
      <c r="J1335" s="9" t="b">
        <f t="shared" si="102"/>
        <v>1</v>
      </c>
      <c r="K1335" s="9" t="b">
        <f t="shared" si="103"/>
        <v>1</v>
      </c>
      <c r="L1335" s="9" t="b">
        <f t="shared" si="104"/>
        <v>1</v>
      </c>
      <c r="M1335" s="1" t="b">
        <f>IF(OR(入力シート!$C$5&lt;&gt;入力リスト!$N$4,入力シート!$J$22&lt;&gt;入力リスト!$K$4),TRUE,IF($F$2=入力リスト!$Q$4,IF(F1335-INT(F1335)&lt;0.6,TRUE,FALSE),TRUE))</f>
        <v>1</v>
      </c>
      <c r="N1335" s="9" t="str">
        <f>IF(F1335="","",IF($F$2=入力リスト!$Q$4,ROUNDDOWN(INT(F1335)+ROUNDDOWN((F1335-INT(F1335))*100,0)/60,2),従業員の給与情報!F1335))</f>
        <v/>
      </c>
      <c r="O1335" s="8"/>
      <c r="P1335" s="8"/>
    </row>
    <row r="1336" spans="1:16">
      <c r="A1336" s="119"/>
      <c r="B1336" s="2"/>
      <c r="C1336" s="3"/>
      <c r="D1336" s="3"/>
      <c r="E1336" s="3"/>
      <c r="F1336" s="9"/>
      <c r="G1336" s="248" t="str">
        <f t="shared" si="100"/>
        <v/>
      </c>
      <c r="H1336" s="1" t="b">
        <f>IF(B1336="",FALSE,COUNTIF('従業員情報(給与以外)'!$A$4:$A$1000000,$B1336)=0)</f>
        <v>0</v>
      </c>
      <c r="I1336" s="9" t="b">
        <f t="shared" si="101"/>
        <v>1</v>
      </c>
      <c r="J1336" s="9" t="b">
        <f t="shared" si="102"/>
        <v>1</v>
      </c>
      <c r="K1336" s="9" t="b">
        <f t="shared" si="103"/>
        <v>1</v>
      </c>
      <c r="L1336" s="9" t="b">
        <f t="shared" si="104"/>
        <v>1</v>
      </c>
      <c r="M1336" s="1" t="b">
        <f>IF(OR(入力シート!$C$5&lt;&gt;入力リスト!$N$4,入力シート!$J$22&lt;&gt;入力リスト!$K$4),TRUE,IF($F$2=入力リスト!$Q$4,IF(F1336-INT(F1336)&lt;0.6,TRUE,FALSE),TRUE))</f>
        <v>1</v>
      </c>
      <c r="N1336" s="9" t="str">
        <f>IF(F1336="","",IF($F$2=入力リスト!$Q$4,ROUNDDOWN(INT(F1336)+ROUNDDOWN((F1336-INT(F1336))*100,0)/60,2),従業員の給与情報!F1336))</f>
        <v/>
      </c>
      <c r="O1336" s="8"/>
      <c r="P1336" s="8"/>
    </row>
    <row r="1337" spans="1:16">
      <c r="A1337" s="119"/>
      <c r="B1337" s="2"/>
      <c r="C1337" s="3"/>
      <c r="D1337" s="3"/>
      <c r="E1337" s="3"/>
      <c r="F1337" s="9"/>
      <c r="G1337" s="248" t="str">
        <f t="shared" si="100"/>
        <v/>
      </c>
      <c r="H1337" s="1" t="b">
        <f>IF(B1337="",FALSE,COUNTIF('従業員情報(給与以外)'!$A$4:$A$1000000,$B1337)=0)</f>
        <v>0</v>
      </c>
      <c r="I1337" s="9" t="b">
        <f t="shared" si="101"/>
        <v>1</v>
      </c>
      <c r="J1337" s="9" t="b">
        <f t="shared" si="102"/>
        <v>1</v>
      </c>
      <c r="K1337" s="9" t="b">
        <f t="shared" si="103"/>
        <v>1</v>
      </c>
      <c r="L1337" s="9" t="b">
        <f t="shared" si="104"/>
        <v>1</v>
      </c>
      <c r="M1337" s="1" t="b">
        <f>IF(OR(入力シート!$C$5&lt;&gt;入力リスト!$N$4,入力シート!$J$22&lt;&gt;入力リスト!$K$4),TRUE,IF($F$2=入力リスト!$Q$4,IF(F1337-INT(F1337)&lt;0.6,TRUE,FALSE),TRUE))</f>
        <v>1</v>
      </c>
      <c r="N1337" s="9" t="str">
        <f>IF(F1337="","",IF($F$2=入力リスト!$Q$4,ROUNDDOWN(INT(F1337)+ROUNDDOWN((F1337-INT(F1337))*100,0)/60,2),従業員の給与情報!F1337))</f>
        <v/>
      </c>
      <c r="O1337" s="8"/>
      <c r="P1337" s="8"/>
    </row>
    <row r="1338" spans="1:16">
      <c r="A1338" s="119"/>
      <c r="B1338" s="2"/>
      <c r="C1338" s="3"/>
      <c r="D1338" s="3"/>
      <c r="E1338" s="3"/>
      <c r="F1338" s="9"/>
      <c r="G1338" s="248" t="str">
        <f t="shared" si="100"/>
        <v/>
      </c>
      <c r="H1338" s="1" t="b">
        <f>IF(B1338="",FALSE,COUNTIF('従業員情報(給与以外)'!$A$4:$A$1000000,$B1338)=0)</f>
        <v>0</v>
      </c>
      <c r="I1338" s="9" t="b">
        <f t="shared" si="101"/>
        <v>1</v>
      </c>
      <c r="J1338" s="9" t="b">
        <f t="shared" si="102"/>
        <v>1</v>
      </c>
      <c r="K1338" s="9" t="b">
        <f t="shared" si="103"/>
        <v>1</v>
      </c>
      <c r="L1338" s="9" t="b">
        <f t="shared" si="104"/>
        <v>1</v>
      </c>
      <c r="M1338" s="1" t="b">
        <f>IF(OR(入力シート!$C$5&lt;&gt;入力リスト!$N$4,入力シート!$J$22&lt;&gt;入力リスト!$K$4),TRUE,IF($F$2=入力リスト!$Q$4,IF(F1338-INT(F1338)&lt;0.6,TRUE,FALSE),TRUE))</f>
        <v>1</v>
      </c>
      <c r="N1338" s="9" t="str">
        <f>IF(F1338="","",IF($F$2=入力リスト!$Q$4,ROUNDDOWN(INT(F1338)+ROUNDDOWN((F1338-INT(F1338))*100,0)/60,2),従業員の給与情報!F1338))</f>
        <v/>
      </c>
      <c r="O1338" s="8"/>
      <c r="P1338" s="8"/>
    </row>
    <row r="1339" spans="1:16">
      <c r="A1339" s="119"/>
      <c r="B1339" s="2"/>
      <c r="C1339" s="3"/>
      <c r="D1339" s="3"/>
      <c r="E1339" s="3"/>
      <c r="F1339" s="9"/>
      <c r="G1339" s="248" t="str">
        <f t="shared" si="100"/>
        <v/>
      </c>
      <c r="H1339" s="1" t="b">
        <f>IF(B1339="",FALSE,COUNTIF('従業員情報(給与以外)'!$A$4:$A$1000000,$B1339)=0)</f>
        <v>0</v>
      </c>
      <c r="I1339" s="9" t="b">
        <f t="shared" si="101"/>
        <v>1</v>
      </c>
      <c r="J1339" s="9" t="b">
        <f t="shared" si="102"/>
        <v>1</v>
      </c>
      <c r="K1339" s="9" t="b">
        <f t="shared" si="103"/>
        <v>1</v>
      </c>
      <c r="L1339" s="9" t="b">
        <f t="shared" si="104"/>
        <v>1</v>
      </c>
      <c r="M1339" s="1" t="b">
        <f>IF(OR(入力シート!$C$5&lt;&gt;入力リスト!$N$4,入力シート!$J$22&lt;&gt;入力リスト!$K$4),TRUE,IF($F$2=入力リスト!$Q$4,IF(F1339-INT(F1339)&lt;0.6,TRUE,FALSE),TRUE))</f>
        <v>1</v>
      </c>
      <c r="N1339" s="9" t="str">
        <f>IF(F1339="","",IF($F$2=入力リスト!$Q$4,ROUNDDOWN(INT(F1339)+ROUNDDOWN((F1339-INT(F1339))*100,0)/60,2),従業員の給与情報!F1339))</f>
        <v/>
      </c>
      <c r="O1339" s="8"/>
      <c r="P1339" s="8"/>
    </row>
    <row r="1340" spans="1:16">
      <c r="A1340" s="119"/>
      <c r="B1340" s="2"/>
      <c r="C1340" s="3"/>
      <c r="D1340" s="3"/>
      <c r="E1340" s="3"/>
      <c r="F1340" s="9"/>
      <c r="G1340" s="248" t="str">
        <f t="shared" si="100"/>
        <v/>
      </c>
      <c r="H1340" s="1" t="b">
        <f>IF(B1340="",FALSE,COUNTIF('従業員情報(給与以外)'!$A$4:$A$1000000,$B1340)=0)</f>
        <v>0</v>
      </c>
      <c r="I1340" s="9" t="b">
        <f t="shared" si="101"/>
        <v>1</v>
      </c>
      <c r="J1340" s="9" t="b">
        <f t="shared" si="102"/>
        <v>1</v>
      </c>
      <c r="K1340" s="9" t="b">
        <f t="shared" si="103"/>
        <v>1</v>
      </c>
      <c r="L1340" s="9" t="b">
        <f t="shared" si="104"/>
        <v>1</v>
      </c>
      <c r="M1340" s="1" t="b">
        <f>IF(OR(入力シート!$C$5&lt;&gt;入力リスト!$N$4,入力シート!$J$22&lt;&gt;入力リスト!$K$4),TRUE,IF($F$2=入力リスト!$Q$4,IF(F1340-INT(F1340)&lt;0.6,TRUE,FALSE),TRUE))</f>
        <v>1</v>
      </c>
      <c r="N1340" s="9" t="str">
        <f>IF(F1340="","",IF($F$2=入力リスト!$Q$4,ROUNDDOWN(INT(F1340)+ROUNDDOWN((F1340-INT(F1340))*100,0)/60,2),従業員の給与情報!F1340))</f>
        <v/>
      </c>
      <c r="O1340" s="8"/>
      <c r="P1340" s="8"/>
    </row>
    <row r="1341" spans="1:16">
      <c r="A1341" s="119"/>
      <c r="B1341" s="2"/>
      <c r="C1341" s="3"/>
      <c r="D1341" s="3"/>
      <c r="E1341" s="3"/>
      <c r="F1341" s="9"/>
      <c r="G1341" s="248" t="str">
        <f t="shared" si="100"/>
        <v/>
      </c>
      <c r="H1341" s="1" t="b">
        <f>IF(B1341="",FALSE,COUNTIF('従業員情報(給与以外)'!$A$4:$A$1000000,$B1341)=0)</f>
        <v>0</v>
      </c>
      <c r="I1341" s="9" t="b">
        <f t="shared" si="101"/>
        <v>1</v>
      </c>
      <c r="J1341" s="9" t="b">
        <f t="shared" si="102"/>
        <v>1</v>
      </c>
      <c r="K1341" s="9" t="b">
        <f t="shared" si="103"/>
        <v>1</v>
      </c>
      <c r="L1341" s="9" t="b">
        <f t="shared" si="104"/>
        <v>1</v>
      </c>
      <c r="M1341" s="1" t="b">
        <f>IF(OR(入力シート!$C$5&lt;&gt;入力リスト!$N$4,入力シート!$J$22&lt;&gt;入力リスト!$K$4),TRUE,IF($F$2=入力リスト!$Q$4,IF(F1341-INT(F1341)&lt;0.6,TRUE,FALSE),TRUE))</f>
        <v>1</v>
      </c>
      <c r="N1341" s="9" t="str">
        <f>IF(F1341="","",IF($F$2=入力リスト!$Q$4,ROUNDDOWN(INT(F1341)+ROUNDDOWN((F1341-INT(F1341))*100,0)/60,2),従業員の給与情報!F1341))</f>
        <v/>
      </c>
      <c r="O1341" s="8"/>
      <c r="P1341" s="8"/>
    </row>
    <row r="1342" spans="1:16">
      <c r="A1342" s="119"/>
      <c r="B1342" s="2"/>
      <c r="C1342" s="3"/>
      <c r="D1342" s="3"/>
      <c r="E1342" s="3"/>
      <c r="F1342" s="9"/>
      <c r="G1342" s="248" t="str">
        <f t="shared" si="100"/>
        <v/>
      </c>
      <c r="H1342" s="1" t="b">
        <f>IF(B1342="",FALSE,COUNTIF('従業員情報(給与以外)'!$A$4:$A$1000000,$B1342)=0)</f>
        <v>0</v>
      </c>
      <c r="I1342" s="9" t="b">
        <f t="shared" si="101"/>
        <v>1</v>
      </c>
      <c r="J1342" s="9" t="b">
        <f t="shared" si="102"/>
        <v>1</v>
      </c>
      <c r="K1342" s="9" t="b">
        <f t="shared" si="103"/>
        <v>1</v>
      </c>
      <c r="L1342" s="9" t="b">
        <f t="shared" si="104"/>
        <v>1</v>
      </c>
      <c r="M1342" s="1" t="b">
        <f>IF(OR(入力シート!$C$5&lt;&gt;入力リスト!$N$4,入力シート!$J$22&lt;&gt;入力リスト!$K$4),TRUE,IF($F$2=入力リスト!$Q$4,IF(F1342-INT(F1342)&lt;0.6,TRUE,FALSE),TRUE))</f>
        <v>1</v>
      </c>
      <c r="N1342" s="9" t="str">
        <f>IF(F1342="","",IF($F$2=入力リスト!$Q$4,ROUNDDOWN(INT(F1342)+ROUNDDOWN((F1342-INT(F1342))*100,0)/60,2),従業員の給与情報!F1342))</f>
        <v/>
      </c>
      <c r="O1342" s="8"/>
      <c r="P1342" s="8"/>
    </row>
    <row r="1343" spans="1:16">
      <c r="A1343" s="119"/>
      <c r="B1343" s="2"/>
      <c r="C1343" s="3"/>
      <c r="D1343" s="3"/>
      <c r="E1343" s="3"/>
      <c r="F1343" s="9"/>
      <c r="G1343" s="248" t="str">
        <f t="shared" si="100"/>
        <v/>
      </c>
      <c r="H1343" s="1" t="b">
        <f>IF(B1343="",FALSE,COUNTIF('従業員情報(給与以外)'!$A$4:$A$1000000,$B1343)=0)</f>
        <v>0</v>
      </c>
      <c r="I1343" s="9" t="b">
        <f t="shared" si="101"/>
        <v>1</v>
      </c>
      <c r="J1343" s="9" t="b">
        <f t="shared" si="102"/>
        <v>1</v>
      </c>
      <c r="K1343" s="9" t="b">
        <f t="shared" si="103"/>
        <v>1</v>
      </c>
      <c r="L1343" s="9" t="b">
        <f t="shared" si="104"/>
        <v>1</v>
      </c>
      <c r="M1343" s="1" t="b">
        <f>IF(OR(入力シート!$C$5&lt;&gt;入力リスト!$N$4,入力シート!$J$22&lt;&gt;入力リスト!$K$4),TRUE,IF($F$2=入力リスト!$Q$4,IF(F1343-INT(F1343)&lt;0.6,TRUE,FALSE),TRUE))</f>
        <v>1</v>
      </c>
      <c r="N1343" s="9" t="str">
        <f>IF(F1343="","",IF($F$2=入力リスト!$Q$4,ROUNDDOWN(INT(F1343)+ROUNDDOWN((F1343-INT(F1343))*100,0)/60,2),従業員の給与情報!F1343))</f>
        <v/>
      </c>
      <c r="O1343" s="8"/>
      <c r="P1343" s="8"/>
    </row>
    <row r="1344" spans="1:16">
      <c r="A1344" s="119"/>
      <c r="B1344" s="2"/>
      <c r="C1344" s="3"/>
      <c r="D1344" s="3"/>
      <c r="E1344" s="3"/>
      <c r="F1344" s="9"/>
      <c r="G1344" s="248" t="str">
        <f t="shared" si="100"/>
        <v/>
      </c>
      <c r="H1344" s="1" t="b">
        <f>IF(B1344="",FALSE,COUNTIF('従業員情報(給与以外)'!$A$4:$A$1000000,$B1344)=0)</f>
        <v>0</v>
      </c>
      <c r="I1344" s="9" t="b">
        <f t="shared" si="101"/>
        <v>1</v>
      </c>
      <c r="J1344" s="9" t="b">
        <f t="shared" si="102"/>
        <v>1</v>
      </c>
      <c r="K1344" s="9" t="b">
        <f t="shared" si="103"/>
        <v>1</v>
      </c>
      <c r="L1344" s="9" t="b">
        <f t="shared" si="104"/>
        <v>1</v>
      </c>
      <c r="M1344" s="1" t="b">
        <f>IF(OR(入力シート!$C$5&lt;&gt;入力リスト!$N$4,入力シート!$J$22&lt;&gt;入力リスト!$K$4),TRUE,IF($F$2=入力リスト!$Q$4,IF(F1344-INT(F1344)&lt;0.6,TRUE,FALSE),TRUE))</f>
        <v>1</v>
      </c>
      <c r="N1344" s="9" t="str">
        <f>IF(F1344="","",IF($F$2=入力リスト!$Q$4,ROUNDDOWN(INT(F1344)+ROUNDDOWN((F1344-INT(F1344))*100,0)/60,2),従業員の給与情報!F1344))</f>
        <v/>
      </c>
      <c r="O1344" s="8"/>
      <c r="P1344" s="8"/>
    </row>
    <row r="1345" spans="1:16">
      <c r="A1345" s="119"/>
      <c r="B1345" s="2"/>
      <c r="C1345" s="3"/>
      <c r="D1345" s="3"/>
      <c r="E1345" s="3"/>
      <c r="F1345" s="9"/>
      <c r="G1345" s="248" t="str">
        <f t="shared" si="100"/>
        <v/>
      </c>
      <c r="H1345" s="1" t="b">
        <f>IF(B1345="",FALSE,COUNTIF('従業員情報(給与以外)'!$A$4:$A$1000000,$B1345)=0)</f>
        <v>0</v>
      </c>
      <c r="I1345" s="9" t="b">
        <f t="shared" si="101"/>
        <v>1</v>
      </c>
      <c r="J1345" s="9" t="b">
        <f t="shared" si="102"/>
        <v>1</v>
      </c>
      <c r="K1345" s="9" t="b">
        <f t="shared" si="103"/>
        <v>1</v>
      </c>
      <c r="L1345" s="9" t="b">
        <f t="shared" si="104"/>
        <v>1</v>
      </c>
      <c r="M1345" s="1" t="b">
        <f>IF(OR(入力シート!$C$5&lt;&gt;入力リスト!$N$4,入力シート!$J$22&lt;&gt;入力リスト!$K$4),TRUE,IF($F$2=入力リスト!$Q$4,IF(F1345-INT(F1345)&lt;0.6,TRUE,FALSE),TRUE))</f>
        <v>1</v>
      </c>
      <c r="N1345" s="9" t="str">
        <f>IF(F1345="","",IF($F$2=入力リスト!$Q$4,ROUNDDOWN(INT(F1345)+ROUNDDOWN((F1345-INT(F1345))*100,0)/60,2),従業員の給与情報!F1345))</f>
        <v/>
      </c>
      <c r="O1345" s="8"/>
      <c r="P1345" s="8"/>
    </row>
    <row r="1346" spans="1:16">
      <c r="A1346" s="119"/>
      <c r="B1346" s="2"/>
      <c r="C1346" s="3"/>
      <c r="D1346" s="3"/>
      <c r="E1346" s="3"/>
      <c r="F1346" s="9"/>
      <c r="G1346" s="248" t="str">
        <f t="shared" si="100"/>
        <v/>
      </c>
      <c r="H1346" s="1" t="b">
        <f>IF(B1346="",FALSE,COUNTIF('従業員情報(給与以外)'!$A$4:$A$1000000,$B1346)=0)</f>
        <v>0</v>
      </c>
      <c r="I1346" s="9" t="b">
        <f t="shared" si="101"/>
        <v>1</v>
      </c>
      <c r="J1346" s="9" t="b">
        <f t="shared" si="102"/>
        <v>1</v>
      </c>
      <c r="K1346" s="9" t="b">
        <f t="shared" si="103"/>
        <v>1</v>
      </c>
      <c r="L1346" s="9" t="b">
        <f t="shared" si="104"/>
        <v>1</v>
      </c>
      <c r="M1346" s="1" t="b">
        <f>IF(OR(入力シート!$C$5&lt;&gt;入力リスト!$N$4,入力シート!$J$22&lt;&gt;入力リスト!$K$4),TRUE,IF($F$2=入力リスト!$Q$4,IF(F1346-INT(F1346)&lt;0.6,TRUE,FALSE),TRUE))</f>
        <v>1</v>
      </c>
      <c r="N1346" s="9" t="str">
        <f>IF(F1346="","",IF($F$2=入力リスト!$Q$4,ROUNDDOWN(INT(F1346)+ROUNDDOWN((F1346-INT(F1346))*100,0)/60,2),従業員の給与情報!F1346))</f>
        <v/>
      </c>
      <c r="O1346" s="8"/>
      <c r="P1346" s="8"/>
    </row>
    <row r="1347" spans="1:16">
      <c r="A1347" s="119"/>
      <c r="B1347" s="2"/>
      <c r="C1347" s="3"/>
      <c r="D1347" s="3"/>
      <c r="E1347" s="3"/>
      <c r="F1347" s="9"/>
      <c r="G1347" s="248" t="str">
        <f t="shared" si="100"/>
        <v/>
      </c>
      <c r="H1347" s="1" t="b">
        <f>IF(B1347="",FALSE,COUNTIF('従業員情報(給与以外)'!$A$4:$A$1000000,$B1347)=0)</f>
        <v>0</v>
      </c>
      <c r="I1347" s="9" t="b">
        <f t="shared" si="101"/>
        <v>1</v>
      </c>
      <c r="J1347" s="9" t="b">
        <f t="shared" si="102"/>
        <v>1</v>
      </c>
      <c r="K1347" s="9" t="b">
        <f t="shared" si="103"/>
        <v>1</v>
      </c>
      <c r="L1347" s="9" t="b">
        <f t="shared" si="104"/>
        <v>1</v>
      </c>
      <c r="M1347" s="1" t="b">
        <f>IF(OR(入力シート!$C$5&lt;&gt;入力リスト!$N$4,入力シート!$J$22&lt;&gt;入力リスト!$K$4),TRUE,IF($F$2=入力リスト!$Q$4,IF(F1347-INT(F1347)&lt;0.6,TRUE,FALSE),TRUE))</f>
        <v>1</v>
      </c>
      <c r="N1347" s="9" t="str">
        <f>IF(F1347="","",IF($F$2=入力リスト!$Q$4,ROUNDDOWN(INT(F1347)+ROUNDDOWN((F1347-INT(F1347))*100,0)/60,2),従業員の給与情報!F1347))</f>
        <v/>
      </c>
      <c r="O1347" s="8"/>
      <c r="P1347" s="8"/>
    </row>
    <row r="1348" spans="1:16">
      <c r="A1348" s="119"/>
      <c r="B1348" s="2"/>
      <c r="C1348" s="3"/>
      <c r="D1348" s="3"/>
      <c r="E1348" s="3"/>
      <c r="F1348" s="9"/>
      <c r="G1348" s="248" t="str">
        <f t="shared" si="100"/>
        <v/>
      </c>
      <c r="H1348" s="1" t="b">
        <f>IF(B1348="",FALSE,COUNTIF('従業員情報(給与以外)'!$A$4:$A$1000000,$B1348)=0)</f>
        <v>0</v>
      </c>
      <c r="I1348" s="9" t="b">
        <f t="shared" si="101"/>
        <v>1</v>
      </c>
      <c r="J1348" s="9" t="b">
        <f t="shared" si="102"/>
        <v>1</v>
      </c>
      <c r="K1348" s="9" t="b">
        <f t="shared" si="103"/>
        <v>1</v>
      </c>
      <c r="L1348" s="9" t="b">
        <f t="shared" si="104"/>
        <v>1</v>
      </c>
      <c r="M1348" s="1" t="b">
        <f>IF(OR(入力シート!$C$5&lt;&gt;入力リスト!$N$4,入力シート!$J$22&lt;&gt;入力リスト!$K$4),TRUE,IF($F$2=入力リスト!$Q$4,IF(F1348-INT(F1348)&lt;0.6,TRUE,FALSE),TRUE))</f>
        <v>1</v>
      </c>
      <c r="N1348" s="9" t="str">
        <f>IF(F1348="","",IF($F$2=入力リスト!$Q$4,ROUNDDOWN(INT(F1348)+ROUNDDOWN((F1348-INT(F1348))*100,0)/60,2),従業員の給与情報!F1348))</f>
        <v/>
      </c>
      <c r="O1348" s="8"/>
      <c r="P1348" s="8"/>
    </row>
    <row r="1349" spans="1:16">
      <c r="A1349" s="119"/>
      <c r="B1349" s="2"/>
      <c r="C1349" s="3"/>
      <c r="D1349" s="3"/>
      <c r="E1349" s="3"/>
      <c r="F1349" s="9"/>
      <c r="G1349" s="248" t="str">
        <f t="shared" ref="G1349:G1412" si="105">IF(AND($B1349="",OR(B1349&lt;&gt;"",C1349&lt;&gt;"",D1349&lt;&gt;"",E1349&lt;&gt;"",F1349&lt;&gt;"")),"従業員番号が空白です。",IF($H1349=TRUE,"この従業員番号は、シート［従業員情報（給与以外）］に存在しません。",IF(I1349=FALSE,"「毎月の固定給与額」","")&amp;IF(AND(I1349=FALSE,OR(J1349=FALSE,K1349=FALSE,L1349=FALSE)),",","")&amp;IF(J1349=FALSE,"「賞与額等」","")&amp;IF(AND(J1349=FALSE,OR(K1349=FALSE,L1349=FALSE)),",","")&amp;IF(K1349=FALSE,"「残業手当」","")&amp;IF(AND(K1349=FALSE,L1349=FALSE),",","")&amp;IF(L1349=FALSE,"「残業時間」","")&amp;IF(OR(I1349=FALSE,J1349=FALSE,K1349=FALSE,L1349=FALSE),"に数値以外が入力されています。","")&amp;IF(M1349,"","「残業時間」を分単位で入力した場合、小数点以下の値は0.6未満にしてください。")))</f>
        <v/>
      </c>
      <c r="H1349" s="1" t="b">
        <f>IF(B1349="",FALSE,COUNTIF('従業員情報(給与以外)'!$A$4:$A$1000000,$B1349)=0)</f>
        <v>0</v>
      </c>
      <c r="I1349" s="9" t="b">
        <f t="shared" ref="I1349:I1412" si="106">OR(C1349="",ISNUMBER(C1349))</f>
        <v>1</v>
      </c>
      <c r="J1349" s="9" t="b">
        <f t="shared" ref="J1349:J1412" si="107">OR(D1349="",ISNUMBER(D1349))</f>
        <v>1</v>
      </c>
      <c r="K1349" s="9" t="b">
        <f t="shared" ref="K1349:K1412" si="108">OR(E1349="",ISNUMBER(E1349))</f>
        <v>1</v>
      </c>
      <c r="L1349" s="9" t="b">
        <f t="shared" ref="L1349:L1412" si="109">OR(F1349="",ISNUMBER(F1349))</f>
        <v>1</v>
      </c>
      <c r="M1349" s="1" t="b">
        <f>IF(OR(入力シート!$C$5&lt;&gt;入力リスト!$N$4,入力シート!$J$22&lt;&gt;入力リスト!$K$4),TRUE,IF($F$2=入力リスト!$Q$4,IF(F1349-INT(F1349)&lt;0.6,TRUE,FALSE),TRUE))</f>
        <v>1</v>
      </c>
      <c r="N1349" s="9" t="str">
        <f>IF(F1349="","",IF($F$2=入力リスト!$Q$4,ROUNDDOWN(INT(F1349)+ROUNDDOWN((F1349-INT(F1349))*100,0)/60,2),従業員の給与情報!F1349))</f>
        <v/>
      </c>
      <c r="O1349" s="8"/>
      <c r="P1349" s="8"/>
    </row>
    <row r="1350" spans="1:16">
      <c r="A1350" s="119"/>
      <c r="B1350" s="2"/>
      <c r="C1350" s="3"/>
      <c r="D1350" s="3"/>
      <c r="E1350" s="3"/>
      <c r="F1350" s="9"/>
      <c r="G1350" s="248" t="str">
        <f t="shared" si="105"/>
        <v/>
      </c>
      <c r="H1350" s="1" t="b">
        <f>IF(B1350="",FALSE,COUNTIF('従業員情報(給与以外)'!$A$4:$A$1000000,$B1350)=0)</f>
        <v>0</v>
      </c>
      <c r="I1350" s="9" t="b">
        <f t="shared" si="106"/>
        <v>1</v>
      </c>
      <c r="J1350" s="9" t="b">
        <f t="shared" si="107"/>
        <v>1</v>
      </c>
      <c r="K1350" s="9" t="b">
        <f t="shared" si="108"/>
        <v>1</v>
      </c>
      <c r="L1350" s="9" t="b">
        <f t="shared" si="109"/>
        <v>1</v>
      </c>
      <c r="M1350" s="1" t="b">
        <f>IF(OR(入力シート!$C$5&lt;&gt;入力リスト!$N$4,入力シート!$J$22&lt;&gt;入力リスト!$K$4),TRUE,IF($F$2=入力リスト!$Q$4,IF(F1350-INT(F1350)&lt;0.6,TRUE,FALSE),TRUE))</f>
        <v>1</v>
      </c>
      <c r="N1350" s="9" t="str">
        <f>IF(F1350="","",IF($F$2=入力リスト!$Q$4,ROUNDDOWN(INT(F1350)+ROUNDDOWN((F1350-INT(F1350))*100,0)/60,2),従業員の給与情報!F1350))</f>
        <v/>
      </c>
      <c r="O1350" s="8"/>
      <c r="P1350" s="8"/>
    </row>
    <row r="1351" spans="1:16">
      <c r="A1351" s="119"/>
      <c r="B1351" s="2"/>
      <c r="C1351" s="3"/>
      <c r="D1351" s="3"/>
      <c r="E1351" s="3"/>
      <c r="F1351" s="9"/>
      <c r="G1351" s="248" t="str">
        <f t="shared" si="105"/>
        <v/>
      </c>
      <c r="H1351" s="1" t="b">
        <f>IF(B1351="",FALSE,COUNTIF('従業員情報(給与以外)'!$A$4:$A$1000000,$B1351)=0)</f>
        <v>0</v>
      </c>
      <c r="I1351" s="9" t="b">
        <f t="shared" si="106"/>
        <v>1</v>
      </c>
      <c r="J1351" s="9" t="b">
        <f t="shared" si="107"/>
        <v>1</v>
      </c>
      <c r="K1351" s="9" t="b">
        <f t="shared" si="108"/>
        <v>1</v>
      </c>
      <c r="L1351" s="9" t="b">
        <f t="shared" si="109"/>
        <v>1</v>
      </c>
      <c r="M1351" s="1" t="b">
        <f>IF(OR(入力シート!$C$5&lt;&gt;入力リスト!$N$4,入力シート!$J$22&lt;&gt;入力リスト!$K$4),TRUE,IF($F$2=入力リスト!$Q$4,IF(F1351-INT(F1351)&lt;0.6,TRUE,FALSE),TRUE))</f>
        <v>1</v>
      </c>
      <c r="N1351" s="9" t="str">
        <f>IF(F1351="","",IF($F$2=入力リスト!$Q$4,ROUNDDOWN(INT(F1351)+ROUNDDOWN((F1351-INT(F1351))*100,0)/60,2),従業員の給与情報!F1351))</f>
        <v/>
      </c>
      <c r="O1351" s="8"/>
      <c r="P1351" s="8"/>
    </row>
    <row r="1352" spans="1:16">
      <c r="A1352" s="119"/>
      <c r="B1352" s="2"/>
      <c r="C1352" s="3"/>
      <c r="D1352" s="3"/>
      <c r="E1352" s="3"/>
      <c r="F1352" s="9"/>
      <c r="G1352" s="248" t="str">
        <f t="shared" si="105"/>
        <v/>
      </c>
      <c r="H1352" s="1" t="b">
        <f>IF(B1352="",FALSE,COUNTIF('従業員情報(給与以外)'!$A$4:$A$1000000,$B1352)=0)</f>
        <v>0</v>
      </c>
      <c r="I1352" s="9" t="b">
        <f t="shared" si="106"/>
        <v>1</v>
      </c>
      <c r="J1352" s="9" t="b">
        <f t="shared" si="107"/>
        <v>1</v>
      </c>
      <c r="K1352" s="9" t="b">
        <f t="shared" si="108"/>
        <v>1</v>
      </c>
      <c r="L1352" s="9" t="b">
        <f t="shared" si="109"/>
        <v>1</v>
      </c>
      <c r="M1352" s="1" t="b">
        <f>IF(OR(入力シート!$C$5&lt;&gt;入力リスト!$N$4,入力シート!$J$22&lt;&gt;入力リスト!$K$4),TRUE,IF($F$2=入力リスト!$Q$4,IF(F1352-INT(F1352)&lt;0.6,TRUE,FALSE),TRUE))</f>
        <v>1</v>
      </c>
      <c r="N1352" s="9" t="str">
        <f>IF(F1352="","",IF($F$2=入力リスト!$Q$4,ROUNDDOWN(INT(F1352)+ROUNDDOWN((F1352-INT(F1352))*100,0)/60,2),従業員の給与情報!F1352))</f>
        <v/>
      </c>
      <c r="O1352" s="8"/>
      <c r="P1352" s="8"/>
    </row>
    <row r="1353" spans="1:16">
      <c r="A1353" s="119"/>
      <c r="B1353" s="2"/>
      <c r="C1353" s="3"/>
      <c r="D1353" s="3"/>
      <c r="E1353" s="3"/>
      <c r="F1353" s="9"/>
      <c r="G1353" s="248" t="str">
        <f t="shared" si="105"/>
        <v/>
      </c>
      <c r="H1353" s="1" t="b">
        <f>IF(B1353="",FALSE,COUNTIF('従業員情報(給与以外)'!$A$4:$A$1000000,$B1353)=0)</f>
        <v>0</v>
      </c>
      <c r="I1353" s="9" t="b">
        <f t="shared" si="106"/>
        <v>1</v>
      </c>
      <c r="J1353" s="9" t="b">
        <f t="shared" si="107"/>
        <v>1</v>
      </c>
      <c r="K1353" s="9" t="b">
        <f t="shared" si="108"/>
        <v>1</v>
      </c>
      <c r="L1353" s="9" t="b">
        <f t="shared" si="109"/>
        <v>1</v>
      </c>
      <c r="M1353" s="1" t="b">
        <f>IF(OR(入力シート!$C$5&lt;&gt;入力リスト!$N$4,入力シート!$J$22&lt;&gt;入力リスト!$K$4),TRUE,IF($F$2=入力リスト!$Q$4,IF(F1353-INT(F1353)&lt;0.6,TRUE,FALSE),TRUE))</f>
        <v>1</v>
      </c>
      <c r="N1353" s="9" t="str">
        <f>IF(F1353="","",IF($F$2=入力リスト!$Q$4,ROUNDDOWN(INT(F1353)+ROUNDDOWN((F1353-INT(F1353))*100,0)/60,2),従業員の給与情報!F1353))</f>
        <v/>
      </c>
      <c r="O1353" s="8"/>
      <c r="P1353" s="8"/>
    </row>
    <row r="1354" spans="1:16">
      <c r="A1354" s="119"/>
      <c r="B1354" s="2"/>
      <c r="C1354" s="3"/>
      <c r="D1354" s="3"/>
      <c r="E1354" s="3"/>
      <c r="F1354" s="9"/>
      <c r="G1354" s="248" t="str">
        <f t="shared" si="105"/>
        <v/>
      </c>
      <c r="H1354" s="1" t="b">
        <f>IF(B1354="",FALSE,COUNTIF('従業員情報(給与以外)'!$A$4:$A$1000000,$B1354)=0)</f>
        <v>0</v>
      </c>
      <c r="I1354" s="9" t="b">
        <f t="shared" si="106"/>
        <v>1</v>
      </c>
      <c r="J1354" s="9" t="b">
        <f t="shared" si="107"/>
        <v>1</v>
      </c>
      <c r="K1354" s="9" t="b">
        <f t="shared" si="108"/>
        <v>1</v>
      </c>
      <c r="L1354" s="9" t="b">
        <f t="shared" si="109"/>
        <v>1</v>
      </c>
      <c r="M1354" s="1" t="b">
        <f>IF(OR(入力シート!$C$5&lt;&gt;入力リスト!$N$4,入力シート!$J$22&lt;&gt;入力リスト!$K$4),TRUE,IF($F$2=入力リスト!$Q$4,IF(F1354-INT(F1354)&lt;0.6,TRUE,FALSE),TRUE))</f>
        <v>1</v>
      </c>
      <c r="N1354" s="9" t="str">
        <f>IF(F1354="","",IF($F$2=入力リスト!$Q$4,ROUNDDOWN(INT(F1354)+ROUNDDOWN((F1354-INT(F1354))*100,0)/60,2),従業員の給与情報!F1354))</f>
        <v/>
      </c>
      <c r="O1354" s="8"/>
      <c r="P1354" s="8"/>
    </row>
    <row r="1355" spans="1:16">
      <c r="A1355" s="119"/>
      <c r="B1355" s="2"/>
      <c r="C1355" s="3"/>
      <c r="D1355" s="3"/>
      <c r="E1355" s="3"/>
      <c r="F1355" s="9"/>
      <c r="G1355" s="248" t="str">
        <f t="shared" si="105"/>
        <v/>
      </c>
      <c r="H1355" s="1" t="b">
        <f>IF(B1355="",FALSE,COUNTIF('従業員情報(給与以外)'!$A$4:$A$1000000,$B1355)=0)</f>
        <v>0</v>
      </c>
      <c r="I1355" s="9" t="b">
        <f t="shared" si="106"/>
        <v>1</v>
      </c>
      <c r="J1355" s="9" t="b">
        <f t="shared" si="107"/>
        <v>1</v>
      </c>
      <c r="K1355" s="9" t="b">
        <f t="shared" si="108"/>
        <v>1</v>
      </c>
      <c r="L1355" s="9" t="b">
        <f t="shared" si="109"/>
        <v>1</v>
      </c>
      <c r="M1355" s="1" t="b">
        <f>IF(OR(入力シート!$C$5&lt;&gt;入力リスト!$N$4,入力シート!$J$22&lt;&gt;入力リスト!$K$4),TRUE,IF($F$2=入力リスト!$Q$4,IF(F1355-INT(F1355)&lt;0.6,TRUE,FALSE),TRUE))</f>
        <v>1</v>
      </c>
      <c r="N1355" s="9" t="str">
        <f>IF(F1355="","",IF($F$2=入力リスト!$Q$4,ROUNDDOWN(INT(F1355)+ROUNDDOWN((F1355-INT(F1355))*100,0)/60,2),従業員の給与情報!F1355))</f>
        <v/>
      </c>
      <c r="O1355" s="8"/>
      <c r="P1355" s="8"/>
    </row>
    <row r="1356" spans="1:16">
      <c r="A1356" s="119"/>
      <c r="B1356" s="2"/>
      <c r="C1356" s="3"/>
      <c r="D1356" s="3"/>
      <c r="E1356" s="3"/>
      <c r="F1356" s="9"/>
      <c r="G1356" s="248" t="str">
        <f t="shared" si="105"/>
        <v/>
      </c>
      <c r="H1356" s="1" t="b">
        <f>IF(B1356="",FALSE,COUNTIF('従業員情報(給与以外)'!$A$4:$A$1000000,$B1356)=0)</f>
        <v>0</v>
      </c>
      <c r="I1356" s="9" t="b">
        <f t="shared" si="106"/>
        <v>1</v>
      </c>
      <c r="J1356" s="9" t="b">
        <f t="shared" si="107"/>
        <v>1</v>
      </c>
      <c r="K1356" s="9" t="b">
        <f t="shared" si="108"/>
        <v>1</v>
      </c>
      <c r="L1356" s="9" t="b">
        <f t="shared" si="109"/>
        <v>1</v>
      </c>
      <c r="M1356" s="1" t="b">
        <f>IF(OR(入力シート!$C$5&lt;&gt;入力リスト!$N$4,入力シート!$J$22&lt;&gt;入力リスト!$K$4),TRUE,IF($F$2=入力リスト!$Q$4,IF(F1356-INT(F1356)&lt;0.6,TRUE,FALSE),TRUE))</f>
        <v>1</v>
      </c>
      <c r="N1356" s="9" t="str">
        <f>IF(F1356="","",IF($F$2=入力リスト!$Q$4,ROUNDDOWN(INT(F1356)+ROUNDDOWN((F1356-INT(F1356))*100,0)/60,2),従業員の給与情報!F1356))</f>
        <v/>
      </c>
      <c r="O1356" s="8"/>
      <c r="P1356" s="8"/>
    </row>
    <row r="1357" spans="1:16">
      <c r="A1357" s="119"/>
      <c r="B1357" s="2"/>
      <c r="C1357" s="3"/>
      <c r="D1357" s="3"/>
      <c r="E1357" s="3"/>
      <c r="F1357" s="9"/>
      <c r="G1357" s="248" t="str">
        <f t="shared" si="105"/>
        <v/>
      </c>
      <c r="H1357" s="1" t="b">
        <f>IF(B1357="",FALSE,COUNTIF('従業員情報(給与以外)'!$A$4:$A$1000000,$B1357)=0)</f>
        <v>0</v>
      </c>
      <c r="I1357" s="9" t="b">
        <f t="shared" si="106"/>
        <v>1</v>
      </c>
      <c r="J1357" s="9" t="b">
        <f t="shared" si="107"/>
        <v>1</v>
      </c>
      <c r="K1357" s="9" t="b">
        <f t="shared" si="108"/>
        <v>1</v>
      </c>
      <c r="L1357" s="9" t="b">
        <f t="shared" si="109"/>
        <v>1</v>
      </c>
      <c r="M1357" s="1" t="b">
        <f>IF(OR(入力シート!$C$5&lt;&gt;入力リスト!$N$4,入力シート!$J$22&lt;&gt;入力リスト!$K$4),TRUE,IF($F$2=入力リスト!$Q$4,IF(F1357-INT(F1357)&lt;0.6,TRUE,FALSE),TRUE))</f>
        <v>1</v>
      </c>
      <c r="N1357" s="9" t="str">
        <f>IF(F1357="","",IF($F$2=入力リスト!$Q$4,ROUNDDOWN(INT(F1357)+ROUNDDOWN((F1357-INT(F1357))*100,0)/60,2),従業員の給与情報!F1357))</f>
        <v/>
      </c>
      <c r="O1357" s="8"/>
      <c r="P1357" s="8"/>
    </row>
    <row r="1358" spans="1:16">
      <c r="A1358" s="119"/>
      <c r="B1358" s="2"/>
      <c r="C1358" s="3"/>
      <c r="D1358" s="3"/>
      <c r="E1358" s="3"/>
      <c r="F1358" s="9"/>
      <c r="G1358" s="248" t="str">
        <f t="shared" si="105"/>
        <v/>
      </c>
      <c r="H1358" s="1" t="b">
        <f>IF(B1358="",FALSE,COUNTIF('従業員情報(給与以外)'!$A$4:$A$1000000,$B1358)=0)</f>
        <v>0</v>
      </c>
      <c r="I1358" s="9" t="b">
        <f t="shared" si="106"/>
        <v>1</v>
      </c>
      <c r="J1358" s="9" t="b">
        <f t="shared" si="107"/>
        <v>1</v>
      </c>
      <c r="K1358" s="9" t="b">
        <f t="shared" si="108"/>
        <v>1</v>
      </c>
      <c r="L1358" s="9" t="b">
        <f t="shared" si="109"/>
        <v>1</v>
      </c>
      <c r="M1358" s="1" t="b">
        <f>IF(OR(入力シート!$C$5&lt;&gt;入力リスト!$N$4,入力シート!$J$22&lt;&gt;入力リスト!$K$4),TRUE,IF($F$2=入力リスト!$Q$4,IF(F1358-INT(F1358)&lt;0.6,TRUE,FALSE),TRUE))</f>
        <v>1</v>
      </c>
      <c r="N1358" s="9" t="str">
        <f>IF(F1358="","",IF($F$2=入力リスト!$Q$4,ROUNDDOWN(INT(F1358)+ROUNDDOWN((F1358-INT(F1358))*100,0)/60,2),従業員の給与情報!F1358))</f>
        <v/>
      </c>
      <c r="O1358" s="8"/>
      <c r="P1358" s="8"/>
    </row>
    <row r="1359" spans="1:16">
      <c r="A1359" s="119"/>
      <c r="B1359" s="2"/>
      <c r="C1359" s="3"/>
      <c r="D1359" s="3"/>
      <c r="E1359" s="3"/>
      <c r="F1359" s="9"/>
      <c r="G1359" s="248" t="str">
        <f t="shared" si="105"/>
        <v/>
      </c>
      <c r="H1359" s="1" t="b">
        <f>IF(B1359="",FALSE,COUNTIF('従業員情報(給与以外)'!$A$4:$A$1000000,$B1359)=0)</f>
        <v>0</v>
      </c>
      <c r="I1359" s="9" t="b">
        <f t="shared" si="106"/>
        <v>1</v>
      </c>
      <c r="J1359" s="9" t="b">
        <f t="shared" si="107"/>
        <v>1</v>
      </c>
      <c r="K1359" s="9" t="b">
        <f t="shared" si="108"/>
        <v>1</v>
      </c>
      <c r="L1359" s="9" t="b">
        <f t="shared" si="109"/>
        <v>1</v>
      </c>
      <c r="M1359" s="1" t="b">
        <f>IF(OR(入力シート!$C$5&lt;&gt;入力リスト!$N$4,入力シート!$J$22&lt;&gt;入力リスト!$K$4),TRUE,IF($F$2=入力リスト!$Q$4,IF(F1359-INT(F1359)&lt;0.6,TRUE,FALSE),TRUE))</f>
        <v>1</v>
      </c>
      <c r="N1359" s="9" t="str">
        <f>IF(F1359="","",IF($F$2=入力リスト!$Q$4,ROUNDDOWN(INT(F1359)+ROUNDDOWN((F1359-INT(F1359))*100,0)/60,2),従業員の給与情報!F1359))</f>
        <v/>
      </c>
      <c r="O1359" s="8"/>
      <c r="P1359" s="8"/>
    </row>
    <row r="1360" spans="1:16">
      <c r="A1360" s="119"/>
      <c r="B1360" s="2"/>
      <c r="C1360" s="3"/>
      <c r="D1360" s="3"/>
      <c r="E1360" s="3"/>
      <c r="F1360" s="9"/>
      <c r="G1360" s="248" t="str">
        <f t="shared" si="105"/>
        <v/>
      </c>
      <c r="H1360" s="1" t="b">
        <f>IF(B1360="",FALSE,COUNTIF('従業員情報(給与以外)'!$A$4:$A$1000000,$B1360)=0)</f>
        <v>0</v>
      </c>
      <c r="I1360" s="9" t="b">
        <f t="shared" si="106"/>
        <v>1</v>
      </c>
      <c r="J1360" s="9" t="b">
        <f t="shared" si="107"/>
        <v>1</v>
      </c>
      <c r="K1360" s="9" t="b">
        <f t="shared" si="108"/>
        <v>1</v>
      </c>
      <c r="L1360" s="9" t="b">
        <f t="shared" si="109"/>
        <v>1</v>
      </c>
      <c r="M1360" s="1" t="b">
        <f>IF(OR(入力シート!$C$5&lt;&gt;入力リスト!$N$4,入力シート!$J$22&lt;&gt;入力リスト!$K$4),TRUE,IF($F$2=入力リスト!$Q$4,IF(F1360-INT(F1360)&lt;0.6,TRUE,FALSE),TRUE))</f>
        <v>1</v>
      </c>
      <c r="N1360" s="9" t="str">
        <f>IF(F1360="","",IF($F$2=入力リスト!$Q$4,ROUNDDOWN(INT(F1360)+ROUNDDOWN((F1360-INT(F1360))*100,0)/60,2),従業員の給与情報!F1360))</f>
        <v/>
      </c>
      <c r="O1360" s="8"/>
      <c r="P1360" s="8"/>
    </row>
    <row r="1361" spans="1:16">
      <c r="A1361" s="119"/>
      <c r="B1361" s="2"/>
      <c r="C1361" s="3"/>
      <c r="D1361" s="3"/>
      <c r="E1361" s="3"/>
      <c r="F1361" s="9"/>
      <c r="G1361" s="248" t="str">
        <f t="shared" si="105"/>
        <v/>
      </c>
      <c r="H1361" s="1" t="b">
        <f>IF(B1361="",FALSE,COUNTIF('従業員情報(給与以外)'!$A$4:$A$1000000,$B1361)=0)</f>
        <v>0</v>
      </c>
      <c r="I1361" s="9" t="b">
        <f t="shared" si="106"/>
        <v>1</v>
      </c>
      <c r="J1361" s="9" t="b">
        <f t="shared" si="107"/>
        <v>1</v>
      </c>
      <c r="K1361" s="9" t="b">
        <f t="shared" si="108"/>
        <v>1</v>
      </c>
      <c r="L1361" s="9" t="b">
        <f t="shared" si="109"/>
        <v>1</v>
      </c>
      <c r="M1361" s="1" t="b">
        <f>IF(OR(入力シート!$C$5&lt;&gt;入力リスト!$N$4,入力シート!$J$22&lt;&gt;入力リスト!$K$4),TRUE,IF($F$2=入力リスト!$Q$4,IF(F1361-INT(F1361)&lt;0.6,TRUE,FALSE),TRUE))</f>
        <v>1</v>
      </c>
      <c r="N1361" s="9" t="str">
        <f>IF(F1361="","",IF($F$2=入力リスト!$Q$4,ROUNDDOWN(INT(F1361)+ROUNDDOWN((F1361-INT(F1361))*100,0)/60,2),従業員の給与情報!F1361))</f>
        <v/>
      </c>
      <c r="O1361" s="8"/>
      <c r="P1361" s="8"/>
    </row>
    <row r="1362" spans="1:16">
      <c r="A1362" s="119"/>
      <c r="B1362" s="2"/>
      <c r="C1362" s="3"/>
      <c r="D1362" s="3"/>
      <c r="E1362" s="3"/>
      <c r="F1362" s="9"/>
      <c r="G1362" s="248" t="str">
        <f t="shared" si="105"/>
        <v/>
      </c>
      <c r="H1362" s="1" t="b">
        <f>IF(B1362="",FALSE,COUNTIF('従業員情報(給与以外)'!$A$4:$A$1000000,$B1362)=0)</f>
        <v>0</v>
      </c>
      <c r="I1362" s="9" t="b">
        <f t="shared" si="106"/>
        <v>1</v>
      </c>
      <c r="J1362" s="9" t="b">
        <f t="shared" si="107"/>
        <v>1</v>
      </c>
      <c r="K1362" s="9" t="b">
        <f t="shared" si="108"/>
        <v>1</v>
      </c>
      <c r="L1362" s="9" t="b">
        <f t="shared" si="109"/>
        <v>1</v>
      </c>
      <c r="M1362" s="1" t="b">
        <f>IF(OR(入力シート!$C$5&lt;&gt;入力リスト!$N$4,入力シート!$J$22&lt;&gt;入力リスト!$K$4),TRUE,IF($F$2=入力リスト!$Q$4,IF(F1362-INT(F1362)&lt;0.6,TRUE,FALSE),TRUE))</f>
        <v>1</v>
      </c>
      <c r="N1362" s="9" t="str">
        <f>IF(F1362="","",IF($F$2=入力リスト!$Q$4,ROUNDDOWN(INT(F1362)+ROUNDDOWN((F1362-INT(F1362))*100,0)/60,2),従業員の給与情報!F1362))</f>
        <v/>
      </c>
      <c r="O1362" s="8"/>
      <c r="P1362" s="8"/>
    </row>
    <row r="1363" spans="1:16">
      <c r="A1363" s="119"/>
      <c r="B1363" s="2"/>
      <c r="C1363" s="3"/>
      <c r="D1363" s="3"/>
      <c r="E1363" s="3"/>
      <c r="F1363" s="9"/>
      <c r="G1363" s="248" t="str">
        <f t="shared" si="105"/>
        <v/>
      </c>
      <c r="H1363" s="1" t="b">
        <f>IF(B1363="",FALSE,COUNTIF('従業員情報(給与以外)'!$A$4:$A$1000000,$B1363)=0)</f>
        <v>0</v>
      </c>
      <c r="I1363" s="9" t="b">
        <f t="shared" si="106"/>
        <v>1</v>
      </c>
      <c r="J1363" s="9" t="b">
        <f t="shared" si="107"/>
        <v>1</v>
      </c>
      <c r="K1363" s="9" t="b">
        <f t="shared" si="108"/>
        <v>1</v>
      </c>
      <c r="L1363" s="9" t="b">
        <f t="shared" si="109"/>
        <v>1</v>
      </c>
      <c r="M1363" s="1" t="b">
        <f>IF(OR(入力シート!$C$5&lt;&gt;入力リスト!$N$4,入力シート!$J$22&lt;&gt;入力リスト!$K$4),TRUE,IF($F$2=入力リスト!$Q$4,IF(F1363-INT(F1363)&lt;0.6,TRUE,FALSE),TRUE))</f>
        <v>1</v>
      </c>
      <c r="N1363" s="9" t="str">
        <f>IF(F1363="","",IF($F$2=入力リスト!$Q$4,ROUNDDOWN(INT(F1363)+ROUNDDOWN((F1363-INT(F1363))*100,0)/60,2),従業員の給与情報!F1363))</f>
        <v/>
      </c>
      <c r="O1363" s="8"/>
      <c r="P1363" s="8"/>
    </row>
    <row r="1364" spans="1:16">
      <c r="A1364" s="119"/>
      <c r="B1364" s="2"/>
      <c r="C1364" s="3"/>
      <c r="D1364" s="3"/>
      <c r="E1364" s="3"/>
      <c r="F1364" s="9"/>
      <c r="G1364" s="248" t="str">
        <f t="shared" si="105"/>
        <v/>
      </c>
      <c r="H1364" s="1" t="b">
        <f>IF(B1364="",FALSE,COUNTIF('従業員情報(給与以外)'!$A$4:$A$1000000,$B1364)=0)</f>
        <v>0</v>
      </c>
      <c r="I1364" s="9" t="b">
        <f t="shared" si="106"/>
        <v>1</v>
      </c>
      <c r="J1364" s="9" t="b">
        <f t="shared" si="107"/>
        <v>1</v>
      </c>
      <c r="K1364" s="9" t="b">
        <f t="shared" si="108"/>
        <v>1</v>
      </c>
      <c r="L1364" s="9" t="b">
        <f t="shared" si="109"/>
        <v>1</v>
      </c>
      <c r="M1364" s="1" t="b">
        <f>IF(OR(入力シート!$C$5&lt;&gt;入力リスト!$N$4,入力シート!$J$22&lt;&gt;入力リスト!$K$4),TRUE,IF($F$2=入力リスト!$Q$4,IF(F1364-INT(F1364)&lt;0.6,TRUE,FALSE),TRUE))</f>
        <v>1</v>
      </c>
      <c r="N1364" s="9" t="str">
        <f>IF(F1364="","",IF($F$2=入力リスト!$Q$4,ROUNDDOWN(INT(F1364)+ROUNDDOWN((F1364-INT(F1364))*100,0)/60,2),従業員の給与情報!F1364))</f>
        <v/>
      </c>
      <c r="O1364" s="8"/>
      <c r="P1364" s="8"/>
    </row>
    <row r="1365" spans="1:16">
      <c r="A1365" s="119"/>
      <c r="B1365" s="2"/>
      <c r="C1365" s="3"/>
      <c r="D1365" s="3"/>
      <c r="E1365" s="3"/>
      <c r="F1365" s="9"/>
      <c r="G1365" s="248" t="str">
        <f t="shared" si="105"/>
        <v/>
      </c>
      <c r="H1365" s="1" t="b">
        <f>IF(B1365="",FALSE,COUNTIF('従業員情報(給与以外)'!$A$4:$A$1000000,$B1365)=0)</f>
        <v>0</v>
      </c>
      <c r="I1365" s="9" t="b">
        <f t="shared" si="106"/>
        <v>1</v>
      </c>
      <c r="J1365" s="9" t="b">
        <f t="shared" si="107"/>
        <v>1</v>
      </c>
      <c r="K1365" s="9" t="b">
        <f t="shared" si="108"/>
        <v>1</v>
      </c>
      <c r="L1365" s="9" t="b">
        <f t="shared" si="109"/>
        <v>1</v>
      </c>
      <c r="M1365" s="1" t="b">
        <f>IF(OR(入力シート!$C$5&lt;&gt;入力リスト!$N$4,入力シート!$J$22&lt;&gt;入力リスト!$K$4),TRUE,IF($F$2=入力リスト!$Q$4,IF(F1365-INT(F1365)&lt;0.6,TRUE,FALSE),TRUE))</f>
        <v>1</v>
      </c>
      <c r="N1365" s="9" t="str">
        <f>IF(F1365="","",IF($F$2=入力リスト!$Q$4,ROUNDDOWN(INT(F1365)+ROUNDDOWN((F1365-INT(F1365))*100,0)/60,2),従業員の給与情報!F1365))</f>
        <v/>
      </c>
      <c r="O1365" s="8"/>
      <c r="P1365" s="8"/>
    </row>
    <row r="1366" spans="1:16">
      <c r="A1366" s="119"/>
      <c r="B1366" s="2"/>
      <c r="C1366" s="3"/>
      <c r="D1366" s="3"/>
      <c r="E1366" s="3"/>
      <c r="F1366" s="9"/>
      <c r="G1366" s="248" t="str">
        <f t="shared" si="105"/>
        <v/>
      </c>
      <c r="H1366" s="1" t="b">
        <f>IF(B1366="",FALSE,COUNTIF('従業員情報(給与以外)'!$A$4:$A$1000000,$B1366)=0)</f>
        <v>0</v>
      </c>
      <c r="I1366" s="9" t="b">
        <f t="shared" si="106"/>
        <v>1</v>
      </c>
      <c r="J1366" s="9" t="b">
        <f t="shared" si="107"/>
        <v>1</v>
      </c>
      <c r="K1366" s="9" t="b">
        <f t="shared" si="108"/>
        <v>1</v>
      </c>
      <c r="L1366" s="9" t="b">
        <f t="shared" si="109"/>
        <v>1</v>
      </c>
      <c r="M1366" s="1" t="b">
        <f>IF(OR(入力シート!$C$5&lt;&gt;入力リスト!$N$4,入力シート!$J$22&lt;&gt;入力リスト!$K$4),TRUE,IF($F$2=入力リスト!$Q$4,IF(F1366-INT(F1366)&lt;0.6,TRUE,FALSE),TRUE))</f>
        <v>1</v>
      </c>
      <c r="N1366" s="9" t="str">
        <f>IF(F1366="","",IF($F$2=入力リスト!$Q$4,ROUNDDOWN(INT(F1366)+ROUNDDOWN((F1366-INT(F1366))*100,0)/60,2),従業員の給与情報!F1366))</f>
        <v/>
      </c>
      <c r="O1366" s="8"/>
      <c r="P1366" s="8"/>
    </row>
    <row r="1367" spans="1:16">
      <c r="A1367" s="119"/>
      <c r="B1367" s="2"/>
      <c r="C1367" s="3"/>
      <c r="D1367" s="3"/>
      <c r="E1367" s="3"/>
      <c r="F1367" s="9"/>
      <c r="G1367" s="248" t="str">
        <f t="shared" si="105"/>
        <v/>
      </c>
      <c r="H1367" s="1" t="b">
        <f>IF(B1367="",FALSE,COUNTIF('従業員情報(給与以外)'!$A$4:$A$1000000,$B1367)=0)</f>
        <v>0</v>
      </c>
      <c r="I1367" s="9" t="b">
        <f t="shared" si="106"/>
        <v>1</v>
      </c>
      <c r="J1367" s="9" t="b">
        <f t="shared" si="107"/>
        <v>1</v>
      </c>
      <c r="K1367" s="9" t="b">
        <f t="shared" si="108"/>
        <v>1</v>
      </c>
      <c r="L1367" s="9" t="b">
        <f t="shared" si="109"/>
        <v>1</v>
      </c>
      <c r="M1367" s="1" t="b">
        <f>IF(OR(入力シート!$C$5&lt;&gt;入力リスト!$N$4,入力シート!$J$22&lt;&gt;入力リスト!$K$4),TRUE,IF($F$2=入力リスト!$Q$4,IF(F1367-INT(F1367)&lt;0.6,TRUE,FALSE),TRUE))</f>
        <v>1</v>
      </c>
      <c r="N1367" s="9" t="str">
        <f>IF(F1367="","",IF($F$2=入力リスト!$Q$4,ROUNDDOWN(INT(F1367)+ROUNDDOWN((F1367-INT(F1367))*100,0)/60,2),従業員の給与情報!F1367))</f>
        <v/>
      </c>
      <c r="O1367" s="8"/>
      <c r="P1367" s="8"/>
    </row>
    <row r="1368" spans="1:16">
      <c r="A1368" s="119"/>
      <c r="B1368" s="2"/>
      <c r="C1368" s="3"/>
      <c r="D1368" s="3"/>
      <c r="E1368" s="3"/>
      <c r="F1368" s="9"/>
      <c r="G1368" s="248" t="str">
        <f t="shared" si="105"/>
        <v/>
      </c>
      <c r="H1368" s="1" t="b">
        <f>IF(B1368="",FALSE,COUNTIF('従業員情報(給与以外)'!$A$4:$A$1000000,$B1368)=0)</f>
        <v>0</v>
      </c>
      <c r="I1368" s="9" t="b">
        <f t="shared" si="106"/>
        <v>1</v>
      </c>
      <c r="J1368" s="9" t="b">
        <f t="shared" si="107"/>
        <v>1</v>
      </c>
      <c r="K1368" s="9" t="b">
        <f t="shared" si="108"/>
        <v>1</v>
      </c>
      <c r="L1368" s="9" t="b">
        <f t="shared" si="109"/>
        <v>1</v>
      </c>
      <c r="M1368" s="1" t="b">
        <f>IF(OR(入力シート!$C$5&lt;&gt;入力リスト!$N$4,入力シート!$J$22&lt;&gt;入力リスト!$K$4),TRUE,IF($F$2=入力リスト!$Q$4,IF(F1368-INT(F1368)&lt;0.6,TRUE,FALSE),TRUE))</f>
        <v>1</v>
      </c>
      <c r="N1368" s="9" t="str">
        <f>IF(F1368="","",IF($F$2=入力リスト!$Q$4,ROUNDDOWN(INT(F1368)+ROUNDDOWN((F1368-INT(F1368))*100,0)/60,2),従業員の給与情報!F1368))</f>
        <v/>
      </c>
      <c r="O1368" s="8"/>
      <c r="P1368" s="8"/>
    </row>
    <row r="1369" spans="1:16">
      <c r="A1369" s="119"/>
      <c r="B1369" s="2"/>
      <c r="C1369" s="3"/>
      <c r="D1369" s="3"/>
      <c r="E1369" s="3"/>
      <c r="F1369" s="9"/>
      <c r="G1369" s="248" t="str">
        <f t="shared" si="105"/>
        <v/>
      </c>
      <c r="H1369" s="1" t="b">
        <f>IF(B1369="",FALSE,COUNTIF('従業員情報(給与以外)'!$A$4:$A$1000000,$B1369)=0)</f>
        <v>0</v>
      </c>
      <c r="I1369" s="9" t="b">
        <f t="shared" si="106"/>
        <v>1</v>
      </c>
      <c r="J1369" s="9" t="b">
        <f t="shared" si="107"/>
        <v>1</v>
      </c>
      <c r="K1369" s="9" t="b">
        <f t="shared" si="108"/>
        <v>1</v>
      </c>
      <c r="L1369" s="9" t="b">
        <f t="shared" si="109"/>
        <v>1</v>
      </c>
      <c r="M1369" s="1" t="b">
        <f>IF(OR(入力シート!$C$5&lt;&gt;入力リスト!$N$4,入力シート!$J$22&lt;&gt;入力リスト!$K$4),TRUE,IF($F$2=入力リスト!$Q$4,IF(F1369-INT(F1369)&lt;0.6,TRUE,FALSE),TRUE))</f>
        <v>1</v>
      </c>
      <c r="N1369" s="9" t="str">
        <f>IF(F1369="","",IF($F$2=入力リスト!$Q$4,ROUNDDOWN(INT(F1369)+ROUNDDOWN((F1369-INT(F1369))*100,0)/60,2),従業員の給与情報!F1369))</f>
        <v/>
      </c>
      <c r="O1369" s="8"/>
      <c r="P1369" s="8"/>
    </row>
    <row r="1370" spans="1:16">
      <c r="A1370" s="119"/>
      <c r="B1370" s="2"/>
      <c r="C1370" s="3"/>
      <c r="D1370" s="3"/>
      <c r="E1370" s="3"/>
      <c r="F1370" s="9"/>
      <c r="G1370" s="248" t="str">
        <f t="shared" si="105"/>
        <v/>
      </c>
      <c r="H1370" s="1" t="b">
        <f>IF(B1370="",FALSE,COUNTIF('従業員情報(給与以外)'!$A$4:$A$1000000,$B1370)=0)</f>
        <v>0</v>
      </c>
      <c r="I1370" s="9" t="b">
        <f t="shared" si="106"/>
        <v>1</v>
      </c>
      <c r="J1370" s="9" t="b">
        <f t="shared" si="107"/>
        <v>1</v>
      </c>
      <c r="K1370" s="9" t="b">
        <f t="shared" si="108"/>
        <v>1</v>
      </c>
      <c r="L1370" s="9" t="b">
        <f t="shared" si="109"/>
        <v>1</v>
      </c>
      <c r="M1370" s="1" t="b">
        <f>IF(OR(入力シート!$C$5&lt;&gt;入力リスト!$N$4,入力シート!$J$22&lt;&gt;入力リスト!$K$4),TRUE,IF($F$2=入力リスト!$Q$4,IF(F1370-INT(F1370)&lt;0.6,TRUE,FALSE),TRUE))</f>
        <v>1</v>
      </c>
      <c r="N1370" s="9" t="str">
        <f>IF(F1370="","",IF($F$2=入力リスト!$Q$4,ROUNDDOWN(INT(F1370)+ROUNDDOWN((F1370-INT(F1370))*100,0)/60,2),従業員の給与情報!F1370))</f>
        <v/>
      </c>
      <c r="O1370" s="8"/>
      <c r="P1370" s="8"/>
    </row>
    <row r="1371" spans="1:16">
      <c r="A1371" s="119"/>
      <c r="B1371" s="2"/>
      <c r="C1371" s="3"/>
      <c r="D1371" s="3"/>
      <c r="E1371" s="3"/>
      <c r="F1371" s="9"/>
      <c r="G1371" s="248" t="str">
        <f t="shared" si="105"/>
        <v/>
      </c>
      <c r="H1371" s="1" t="b">
        <f>IF(B1371="",FALSE,COUNTIF('従業員情報(給与以外)'!$A$4:$A$1000000,$B1371)=0)</f>
        <v>0</v>
      </c>
      <c r="I1371" s="9" t="b">
        <f t="shared" si="106"/>
        <v>1</v>
      </c>
      <c r="J1371" s="9" t="b">
        <f t="shared" si="107"/>
        <v>1</v>
      </c>
      <c r="K1371" s="9" t="b">
        <f t="shared" si="108"/>
        <v>1</v>
      </c>
      <c r="L1371" s="9" t="b">
        <f t="shared" si="109"/>
        <v>1</v>
      </c>
      <c r="M1371" s="1" t="b">
        <f>IF(OR(入力シート!$C$5&lt;&gt;入力リスト!$N$4,入力シート!$J$22&lt;&gt;入力リスト!$K$4),TRUE,IF($F$2=入力リスト!$Q$4,IF(F1371-INT(F1371)&lt;0.6,TRUE,FALSE),TRUE))</f>
        <v>1</v>
      </c>
      <c r="N1371" s="9" t="str">
        <f>IF(F1371="","",IF($F$2=入力リスト!$Q$4,ROUNDDOWN(INT(F1371)+ROUNDDOWN((F1371-INT(F1371))*100,0)/60,2),従業員の給与情報!F1371))</f>
        <v/>
      </c>
      <c r="O1371" s="8"/>
      <c r="P1371" s="8"/>
    </row>
    <row r="1372" spans="1:16">
      <c r="A1372" s="119"/>
      <c r="B1372" s="2"/>
      <c r="C1372" s="3"/>
      <c r="D1372" s="3"/>
      <c r="E1372" s="3"/>
      <c r="F1372" s="9"/>
      <c r="G1372" s="248" t="str">
        <f t="shared" si="105"/>
        <v/>
      </c>
      <c r="H1372" s="1" t="b">
        <f>IF(B1372="",FALSE,COUNTIF('従業員情報(給与以外)'!$A$4:$A$1000000,$B1372)=0)</f>
        <v>0</v>
      </c>
      <c r="I1372" s="9" t="b">
        <f t="shared" si="106"/>
        <v>1</v>
      </c>
      <c r="J1372" s="9" t="b">
        <f t="shared" si="107"/>
        <v>1</v>
      </c>
      <c r="K1372" s="9" t="b">
        <f t="shared" si="108"/>
        <v>1</v>
      </c>
      <c r="L1372" s="9" t="b">
        <f t="shared" si="109"/>
        <v>1</v>
      </c>
      <c r="M1372" s="1" t="b">
        <f>IF(OR(入力シート!$C$5&lt;&gt;入力リスト!$N$4,入力シート!$J$22&lt;&gt;入力リスト!$K$4),TRUE,IF($F$2=入力リスト!$Q$4,IF(F1372-INT(F1372)&lt;0.6,TRUE,FALSE),TRUE))</f>
        <v>1</v>
      </c>
      <c r="N1372" s="9" t="str">
        <f>IF(F1372="","",IF($F$2=入力リスト!$Q$4,ROUNDDOWN(INT(F1372)+ROUNDDOWN((F1372-INT(F1372))*100,0)/60,2),従業員の給与情報!F1372))</f>
        <v/>
      </c>
      <c r="O1372" s="8"/>
      <c r="P1372" s="8"/>
    </row>
    <row r="1373" spans="1:16">
      <c r="A1373" s="119"/>
      <c r="B1373" s="2"/>
      <c r="C1373" s="3"/>
      <c r="D1373" s="3"/>
      <c r="E1373" s="3"/>
      <c r="F1373" s="9"/>
      <c r="G1373" s="248" t="str">
        <f t="shared" si="105"/>
        <v/>
      </c>
      <c r="H1373" s="1" t="b">
        <f>IF(B1373="",FALSE,COUNTIF('従業員情報(給与以外)'!$A$4:$A$1000000,$B1373)=0)</f>
        <v>0</v>
      </c>
      <c r="I1373" s="9" t="b">
        <f t="shared" si="106"/>
        <v>1</v>
      </c>
      <c r="J1373" s="9" t="b">
        <f t="shared" si="107"/>
        <v>1</v>
      </c>
      <c r="K1373" s="9" t="b">
        <f t="shared" si="108"/>
        <v>1</v>
      </c>
      <c r="L1373" s="9" t="b">
        <f t="shared" si="109"/>
        <v>1</v>
      </c>
      <c r="M1373" s="1" t="b">
        <f>IF(OR(入力シート!$C$5&lt;&gt;入力リスト!$N$4,入力シート!$J$22&lt;&gt;入力リスト!$K$4),TRUE,IF($F$2=入力リスト!$Q$4,IF(F1373-INT(F1373)&lt;0.6,TRUE,FALSE),TRUE))</f>
        <v>1</v>
      </c>
      <c r="N1373" s="9" t="str">
        <f>IF(F1373="","",IF($F$2=入力リスト!$Q$4,ROUNDDOWN(INT(F1373)+ROUNDDOWN((F1373-INT(F1373))*100,0)/60,2),従業員の給与情報!F1373))</f>
        <v/>
      </c>
      <c r="O1373" s="8"/>
      <c r="P1373" s="8"/>
    </row>
    <row r="1374" spans="1:16">
      <c r="A1374" s="119"/>
      <c r="B1374" s="2"/>
      <c r="C1374" s="3"/>
      <c r="D1374" s="3"/>
      <c r="E1374" s="3"/>
      <c r="F1374" s="9"/>
      <c r="G1374" s="248" t="str">
        <f t="shared" si="105"/>
        <v/>
      </c>
      <c r="H1374" s="1" t="b">
        <f>IF(B1374="",FALSE,COUNTIF('従業員情報(給与以外)'!$A$4:$A$1000000,$B1374)=0)</f>
        <v>0</v>
      </c>
      <c r="I1374" s="9" t="b">
        <f t="shared" si="106"/>
        <v>1</v>
      </c>
      <c r="J1374" s="9" t="b">
        <f t="shared" si="107"/>
        <v>1</v>
      </c>
      <c r="K1374" s="9" t="b">
        <f t="shared" si="108"/>
        <v>1</v>
      </c>
      <c r="L1374" s="9" t="b">
        <f t="shared" si="109"/>
        <v>1</v>
      </c>
      <c r="M1374" s="1" t="b">
        <f>IF(OR(入力シート!$C$5&lt;&gt;入力リスト!$N$4,入力シート!$J$22&lt;&gt;入力リスト!$K$4),TRUE,IF($F$2=入力リスト!$Q$4,IF(F1374-INT(F1374)&lt;0.6,TRUE,FALSE),TRUE))</f>
        <v>1</v>
      </c>
      <c r="N1374" s="9" t="str">
        <f>IF(F1374="","",IF($F$2=入力リスト!$Q$4,ROUNDDOWN(INT(F1374)+ROUNDDOWN((F1374-INT(F1374))*100,0)/60,2),従業員の給与情報!F1374))</f>
        <v/>
      </c>
      <c r="O1374" s="8"/>
      <c r="P1374" s="8"/>
    </row>
    <row r="1375" spans="1:16">
      <c r="A1375" s="119"/>
      <c r="B1375" s="2"/>
      <c r="C1375" s="3"/>
      <c r="D1375" s="3"/>
      <c r="E1375" s="3"/>
      <c r="F1375" s="9"/>
      <c r="G1375" s="248" t="str">
        <f t="shared" si="105"/>
        <v/>
      </c>
      <c r="H1375" s="1" t="b">
        <f>IF(B1375="",FALSE,COUNTIF('従業員情報(給与以外)'!$A$4:$A$1000000,$B1375)=0)</f>
        <v>0</v>
      </c>
      <c r="I1375" s="9" t="b">
        <f t="shared" si="106"/>
        <v>1</v>
      </c>
      <c r="J1375" s="9" t="b">
        <f t="shared" si="107"/>
        <v>1</v>
      </c>
      <c r="K1375" s="9" t="b">
        <f t="shared" si="108"/>
        <v>1</v>
      </c>
      <c r="L1375" s="9" t="b">
        <f t="shared" si="109"/>
        <v>1</v>
      </c>
      <c r="M1375" s="1" t="b">
        <f>IF(OR(入力シート!$C$5&lt;&gt;入力リスト!$N$4,入力シート!$J$22&lt;&gt;入力リスト!$K$4),TRUE,IF($F$2=入力リスト!$Q$4,IF(F1375-INT(F1375)&lt;0.6,TRUE,FALSE),TRUE))</f>
        <v>1</v>
      </c>
      <c r="N1375" s="9" t="str">
        <f>IF(F1375="","",IF($F$2=入力リスト!$Q$4,ROUNDDOWN(INT(F1375)+ROUNDDOWN((F1375-INT(F1375))*100,0)/60,2),従業員の給与情報!F1375))</f>
        <v/>
      </c>
      <c r="O1375" s="8"/>
      <c r="P1375" s="8"/>
    </row>
    <row r="1376" spans="1:16">
      <c r="A1376" s="119"/>
      <c r="B1376" s="2"/>
      <c r="C1376" s="3"/>
      <c r="D1376" s="3"/>
      <c r="E1376" s="3"/>
      <c r="F1376" s="9"/>
      <c r="G1376" s="248" t="str">
        <f t="shared" si="105"/>
        <v/>
      </c>
      <c r="H1376" s="1" t="b">
        <f>IF(B1376="",FALSE,COUNTIF('従業員情報(給与以外)'!$A$4:$A$1000000,$B1376)=0)</f>
        <v>0</v>
      </c>
      <c r="I1376" s="9" t="b">
        <f t="shared" si="106"/>
        <v>1</v>
      </c>
      <c r="J1376" s="9" t="b">
        <f t="shared" si="107"/>
        <v>1</v>
      </c>
      <c r="K1376" s="9" t="b">
        <f t="shared" si="108"/>
        <v>1</v>
      </c>
      <c r="L1376" s="9" t="b">
        <f t="shared" si="109"/>
        <v>1</v>
      </c>
      <c r="M1376" s="1" t="b">
        <f>IF(OR(入力シート!$C$5&lt;&gt;入力リスト!$N$4,入力シート!$J$22&lt;&gt;入力リスト!$K$4),TRUE,IF($F$2=入力リスト!$Q$4,IF(F1376-INT(F1376)&lt;0.6,TRUE,FALSE),TRUE))</f>
        <v>1</v>
      </c>
      <c r="N1376" s="9" t="str">
        <f>IF(F1376="","",IF($F$2=入力リスト!$Q$4,ROUNDDOWN(INT(F1376)+ROUNDDOWN((F1376-INT(F1376))*100,0)/60,2),従業員の給与情報!F1376))</f>
        <v/>
      </c>
      <c r="O1376" s="8"/>
      <c r="P1376" s="8"/>
    </row>
    <row r="1377" spans="1:16">
      <c r="A1377" s="119"/>
      <c r="B1377" s="2"/>
      <c r="C1377" s="3"/>
      <c r="D1377" s="3"/>
      <c r="E1377" s="3"/>
      <c r="F1377" s="9"/>
      <c r="G1377" s="248" t="str">
        <f t="shared" si="105"/>
        <v/>
      </c>
      <c r="H1377" s="1" t="b">
        <f>IF(B1377="",FALSE,COUNTIF('従業員情報(給与以外)'!$A$4:$A$1000000,$B1377)=0)</f>
        <v>0</v>
      </c>
      <c r="I1377" s="9" t="b">
        <f t="shared" si="106"/>
        <v>1</v>
      </c>
      <c r="J1377" s="9" t="b">
        <f t="shared" si="107"/>
        <v>1</v>
      </c>
      <c r="K1377" s="9" t="b">
        <f t="shared" si="108"/>
        <v>1</v>
      </c>
      <c r="L1377" s="9" t="b">
        <f t="shared" si="109"/>
        <v>1</v>
      </c>
      <c r="M1377" s="1" t="b">
        <f>IF(OR(入力シート!$C$5&lt;&gt;入力リスト!$N$4,入力シート!$J$22&lt;&gt;入力リスト!$K$4),TRUE,IF($F$2=入力リスト!$Q$4,IF(F1377-INT(F1377)&lt;0.6,TRUE,FALSE),TRUE))</f>
        <v>1</v>
      </c>
      <c r="N1377" s="9" t="str">
        <f>IF(F1377="","",IF($F$2=入力リスト!$Q$4,ROUNDDOWN(INT(F1377)+ROUNDDOWN((F1377-INT(F1377))*100,0)/60,2),従業員の給与情報!F1377))</f>
        <v/>
      </c>
      <c r="O1377" s="8"/>
      <c r="P1377" s="8"/>
    </row>
    <row r="1378" spans="1:16">
      <c r="A1378" s="119"/>
      <c r="B1378" s="2"/>
      <c r="C1378" s="3"/>
      <c r="D1378" s="3"/>
      <c r="E1378" s="3"/>
      <c r="F1378" s="9"/>
      <c r="G1378" s="248" t="str">
        <f t="shared" si="105"/>
        <v/>
      </c>
      <c r="H1378" s="1" t="b">
        <f>IF(B1378="",FALSE,COUNTIF('従業員情報(給与以外)'!$A$4:$A$1000000,$B1378)=0)</f>
        <v>0</v>
      </c>
      <c r="I1378" s="9" t="b">
        <f t="shared" si="106"/>
        <v>1</v>
      </c>
      <c r="J1378" s="9" t="b">
        <f t="shared" si="107"/>
        <v>1</v>
      </c>
      <c r="K1378" s="9" t="b">
        <f t="shared" si="108"/>
        <v>1</v>
      </c>
      <c r="L1378" s="9" t="b">
        <f t="shared" si="109"/>
        <v>1</v>
      </c>
      <c r="M1378" s="1" t="b">
        <f>IF(OR(入力シート!$C$5&lt;&gt;入力リスト!$N$4,入力シート!$J$22&lt;&gt;入力リスト!$K$4),TRUE,IF($F$2=入力リスト!$Q$4,IF(F1378-INT(F1378)&lt;0.6,TRUE,FALSE),TRUE))</f>
        <v>1</v>
      </c>
      <c r="N1378" s="9" t="str">
        <f>IF(F1378="","",IF($F$2=入力リスト!$Q$4,ROUNDDOWN(INT(F1378)+ROUNDDOWN((F1378-INT(F1378))*100,0)/60,2),従業員の給与情報!F1378))</f>
        <v/>
      </c>
      <c r="O1378" s="8"/>
      <c r="P1378" s="8"/>
    </row>
    <row r="1379" spans="1:16">
      <c r="A1379" s="119"/>
      <c r="B1379" s="2"/>
      <c r="C1379" s="3"/>
      <c r="D1379" s="3"/>
      <c r="E1379" s="3"/>
      <c r="F1379" s="9"/>
      <c r="G1379" s="248" t="str">
        <f t="shared" si="105"/>
        <v/>
      </c>
      <c r="H1379" s="1" t="b">
        <f>IF(B1379="",FALSE,COUNTIF('従業員情報(給与以外)'!$A$4:$A$1000000,$B1379)=0)</f>
        <v>0</v>
      </c>
      <c r="I1379" s="9" t="b">
        <f t="shared" si="106"/>
        <v>1</v>
      </c>
      <c r="J1379" s="9" t="b">
        <f t="shared" si="107"/>
        <v>1</v>
      </c>
      <c r="K1379" s="9" t="b">
        <f t="shared" si="108"/>
        <v>1</v>
      </c>
      <c r="L1379" s="9" t="b">
        <f t="shared" si="109"/>
        <v>1</v>
      </c>
      <c r="M1379" s="1" t="b">
        <f>IF(OR(入力シート!$C$5&lt;&gt;入力リスト!$N$4,入力シート!$J$22&lt;&gt;入力リスト!$K$4),TRUE,IF($F$2=入力リスト!$Q$4,IF(F1379-INT(F1379)&lt;0.6,TRUE,FALSE),TRUE))</f>
        <v>1</v>
      </c>
      <c r="N1379" s="9" t="str">
        <f>IF(F1379="","",IF($F$2=入力リスト!$Q$4,ROUNDDOWN(INT(F1379)+ROUNDDOWN((F1379-INT(F1379))*100,0)/60,2),従業員の給与情報!F1379))</f>
        <v/>
      </c>
      <c r="O1379" s="8"/>
      <c r="P1379" s="8"/>
    </row>
    <row r="1380" spans="1:16">
      <c r="A1380" s="119"/>
      <c r="B1380" s="2"/>
      <c r="C1380" s="3"/>
      <c r="D1380" s="3"/>
      <c r="E1380" s="3"/>
      <c r="F1380" s="9"/>
      <c r="G1380" s="248" t="str">
        <f t="shared" si="105"/>
        <v/>
      </c>
      <c r="H1380" s="1" t="b">
        <f>IF(B1380="",FALSE,COUNTIF('従業員情報(給与以外)'!$A$4:$A$1000000,$B1380)=0)</f>
        <v>0</v>
      </c>
      <c r="I1380" s="9" t="b">
        <f t="shared" si="106"/>
        <v>1</v>
      </c>
      <c r="J1380" s="9" t="b">
        <f t="shared" si="107"/>
        <v>1</v>
      </c>
      <c r="K1380" s="9" t="b">
        <f t="shared" si="108"/>
        <v>1</v>
      </c>
      <c r="L1380" s="9" t="b">
        <f t="shared" si="109"/>
        <v>1</v>
      </c>
      <c r="M1380" s="1" t="b">
        <f>IF(OR(入力シート!$C$5&lt;&gt;入力リスト!$N$4,入力シート!$J$22&lt;&gt;入力リスト!$K$4),TRUE,IF($F$2=入力リスト!$Q$4,IF(F1380-INT(F1380)&lt;0.6,TRUE,FALSE),TRUE))</f>
        <v>1</v>
      </c>
      <c r="N1380" s="9" t="str">
        <f>IF(F1380="","",IF($F$2=入力リスト!$Q$4,ROUNDDOWN(INT(F1380)+ROUNDDOWN((F1380-INT(F1380))*100,0)/60,2),従業員の給与情報!F1380))</f>
        <v/>
      </c>
      <c r="O1380" s="8"/>
      <c r="P1380" s="8"/>
    </row>
    <row r="1381" spans="1:16">
      <c r="A1381" s="119"/>
      <c r="B1381" s="2"/>
      <c r="C1381" s="3"/>
      <c r="D1381" s="3"/>
      <c r="E1381" s="3"/>
      <c r="F1381" s="9"/>
      <c r="G1381" s="248" t="str">
        <f t="shared" si="105"/>
        <v/>
      </c>
      <c r="H1381" s="1" t="b">
        <f>IF(B1381="",FALSE,COUNTIF('従業員情報(給与以外)'!$A$4:$A$1000000,$B1381)=0)</f>
        <v>0</v>
      </c>
      <c r="I1381" s="9" t="b">
        <f t="shared" si="106"/>
        <v>1</v>
      </c>
      <c r="J1381" s="9" t="b">
        <f t="shared" si="107"/>
        <v>1</v>
      </c>
      <c r="K1381" s="9" t="b">
        <f t="shared" si="108"/>
        <v>1</v>
      </c>
      <c r="L1381" s="9" t="b">
        <f t="shared" si="109"/>
        <v>1</v>
      </c>
      <c r="M1381" s="1" t="b">
        <f>IF(OR(入力シート!$C$5&lt;&gt;入力リスト!$N$4,入力シート!$J$22&lt;&gt;入力リスト!$K$4),TRUE,IF($F$2=入力リスト!$Q$4,IF(F1381-INT(F1381)&lt;0.6,TRUE,FALSE),TRUE))</f>
        <v>1</v>
      </c>
      <c r="N1381" s="9" t="str">
        <f>IF(F1381="","",IF($F$2=入力リスト!$Q$4,ROUNDDOWN(INT(F1381)+ROUNDDOWN((F1381-INT(F1381))*100,0)/60,2),従業員の給与情報!F1381))</f>
        <v/>
      </c>
      <c r="O1381" s="8"/>
      <c r="P1381" s="8"/>
    </row>
    <row r="1382" spans="1:16">
      <c r="A1382" s="119"/>
      <c r="B1382" s="2"/>
      <c r="C1382" s="3"/>
      <c r="D1382" s="3"/>
      <c r="E1382" s="3"/>
      <c r="F1382" s="9"/>
      <c r="G1382" s="248" t="str">
        <f t="shared" si="105"/>
        <v/>
      </c>
      <c r="H1382" s="1" t="b">
        <f>IF(B1382="",FALSE,COUNTIF('従業員情報(給与以外)'!$A$4:$A$1000000,$B1382)=0)</f>
        <v>0</v>
      </c>
      <c r="I1382" s="9" t="b">
        <f t="shared" si="106"/>
        <v>1</v>
      </c>
      <c r="J1382" s="9" t="b">
        <f t="shared" si="107"/>
        <v>1</v>
      </c>
      <c r="K1382" s="9" t="b">
        <f t="shared" si="108"/>
        <v>1</v>
      </c>
      <c r="L1382" s="9" t="b">
        <f t="shared" si="109"/>
        <v>1</v>
      </c>
      <c r="M1382" s="1" t="b">
        <f>IF(OR(入力シート!$C$5&lt;&gt;入力リスト!$N$4,入力シート!$J$22&lt;&gt;入力リスト!$K$4),TRUE,IF($F$2=入力リスト!$Q$4,IF(F1382-INT(F1382)&lt;0.6,TRUE,FALSE),TRUE))</f>
        <v>1</v>
      </c>
      <c r="N1382" s="9" t="str">
        <f>IF(F1382="","",IF($F$2=入力リスト!$Q$4,ROUNDDOWN(INT(F1382)+ROUNDDOWN((F1382-INT(F1382))*100,0)/60,2),従業員の給与情報!F1382))</f>
        <v/>
      </c>
      <c r="O1382" s="8"/>
      <c r="P1382" s="8"/>
    </row>
    <row r="1383" spans="1:16">
      <c r="A1383" s="119"/>
      <c r="B1383" s="2"/>
      <c r="C1383" s="3"/>
      <c r="D1383" s="3"/>
      <c r="E1383" s="3"/>
      <c r="F1383" s="9"/>
      <c r="G1383" s="248" t="str">
        <f t="shared" si="105"/>
        <v/>
      </c>
      <c r="H1383" s="1" t="b">
        <f>IF(B1383="",FALSE,COUNTIF('従業員情報(給与以外)'!$A$4:$A$1000000,$B1383)=0)</f>
        <v>0</v>
      </c>
      <c r="I1383" s="9" t="b">
        <f t="shared" si="106"/>
        <v>1</v>
      </c>
      <c r="J1383" s="9" t="b">
        <f t="shared" si="107"/>
        <v>1</v>
      </c>
      <c r="K1383" s="9" t="b">
        <f t="shared" si="108"/>
        <v>1</v>
      </c>
      <c r="L1383" s="9" t="b">
        <f t="shared" si="109"/>
        <v>1</v>
      </c>
      <c r="M1383" s="1" t="b">
        <f>IF(OR(入力シート!$C$5&lt;&gt;入力リスト!$N$4,入力シート!$J$22&lt;&gt;入力リスト!$K$4),TRUE,IF($F$2=入力リスト!$Q$4,IF(F1383-INT(F1383)&lt;0.6,TRUE,FALSE),TRUE))</f>
        <v>1</v>
      </c>
      <c r="N1383" s="9" t="str">
        <f>IF(F1383="","",IF($F$2=入力リスト!$Q$4,ROUNDDOWN(INT(F1383)+ROUNDDOWN((F1383-INT(F1383))*100,0)/60,2),従業員の給与情報!F1383))</f>
        <v/>
      </c>
      <c r="O1383" s="8"/>
      <c r="P1383" s="8"/>
    </row>
    <row r="1384" spans="1:16">
      <c r="A1384" s="119"/>
      <c r="B1384" s="2"/>
      <c r="C1384" s="3"/>
      <c r="D1384" s="3"/>
      <c r="E1384" s="3"/>
      <c r="F1384" s="9"/>
      <c r="G1384" s="248" t="str">
        <f t="shared" si="105"/>
        <v/>
      </c>
      <c r="H1384" s="1" t="b">
        <f>IF(B1384="",FALSE,COUNTIF('従業員情報(給与以外)'!$A$4:$A$1000000,$B1384)=0)</f>
        <v>0</v>
      </c>
      <c r="I1384" s="9" t="b">
        <f t="shared" si="106"/>
        <v>1</v>
      </c>
      <c r="J1384" s="9" t="b">
        <f t="shared" si="107"/>
        <v>1</v>
      </c>
      <c r="K1384" s="9" t="b">
        <f t="shared" si="108"/>
        <v>1</v>
      </c>
      <c r="L1384" s="9" t="b">
        <f t="shared" si="109"/>
        <v>1</v>
      </c>
      <c r="M1384" s="1" t="b">
        <f>IF(OR(入力シート!$C$5&lt;&gt;入力リスト!$N$4,入力シート!$J$22&lt;&gt;入力リスト!$K$4),TRUE,IF($F$2=入力リスト!$Q$4,IF(F1384-INT(F1384)&lt;0.6,TRUE,FALSE),TRUE))</f>
        <v>1</v>
      </c>
      <c r="N1384" s="9" t="str">
        <f>IF(F1384="","",IF($F$2=入力リスト!$Q$4,ROUNDDOWN(INT(F1384)+ROUNDDOWN((F1384-INT(F1384))*100,0)/60,2),従業員の給与情報!F1384))</f>
        <v/>
      </c>
      <c r="O1384" s="8"/>
      <c r="P1384" s="8"/>
    </row>
    <row r="1385" spans="1:16">
      <c r="A1385" s="119"/>
      <c r="B1385" s="2"/>
      <c r="C1385" s="3"/>
      <c r="D1385" s="3"/>
      <c r="E1385" s="3"/>
      <c r="F1385" s="9"/>
      <c r="G1385" s="248" t="str">
        <f t="shared" si="105"/>
        <v/>
      </c>
      <c r="H1385" s="1" t="b">
        <f>IF(B1385="",FALSE,COUNTIF('従業員情報(給与以外)'!$A$4:$A$1000000,$B1385)=0)</f>
        <v>0</v>
      </c>
      <c r="I1385" s="9" t="b">
        <f t="shared" si="106"/>
        <v>1</v>
      </c>
      <c r="J1385" s="9" t="b">
        <f t="shared" si="107"/>
        <v>1</v>
      </c>
      <c r="K1385" s="9" t="b">
        <f t="shared" si="108"/>
        <v>1</v>
      </c>
      <c r="L1385" s="9" t="b">
        <f t="shared" si="109"/>
        <v>1</v>
      </c>
      <c r="M1385" s="1" t="b">
        <f>IF(OR(入力シート!$C$5&lt;&gt;入力リスト!$N$4,入力シート!$J$22&lt;&gt;入力リスト!$K$4),TRUE,IF($F$2=入力リスト!$Q$4,IF(F1385-INT(F1385)&lt;0.6,TRUE,FALSE),TRUE))</f>
        <v>1</v>
      </c>
      <c r="N1385" s="9" t="str">
        <f>IF(F1385="","",IF($F$2=入力リスト!$Q$4,ROUNDDOWN(INT(F1385)+ROUNDDOWN((F1385-INT(F1385))*100,0)/60,2),従業員の給与情報!F1385))</f>
        <v/>
      </c>
      <c r="O1385" s="8"/>
      <c r="P1385" s="8"/>
    </row>
    <row r="1386" spans="1:16">
      <c r="A1386" s="119"/>
      <c r="B1386" s="2"/>
      <c r="C1386" s="3"/>
      <c r="D1386" s="3"/>
      <c r="E1386" s="3"/>
      <c r="F1386" s="9"/>
      <c r="G1386" s="248" t="str">
        <f t="shared" si="105"/>
        <v/>
      </c>
      <c r="H1386" s="1" t="b">
        <f>IF(B1386="",FALSE,COUNTIF('従業員情報(給与以外)'!$A$4:$A$1000000,$B1386)=0)</f>
        <v>0</v>
      </c>
      <c r="I1386" s="9" t="b">
        <f t="shared" si="106"/>
        <v>1</v>
      </c>
      <c r="J1386" s="9" t="b">
        <f t="shared" si="107"/>
        <v>1</v>
      </c>
      <c r="K1386" s="9" t="b">
        <f t="shared" si="108"/>
        <v>1</v>
      </c>
      <c r="L1386" s="9" t="b">
        <f t="shared" si="109"/>
        <v>1</v>
      </c>
      <c r="M1386" s="1" t="b">
        <f>IF(OR(入力シート!$C$5&lt;&gt;入力リスト!$N$4,入力シート!$J$22&lt;&gt;入力リスト!$K$4),TRUE,IF($F$2=入力リスト!$Q$4,IF(F1386-INT(F1386)&lt;0.6,TRUE,FALSE),TRUE))</f>
        <v>1</v>
      </c>
      <c r="N1386" s="9" t="str">
        <f>IF(F1386="","",IF($F$2=入力リスト!$Q$4,ROUNDDOWN(INT(F1386)+ROUNDDOWN((F1386-INT(F1386))*100,0)/60,2),従業員の給与情報!F1386))</f>
        <v/>
      </c>
      <c r="O1386" s="8"/>
      <c r="P1386" s="8"/>
    </row>
    <row r="1387" spans="1:16">
      <c r="A1387" s="119"/>
      <c r="B1387" s="2"/>
      <c r="C1387" s="3"/>
      <c r="D1387" s="3"/>
      <c r="E1387" s="3"/>
      <c r="F1387" s="9"/>
      <c r="G1387" s="248" t="str">
        <f t="shared" si="105"/>
        <v/>
      </c>
      <c r="H1387" s="1" t="b">
        <f>IF(B1387="",FALSE,COUNTIF('従業員情報(給与以外)'!$A$4:$A$1000000,$B1387)=0)</f>
        <v>0</v>
      </c>
      <c r="I1387" s="9" t="b">
        <f t="shared" si="106"/>
        <v>1</v>
      </c>
      <c r="J1387" s="9" t="b">
        <f t="shared" si="107"/>
        <v>1</v>
      </c>
      <c r="K1387" s="9" t="b">
        <f t="shared" si="108"/>
        <v>1</v>
      </c>
      <c r="L1387" s="9" t="b">
        <f t="shared" si="109"/>
        <v>1</v>
      </c>
      <c r="M1387" s="1" t="b">
        <f>IF(OR(入力シート!$C$5&lt;&gt;入力リスト!$N$4,入力シート!$J$22&lt;&gt;入力リスト!$K$4),TRUE,IF($F$2=入力リスト!$Q$4,IF(F1387-INT(F1387)&lt;0.6,TRUE,FALSE),TRUE))</f>
        <v>1</v>
      </c>
      <c r="N1387" s="9" t="str">
        <f>IF(F1387="","",IF($F$2=入力リスト!$Q$4,ROUNDDOWN(INT(F1387)+ROUNDDOWN((F1387-INT(F1387))*100,0)/60,2),従業員の給与情報!F1387))</f>
        <v/>
      </c>
      <c r="O1387" s="8"/>
      <c r="P1387" s="8"/>
    </row>
    <row r="1388" spans="1:16">
      <c r="A1388" s="119"/>
      <c r="B1388" s="2"/>
      <c r="C1388" s="3"/>
      <c r="D1388" s="3"/>
      <c r="E1388" s="3"/>
      <c r="F1388" s="9"/>
      <c r="G1388" s="248" t="str">
        <f t="shared" si="105"/>
        <v/>
      </c>
      <c r="H1388" s="1" t="b">
        <f>IF(B1388="",FALSE,COUNTIF('従業員情報(給与以外)'!$A$4:$A$1000000,$B1388)=0)</f>
        <v>0</v>
      </c>
      <c r="I1388" s="9" t="b">
        <f t="shared" si="106"/>
        <v>1</v>
      </c>
      <c r="J1388" s="9" t="b">
        <f t="shared" si="107"/>
        <v>1</v>
      </c>
      <c r="K1388" s="9" t="b">
        <f t="shared" si="108"/>
        <v>1</v>
      </c>
      <c r="L1388" s="9" t="b">
        <f t="shared" si="109"/>
        <v>1</v>
      </c>
      <c r="M1388" s="1" t="b">
        <f>IF(OR(入力シート!$C$5&lt;&gt;入力リスト!$N$4,入力シート!$J$22&lt;&gt;入力リスト!$K$4),TRUE,IF($F$2=入力リスト!$Q$4,IF(F1388-INT(F1388)&lt;0.6,TRUE,FALSE),TRUE))</f>
        <v>1</v>
      </c>
      <c r="N1388" s="9" t="str">
        <f>IF(F1388="","",IF($F$2=入力リスト!$Q$4,ROUNDDOWN(INT(F1388)+ROUNDDOWN((F1388-INT(F1388))*100,0)/60,2),従業員の給与情報!F1388))</f>
        <v/>
      </c>
      <c r="O1388" s="8"/>
      <c r="P1388" s="8"/>
    </row>
    <row r="1389" spans="1:16">
      <c r="A1389" s="119"/>
      <c r="B1389" s="2"/>
      <c r="C1389" s="3"/>
      <c r="D1389" s="3"/>
      <c r="E1389" s="3"/>
      <c r="F1389" s="9"/>
      <c r="G1389" s="248" t="str">
        <f t="shared" si="105"/>
        <v/>
      </c>
      <c r="H1389" s="1" t="b">
        <f>IF(B1389="",FALSE,COUNTIF('従業員情報(給与以外)'!$A$4:$A$1000000,$B1389)=0)</f>
        <v>0</v>
      </c>
      <c r="I1389" s="9" t="b">
        <f t="shared" si="106"/>
        <v>1</v>
      </c>
      <c r="J1389" s="9" t="b">
        <f t="shared" si="107"/>
        <v>1</v>
      </c>
      <c r="K1389" s="9" t="b">
        <f t="shared" si="108"/>
        <v>1</v>
      </c>
      <c r="L1389" s="9" t="b">
        <f t="shared" si="109"/>
        <v>1</v>
      </c>
      <c r="M1389" s="1" t="b">
        <f>IF(OR(入力シート!$C$5&lt;&gt;入力リスト!$N$4,入力シート!$J$22&lt;&gt;入力リスト!$K$4),TRUE,IF($F$2=入力リスト!$Q$4,IF(F1389-INT(F1389)&lt;0.6,TRUE,FALSE),TRUE))</f>
        <v>1</v>
      </c>
      <c r="N1389" s="9" t="str">
        <f>IF(F1389="","",IF($F$2=入力リスト!$Q$4,ROUNDDOWN(INT(F1389)+ROUNDDOWN((F1389-INT(F1389))*100,0)/60,2),従業員の給与情報!F1389))</f>
        <v/>
      </c>
      <c r="O1389" s="8"/>
      <c r="P1389" s="8"/>
    </row>
    <row r="1390" spans="1:16">
      <c r="A1390" s="119"/>
      <c r="B1390" s="2"/>
      <c r="C1390" s="3"/>
      <c r="D1390" s="3"/>
      <c r="E1390" s="3"/>
      <c r="F1390" s="9"/>
      <c r="G1390" s="248" t="str">
        <f t="shared" si="105"/>
        <v/>
      </c>
      <c r="H1390" s="1" t="b">
        <f>IF(B1390="",FALSE,COUNTIF('従業員情報(給与以外)'!$A$4:$A$1000000,$B1390)=0)</f>
        <v>0</v>
      </c>
      <c r="I1390" s="9" t="b">
        <f t="shared" si="106"/>
        <v>1</v>
      </c>
      <c r="J1390" s="9" t="b">
        <f t="shared" si="107"/>
        <v>1</v>
      </c>
      <c r="K1390" s="9" t="b">
        <f t="shared" si="108"/>
        <v>1</v>
      </c>
      <c r="L1390" s="9" t="b">
        <f t="shared" si="109"/>
        <v>1</v>
      </c>
      <c r="M1390" s="1" t="b">
        <f>IF(OR(入力シート!$C$5&lt;&gt;入力リスト!$N$4,入力シート!$J$22&lt;&gt;入力リスト!$K$4),TRUE,IF($F$2=入力リスト!$Q$4,IF(F1390-INT(F1390)&lt;0.6,TRUE,FALSE),TRUE))</f>
        <v>1</v>
      </c>
      <c r="N1390" s="9" t="str">
        <f>IF(F1390="","",IF($F$2=入力リスト!$Q$4,ROUNDDOWN(INT(F1390)+ROUNDDOWN((F1390-INT(F1390))*100,0)/60,2),従業員の給与情報!F1390))</f>
        <v/>
      </c>
      <c r="O1390" s="8"/>
      <c r="P1390" s="8"/>
    </row>
    <row r="1391" spans="1:16">
      <c r="A1391" s="119"/>
      <c r="B1391" s="2"/>
      <c r="C1391" s="3"/>
      <c r="D1391" s="3"/>
      <c r="E1391" s="3"/>
      <c r="F1391" s="9"/>
      <c r="G1391" s="248" t="str">
        <f t="shared" si="105"/>
        <v/>
      </c>
      <c r="H1391" s="1" t="b">
        <f>IF(B1391="",FALSE,COUNTIF('従業員情報(給与以外)'!$A$4:$A$1000000,$B1391)=0)</f>
        <v>0</v>
      </c>
      <c r="I1391" s="9" t="b">
        <f t="shared" si="106"/>
        <v>1</v>
      </c>
      <c r="J1391" s="9" t="b">
        <f t="shared" si="107"/>
        <v>1</v>
      </c>
      <c r="K1391" s="9" t="b">
        <f t="shared" si="108"/>
        <v>1</v>
      </c>
      <c r="L1391" s="9" t="b">
        <f t="shared" si="109"/>
        <v>1</v>
      </c>
      <c r="M1391" s="1" t="b">
        <f>IF(OR(入力シート!$C$5&lt;&gt;入力リスト!$N$4,入力シート!$J$22&lt;&gt;入力リスト!$K$4),TRUE,IF($F$2=入力リスト!$Q$4,IF(F1391-INT(F1391)&lt;0.6,TRUE,FALSE),TRUE))</f>
        <v>1</v>
      </c>
      <c r="N1391" s="9" t="str">
        <f>IF(F1391="","",IF($F$2=入力リスト!$Q$4,ROUNDDOWN(INT(F1391)+ROUNDDOWN((F1391-INT(F1391))*100,0)/60,2),従業員の給与情報!F1391))</f>
        <v/>
      </c>
      <c r="O1391" s="8"/>
      <c r="P1391" s="8"/>
    </row>
    <row r="1392" spans="1:16">
      <c r="A1392" s="119"/>
      <c r="B1392" s="2"/>
      <c r="C1392" s="3"/>
      <c r="D1392" s="3"/>
      <c r="E1392" s="3"/>
      <c r="F1392" s="9"/>
      <c r="G1392" s="248" t="str">
        <f t="shared" si="105"/>
        <v/>
      </c>
      <c r="H1392" s="1" t="b">
        <f>IF(B1392="",FALSE,COUNTIF('従業員情報(給与以外)'!$A$4:$A$1000000,$B1392)=0)</f>
        <v>0</v>
      </c>
      <c r="I1392" s="9" t="b">
        <f t="shared" si="106"/>
        <v>1</v>
      </c>
      <c r="J1392" s="9" t="b">
        <f t="shared" si="107"/>
        <v>1</v>
      </c>
      <c r="K1392" s="9" t="b">
        <f t="shared" si="108"/>
        <v>1</v>
      </c>
      <c r="L1392" s="9" t="b">
        <f t="shared" si="109"/>
        <v>1</v>
      </c>
      <c r="M1392" s="1" t="b">
        <f>IF(OR(入力シート!$C$5&lt;&gt;入力リスト!$N$4,入力シート!$J$22&lt;&gt;入力リスト!$K$4),TRUE,IF($F$2=入力リスト!$Q$4,IF(F1392-INT(F1392)&lt;0.6,TRUE,FALSE),TRUE))</f>
        <v>1</v>
      </c>
      <c r="N1392" s="9" t="str">
        <f>IF(F1392="","",IF($F$2=入力リスト!$Q$4,ROUNDDOWN(INT(F1392)+ROUNDDOWN((F1392-INT(F1392))*100,0)/60,2),従業員の給与情報!F1392))</f>
        <v/>
      </c>
      <c r="O1392" s="8"/>
      <c r="P1392" s="8"/>
    </row>
    <row r="1393" spans="1:16">
      <c r="A1393" s="119"/>
      <c r="B1393" s="2"/>
      <c r="C1393" s="3"/>
      <c r="D1393" s="3"/>
      <c r="E1393" s="3"/>
      <c r="F1393" s="9"/>
      <c r="G1393" s="248" t="str">
        <f t="shared" si="105"/>
        <v/>
      </c>
      <c r="H1393" s="1" t="b">
        <f>IF(B1393="",FALSE,COUNTIF('従業員情報(給与以外)'!$A$4:$A$1000000,$B1393)=0)</f>
        <v>0</v>
      </c>
      <c r="I1393" s="9" t="b">
        <f t="shared" si="106"/>
        <v>1</v>
      </c>
      <c r="J1393" s="9" t="b">
        <f t="shared" si="107"/>
        <v>1</v>
      </c>
      <c r="K1393" s="9" t="b">
        <f t="shared" si="108"/>
        <v>1</v>
      </c>
      <c r="L1393" s="9" t="b">
        <f t="shared" si="109"/>
        <v>1</v>
      </c>
      <c r="M1393" s="1" t="b">
        <f>IF(OR(入力シート!$C$5&lt;&gt;入力リスト!$N$4,入力シート!$J$22&lt;&gt;入力リスト!$K$4),TRUE,IF($F$2=入力リスト!$Q$4,IF(F1393-INT(F1393)&lt;0.6,TRUE,FALSE),TRUE))</f>
        <v>1</v>
      </c>
      <c r="N1393" s="9" t="str">
        <f>IF(F1393="","",IF($F$2=入力リスト!$Q$4,ROUNDDOWN(INT(F1393)+ROUNDDOWN((F1393-INT(F1393))*100,0)/60,2),従業員の給与情報!F1393))</f>
        <v/>
      </c>
      <c r="O1393" s="8"/>
      <c r="P1393" s="8"/>
    </row>
    <row r="1394" spans="1:16">
      <c r="A1394" s="119"/>
      <c r="B1394" s="2"/>
      <c r="C1394" s="3"/>
      <c r="D1394" s="3"/>
      <c r="E1394" s="3"/>
      <c r="F1394" s="9"/>
      <c r="G1394" s="248" t="str">
        <f t="shared" si="105"/>
        <v/>
      </c>
      <c r="H1394" s="1" t="b">
        <f>IF(B1394="",FALSE,COUNTIF('従業員情報(給与以外)'!$A$4:$A$1000000,$B1394)=0)</f>
        <v>0</v>
      </c>
      <c r="I1394" s="9" t="b">
        <f t="shared" si="106"/>
        <v>1</v>
      </c>
      <c r="J1394" s="9" t="b">
        <f t="shared" si="107"/>
        <v>1</v>
      </c>
      <c r="K1394" s="9" t="b">
        <f t="shared" si="108"/>
        <v>1</v>
      </c>
      <c r="L1394" s="9" t="b">
        <f t="shared" si="109"/>
        <v>1</v>
      </c>
      <c r="M1394" s="1" t="b">
        <f>IF(OR(入力シート!$C$5&lt;&gt;入力リスト!$N$4,入力シート!$J$22&lt;&gt;入力リスト!$K$4),TRUE,IF($F$2=入力リスト!$Q$4,IF(F1394-INT(F1394)&lt;0.6,TRUE,FALSE),TRUE))</f>
        <v>1</v>
      </c>
      <c r="N1394" s="9" t="str">
        <f>IF(F1394="","",IF($F$2=入力リスト!$Q$4,ROUNDDOWN(INT(F1394)+ROUNDDOWN((F1394-INT(F1394))*100,0)/60,2),従業員の給与情報!F1394))</f>
        <v/>
      </c>
      <c r="O1394" s="8"/>
      <c r="P1394" s="8"/>
    </row>
    <row r="1395" spans="1:16">
      <c r="A1395" s="119"/>
      <c r="B1395" s="2"/>
      <c r="C1395" s="3"/>
      <c r="D1395" s="3"/>
      <c r="E1395" s="3"/>
      <c r="F1395" s="9"/>
      <c r="G1395" s="248" t="str">
        <f t="shared" si="105"/>
        <v/>
      </c>
      <c r="H1395" s="1" t="b">
        <f>IF(B1395="",FALSE,COUNTIF('従業員情報(給与以外)'!$A$4:$A$1000000,$B1395)=0)</f>
        <v>0</v>
      </c>
      <c r="I1395" s="9" t="b">
        <f t="shared" si="106"/>
        <v>1</v>
      </c>
      <c r="J1395" s="9" t="b">
        <f t="shared" si="107"/>
        <v>1</v>
      </c>
      <c r="K1395" s="9" t="b">
        <f t="shared" si="108"/>
        <v>1</v>
      </c>
      <c r="L1395" s="9" t="b">
        <f t="shared" si="109"/>
        <v>1</v>
      </c>
      <c r="M1395" s="1" t="b">
        <f>IF(OR(入力シート!$C$5&lt;&gt;入力リスト!$N$4,入力シート!$J$22&lt;&gt;入力リスト!$K$4),TRUE,IF($F$2=入力リスト!$Q$4,IF(F1395-INT(F1395)&lt;0.6,TRUE,FALSE),TRUE))</f>
        <v>1</v>
      </c>
      <c r="N1395" s="9" t="str">
        <f>IF(F1395="","",IF($F$2=入力リスト!$Q$4,ROUNDDOWN(INT(F1395)+ROUNDDOWN((F1395-INT(F1395))*100,0)/60,2),従業員の給与情報!F1395))</f>
        <v/>
      </c>
      <c r="O1395" s="8"/>
      <c r="P1395" s="8"/>
    </row>
    <row r="1396" spans="1:16">
      <c r="A1396" s="119"/>
      <c r="B1396" s="2"/>
      <c r="C1396" s="3"/>
      <c r="D1396" s="3"/>
      <c r="E1396" s="3"/>
      <c r="F1396" s="9"/>
      <c r="G1396" s="248" t="str">
        <f t="shared" si="105"/>
        <v/>
      </c>
      <c r="H1396" s="1" t="b">
        <f>IF(B1396="",FALSE,COUNTIF('従業員情報(給与以外)'!$A$4:$A$1000000,$B1396)=0)</f>
        <v>0</v>
      </c>
      <c r="I1396" s="9" t="b">
        <f t="shared" si="106"/>
        <v>1</v>
      </c>
      <c r="J1396" s="9" t="b">
        <f t="shared" si="107"/>
        <v>1</v>
      </c>
      <c r="K1396" s="9" t="b">
        <f t="shared" si="108"/>
        <v>1</v>
      </c>
      <c r="L1396" s="9" t="b">
        <f t="shared" si="109"/>
        <v>1</v>
      </c>
      <c r="M1396" s="1" t="b">
        <f>IF(OR(入力シート!$C$5&lt;&gt;入力リスト!$N$4,入力シート!$J$22&lt;&gt;入力リスト!$K$4),TRUE,IF($F$2=入力リスト!$Q$4,IF(F1396-INT(F1396)&lt;0.6,TRUE,FALSE),TRUE))</f>
        <v>1</v>
      </c>
      <c r="N1396" s="9" t="str">
        <f>IF(F1396="","",IF($F$2=入力リスト!$Q$4,ROUNDDOWN(INT(F1396)+ROUNDDOWN((F1396-INT(F1396))*100,0)/60,2),従業員の給与情報!F1396))</f>
        <v/>
      </c>
      <c r="O1396" s="8"/>
      <c r="P1396" s="8"/>
    </row>
    <row r="1397" spans="1:16">
      <c r="A1397" s="119"/>
      <c r="B1397" s="2"/>
      <c r="C1397" s="3"/>
      <c r="D1397" s="3"/>
      <c r="E1397" s="3"/>
      <c r="F1397" s="9"/>
      <c r="G1397" s="248" t="str">
        <f t="shared" si="105"/>
        <v/>
      </c>
      <c r="H1397" s="1" t="b">
        <f>IF(B1397="",FALSE,COUNTIF('従業員情報(給与以外)'!$A$4:$A$1000000,$B1397)=0)</f>
        <v>0</v>
      </c>
      <c r="I1397" s="9" t="b">
        <f t="shared" si="106"/>
        <v>1</v>
      </c>
      <c r="J1397" s="9" t="b">
        <f t="shared" si="107"/>
        <v>1</v>
      </c>
      <c r="K1397" s="9" t="b">
        <f t="shared" si="108"/>
        <v>1</v>
      </c>
      <c r="L1397" s="9" t="b">
        <f t="shared" si="109"/>
        <v>1</v>
      </c>
      <c r="M1397" s="1" t="b">
        <f>IF(OR(入力シート!$C$5&lt;&gt;入力リスト!$N$4,入力シート!$J$22&lt;&gt;入力リスト!$K$4),TRUE,IF($F$2=入力リスト!$Q$4,IF(F1397-INT(F1397)&lt;0.6,TRUE,FALSE),TRUE))</f>
        <v>1</v>
      </c>
      <c r="N1397" s="9" t="str">
        <f>IF(F1397="","",IF($F$2=入力リスト!$Q$4,ROUNDDOWN(INT(F1397)+ROUNDDOWN((F1397-INT(F1397))*100,0)/60,2),従業員の給与情報!F1397))</f>
        <v/>
      </c>
      <c r="O1397" s="8"/>
      <c r="P1397" s="8"/>
    </row>
    <row r="1398" spans="1:16">
      <c r="A1398" s="119"/>
      <c r="B1398" s="2"/>
      <c r="C1398" s="3"/>
      <c r="D1398" s="3"/>
      <c r="E1398" s="3"/>
      <c r="F1398" s="9"/>
      <c r="G1398" s="248" t="str">
        <f t="shared" si="105"/>
        <v/>
      </c>
      <c r="H1398" s="1" t="b">
        <f>IF(B1398="",FALSE,COUNTIF('従業員情報(給与以外)'!$A$4:$A$1000000,$B1398)=0)</f>
        <v>0</v>
      </c>
      <c r="I1398" s="9" t="b">
        <f t="shared" si="106"/>
        <v>1</v>
      </c>
      <c r="J1398" s="9" t="b">
        <f t="shared" si="107"/>
        <v>1</v>
      </c>
      <c r="K1398" s="9" t="b">
        <f t="shared" si="108"/>
        <v>1</v>
      </c>
      <c r="L1398" s="9" t="b">
        <f t="shared" si="109"/>
        <v>1</v>
      </c>
      <c r="M1398" s="1" t="b">
        <f>IF(OR(入力シート!$C$5&lt;&gt;入力リスト!$N$4,入力シート!$J$22&lt;&gt;入力リスト!$K$4),TRUE,IF($F$2=入力リスト!$Q$4,IF(F1398-INT(F1398)&lt;0.6,TRUE,FALSE),TRUE))</f>
        <v>1</v>
      </c>
      <c r="N1398" s="9" t="str">
        <f>IF(F1398="","",IF($F$2=入力リスト!$Q$4,ROUNDDOWN(INT(F1398)+ROUNDDOWN((F1398-INT(F1398))*100,0)/60,2),従業員の給与情報!F1398))</f>
        <v/>
      </c>
      <c r="O1398" s="8"/>
      <c r="P1398" s="8"/>
    </row>
    <row r="1399" spans="1:16">
      <c r="A1399" s="119"/>
      <c r="B1399" s="2"/>
      <c r="C1399" s="3"/>
      <c r="D1399" s="3"/>
      <c r="E1399" s="3"/>
      <c r="F1399" s="9"/>
      <c r="G1399" s="248" t="str">
        <f t="shared" si="105"/>
        <v/>
      </c>
      <c r="H1399" s="1" t="b">
        <f>IF(B1399="",FALSE,COUNTIF('従業員情報(給与以外)'!$A$4:$A$1000000,$B1399)=0)</f>
        <v>0</v>
      </c>
      <c r="I1399" s="9" t="b">
        <f t="shared" si="106"/>
        <v>1</v>
      </c>
      <c r="J1399" s="9" t="b">
        <f t="shared" si="107"/>
        <v>1</v>
      </c>
      <c r="K1399" s="9" t="b">
        <f t="shared" si="108"/>
        <v>1</v>
      </c>
      <c r="L1399" s="9" t="b">
        <f t="shared" si="109"/>
        <v>1</v>
      </c>
      <c r="M1399" s="1" t="b">
        <f>IF(OR(入力シート!$C$5&lt;&gt;入力リスト!$N$4,入力シート!$J$22&lt;&gt;入力リスト!$K$4),TRUE,IF($F$2=入力リスト!$Q$4,IF(F1399-INT(F1399)&lt;0.6,TRUE,FALSE),TRUE))</f>
        <v>1</v>
      </c>
      <c r="N1399" s="9" t="str">
        <f>IF(F1399="","",IF($F$2=入力リスト!$Q$4,ROUNDDOWN(INT(F1399)+ROUNDDOWN((F1399-INT(F1399))*100,0)/60,2),従業員の給与情報!F1399))</f>
        <v/>
      </c>
      <c r="O1399" s="8"/>
      <c r="P1399" s="8"/>
    </row>
    <row r="1400" spans="1:16">
      <c r="A1400" s="119"/>
      <c r="B1400" s="2"/>
      <c r="C1400" s="3"/>
      <c r="D1400" s="3"/>
      <c r="E1400" s="3"/>
      <c r="F1400" s="9"/>
      <c r="G1400" s="248" t="str">
        <f t="shared" si="105"/>
        <v/>
      </c>
      <c r="H1400" s="1" t="b">
        <f>IF(B1400="",FALSE,COUNTIF('従業員情報(給与以外)'!$A$4:$A$1000000,$B1400)=0)</f>
        <v>0</v>
      </c>
      <c r="I1400" s="9" t="b">
        <f t="shared" si="106"/>
        <v>1</v>
      </c>
      <c r="J1400" s="9" t="b">
        <f t="shared" si="107"/>
        <v>1</v>
      </c>
      <c r="K1400" s="9" t="b">
        <f t="shared" si="108"/>
        <v>1</v>
      </c>
      <c r="L1400" s="9" t="b">
        <f t="shared" si="109"/>
        <v>1</v>
      </c>
      <c r="M1400" s="1" t="b">
        <f>IF(OR(入力シート!$C$5&lt;&gt;入力リスト!$N$4,入力シート!$J$22&lt;&gt;入力リスト!$K$4),TRUE,IF($F$2=入力リスト!$Q$4,IF(F1400-INT(F1400)&lt;0.6,TRUE,FALSE),TRUE))</f>
        <v>1</v>
      </c>
      <c r="N1400" s="9" t="str">
        <f>IF(F1400="","",IF($F$2=入力リスト!$Q$4,ROUNDDOWN(INT(F1400)+ROUNDDOWN((F1400-INT(F1400))*100,0)/60,2),従業員の給与情報!F1400))</f>
        <v/>
      </c>
      <c r="O1400" s="8"/>
      <c r="P1400" s="8"/>
    </row>
    <row r="1401" spans="1:16">
      <c r="A1401" s="119"/>
      <c r="B1401" s="2"/>
      <c r="C1401" s="3"/>
      <c r="D1401" s="3"/>
      <c r="E1401" s="3"/>
      <c r="F1401" s="9"/>
      <c r="G1401" s="248" t="str">
        <f t="shared" si="105"/>
        <v/>
      </c>
      <c r="H1401" s="1" t="b">
        <f>IF(B1401="",FALSE,COUNTIF('従業員情報(給与以外)'!$A$4:$A$1000000,$B1401)=0)</f>
        <v>0</v>
      </c>
      <c r="I1401" s="9" t="b">
        <f t="shared" si="106"/>
        <v>1</v>
      </c>
      <c r="J1401" s="9" t="b">
        <f t="shared" si="107"/>
        <v>1</v>
      </c>
      <c r="K1401" s="9" t="b">
        <f t="shared" si="108"/>
        <v>1</v>
      </c>
      <c r="L1401" s="9" t="b">
        <f t="shared" si="109"/>
        <v>1</v>
      </c>
      <c r="M1401" s="1" t="b">
        <f>IF(OR(入力シート!$C$5&lt;&gt;入力リスト!$N$4,入力シート!$J$22&lt;&gt;入力リスト!$K$4),TRUE,IF($F$2=入力リスト!$Q$4,IF(F1401-INT(F1401)&lt;0.6,TRUE,FALSE),TRUE))</f>
        <v>1</v>
      </c>
      <c r="N1401" s="9" t="str">
        <f>IF(F1401="","",IF($F$2=入力リスト!$Q$4,ROUNDDOWN(INT(F1401)+ROUNDDOWN((F1401-INT(F1401))*100,0)/60,2),従業員の給与情報!F1401))</f>
        <v/>
      </c>
      <c r="O1401" s="8"/>
      <c r="P1401" s="8"/>
    </row>
    <row r="1402" spans="1:16">
      <c r="A1402" s="119"/>
      <c r="B1402" s="2"/>
      <c r="C1402" s="3"/>
      <c r="D1402" s="3"/>
      <c r="E1402" s="3"/>
      <c r="F1402" s="9"/>
      <c r="G1402" s="248" t="str">
        <f t="shared" si="105"/>
        <v/>
      </c>
      <c r="H1402" s="1" t="b">
        <f>IF(B1402="",FALSE,COUNTIF('従業員情報(給与以外)'!$A$4:$A$1000000,$B1402)=0)</f>
        <v>0</v>
      </c>
      <c r="I1402" s="9" t="b">
        <f t="shared" si="106"/>
        <v>1</v>
      </c>
      <c r="J1402" s="9" t="b">
        <f t="shared" si="107"/>
        <v>1</v>
      </c>
      <c r="K1402" s="9" t="b">
        <f t="shared" si="108"/>
        <v>1</v>
      </c>
      <c r="L1402" s="9" t="b">
        <f t="shared" si="109"/>
        <v>1</v>
      </c>
      <c r="M1402" s="1" t="b">
        <f>IF(OR(入力シート!$C$5&lt;&gt;入力リスト!$N$4,入力シート!$J$22&lt;&gt;入力リスト!$K$4),TRUE,IF($F$2=入力リスト!$Q$4,IF(F1402-INT(F1402)&lt;0.6,TRUE,FALSE),TRUE))</f>
        <v>1</v>
      </c>
      <c r="N1402" s="9" t="str">
        <f>IF(F1402="","",IF($F$2=入力リスト!$Q$4,ROUNDDOWN(INT(F1402)+ROUNDDOWN((F1402-INT(F1402))*100,0)/60,2),従業員の給与情報!F1402))</f>
        <v/>
      </c>
      <c r="O1402" s="8"/>
      <c r="P1402" s="8"/>
    </row>
    <row r="1403" spans="1:16">
      <c r="A1403" s="119"/>
      <c r="B1403" s="2"/>
      <c r="C1403" s="3"/>
      <c r="D1403" s="3"/>
      <c r="E1403" s="3"/>
      <c r="F1403" s="9"/>
      <c r="G1403" s="248" t="str">
        <f t="shared" si="105"/>
        <v/>
      </c>
      <c r="H1403" s="1" t="b">
        <f>IF(B1403="",FALSE,COUNTIF('従業員情報(給与以外)'!$A$4:$A$1000000,$B1403)=0)</f>
        <v>0</v>
      </c>
      <c r="I1403" s="9" t="b">
        <f t="shared" si="106"/>
        <v>1</v>
      </c>
      <c r="J1403" s="9" t="b">
        <f t="shared" si="107"/>
        <v>1</v>
      </c>
      <c r="K1403" s="9" t="b">
        <f t="shared" si="108"/>
        <v>1</v>
      </c>
      <c r="L1403" s="9" t="b">
        <f t="shared" si="109"/>
        <v>1</v>
      </c>
      <c r="M1403" s="1" t="b">
        <f>IF(OR(入力シート!$C$5&lt;&gt;入力リスト!$N$4,入力シート!$J$22&lt;&gt;入力リスト!$K$4),TRUE,IF($F$2=入力リスト!$Q$4,IF(F1403-INT(F1403)&lt;0.6,TRUE,FALSE),TRUE))</f>
        <v>1</v>
      </c>
      <c r="N1403" s="9" t="str">
        <f>IF(F1403="","",IF($F$2=入力リスト!$Q$4,ROUNDDOWN(INT(F1403)+ROUNDDOWN((F1403-INT(F1403))*100,0)/60,2),従業員の給与情報!F1403))</f>
        <v/>
      </c>
      <c r="O1403" s="8"/>
      <c r="P1403" s="8"/>
    </row>
    <row r="1404" spans="1:16">
      <c r="A1404" s="119"/>
      <c r="B1404" s="2"/>
      <c r="C1404" s="3"/>
      <c r="D1404" s="3"/>
      <c r="E1404" s="3"/>
      <c r="F1404" s="9"/>
      <c r="G1404" s="248" t="str">
        <f t="shared" si="105"/>
        <v/>
      </c>
      <c r="H1404" s="1" t="b">
        <f>IF(B1404="",FALSE,COUNTIF('従業員情報(給与以外)'!$A$4:$A$1000000,$B1404)=0)</f>
        <v>0</v>
      </c>
      <c r="I1404" s="9" t="b">
        <f t="shared" si="106"/>
        <v>1</v>
      </c>
      <c r="J1404" s="9" t="b">
        <f t="shared" si="107"/>
        <v>1</v>
      </c>
      <c r="K1404" s="9" t="b">
        <f t="shared" si="108"/>
        <v>1</v>
      </c>
      <c r="L1404" s="9" t="b">
        <f t="shared" si="109"/>
        <v>1</v>
      </c>
      <c r="M1404" s="1" t="b">
        <f>IF(OR(入力シート!$C$5&lt;&gt;入力リスト!$N$4,入力シート!$J$22&lt;&gt;入力リスト!$K$4),TRUE,IF($F$2=入力リスト!$Q$4,IF(F1404-INT(F1404)&lt;0.6,TRUE,FALSE),TRUE))</f>
        <v>1</v>
      </c>
      <c r="N1404" s="9" t="str">
        <f>IF(F1404="","",IF($F$2=入力リスト!$Q$4,ROUNDDOWN(INT(F1404)+ROUNDDOWN((F1404-INT(F1404))*100,0)/60,2),従業員の給与情報!F1404))</f>
        <v/>
      </c>
      <c r="O1404" s="8"/>
      <c r="P1404" s="8"/>
    </row>
    <row r="1405" spans="1:16">
      <c r="A1405" s="119"/>
      <c r="B1405" s="2"/>
      <c r="C1405" s="3"/>
      <c r="D1405" s="3"/>
      <c r="E1405" s="3"/>
      <c r="F1405" s="9"/>
      <c r="G1405" s="248" t="str">
        <f t="shared" si="105"/>
        <v/>
      </c>
      <c r="H1405" s="1" t="b">
        <f>IF(B1405="",FALSE,COUNTIF('従業員情報(給与以外)'!$A$4:$A$1000000,$B1405)=0)</f>
        <v>0</v>
      </c>
      <c r="I1405" s="9" t="b">
        <f t="shared" si="106"/>
        <v>1</v>
      </c>
      <c r="J1405" s="9" t="b">
        <f t="shared" si="107"/>
        <v>1</v>
      </c>
      <c r="K1405" s="9" t="b">
        <f t="shared" si="108"/>
        <v>1</v>
      </c>
      <c r="L1405" s="9" t="b">
        <f t="shared" si="109"/>
        <v>1</v>
      </c>
      <c r="M1405" s="1" t="b">
        <f>IF(OR(入力シート!$C$5&lt;&gt;入力リスト!$N$4,入力シート!$J$22&lt;&gt;入力リスト!$K$4),TRUE,IF($F$2=入力リスト!$Q$4,IF(F1405-INT(F1405)&lt;0.6,TRUE,FALSE),TRUE))</f>
        <v>1</v>
      </c>
      <c r="N1405" s="9" t="str">
        <f>IF(F1405="","",IF($F$2=入力リスト!$Q$4,ROUNDDOWN(INT(F1405)+ROUNDDOWN((F1405-INT(F1405))*100,0)/60,2),従業員の給与情報!F1405))</f>
        <v/>
      </c>
      <c r="O1405" s="8"/>
      <c r="P1405" s="8"/>
    </row>
    <row r="1406" spans="1:16">
      <c r="A1406" s="119"/>
      <c r="B1406" s="2"/>
      <c r="C1406" s="3"/>
      <c r="D1406" s="3"/>
      <c r="E1406" s="3"/>
      <c r="F1406" s="9"/>
      <c r="G1406" s="248" t="str">
        <f t="shared" si="105"/>
        <v/>
      </c>
      <c r="H1406" s="1" t="b">
        <f>IF(B1406="",FALSE,COUNTIF('従業員情報(給与以外)'!$A$4:$A$1000000,$B1406)=0)</f>
        <v>0</v>
      </c>
      <c r="I1406" s="9" t="b">
        <f t="shared" si="106"/>
        <v>1</v>
      </c>
      <c r="J1406" s="9" t="b">
        <f t="shared" si="107"/>
        <v>1</v>
      </c>
      <c r="K1406" s="9" t="b">
        <f t="shared" si="108"/>
        <v>1</v>
      </c>
      <c r="L1406" s="9" t="b">
        <f t="shared" si="109"/>
        <v>1</v>
      </c>
      <c r="M1406" s="1" t="b">
        <f>IF(OR(入力シート!$C$5&lt;&gt;入力リスト!$N$4,入力シート!$J$22&lt;&gt;入力リスト!$K$4),TRUE,IF($F$2=入力リスト!$Q$4,IF(F1406-INT(F1406)&lt;0.6,TRUE,FALSE),TRUE))</f>
        <v>1</v>
      </c>
      <c r="N1406" s="9" t="str">
        <f>IF(F1406="","",IF($F$2=入力リスト!$Q$4,ROUNDDOWN(INT(F1406)+ROUNDDOWN((F1406-INT(F1406))*100,0)/60,2),従業員の給与情報!F1406))</f>
        <v/>
      </c>
      <c r="O1406" s="8"/>
      <c r="P1406" s="8"/>
    </row>
    <row r="1407" spans="1:16">
      <c r="A1407" s="119"/>
      <c r="B1407" s="2"/>
      <c r="C1407" s="3"/>
      <c r="D1407" s="3"/>
      <c r="E1407" s="3"/>
      <c r="F1407" s="9"/>
      <c r="G1407" s="248" t="str">
        <f t="shared" si="105"/>
        <v/>
      </c>
      <c r="H1407" s="1" t="b">
        <f>IF(B1407="",FALSE,COUNTIF('従業員情報(給与以外)'!$A$4:$A$1000000,$B1407)=0)</f>
        <v>0</v>
      </c>
      <c r="I1407" s="9" t="b">
        <f t="shared" si="106"/>
        <v>1</v>
      </c>
      <c r="J1407" s="9" t="b">
        <f t="shared" si="107"/>
        <v>1</v>
      </c>
      <c r="K1407" s="9" t="b">
        <f t="shared" si="108"/>
        <v>1</v>
      </c>
      <c r="L1407" s="9" t="b">
        <f t="shared" si="109"/>
        <v>1</v>
      </c>
      <c r="M1407" s="1" t="b">
        <f>IF(OR(入力シート!$C$5&lt;&gt;入力リスト!$N$4,入力シート!$J$22&lt;&gt;入力リスト!$K$4),TRUE,IF($F$2=入力リスト!$Q$4,IF(F1407-INT(F1407)&lt;0.6,TRUE,FALSE),TRUE))</f>
        <v>1</v>
      </c>
      <c r="N1407" s="9" t="str">
        <f>IF(F1407="","",IF($F$2=入力リスト!$Q$4,ROUNDDOWN(INT(F1407)+ROUNDDOWN((F1407-INT(F1407))*100,0)/60,2),従業員の給与情報!F1407))</f>
        <v/>
      </c>
      <c r="O1407" s="8"/>
      <c r="P1407" s="8"/>
    </row>
    <row r="1408" spans="1:16">
      <c r="A1408" s="119"/>
      <c r="B1408" s="2"/>
      <c r="C1408" s="3"/>
      <c r="D1408" s="3"/>
      <c r="E1408" s="3"/>
      <c r="F1408" s="9"/>
      <c r="G1408" s="248" t="str">
        <f t="shared" si="105"/>
        <v/>
      </c>
      <c r="H1408" s="1" t="b">
        <f>IF(B1408="",FALSE,COUNTIF('従業員情報(給与以外)'!$A$4:$A$1000000,$B1408)=0)</f>
        <v>0</v>
      </c>
      <c r="I1408" s="9" t="b">
        <f t="shared" si="106"/>
        <v>1</v>
      </c>
      <c r="J1408" s="9" t="b">
        <f t="shared" si="107"/>
        <v>1</v>
      </c>
      <c r="K1408" s="9" t="b">
        <f t="shared" si="108"/>
        <v>1</v>
      </c>
      <c r="L1408" s="9" t="b">
        <f t="shared" si="109"/>
        <v>1</v>
      </c>
      <c r="M1408" s="1" t="b">
        <f>IF(OR(入力シート!$C$5&lt;&gt;入力リスト!$N$4,入力シート!$J$22&lt;&gt;入力リスト!$K$4),TRUE,IF($F$2=入力リスト!$Q$4,IF(F1408-INT(F1408)&lt;0.6,TRUE,FALSE),TRUE))</f>
        <v>1</v>
      </c>
      <c r="N1408" s="9" t="str">
        <f>IF(F1408="","",IF($F$2=入力リスト!$Q$4,ROUNDDOWN(INT(F1408)+ROUNDDOWN((F1408-INT(F1408))*100,0)/60,2),従業員の給与情報!F1408))</f>
        <v/>
      </c>
      <c r="O1408" s="8"/>
      <c r="P1408" s="8"/>
    </row>
    <row r="1409" spans="1:16">
      <c r="A1409" s="119"/>
      <c r="B1409" s="2"/>
      <c r="C1409" s="3"/>
      <c r="D1409" s="3"/>
      <c r="E1409" s="3"/>
      <c r="F1409" s="9"/>
      <c r="G1409" s="248" t="str">
        <f t="shared" si="105"/>
        <v/>
      </c>
      <c r="H1409" s="1" t="b">
        <f>IF(B1409="",FALSE,COUNTIF('従業員情報(給与以外)'!$A$4:$A$1000000,$B1409)=0)</f>
        <v>0</v>
      </c>
      <c r="I1409" s="9" t="b">
        <f t="shared" si="106"/>
        <v>1</v>
      </c>
      <c r="J1409" s="9" t="b">
        <f t="shared" si="107"/>
        <v>1</v>
      </c>
      <c r="K1409" s="9" t="b">
        <f t="shared" si="108"/>
        <v>1</v>
      </c>
      <c r="L1409" s="9" t="b">
        <f t="shared" si="109"/>
        <v>1</v>
      </c>
      <c r="M1409" s="1" t="b">
        <f>IF(OR(入力シート!$C$5&lt;&gt;入力リスト!$N$4,入力シート!$J$22&lt;&gt;入力リスト!$K$4),TRUE,IF($F$2=入力リスト!$Q$4,IF(F1409-INT(F1409)&lt;0.6,TRUE,FALSE),TRUE))</f>
        <v>1</v>
      </c>
      <c r="N1409" s="9" t="str">
        <f>IF(F1409="","",IF($F$2=入力リスト!$Q$4,ROUNDDOWN(INT(F1409)+ROUNDDOWN((F1409-INT(F1409))*100,0)/60,2),従業員の給与情報!F1409))</f>
        <v/>
      </c>
      <c r="O1409" s="8"/>
      <c r="P1409" s="8"/>
    </row>
    <row r="1410" spans="1:16">
      <c r="A1410" s="119"/>
      <c r="B1410" s="2"/>
      <c r="C1410" s="3"/>
      <c r="D1410" s="3"/>
      <c r="E1410" s="3"/>
      <c r="F1410" s="9"/>
      <c r="G1410" s="248" t="str">
        <f t="shared" si="105"/>
        <v/>
      </c>
      <c r="H1410" s="1" t="b">
        <f>IF(B1410="",FALSE,COUNTIF('従業員情報(給与以外)'!$A$4:$A$1000000,$B1410)=0)</f>
        <v>0</v>
      </c>
      <c r="I1410" s="9" t="b">
        <f t="shared" si="106"/>
        <v>1</v>
      </c>
      <c r="J1410" s="9" t="b">
        <f t="shared" si="107"/>
        <v>1</v>
      </c>
      <c r="K1410" s="9" t="b">
        <f t="shared" si="108"/>
        <v>1</v>
      </c>
      <c r="L1410" s="9" t="b">
        <f t="shared" si="109"/>
        <v>1</v>
      </c>
      <c r="M1410" s="1" t="b">
        <f>IF(OR(入力シート!$C$5&lt;&gt;入力リスト!$N$4,入力シート!$J$22&lt;&gt;入力リスト!$K$4),TRUE,IF($F$2=入力リスト!$Q$4,IF(F1410-INT(F1410)&lt;0.6,TRUE,FALSE),TRUE))</f>
        <v>1</v>
      </c>
      <c r="N1410" s="9" t="str">
        <f>IF(F1410="","",IF($F$2=入力リスト!$Q$4,ROUNDDOWN(INT(F1410)+ROUNDDOWN((F1410-INT(F1410))*100,0)/60,2),従業員の給与情報!F1410))</f>
        <v/>
      </c>
      <c r="O1410" s="8"/>
      <c r="P1410" s="8"/>
    </row>
    <row r="1411" spans="1:16">
      <c r="A1411" s="119"/>
      <c r="B1411" s="2"/>
      <c r="C1411" s="3"/>
      <c r="D1411" s="3"/>
      <c r="E1411" s="3"/>
      <c r="F1411" s="9"/>
      <c r="G1411" s="248" t="str">
        <f t="shared" si="105"/>
        <v/>
      </c>
      <c r="H1411" s="1" t="b">
        <f>IF(B1411="",FALSE,COUNTIF('従業員情報(給与以外)'!$A$4:$A$1000000,$B1411)=0)</f>
        <v>0</v>
      </c>
      <c r="I1411" s="9" t="b">
        <f t="shared" si="106"/>
        <v>1</v>
      </c>
      <c r="J1411" s="9" t="b">
        <f t="shared" si="107"/>
        <v>1</v>
      </c>
      <c r="K1411" s="9" t="b">
        <f t="shared" si="108"/>
        <v>1</v>
      </c>
      <c r="L1411" s="9" t="b">
        <f t="shared" si="109"/>
        <v>1</v>
      </c>
      <c r="M1411" s="1" t="b">
        <f>IF(OR(入力シート!$C$5&lt;&gt;入力リスト!$N$4,入力シート!$J$22&lt;&gt;入力リスト!$K$4),TRUE,IF($F$2=入力リスト!$Q$4,IF(F1411-INT(F1411)&lt;0.6,TRUE,FALSE),TRUE))</f>
        <v>1</v>
      </c>
      <c r="N1411" s="9" t="str">
        <f>IF(F1411="","",IF($F$2=入力リスト!$Q$4,ROUNDDOWN(INT(F1411)+ROUNDDOWN((F1411-INT(F1411))*100,0)/60,2),従業員の給与情報!F1411))</f>
        <v/>
      </c>
      <c r="O1411" s="8"/>
      <c r="P1411" s="8"/>
    </row>
    <row r="1412" spans="1:16">
      <c r="A1412" s="119"/>
      <c r="B1412" s="2"/>
      <c r="C1412" s="3"/>
      <c r="D1412" s="3"/>
      <c r="E1412" s="3"/>
      <c r="F1412" s="9"/>
      <c r="G1412" s="248" t="str">
        <f t="shared" si="105"/>
        <v/>
      </c>
      <c r="H1412" s="1" t="b">
        <f>IF(B1412="",FALSE,COUNTIF('従業員情報(給与以外)'!$A$4:$A$1000000,$B1412)=0)</f>
        <v>0</v>
      </c>
      <c r="I1412" s="9" t="b">
        <f t="shared" si="106"/>
        <v>1</v>
      </c>
      <c r="J1412" s="9" t="b">
        <f t="shared" si="107"/>
        <v>1</v>
      </c>
      <c r="K1412" s="9" t="b">
        <f t="shared" si="108"/>
        <v>1</v>
      </c>
      <c r="L1412" s="9" t="b">
        <f t="shared" si="109"/>
        <v>1</v>
      </c>
      <c r="M1412" s="1" t="b">
        <f>IF(OR(入力シート!$C$5&lt;&gt;入力リスト!$N$4,入力シート!$J$22&lt;&gt;入力リスト!$K$4),TRUE,IF($F$2=入力リスト!$Q$4,IF(F1412-INT(F1412)&lt;0.6,TRUE,FALSE),TRUE))</f>
        <v>1</v>
      </c>
      <c r="N1412" s="9" t="str">
        <f>IF(F1412="","",IF($F$2=入力リスト!$Q$4,ROUNDDOWN(INT(F1412)+ROUNDDOWN((F1412-INT(F1412))*100,0)/60,2),従業員の給与情報!F1412))</f>
        <v/>
      </c>
      <c r="O1412" s="8"/>
      <c r="P1412" s="8"/>
    </row>
    <row r="1413" spans="1:16">
      <c r="A1413" s="119"/>
      <c r="B1413" s="2"/>
      <c r="C1413" s="3"/>
      <c r="D1413" s="3"/>
      <c r="E1413" s="3"/>
      <c r="F1413" s="9"/>
      <c r="G1413" s="248" t="str">
        <f t="shared" ref="G1413:G1476" si="110">IF(AND($B1413="",OR(B1413&lt;&gt;"",C1413&lt;&gt;"",D1413&lt;&gt;"",E1413&lt;&gt;"",F1413&lt;&gt;"")),"従業員番号が空白です。",IF($H1413=TRUE,"この従業員番号は、シート［従業員情報（給与以外）］に存在しません。",IF(I1413=FALSE,"「毎月の固定給与額」","")&amp;IF(AND(I1413=FALSE,OR(J1413=FALSE,K1413=FALSE,L1413=FALSE)),",","")&amp;IF(J1413=FALSE,"「賞与額等」","")&amp;IF(AND(J1413=FALSE,OR(K1413=FALSE,L1413=FALSE)),",","")&amp;IF(K1413=FALSE,"「残業手当」","")&amp;IF(AND(K1413=FALSE,L1413=FALSE),",","")&amp;IF(L1413=FALSE,"「残業時間」","")&amp;IF(OR(I1413=FALSE,J1413=FALSE,K1413=FALSE,L1413=FALSE),"に数値以外が入力されています。","")&amp;IF(M1413,"","「残業時間」を分単位で入力した場合、小数点以下の値は0.6未満にしてください。")))</f>
        <v/>
      </c>
      <c r="H1413" s="1" t="b">
        <f>IF(B1413="",FALSE,COUNTIF('従業員情報(給与以外)'!$A$4:$A$1000000,$B1413)=0)</f>
        <v>0</v>
      </c>
      <c r="I1413" s="9" t="b">
        <f t="shared" ref="I1413:I1476" si="111">OR(C1413="",ISNUMBER(C1413))</f>
        <v>1</v>
      </c>
      <c r="J1413" s="9" t="b">
        <f t="shared" ref="J1413:J1476" si="112">OR(D1413="",ISNUMBER(D1413))</f>
        <v>1</v>
      </c>
      <c r="K1413" s="9" t="b">
        <f t="shared" ref="K1413:K1476" si="113">OR(E1413="",ISNUMBER(E1413))</f>
        <v>1</v>
      </c>
      <c r="L1413" s="9" t="b">
        <f t="shared" ref="L1413:L1476" si="114">OR(F1413="",ISNUMBER(F1413))</f>
        <v>1</v>
      </c>
      <c r="M1413" s="1" t="b">
        <f>IF(OR(入力シート!$C$5&lt;&gt;入力リスト!$N$4,入力シート!$J$22&lt;&gt;入力リスト!$K$4),TRUE,IF($F$2=入力リスト!$Q$4,IF(F1413-INT(F1413)&lt;0.6,TRUE,FALSE),TRUE))</f>
        <v>1</v>
      </c>
      <c r="N1413" s="9" t="str">
        <f>IF(F1413="","",IF($F$2=入力リスト!$Q$4,ROUNDDOWN(INT(F1413)+ROUNDDOWN((F1413-INT(F1413))*100,0)/60,2),従業員の給与情報!F1413))</f>
        <v/>
      </c>
      <c r="O1413" s="8"/>
      <c r="P1413" s="8"/>
    </row>
    <row r="1414" spans="1:16">
      <c r="A1414" s="119"/>
      <c r="B1414" s="2"/>
      <c r="C1414" s="3"/>
      <c r="D1414" s="3"/>
      <c r="E1414" s="3"/>
      <c r="F1414" s="9"/>
      <c r="G1414" s="248" t="str">
        <f t="shared" si="110"/>
        <v/>
      </c>
      <c r="H1414" s="1" t="b">
        <f>IF(B1414="",FALSE,COUNTIF('従業員情報(給与以外)'!$A$4:$A$1000000,$B1414)=0)</f>
        <v>0</v>
      </c>
      <c r="I1414" s="9" t="b">
        <f t="shared" si="111"/>
        <v>1</v>
      </c>
      <c r="J1414" s="9" t="b">
        <f t="shared" si="112"/>
        <v>1</v>
      </c>
      <c r="K1414" s="9" t="b">
        <f t="shared" si="113"/>
        <v>1</v>
      </c>
      <c r="L1414" s="9" t="b">
        <f t="shared" si="114"/>
        <v>1</v>
      </c>
      <c r="M1414" s="1" t="b">
        <f>IF(OR(入力シート!$C$5&lt;&gt;入力リスト!$N$4,入力シート!$J$22&lt;&gt;入力リスト!$K$4),TRUE,IF($F$2=入力リスト!$Q$4,IF(F1414-INT(F1414)&lt;0.6,TRUE,FALSE),TRUE))</f>
        <v>1</v>
      </c>
      <c r="N1414" s="9" t="str">
        <f>IF(F1414="","",IF($F$2=入力リスト!$Q$4,ROUNDDOWN(INT(F1414)+ROUNDDOWN((F1414-INT(F1414))*100,0)/60,2),従業員の給与情報!F1414))</f>
        <v/>
      </c>
      <c r="O1414" s="8"/>
      <c r="P1414" s="8"/>
    </row>
    <row r="1415" spans="1:16">
      <c r="A1415" s="119"/>
      <c r="B1415" s="2"/>
      <c r="C1415" s="3"/>
      <c r="D1415" s="3"/>
      <c r="E1415" s="3"/>
      <c r="F1415" s="9"/>
      <c r="G1415" s="248" t="str">
        <f t="shared" si="110"/>
        <v/>
      </c>
      <c r="H1415" s="1" t="b">
        <f>IF(B1415="",FALSE,COUNTIF('従業員情報(給与以外)'!$A$4:$A$1000000,$B1415)=0)</f>
        <v>0</v>
      </c>
      <c r="I1415" s="9" t="b">
        <f t="shared" si="111"/>
        <v>1</v>
      </c>
      <c r="J1415" s="9" t="b">
        <f t="shared" si="112"/>
        <v>1</v>
      </c>
      <c r="K1415" s="9" t="b">
        <f t="shared" si="113"/>
        <v>1</v>
      </c>
      <c r="L1415" s="9" t="b">
        <f t="shared" si="114"/>
        <v>1</v>
      </c>
      <c r="M1415" s="1" t="b">
        <f>IF(OR(入力シート!$C$5&lt;&gt;入力リスト!$N$4,入力シート!$J$22&lt;&gt;入力リスト!$K$4),TRUE,IF($F$2=入力リスト!$Q$4,IF(F1415-INT(F1415)&lt;0.6,TRUE,FALSE),TRUE))</f>
        <v>1</v>
      </c>
      <c r="N1415" s="9" t="str">
        <f>IF(F1415="","",IF($F$2=入力リスト!$Q$4,ROUNDDOWN(INT(F1415)+ROUNDDOWN((F1415-INT(F1415))*100,0)/60,2),従業員の給与情報!F1415))</f>
        <v/>
      </c>
      <c r="O1415" s="8"/>
      <c r="P1415" s="8"/>
    </row>
    <row r="1416" spans="1:16">
      <c r="A1416" s="119"/>
      <c r="B1416" s="2"/>
      <c r="C1416" s="3"/>
      <c r="D1416" s="3"/>
      <c r="E1416" s="3"/>
      <c r="F1416" s="9"/>
      <c r="G1416" s="248" t="str">
        <f t="shared" si="110"/>
        <v/>
      </c>
      <c r="H1416" s="1" t="b">
        <f>IF(B1416="",FALSE,COUNTIF('従業員情報(給与以外)'!$A$4:$A$1000000,$B1416)=0)</f>
        <v>0</v>
      </c>
      <c r="I1416" s="9" t="b">
        <f t="shared" si="111"/>
        <v>1</v>
      </c>
      <c r="J1416" s="9" t="b">
        <f t="shared" si="112"/>
        <v>1</v>
      </c>
      <c r="K1416" s="9" t="b">
        <f t="shared" si="113"/>
        <v>1</v>
      </c>
      <c r="L1416" s="9" t="b">
        <f t="shared" si="114"/>
        <v>1</v>
      </c>
      <c r="M1416" s="1" t="b">
        <f>IF(OR(入力シート!$C$5&lt;&gt;入力リスト!$N$4,入力シート!$J$22&lt;&gt;入力リスト!$K$4),TRUE,IF($F$2=入力リスト!$Q$4,IF(F1416-INT(F1416)&lt;0.6,TRUE,FALSE),TRUE))</f>
        <v>1</v>
      </c>
      <c r="N1416" s="9" t="str">
        <f>IF(F1416="","",IF($F$2=入力リスト!$Q$4,ROUNDDOWN(INT(F1416)+ROUNDDOWN((F1416-INT(F1416))*100,0)/60,2),従業員の給与情報!F1416))</f>
        <v/>
      </c>
      <c r="O1416" s="8"/>
      <c r="P1416" s="8"/>
    </row>
    <row r="1417" spans="1:16">
      <c r="A1417" s="119"/>
      <c r="B1417" s="2"/>
      <c r="C1417" s="3"/>
      <c r="D1417" s="3"/>
      <c r="E1417" s="3"/>
      <c r="F1417" s="9"/>
      <c r="G1417" s="248" t="str">
        <f t="shared" si="110"/>
        <v/>
      </c>
      <c r="H1417" s="1" t="b">
        <f>IF(B1417="",FALSE,COUNTIF('従業員情報(給与以外)'!$A$4:$A$1000000,$B1417)=0)</f>
        <v>0</v>
      </c>
      <c r="I1417" s="9" t="b">
        <f t="shared" si="111"/>
        <v>1</v>
      </c>
      <c r="J1417" s="9" t="b">
        <f t="shared" si="112"/>
        <v>1</v>
      </c>
      <c r="K1417" s="9" t="b">
        <f t="shared" si="113"/>
        <v>1</v>
      </c>
      <c r="L1417" s="9" t="b">
        <f t="shared" si="114"/>
        <v>1</v>
      </c>
      <c r="M1417" s="1" t="b">
        <f>IF(OR(入力シート!$C$5&lt;&gt;入力リスト!$N$4,入力シート!$J$22&lt;&gt;入力リスト!$K$4),TRUE,IF($F$2=入力リスト!$Q$4,IF(F1417-INT(F1417)&lt;0.6,TRUE,FALSE),TRUE))</f>
        <v>1</v>
      </c>
      <c r="N1417" s="9" t="str">
        <f>IF(F1417="","",IF($F$2=入力リスト!$Q$4,ROUNDDOWN(INT(F1417)+ROUNDDOWN((F1417-INT(F1417))*100,0)/60,2),従業員の給与情報!F1417))</f>
        <v/>
      </c>
      <c r="O1417" s="8"/>
      <c r="P1417" s="8"/>
    </row>
    <row r="1418" spans="1:16">
      <c r="A1418" s="119"/>
      <c r="B1418" s="2"/>
      <c r="C1418" s="3"/>
      <c r="D1418" s="3"/>
      <c r="E1418" s="3"/>
      <c r="F1418" s="9"/>
      <c r="G1418" s="248" t="str">
        <f t="shared" si="110"/>
        <v/>
      </c>
      <c r="H1418" s="1" t="b">
        <f>IF(B1418="",FALSE,COUNTIF('従業員情報(給与以外)'!$A$4:$A$1000000,$B1418)=0)</f>
        <v>0</v>
      </c>
      <c r="I1418" s="9" t="b">
        <f t="shared" si="111"/>
        <v>1</v>
      </c>
      <c r="J1418" s="9" t="b">
        <f t="shared" si="112"/>
        <v>1</v>
      </c>
      <c r="K1418" s="9" t="b">
        <f t="shared" si="113"/>
        <v>1</v>
      </c>
      <c r="L1418" s="9" t="b">
        <f t="shared" si="114"/>
        <v>1</v>
      </c>
      <c r="M1418" s="1" t="b">
        <f>IF(OR(入力シート!$C$5&lt;&gt;入力リスト!$N$4,入力シート!$J$22&lt;&gt;入力リスト!$K$4),TRUE,IF($F$2=入力リスト!$Q$4,IF(F1418-INT(F1418)&lt;0.6,TRUE,FALSE),TRUE))</f>
        <v>1</v>
      </c>
      <c r="N1418" s="9" t="str">
        <f>IF(F1418="","",IF($F$2=入力リスト!$Q$4,ROUNDDOWN(INT(F1418)+ROUNDDOWN((F1418-INT(F1418))*100,0)/60,2),従業員の給与情報!F1418))</f>
        <v/>
      </c>
      <c r="O1418" s="8"/>
      <c r="P1418" s="8"/>
    </row>
    <row r="1419" spans="1:16">
      <c r="A1419" s="119"/>
      <c r="B1419" s="2"/>
      <c r="C1419" s="3"/>
      <c r="D1419" s="3"/>
      <c r="E1419" s="3"/>
      <c r="F1419" s="9"/>
      <c r="G1419" s="248" t="str">
        <f t="shared" si="110"/>
        <v/>
      </c>
      <c r="H1419" s="1" t="b">
        <f>IF(B1419="",FALSE,COUNTIF('従業員情報(給与以外)'!$A$4:$A$1000000,$B1419)=0)</f>
        <v>0</v>
      </c>
      <c r="I1419" s="9" t="b">
        <f t="shared" si="111"/>
        <v>1</v>
      </c>
      <c r="J1419" s="9" t="b">
        <f t="shared" si="112"/>
        <v>1</v>
      </c>
      <c r="K1419" s="9" t="b">
        <f t="shared" si="113"/>
        <v>1</v>
      </c>
      <c r="L1419" s="9" t="b">
        <f t="shared" si="114"/>
        <v>1</v>
      </c>
      <c r="M1419" s="1" t="b">
        <f>IF(OR(入力シート!$C$5&lt;&gt;入力リスト!$N$4,入力シート!$J$22&lt;&gt;入力リスト!$K$4),TRUE,IF($F$2=入力リスト!$Q$4,IF(F1419-INT(F1419)&lt;0.6,TRUE,FALSE),TRUE))</f>
        <v>1</v>
      </c>
      <c r="N1419" s="9" t="str">
        <f>IF(F1419="","",IF($F$2=入力リスト!$Q$4,ROUNDDOWN(INT(F1419)+ROUNDDOWN((F1419-INT(F1419))*100,0)/60,2),従業員の給与情報!F1419))</f>
        <v/>
      </c>
      <c r="O1419" s="8"/>
      <c r="P1419" s="8"/>
    </row>
    <row r="1420" spans="1:16">
      <c r="A1420" s="119"/>
      <c r="B1420" s="2"/>
      <c r="C1420" s="3"/>
      <c r="D1420" s="3"/>
      <c r="E1420" s="3"/>
      <c r="F1420" s="9"/>
      <c r="G1420" s="248" t="str">
        <f t="shared" si="110"/>
        <v/>
      </c>
      <c r="H1420" s="1" t="b">
        <f>IF(B1420="",FALSE,COUNTIF('従業員情報(給与以外)'!$A$4:$A$1000000,$B1420)=0)</f>
        <v>0</v>
      </c>
      <c r="I1420" s="9" t="b">
        <f t="shared" si="111"/>
        <v>1</v>
      </c>
      <c r="J1420" s="9" t="b">
        <f t="shared" si="112"/>
        <v>1</v>
      </c>
      <c r="K1420" s="9" t="b">
        <f t="shared" si="113"/>
        <v>1</v>
      </c>
      <c r="L1420" s="9" t="b">
        <f t="shared" si="114"/>
        <v>1</v>
      </c>
      <c r="M1420" s="1" t="b">
        <f>IF(OR(入力シート!$C$5&lt;&gt;入力リスト!$N$4,入力シート!$J$22&lt;&gt;入力リスト!$K$4),TRUE,IF($F$2=入力リスト!$Q$4,IF(F1420-INT(F1420)&lt;0.6,TRUE,FALSE),TRUE))</f>
        <v>1</v>
      </c>
      <c r="N1420" s="9" t="str">
        <f>IF(F1420="","",IF($F$2=入力リスト!$Q$4,ROUNDDOWN(INT(F1420)+ROUNDDOWN((F1420-INT(F1420))*100,0)/60,2),従業員の給与情報!F1420))</f>
        <v/>
      </c>
      <c r="O1420" s="8"/>
      <c r="P1420" s="8"/>
    </row>
    <row r="1421" spans="1:16">
      <c r="A1421" s="119"/>
      <c r="B1421" s="2"/>
      <c r="C1421" s="3"/>
      <c r="D1421" s="3"/>
      <c r="E1421" s="3"/>
      <c r="F1421" s="9"/>
      <c r="G1421" s="248" t="str">
        <f t="shared" si="110"/>
        <v/>
      </c>
      <c r="H1421" s="1" t="b">
        <f>IF(B1421="",FALSE,COUNTIF('従業員情報(給与以外)'!$A$4:$A$1000000,$B1421)=0)</f>
        <v>0</v>
      </c>
      <c r="I1421" s="9" t="b">
        <f t="shared" si="111"/>
        <v>1</v>
      </c>
      <c r="J1421" s="9" t="b">
        <f t="shared" si="112"/>
        <v>1</v>
      </c>
      <c r="K1421" s="9" t="b">
        <f t="shared" si="113"/>
        <v>1</v>
      </c>
      <c r="L1421" s="9" t="b">
        <f t="shared" si="114"/>
        <v>1</v>
      </c>
      <c r="M1421" s="1" t="b">
        <f>IF(OR(入力シート!$C$5&lt;&gt;入力リスト!$N$4,入力シート!$J$22&lt;&gt;入力リスト!$K$4),TRUE,IF($F$2=入力リスト!$Q$4,IF(F1421-INT(F1421)&lt;0.6,TRUE,FALSE),TRUE))</f>
        <v>1</v>
      </c>
      <c r="N1421" s="9" t="str">
        <f>IF(F1421="","",IF($F$2=入力リスト!$Q$4,ROUNDDOWN(INT(F1421)+ROUNDDOWN((F1421-INT(F1421))*100,0)/60,2),従業員の給与情報!F1421))</f>
        <v/>
      </c>
      <c r="O1421" s="8"/>
      <c r="P1421" s="8"/>
    </row>
    <row r="1422" spans="1:16">
      <c r="A1422" s="119"/>
      <c r="B1422" s="2"/>
      <c r="C1422" s="3"/>
      <c r="D1422" s="3"/>
      <c r="E1422" s="3"/>
      <c r="F1422" s="9"/>
      <c r="G1422" s="248" t="str">
        <f t="shared" si="110"/>
        <v/>
      </c>
      <c r="H1422" s="1" t="b">
        <f>IF(B1422="",FALSE,COUNTIF('従業員情報(給与以外)'!$A$4:$A$1000000,$B1422)=0)</f>
        <v>0</v>
      </c>
      <c r="I1422" s="9" t="b">
        <f t="shared" si="111"/>
        <v>1</v>
      </c>
      <c r="J1422" s="9" t="b">
        <f t="shared" si="112"/>
        <v>1</v>
      </c>
      <c r="K1422" s="9" t="b">
        <f t="shared" si="113"/>
        <v>1</v>
      </c>
      <c r="L1422" s="9" t="b">
        <f t="shared" si="114"/>
        <v>1</v>
      </c>
      <c r="M1422" s="1" t="b">
        <f>IF(OR(入力シート!$C$5&lt;&gt;入力リスト!$N$4,入力シート!$J$22&lt;&gt;入力リスト!$K$4),TRUE,IF($F$2=入力リスト!$Q$4,IF(F1422-INT(F1422)&lt;0.6,TRUE,FALSE),TRUE))</f>
        <v>1</v>
      </c>
      <c r="N1422" s="9" t="str">
        <f>IF(F1422="","",IF($F$2=入力リスト!$Q$4,ROUNDDOWN(INT(F1422)+ROUNDDOWN((F1422-INT(F1422))*100,0)/60,2),従業員の給与情報!F1422))</f>
        <v/>
      </c>
      <c r="O1422" s="8"/>
      <c r="P1422" s="8"/>
    </row>
    <row r="1423" spans="1:16">
      <c r="A1423" s="119"/>
      <c r="B1423" s="2"/>
      <c r="C1423" s="3"/>
      <c r="D1423" s="3"/>
      <c r="E1423" s="3"/>
      <c r="F1423" s="9"/>
      <c r="G1423" s="248" t="str">
        <f t="shared" si="110"/>
        <v/>
      </c>
      <c r="H1423" s="1" t="b">
        <f>IF(B1423="",FALSE,COUNTIF('従業員情報(給与以外)'!$A$4:$A$1000000,$B1423)=0)</f>
        <v>0</v>
      </c>
      <c r="I1423" s="9" t="b">
        <f t="shared" si="111"/>
        <v>1</v>
      </c>
      <c r="J1423" s="9" t="b">
        <f t="shared" si="112"/>
        <v>1</v>
      </c>
      <c r="K1423" s="9" t="b">
        <f t="shared" si="113"/>
        <v>1</v>
      </c>
      <c r="L1423" s="9" t="b">
        <f t="shared" si="114"/>
        <v>1</v>
      </c>
      <c r="M1423" s="1" t="b">
        <f>IF(OR(入力シート!$C$5&lt;&gt;入力リスト!$N$4,入力シート!$J$22&lt;&gt;入力リスト!$K$4),TRUE,IF($F$2=入力リスト!$Q$4,IF(F1423-INT(F1423)&lt;0.6,TRUE,FALSE),TRUE))</f>
        <v>1</v>
      </c>
      <c r="N1423" s="9" t="str">
        <f>IF(F1423="","",IF($F$2=入力リスト!$Q$4,ROUNDDOWN(INT(F1423)+ROUNDDOWN((F1423-INT(F1423))*100,0)/60,2),従業員の給与情報!F1423))</f>
        <v/>
      </c>
      <c r="O1423" s="8"/>
      <c r="P1423" s="8"/>
    </row>
    <row r="1424" spans="1:16">
      <c r="A1424" s="119"/>
      <c r="B1424" s="2"/>
      <c r="C1424" s="3"/>
      <c r="D1424" s="3"/>
      <c r="E1424" s="3"/>
      <c r="F1424" s="9"/>
      <c r="G1424" s="248" t="str">
        <f t="shared" si="110"/>
        <v/>
      </c>
      <c r="H1424" s="1" t="b">
        <f>IF(B1424="",FALSE,COUNTIF('従業員情報(給与以外)'!$A$4:$A$1000000,$B1424)=0)</f>
        <v>0</v>
      </c>
      <c r="I1424" s="9" t="b">
        <f t="shared" si="111"/>
        <v>1</v>
      </c>
      <c r="J1424" s="9" t="b">
        <f t="shared" si="112"/>
        <v>1</v>
      </c>
      <c r="K1424" s="9" t="b">
        <f t="shared" si="113"/>
        <v>1</v>
      </c>
      <c r="L1424" s="9" t="b">
        <f t="shared" si="114"/>
        <v>1</v>
      </c>
      <c r="M1424" s="1" t="b">
        <f>IF(OR(入力シート!$C$5&lt;&gt;入力リスト!$N$4,入力シート!$J$22&lt;&gt;入力リスト!$K$4),TRUE,IF($F$2=入力リスト!$Q$4,IF(F1424-INT(F1424)&lt;0.6,TRUE,FALSE),TRUE))</f>
        <v>1</v>
      </c>
      <c r="N1424" s="9" t="str">
        <f>IF(F1424="","",IF($F$2=入力リスト!$Q$4,ROUNDDOWN(INT(F1424)+ROUNDDOWN((F1424-INT(F1424))*100,0)/60,2),従業員の給与情報!F1424))</f>
        <v/>
      </c>
      <c r="O1424" s="8"/>
      <c r="P1424" s="8"/>
    </row>
    <row r="1425" spans="1:16">
      <c r="A1425" s="119"/>
      <c r="B1425" s="2"/>
      <c r="C1425" s="3"/>
      <c r="D1425" s="3"/>
      <c r="E1425" s="3"/>
      <c r="F1425" s="9"/>
      <c r="G1425" s="248" t="str">
        <f t="shared" si="110"/>
        <v/>
      </c>
      <c r="H1425" s="1" t="b">
        <f>IF(B1425="",FALSE,COUNTIF('従業員情報(給与以外)'!$A$4:$A$1000000,$B1425)=0)</f>
        <v>0</v>
      </c>
      <c r="I1425" s="9" t="b">
        <f t="shared" si="111"/>
        <v>1</v>
      </c>
      <c r="J1425" s="9" t="b">
        <f t="shared" si="112"/>
        <v>1</v>
      </c>
      <c r="K1425" s="9" t="b">
        <f t="shared" si="113"/>
        <v>1</v>
      </c>
      <c r="L1425" s="9" t="b">
        <f t="shared" si="114"/>
        <v>1</v>
      </c>
      <c r="M1425" s="1" t="b">
        <f>IF(OR(入力シート!$C$5&lt;&gt;入力リスト!$N$4,入力シート!$J$22&lt;&gt;入力リスト!$K$4),TRUE,IF($F$2=入力リスト!$Q$4,IF(F1425-INT(F1425)&lt;0.6,TRUE,FALSE),TRUE))</f>
        <v>1</v>
      </c>
      <c r="N1425" s="9" t="str">
        <f>IF(F1425="","",IF($F$2=入力リスト!$Q$4,ROUNDDOWN(INT(F1425)+ROUNDDOWN((F1425-INT(F1425))*100,0)/60,2),従業員の給与情報!F1425))</f>
        <v/>
      </c>
      <c r="O1425" s="8"/>
      <c r="P1425" s="8"/>
    </row>
    <row r="1426" spans="1:16">
      <c r="A1426" s="119"/>
      <c r="B1426" s="2"/>
      <c r="C1426" s="3"/>
      <c r="D1426" s="3"/>
      <c r="E1426" s="3"/>
      <c r="F1426" s="9"/>
      <c r="G1426" s="248" t="str">
        <f t="shared" si="110"/>
        <v/>
      </c>
      <c r="H1426" s="1" t="b">
        <f>IF(B1426="",FALSE,COUNTIF('従業員情報(給与以外)'!$A$4:$A$1000000,$B1426)=0)</f>
        <v>0</v>
      </c>
      <c r="I1426" s="9" t="b">
        <f t="shared" si="111"/>
        <v>1</v>
      </c>
      <c r="J1426" s="9" t="b">
        <f t="shared" si="112"/>
        <v>1</v>
      </c>
      <c r="K1426" s="9" t="b">
        <f t="shared" si="113"/>
        <v>1</v>
      </c>
      <c r="L1426" s="9" t="b">
        <f t="shared" si="114"/>
        <v>1</v>
      </c>
      <c r="M1426" s="1" t="b">
        <f>IF(OR(入力シート!$C$5&lt;&gt;入力リスト!$N$4,入力シート!$J$22&lt;&gt;入力リスト!$K$4),TRUE,IF($F$2=入力リスト!$Q$4,IF(F1426-INT(F1426)&lt;0.6,TRUE,FALSE),TRUE))</f>
        <v>1</v>
      </c>
      <c r="N1426" s="9" t="str">
        <f>IF(F1426="","",IF($F$2=入力リスト!$Q$4,ROUNDDOWN(INT(F1426)+ROUNDDOWN((F1426-INT(F1426))*100,0)/60,2),従業員の給与情報!F1426))</f>
        <v/>
      </c>
      <c r="O1426" s="8"/>
      <c r="P1426" s="8"/>
    </row>
    <row r="1427" spans="1:16">
      <c r="A1427" s="119"/>
      <c r="B1427" s="2"/>
      <c r="C1427" s="3"/>
      <c r="D1427" s="3"/>
      <c r="E1427" s="3"/>
      <c r="F1427" s="9"/>
      <c r="G1427" s="248" t="str">
        <f t="shared" si="110"/>
        <v/>
      </c>
      <c r="H1427" s="1" t="b">
        <f>IF(B1427="",FALSE,COUNTIF('従業員情報(給与以外)'!$A$4:$A$1000000,$B1427)=0)</f>
        <v>0</v>
      </c>
      <c r="I1427" s="9" t="b">
        <f t="shared" si="111"/>
        <v>1</v>
      </c>
      <c r="J1427" s="9" t="b">
        <f t="shared" si="112"/>
        <v>1</v>
      </c>
      <c r="K1427" s="9" t="b">
        <f t="shared" si="113"/>
        <v>1</v>
      </c>
      <c r="L1427" s="9" t="b">
        <f t="shared" si="114"/>
        <v>1</v>
      </c>
      <c r="M1427" s="1" t="b">
        <f>IF(OR(入力シート!$C$5&lt;&gt;入力リスト!$N$4,入力シート!$J$22&lt;&gt;入力リスト!$K$4),TRUE,IF($F$2=入力リスト!$Q$4,IF(F1427-INT(F1427)&lt;0.6,TRUE,FALSE),TRUE))</f>
        <v>1</v>
      </c>
      <c r="N1427" s="9" t="str">
        <f>IF(F1427="","",IF($F$2=入力リスト!$Q$4,ROUNDDOWN(INT(F1427)+ROUNDDOWN((F1427-INT(F1427))*100,0)/60,2),従業員の給与情報!F1427))</f>
        <v/>
      </c>
      <c r="O1427" s="8"/>
      <c r="P1427" s="8"/>
    </row>
    <row r="1428" spans="1:16">
      <c r="A1428" s="119"/>
      <c r="B1428" s="2"/>
      <c r="C1428" s="3"/>
      <c r="D1428" s="3"/>
      <c r="E1428" s="3"/>
      <c r="F1428" s="9"/>
      <c r="G1428" s="248" t="str">
        <f t="shared" si="110"/>
        <v/>
      </c>
      <c r="H1428" s="1" t="b">
        <f>IF(B1428="",FALSE,COUNTIF('従業員情報(給与以外)'!$A$4:$A$1000000,$B1428)=0)</f>
        <v>0</v>
      </c>
      <c r="I1428" s="9" t="b">
        <f t="shared" si="111"/>
        <v>1</v>
      </c>
      <c r="J1428" s="9" t="b">
        <f t="shared" si="112"/>
        <v>1</v>
      </c>
      <c r="K1428" s="9" t="b">
        <f t="shared" si="113"/>
        <v>1</v>
      </c>
      <c r="L1428" s="9" t="b">
        <f t="shared" si="114"/>
        <v>1</v>
      </c>
      <c r="M1428" s="1" t="b">
        <f>IF(OR(入力シート!$C$5&lt;&gt;入力リスト!$N$4,入力シート!$J$22&lt;&gt;入力リスト!$K$4),TRUE,IF($F$2=入力リスト!$Q$4,IF(F1428-INT(F1428)&lt;0.6,TRUE,FALSE),TRUE))</f>
        <v>1</v>
      </c>
      <c r="N1428" s="9" t="str">
        <f>IF(F1428="","",IF($F$2=入力リスト!$Q$4,ROUNDDOWN(INT(F1428)+ROUNDDOWN((F1428-INT(F1428))*100,0)/60,2),従業員の給与情報!F1428))</f>
        <v/>
      </c>
      <c r="O1428" s="8"/>
      <c r="P1428" s="8"/>
    </row>
    <row r="1429" spans="1:16">
      <c r="A1429" s="119"/>
      <c r="B1429" s="2"/>
      <c r="C1429" s="3"/>
      <c r="D1429" s="3"/>
      <c r="E1429" s="3"/>
      <c r="F1429" s="9"/>
      <c r="G1429" s="248" t="str">
        <f t="shared" si="110"/>
        <v/>
      </c>
      <c r="H1429" s="1" t="b">
        <f>IF(B1429="",FALSE,COUNTIF('従業員情報(給与以外)'!$A$4:$A$1000000,$B1429)=0)</f>
        <v>0</v>
      </c>
      <c r="I1429" s="9" t="b">
        <f t="shared" si="111"/>
        <v>1</v>
      </c>
      <c r="J1429" s="9" t="b">
        <f t="shared" si="112"/>
        <v>1</v>
      </c>
      <c r="K1429" s="9" t="b">
        <f t="shared" si="113"/>
        <v>1</v>
      </c>
      <c r="L1429" s="9" t="b">
        <f t="shared" si="114"/>
        <v>1</v>
      </c>
      <c r="M1429" s="1" t="b">
        <f>IF(OR(入力シート!$C$5&lt;&gt;入力リスト!$N$4,入力シート!$J$22&lt;&gt;入力リスト!$K$4),TRUE,IF($F$2=入力リスト!$Q$4,IF(F1429-INT(F1429)&lt;0.6,TRUE,FALSE),TRUE))</f>
        <v>1</v>
      </c>
      <c r="N1429" s="9" t="str">
        <f>IF(F1429="","",IF($F$2=入力リスト!$Q$4,ROUNDDOWN(INT(F1429)+ROUNDDOWN((F1429-INT(F1429))*100,0)/60,2),従業員の給与情報!F1429))</f>
        <v/>
      </c>
      <c r="O1429" s="8"/>
      <c r="P1429" s="8"/>
    </row>
    <row r="1430" spans="1:16">
      <c r="A1430" s="119"/>
      <c r="B1430" s="2"/>
      <c r="C1430" s="3"/>
      <c r="D1430" s="3"/>
      <c r="E1430" s="3"/>
      <c r="F1430" s="9"/>
      <c r="G1430" s="248" t="str">
        <f t="shared" si="110"/>
        <v/>
      </c>
      <c r="H1430" s="1" t="b">
        <f>IF(B1430="",FALSE,COUNTIF('従業員情報(給与以外)'!$A$4:$A$1000000,$B1430)=0)</f>
        <v>0</v>
      </c>
      <c r="I1430" s="9" t="b">
        <f t="shared" si="111"/>
        <v>1</v>
      </c>
      <c r="J1430" s="9" t="b">
        <f t="shared" si="112"/>
        <v>1</v>
      </c>
      <c r="K1430" s="9" t="b">
        <f t="shared" si="113"/>
        <v>1</v>
      </c>
      <c r="L1430" s="9" t="b">
        <f t="shared" si="114"/>
        <v>1</v>
      </c>
      <c r="M1430" s="1" t="b">
        <f>IF(OR(入力シート!$C$5&lt;&gt;入力リスト!$N$4,入力シート!$J$22&lt;&gt;入力リスト!$K$4),TRUE,IF($F$2=入力リスト!$Q$4,IF(F1430-INT(F1430)&lt;0.6,TRUE,FALSE),TRUE))</f>
        <v>1</v>
      </c>
      <c r="N1430" s="9" t="str">
        <f>IF(F1430="","",IF($F$2=入力リスト!$Q$4,ROUNDDOWN(INT(F1430)+ROUNDDOWN((F1430-INT(F1430))*100,0)/60,2),従業員の給与情報!F1430))</f>
        <v/>
      </c>
      <c r="O1430" s="8"/>
      <c r="P1430" s="8"/>
    </row>
    <row r="1431" spans="1:16">
      <c r="A1431" s="119"/>
      <c r="B1431" s="2"/>
      <c r="C1431" s="3"/>
      <c r="D1431" s="3"/>
      <c r="E1431" s="3"/>
      <c r="F1431" s="9"/>
      <c r="G1431" s="248" t="str">
        <f t="shared" si="110"/>
        <v/>
      </c>
      <c r="H1431" s="1" t="b">
        <f>IF(B1431="",FALSE,COUNTIF('従業員情報(給与以外)'!$A$4:$A$1000000,$B1431)=0)</f>
        <v>0</v>
      </c>
      <c r="I1431" s="9" t="b">
        <f t="shared" si="111"/>
        <v>1</v>
      </c>
      <c r="J1431" s="9" t="b">
        <f t="shared" si="112"/>
        <v>1</v>
      </c>
      <c r="K1431" s="9" t="b">
        <f t="shared" si="113"/>
        <v>1</v>
      </c>
      <c r="L1431" s="9" t="b">
        <f t="shared" si="114"/>
        <v>1</v>
      </c>
      <c r="M1431" s="1" t="b">
        <f>IF(OR(入力シート!$C$5&lt;&gt;入力リスト!$N$4,入力シート!$J$22&lt;&gt;入力リスト!$K$4),TRUE,IF($F$2=入力リスト!$Q$4,IF(F1431-INT(F1431)&lt;0.6,TRUE,FALSE),TRUE))</f>
        <v>1</v>
      </c>
      <c r="N1431" s="9" t="str">
        <f>IF(F1431="","",IF($F$2=入力リスト!$Q$4,ROUNDDOWN(INT(F1431)+ROUNDDOWN((F1431-INT(F1431))*100,0)/60,2),従業員の給与情報!F1431))</f>
        <v/>
      </c>
      <c r="O1431" s="8"/>
      <c r="P1431" s="8"/>
    </row>
    <row r="1432" spans="1:16">
      <c r="A1432" s="119"/>
      <c r="B1432" s="2"/>
      <c r="C1432" s="3"/>
      <c r="D1432" s="3"/>
      <c r="E1432" s="3"/>
      <c r="F1432" s="9"/>
      <c r="G1432" s="248" t="str">
        <f t="shared" si="110"/>
        <v/>
      </c>
      <c r="H1432" s="1" t="b">
        <f>IF(B1432="",FALSE,COUNTIF('従業員情報(給与以外)'!$A$4:$A$1000000,$B1432)=0)</f>
        <v>0</v>
      </c>
      <c r="I1432" s="9" t="b">
        <f t="shared" si="111"/>
        <v>1</v>
      </c>
      <c r="J1432" s="9" t="b">
        <f t="shared" si="112"/>
        <v>1</v>
      </c>
      <c r="K1432" s="9" t="b">
        <f t="shared" si="113"/>
        <v>1</v>
      </c>
      <c r="L1432" s="9" t="b">
        <f t="shared" si="114"/>
        <v>1</v>
      </c>
      <c r="M1432" s="1" t="b">
        <f>IF(OR(入力シート!$C$5&lt;&gt;入力リスト!$N$4,入力シート!$J$22&lt;&gt;入力リスト!$K$4),TRUE,IF($F$2=入力リスト!$Q$4,IF(F1432-INT(F1432)&lt;0.6,TRUE,FALSE),TRUE))</f>
        <v>1</v>
      </c>
      <c r="N1432" s="9" t="str">
        <f>IF(F1432="","",IF($F$2=入力リスト!$Q$4,ROUNDDOWN(INT(F1432)+ROUNDDOWN((F1432-INT(F1432))*100,0)/60,2),従業員の給与情報!F1432))</f>
        <v/>
      </c>
      <c r="O1432" s="8"/>
      <c r="P1432" s="8"/>
    </row>
    <row r="1433" spans="1:16">
      <c r="A1433" s="119"/>
      <c r="B1433" s="2"/>
      <c r="C1433" s="3"/>
      <c r="D1433" s="3"/>
      <c r="E1433" s="3"/>
      <c r="F1433" s="9"/>
      <c r="G1433" s="248" t="str">
        <f t="shared" si="110"/>
        <v/>
      </c>
      <c r="H1433" s="1" t="b">
        <f>IF(B1433="",FALSE,COUNTIF('従業員情報(給与以外)'!$A$4:$A$1000000,$B1433)=0)</f>
        <v>0</v>
      </c>
      <c r="I1433" s="9" t="b">
        <f t="shared" si="111"/>
        <v>1</v>
      </c>
      <c r="J1433" s="9" t="b">
        <f t="shared" si="112"/>
        <v>1</v>
      </c>
      <c r="K1433" s="9" t="b">
        <f t="shared" si="113"/>
        <v>1</v>
      </c>
      <c r="L1433" s="9" t="b">
        <f t="shared" si="114"/>
        <v>1</v>
      </c>
      <c r="M1433" s="1" t="b">
        <f>IF(OR(入力シート!$C$5&lt;&gt;入力リスト!$N$4,入力シート!$J$22&lt;&gt;入力リスト!$K$4),TRUE,IF($F$2=入力リスト!$Q$4,IF(F1433-INT(F1433)&lt;0.6,TRUE,FALSE),TRUE))</f>
        <v>1</v>
      </c>
      <c r="N1433" s="9" t="str">
        <f>IF(F1433="","",IF($F$2=入力リスト!$Q$4,ROUNDDOWN(INT(F1433)+ROUNDDOWN((F1433-INT(F1433))*100,0)/60,2),従業員の給与情報!F1433))</f>
        <v/>
      </c>
      <c r="O1433" s="8"/>
      <c r="P1433" s="8"/>
    </row>
    <row r="1434" spans="1:16">
      <c r="A1434" s="119"/>
      <c r="B1434" s="2"/>
      <c r="C1434" s="3"/>
      <c r="D1434" s="3"/>
      <c r="E1434" s="3"/>
      <c r="F1434" s="9"/>
      <c r="G1434" s="248" t="str">
        <f t="shared" si="110"/>
        <v/>
      </c>
      <c r="H1434" s="1" t="b">
        <f>IF(B1434="",FALSE,COUNTIF('従業員情報(給与以外)'!$A$4:$A$1000000,$B1434)=0)</f>
        <v>0</v>
      </c>
      <c r="I1434" s="9" t="b">
        <f t="shared" si="111"/>
        <v>1</v>
      </c>
      <c r="J1434" s="9" t="b">
        <f t="shared" si="112"/>
        <v>1</v>
      </c>
      <c r="K1434" s="9" t="b">
        <f t="shared" si="113"/>
        <v>1</v>
      </c>
      <c r="L1434" s="9" t="b">
        <f t="shared" si="114"/>
        <v>1</v>
      </c>
      <c r="M1434" s="1" t="b">
        <f>IF(OR(入力シート!$C$5&lt;&gt;入力リスト!$N$4,入力シート!$J$22&lt;&gt;入力リスト!$K$4),TRUE,IF($F$2=入力リスト!$Q$4,IF(F1434-INT(F1434)&lt;0.6,TRUE,FALSE),TRUE))</f>
        <v>1</v>
      </c>
      <c r="N1434" s="9" t="str">
        <f>IF(F1434="","",IF($F$2=入力リスト!$Q$4,ROUNDDOWN(INT(F1434)+ROUNDDOWN((F1434-INT(F1434))*100,0)/60,2),従業員の給与情報!F1434))</f>
        <v/>
      </c>
      <c r="O1434" s="8"/>
      <c r="P1434" s="8"/>
    </row>
    <row r="1435" spans="1:16">
      <c r="A1435" s="119"/>
      <c r="B1435" s="2"/>
      <c r="C1435" s="3"/>
      <c r="D1435" s="3"/>
      <c r="E1435" s="3"/>
      <c r="F1435" s="9"/>
      <c r="G1435" s="248" t="str">
        <f t="shared" si="110"/>
        <v/>
      </c>
      <c r="H1435" s="1" t="b">
        <f>IF(B1435="",FALSE,COUNTIF('従業員情報(給与以外)'!$A$4:$A$1000000,$B1435)=0)</f>
        <v>0</v>
      </c>
      <c r="I1435" s="9" t="b">
        <f t="shared" si="111"/>
        <v>1</v>
      </c>
      <c r="J1435" s="9" t="b">
        <f t="shared" si="112"/>
        <v>1</v>
      </c>
      <c r="K1435" s="9" t="b">
        <f t="shared" si="113"/>
        <v>1</v>
      </c>
      <c r="L1435" s="9" t="b">
        <f t="shared" si="114"/>
        <v>1</v>
      </c>
      <c r="M1435" s="1" t="b">
        <f>IF(OR(入力シート!$C$5&lt;&gt;入力リスト!$N$4,入力シート!$J$22&lt;&gt;入力リスト!$K$4),TRUE,IF($F$2=入力リスト!$Q$4,IF(F1435-INT(F1435)&lt;0.6,TRUE,FALSE),TRUE))</f>
        <v>1</v>
      </c>
      <c r="N1435" s="9" t="str">
        <f>IF(F1435="","",IF($F$2=入力リスト!$Q$4,ROUNDDOWN(INT(F1435)+ROUNDDOWN((F1435-INT(F1435))*100,0)/60,2),従業員の給与情報!F1435))</f>
        <v/>
      </c>
      <c r="O1435" s="8"/>
      <c r="P1435" s="8"/>
    </row>
    <row r="1436" spans="1:16">
      <c r="A1436" s="119"/>
      <c r="B1436" s="2"/>
      <c r="C1436" s="3"/>
      <c r="D1436" s="3"/>
      <c r="E1436" s="3"/>
      <c r="F1436" s="9"/>
      <c r="G1436" s="248" t="str">
        <f t="shared" si="110"/>
        <v/>
      </c>
      <c r="H1436" s="1" t="b">
        <f>IF(B1436="",FALSE,COUNTIF('従業員情報(給与以外)'!$A$4:$A$1000000,$B1436)=0)</f>
        <v>0</v>
      </c>
      <c r="I1436" s="9" t="b">
        <f t="shared" si="111"/>
        <v>1</v>
      </c>
      <c r="J1436" s="9" t="b">
        <f t="shared" si="112"/>
        <v>1</v>
      </c>
      <c r="K1436" s="9" t="b">
        <f t="shared" si="113"/>
        <v>1</v>
      </c>
      <c r="L1436" s="9" t="b">
        <f t="shared" si="114"/>
        <v>1</v>
      </c>
      <c r="M1436" s="1" t="b">
        <f>IF(OR(入力シート!$C$5&lt;&gt;入力リスト!$N$4,入力シート!$J$22&lt;&gt;入力リスト!$K$4),TRUE,IF($F$2=入力リスト!$Q$4,IF(F1436-INT(F1436)&lt;0.6,TRUE,FALSE),TRUE))</f>
        <v>1</v>
      </c>
      <c r="N1436" s="9" t="str">
        <f>IF(F1436="","",IF($F$2=入力リスト!$Q$4,ROUNDDOWN(INT(F1436)+ROUNDDOWN((F1436-INT(F1436))*100,0)/60,2),従業員の給与情報!F1436))</f>
        <v/>
      </c>
      <c r="O1436" s="8"/>
      <c r="P1436" s="8"/>
    </row>
    <row r="1437" spans="1:16">
      <c r="A1437" s="119"/>
      <c r="B1437" s="2"/>
      <c r="C1437" s="3"/>
      <c r="D1437" s="3"/>
      <c r="E1437" s="3"/>
      <c r="F1437" s="9"/>
      <c r="G1437" s="248" t="str">
        <f t="shared" si="110"/>
        <v/>
      </c>
      <c r="H1437" s="1" t="b">
        <f>IF(B1437="",FALSE,COUNTIF('従業員情報(給与以外)'!$A$4:$A$1000000,$B1437)=0)</f>
        <v>0</v>
      </c>
      <c r="I1437" s="9" t="b">
        <f t="shared" si="111"/>
        <v>1</v>
      </c>
      <c r="J1437" s="9" t="b">
        <f t="shared" si="112"/>
        <v>1</v>
      </c>
      <c r="K1437" s="9" t="b">
        <f t="shared" si="113"/>
        <v>1</v>
      </c>
      <c r="L1437" s="9" t="b">
        <f t="shared" si="114"/>
        <v>1</v>
      </c>
      <c r="M1437" s="1" t="b">
        <f>IF(OR(入力シート!$C$5&lt;&gt;入力リスト!$N$4,入力シート!$J$22&lt;&gt;入力リスト!$K$4),TRUE,IF($F$2=入力リスト!$Q$4,IF(F1437-INT(F1437)&lt;0.6,TRUE,FALSE),TRUE))</f>
        <v>1</v>
      </c>
      <c r="N1437" s="9" t="str">
        <f>IF(F1437="","",IF($F$2=入力リスト!$Q$4,ROUNDDOWN(INT(F1437)+ROUNDDOWN((F1437-INT(F1437))*100,0)/60,2),従業員の給与情報!F1437))</f>
        <v/>
      </c>
      <c r="O1437" s="8"/>
      <c r="P1437" s="8"/>
    </row>
    <row r="1438" spans="1:16">
      <c r="A1438" s="119"/>
      <c r="B1438" s="2"/>
      <c r="C1438" s="3"/>
      <c r="D1438" s="3"/>
      <c r="E1438" s="3"/>
      <c r="F1438" s="9"/>
      <c r="G1438" s="248" t="str">
        <f t="shared" si="110"/>
        <v/>
      </c>
      <c r="H1438" s="1" t="b">
        <f>IF(B1438="",FALSE,COUNTIF('従業員情報(給与以外)'!$A$4:$A$1000000,$B1438)=0)</f>
        <v>0</v>
      </c>
      <c r="I1438" s="9" t="b">
        <f t="shared" si="111"/>
        <v>1</v>
      </c>
      <c r="J1438" s="9" t="b">
        <f t="shared" si="112"/>
        <v>1</v>
      </c>
      <c r="K1438" s="9" t="b">
        <f t="shared" si="113"/>
        <v>1</v>
      </c>
      <c r="L1438" s="9" t="b">
        <f t="shared" si="114"/>
        <v>1</v>
      </c>
      <c r="M1438" s="1" t="b">
        <f>IF(OR(入力シート!$C$5&lt;&gt;入力リスト!$N$4,入力シート!$J$22&lt;&gt;入力リスト!$K$4),TRUE,IF($F$2=入力リスト!$Q$4,IF(F1438-INT(F1438)&lt;0.6,TRUE,FALSE),TRUE))</f>
        <v>1</v>
      </c>
      <c r="N1438" s="9" t="str">
        <f>IF(F1438="","",IF($F$2=入力リスト!$Q$4,ROUNDDOWN(INT(F1438)+ROUNDDOWN((F1438-INT(F1438))*100,0)/60,2),従業員の給与情報!F1438))</f>
        <v/>
      </c>
      <c r="O1438" s="8"/>
      <c r="P1438" s="8"/>
    </row>
    <row r="1439" spans="1:16">
      <c r="A1439" s="119"/>
      <c r="B1439" s="2"/>
      <c r="C1439" s="3"/>
      <c r="D1439" s="3"/>
      <c r="E1439" s="3"/>
      <c r="F1439" s="9"/>
      <c r="G1439" s="248" t="str">
        <f t="shared" si="110"/>
        <v/>
      </c>
      <c r="H1439" s="1" t="b">
        <f>IF(B1439="",FALSE,COUNTIF('従業員情報(給与以外)'!$A$4:$A$1000000,$B1439)=0)</f>
        <v>0</v>
      </c>
      <c r="I1439" s="9" t="b">
        <f t="shared" si="111"/>
        <v>1</v>
      </c>
      <c r="J1439" s="9" t="b">
        <f t="shared" si="112"/>
        <v>1</v>
      </c>
      <c r="K1439" s="9" t="b">
        <f t="shared" si="113"/>
        <v>1</v>
      </c>
      <c r="L1439" s="9" t="b">
        <f t="shared" si="114"/>
        <v>1</v>
      </c>
      <c r="M1439" s="1" t="b">
        <f>IF(OR(入力シート!$C$5&lt;&gt;入力リスト!$N$4,入力シート!$J$22&lt;&gt;入力リスト!$K$4),TRUE,IF($F$2=入力リスト!$Q$4,IF(F1439-INT(F1439)&lt;0.6,TRUE,FALSE),TRUE))</f>
        <v>1</v>
      </c>
      <c r="N1439" s="9" t="str">
        <f>IF(F1439="","",IF($F$2=入力リスト!$Q$4,ROUNDDOWN(INT(F1439)+ROUNDDOWN((F1439-INT(F1439))*100,0)/60,2),従業員の給与情報!F1439))</f>
        <v/>
      </c>
      <c r="O1439" s="8"/>
      <c r="P1439" s="8"/>
    </row>
    <row r="1440" spans="1:16">
      <c r="A1440" s="119"/>
      <c r="B1440" s="2"/>
      <c r="C1440" s="3"/>
      <c r="D1440" s="3"/>
      <c r="E1440" s="3"/>
      <c r="F1440" s="9"/>
      <c r="G1440" s="248" t="str">
        <f t="shared" si="110"/>
        <v/>
      </c>
      <c r="H1440" s="1" t="b">
        <f>IF(B1440="",FALSE,COUNTIF('従業員情報(給与以外)'!$A$4:$A$1000000,$B1440)=0)</f>
        <v>0</v>
      </c>
      <c r="I1440" s="9" t="b">
        <f t="shared" si="111"/>
        <v>1</v>
      </c>
      <c r="J1440" s="9" t="b">
        <f t="shared" si="112"/>
        <v>1</v>
      </c>
      <c r="K1440" s="9" t="b">
        <f t="shared" si="113"/>
        <v>1</v>
      </c>
      <c r="L1440" s="9" t="b">
        <f t="shared" si="114"/>
        <v>1</v>
      </c>
      <c r="M1440" s="1" t="b">
        <f>IF(OR(入力シート!$C$5&lt;&gt;入力リスト!$N$4,入力シート!$J$22&lt;&gt;入力リスト!$K$4),TRUE,IF($F$2=入力リスト!$Q$4,IF(F1440-INT(F1440)&lt;0.6,TRUE,FALSE),TRUE))</f>
        <v>1</v>
      </c>
      <c r="N1440" s="9" t="str">
        <f>IF(F1440="","",IF($F$2=入力リスト!$Q$4,ROUNDDOWN(INT(F1440)+ROUNDDOWN((F1440-INT(F1440))*100,0)/60,2),従業員の給与情報!F1440))</f>
        <v/>
      </c>
      <c r="O1440" s="8"/>
      <c r="P1440" s="8"/>
    </row>
    <row r="1441" spans="1:16">
      <c r="A1441" s="119"/>
      <c r="B1441" s="2"/>
      <c r="C1441" s="3"/>
      <c r="D1441" s="3"/>
      <c r="E1441" s="3"/>
      <c r="F1441" s="9"/>
      <c r="G1441" s="248" t="str">
        <f t="shared" si="110"/>
        <v/>
      </c>
      <c r="H1441" s="1" t="b">
        <f>IF(B1441="",FALSE,COUNTIF('従業員情報(給与以外)'!$A$4:$A$1000000,$B1441)=0)</f>
        <v>0</v>
      </c>
      <c r="I1441" s="9" t="b">
        <f t="shared" si="111"/>
        <v>1</v>
      </c>
      <c r="J1441" s="9" t="b">
        <f t="shared" si="112"/>
        <v>1</v>
      </c>
      <c r="K1441" s="9" t="b">
        <f t="shared" si="113"/>
        <v>1</v>
      </c>
      <c r="L1441" s="9" t="b">
        <f t="shared" si="114"/>
        <v>1</v>
      </c>
      <c r="M1441" s="1" t="b">
        <f>IF(OR(入力シート!$C$5&lt;&gt;入力リスト!$N$4,入力シート!$J$22&lt;&gt;入力リスト!$K$4),TRUE,IF($F$2=入力リスト!$Q$4,IF(F1441-INT(F1441)&lt;0.6,TRUE,FALSE),TRUE))</f>
        <v>1</v>
      </c>
      <c r="N1441" s="9" t="str">
        <f>IF(F1441="","",IF($F$2=入力リスト!$Q$4,ROUNDDOWN(INT(F1441)+ROUNDDOWN((F1441-INT(F1441))*100,0)/60,2),従業員の給与情報!F1441))</f>
        <v/>
      </c>
      <c r="O1441" s="8"/>
      <c r="P1441" s="8"/>
    </row>
    <row r="1442" spans="1:16">
      <c r="A1442" s="119"/>
      <c r="B1442" s="2"/>
      <c r="C1442" s="3"/>
      <c r="D1442" s="3"/>
      <c r="E1442" s="3"/>
      <c r="F1442" s="9"/>
      <c r="G1442" s="248" t="str">
        <f t="shared" si="110"/>
        <v/>
      </c>
      <c r="H1442" s="1" t="b">
        <f>IF(B1442="",FALSE,COUNTIF('従業員情報(給与以外)'!$A$4:$A$1000000,$B1442)=0)</f>
        <v>0</v>
      </c>
      <c r="I1442" s="9" t="b">
        <f t="shared" si="111"/>
        <v>1</v>
      </c>
      <c r="J1442" s="9" t="b">
        <f t="shared" si="112"/>
        <v>1</v>
      </c>
      <c r="K1442" s="9" t="b">
        <f t="shared" si="113"/>
        <v>1</v>
      </c>
      <c r="L1442" s="9" t="b">
        <f t="shared" si="114"/>
        <v>1</v>
      </c>
      <c r="M1442" s="1" t="b">
        <f>IF(OR(入力シート!$C$5&lt;&gt;入力リスト!$N$4,入力シート!$J$22&lt;&gt;入力リスト!$K$4),TRUE,IF($F$2=入力リスト!$Q$4,IF(F1442-INT(F1442)&lt;0.6,TRUE,FALSE),TRUE))</f>
        <v>1</v>
      </c>
      <c r="N1442" s="9" t="str">
        <f>IF(F1442="","",IF($F$2=入力リスト!$Q$4,ROUNDDOWN(INT(F1442)+ROUNDDOWN((F1442-INT(F1442))*100,0)/60,2),従業員の給与情報!F1442))</f>
        <v/>
      </c>
      <c r="O1442" s="8"/>
      <c r="P1442" s="8"/>
    </row>
    <row r="1443" spans="1:16">
      <c r="A1443" s="119"/>
      <c r="B1443" s="2"/>
      <c r="C1443" s="3"/>
      <c r="D1443" s="3"/>
      <c r="E1443" s="3"/>
      <c r="F1443" s="9"/>
      <c r="G1443" s="248" t="str">
        <f t="shared" si="110"/>
        <v/>
      </c>
      <c r="H1443" s="1" t="b">
        <f>IF(B1443="",FALSE,COUNTIF('従業員情報(給与以外)'!$A$4:$A$1000000,$B1443)=0)</f>
        <v>0</v>
      </c>
      <c r="I1443" s="9" t="b">
        <f t="shared" si="111"/>
        <v>1</v>
      </c>
      <c r="J1443" s="9" t="b">
        <f t="shared" si="112"/>
        <v>1</v>
      </c>
      <c r="K1443" s="9" t="b">
        <f t="shared" si="113"/>
        <v>1</v>
      </c>
      <c r="L1443" s="9" t="b">
        <f t="shared" si="114"/>
        <v>1</v>
      </c>
      <c r="M1443" s="1" t="b">
        <f>IF(OR(入力シート!$C$5&lt;&gt;入力リスト!$N$4,入力シート!$J$22&lt;&gt;入力リスト!$K$4),TRUE,IF($F$2=入力リスト!$Q$4,IF(F1443-INT(F1443)&lt;0.6,TRUE,FALSE),TRUE))</f>
        <v>1</v>
      </c>
      <c r="N1443" s="9" t="str">
        <f>IF(F1443="","",IF($F$2=入力リスト!$Q$4,ROUNDDOWN(INT(F1443)+ROUNDDOWN((F1443-INT(F1443))*100,0)/60,2),従業員の給与情報!F1443))</f>
        <v/>
      </c>
      <c r="O1443" s="8"/>
      <c r="P1443" s="8"/>
    </row>
    <row r="1444" spans="1:16">
      <c r="A1444" s="119"/>
      <c r="B1444" s="2"/>
      <c r="C1444" s="3"/>
      <c r="D1444" s="3"/>
      <c r="E1444" s="3"/>
      <c r="F1444" s="9"/>
      <c r="G1444" s="248" t="str">
        <f t="shared" si="110"/>
        <v/>
      </c>
      <c r="H1444" s="1" t="b">
        <f>IF(B1444="",FALSE,COUNTIF('従業員情報(給与以外)'!$A$4:$A$1000000,$B1444)=0)</f>
        <v>0</v>
      </c>
      <c r="I1444" s="9" t="b">
        <f t="shared" si="111"/>
        <v>1</v>
      </c>
      <c r="J1444" s="9" t="b">
        <f t="shared" si="112"/>
        <v>1</v>
      </c>
      <c r="K1444" s="9" t="b">
        <f t="shared" si="113"/>
        <v>1</v>
      </c>
      <c r="L1444" s="9" t="b">
        <f t="shared" si="114"/>
        <v>1</v>
      </c>
      <c r="M1444" s="1" t="b">
        <f>IF(OR(入力シート!$C$5&lt;&gt;入力リスト!$N$4,入力シート!$J$22&lt;&gt;入力リスト!$K$4),TRUE,IF($F$2=入力リスト!$Q$4,IF(F1444-INT(F1444)&lt;0.6,TRUE,FALSE),TRUE))</f>
        <v>1</v>
      </c>
      <c r="N1444" s="9" t="str">
        <f>IF(F1444="","",IF($F$2=入力リスト!$Q$4,ROUNDDOWN(INT(F1444)+ROUNDDOWN((F1444-INT(F1444))*100,0)/60,2),従業員の給与情報!F1444))</f>
        <v/>
      </c>
      <c r="O1444" s="8"/>
      <c r="P1444" s="8"/>
    </row>
    <row r="1445" spans="1:16">
      <c r="A1445" s="119"/>
      <c r="B1445" s="2"/>
      <c r="C1445" s="3"/>
      <c r="D1445" s="3"/>
      <c r="E1445" s="3"/>
      <c r="F1445" s="9"/>
      <c r="G1445" s="248" t="str">
        <f t="shared" si="110"/>
        <v/>
      </c>
      <c r="H1445" s="1" t="b">
        <f>IF(B1445="",FALSE,COUNTIF('従業員情報(給与以外)'!$A$4:$A$1000000,$B1445)=0)</f>
        <v>0</v>
      </c>
      <c r="I1445" s="9" t="b">
        <f t="shared" si="111"/>
        <v>1</v>
      </c>
      <c r="J1445" s="9" t="b">
        <f t="shared" si="112"/>
        <v>1</v>
      </c>
      <c r="K1445" s="9" t="b">
        <f t="shared" si="113"/>
        <v>1</v>
      </c>
      <c r="L1445" s="9" t="b">
        <f t="shared" si="114"/>
        <v>1</v>
      </c>
      <c r="M1445" s="1" t="b">
        <f>IF(OR(入力シート!$C$5&lt;&gt;入力リスト!$N$4,入力シート!$J$22&lt;&gt;入力リスト!$K$4),TRUE,IF($F$2=入力リスト!$Q$4,IF(F1445-INT(F1445)&lt;0.6,TRUE,FALSE),TRUE))</f>
        <v>1</v>
      </c>
      <c r="N1445" s="9" t="str">
        <f>IF(F1445="","",IF($F$2=入力リスト!$Q$4,ROUNDDOWN(INT(F1445)+ROUNDDOWN((F1445-INT(F1445))*100,0)/60,2),従業員の給与情報!F1445))</f>
        <v/>
      </c>
      <c r="O1445" s="8"/>
      <c r="P1445" s="8"/>
    </row>
    <row r="1446" spans="1:16">
      <c r="A1446" s="119"/>
      <c r="B1446" s="2"/>
      <c r="C1446" s="3"/>
      <c r="D1446" s="3"/>
      <c r="E1446" s="3"/>
      <c r="F1446" s="9"/>
      <c r="G1446" s="248" t="str">
        <f t="shared" si="110"/>
        <v/>
      </c>
      <c r="H1446" s="1" t="b">
        <f>IF(B1446="",FALSE,COUNTIF('従業員情報(給与以外)'!$A$4:$A$1000000,$B1446)=0)</f>
        <v>0</v>
      </c>
      <c r="I1446" s="9" t="b">
        <f t="shared" si="111"/>
        <v>1</v>
      </c>
      <c r="J1446" s="9" t="b">
        <f t="shared" si="112"/>
        <v>1</v>
      </c>
      <c r="K1446" s="9" t="b">
        <f t="shared" si="113"/>
        <v>1</v>
      </c>
      <c r="L1446" s="9" t="b">
        <f t="shared" si="114"/>
        <v>1</v>
      </c>
      <c r="M1446" s="1" t="b">
        <f>IF(OR(入力シート!$C$5&lt;&gt;入力リスト!$N$4,入力シート!$J$22&lt;&gt;入力リスト!$K$4),TRUE,IF($F$2=入力リスト!$Q$4,IF(F1446-INT(F1446)&lt;0.6,TRUE,FALSE),TRUE))</f>
        <v>1</v>
      </c>
      <c r="N1446" s="9" t="str">
        <f>IF(F1446="","",IF($F$2=入力リスト!$Q$4,ROUNDDOWN(INT(F1446)+ROUNDDOWN((F1446-INT(F1446))*100,0)/60,2),従業員の給与情報!F1446))</f>
        <v/>
      </c>
      <c r="O1446" s="8"/>
      <c r="P1446" s="8"/>
    </row>
    <row r="1447" spans="1:16">
      <c r="A1447" s="119"/>
      <c r="B1447" s="2"/>
      <c r="C1447" s="3"/>
      <c r="D1447" s="3"/>
      <c r="E1447" s="3"/>
      <c r="F1447" s="9"/>
      <c r="G1447" s="248" t="str">
        <f t="shared" si="110"/>
        <v/>
      </c>
      <c r="H1447" s="1" t="b">
        <f>IF(B1447="",FALSE,COUNTIF('従業員情報(給与以外)'!$A$4:$A$1000000,$B1447)=0)</f>
        <v>0</v>
      </c>
      <c r="I1447" s="9" t="b">
        <f t="shared" si="111"/>
        <v>1</v>
      </c>
      <c r="J1447" s="9" t="b">
        <f t="shared" si="112"/>
        <v>1</v>
      </c>
      <c r="K1447" s="9" t="b">
        <f t="shared" si="113"/>
        <v>1</v>
      </c>
      <c r="L1447" s="9" t="b">
        <f t="shared" si="114"/>
        <v>1</v>
      </c>
      <c r="M1447" s="1" t="b">
        <f>IF(OR(入力シート!$C$5&lt;&gt;入力リスト!$N$4,入力シート!$J$22&lt;&gt;入力リスト!$K$4),TRUE,IF($F$2=入力リスト!$Q$4,IF(F1447-INT(F1447)&lt;0.6,TRUE,FALSE),TRUE))</f>
        <v>1</v>
      </c>
      <c r="N1447" s="9" t="str">
        <f>IF(F1447="","",IF($F$2=入力リスト!$Q$4,ROUNDDOWN(INT(F1447)+ROUNDDOWN((F1447-INT(F1447))*100,0)/60,2),従業員の給与情報!F1447))</f>
        <v/>
      </c>
      <c r="O1447" s="8"/>
      <c r="P1447" s="8"/>
    </row>
    <row r="1448" spans="1:16">
      <c r="A1448" s="119"/>
      <c r="B1448" s="2"/>
      <c r="C1448" s="3"/>
      <c r="D1448" s="3"/>
      <c r="E1448" s="3"/>
      <c r="F1448" s="9"/>
      <c r="G1448" s="248" t="str">
        <f t="shared" si="110"/>
        <v/>
      </c>
      <c r="H1448" s="1" t="b">
        <f>IF(B1448="",FALSE,COUNTIF('従業員情報(給与以外)'!$A$4:$A$1000000,$B1448)=0)</f>
        <v>0</v>
      </c>
      <c r="I1448" s="9" t="b">
        <f t="shared" si="111"/>
        <v>1</v>
      </c>
      <c r="J1448" s="9" t="b">
        <f t="shared" si="112"/>
        <v>1</v>
      </c>
      <c r="K1448" s="9" t="b">
        <f t="shared" si="113"/>
        <v>1</v>
      </c>
      <c r="L1448" s="9" t="b">
        <f t="shared" si="114"/>
        <v>1</v>
      </c>
      <c r="M1448" s="1" t="b">
        <f>IF(OR(入力シート!$C$5&lt;&gt;入力リスト!$N$4,入力シート!$J$22&lt;&gt;入力リスト!$K$4),TRUE,IF($F$2=入力リスト!$Q$4,IF(F1448-INT(F1448)&lt;0.6,TRUE,FALSE),TRUE))</f>
        <v>1</v>
      </c>
      <c r="N1448" s="9" t="str">
        <f>IF(F1448="","",IF($F$2=入力リスト!$Q$4,ROUNDDOWN(INT(F1448)+ROUNDDOWN((F1448-INT(F1448))*100,0)/60,2),従業員の給与情報!F1448))</f>
        <v/>
      </c>
      <c r="O1448" s="8"/>
      <c r="P1448" s="8"/>
    </row>
    <row r="1449" spans="1:16">
      <c r="A1449" s="119"/>
      <c r="B1449" s="2"/>
      <c r="C1449" s="3"/>
      <c r="D1449" s="3"/>
      <c r="E1449" s="3"/>
      <c r="F1449" s="9"/>
      <c r="G1449" s="248" t="str">
        <f t="shared" si="110"/>
        <v/>
      </c>
      <c r="H1449" s="1" t="b">
        <f>IF(B1449="",FALSE,COUNTIF('従業員情報(給与以外)'!$A$4:$A$1000000,$B1449)=0)</f>
        <v>0</v>
      </c>
      <c r="I1449" s="9" t="b">
        <f t="shared" si="111"/>
        <v>1</v>
      </c>
      <c r="J1449" s="9" t="b">
        <f t="shared" si="112"/>
        <v>1</v>
      </c>
      <c r="K1449" s="9" t="b">
        <f t="shared" si="113"/>
        <v>1</v>
      </c>
      <c r="L1449" s="9" t="b">
        <f t="shared" si="114"/>
        <v>1</v>
      </c>
      <c r="M1449" s="1" t="b">
        <f>IF(OR(入力シート!$C$5&lt;&gt;入力リスト!$N$4,入力シート!$J$22&lt;&gt;入力リスト!$K$4),TRUE,IF($F$2=入力リスト!$Q$4,IF(F1449-INT(F1449)&lt;0.6,TRUE,FALSE),TRUE))</f>
        <v>1</v>
      </c>
      <c r="N1449" s="9" t="str">
        <f>IF(F1449="","",IF($F$2=入力リスト!$Q$4,ROUNDDOWN(INT(F1449)+ROUNDDOWN((F1449-INT(F1449))*100,0)/60,2),従業員の給与情報!F1449))</f>
        <v/>
      </c>
      <c r="O1449" s="8"/>
      <c r="P1449" s="8"/>
    </row>
    <row r="1450" spans="1:16">
      <c r="A1450" s="119"/>
      <c r="B1450" s="2"/>
      <c r="C1450" s="3"/>
      <c r="D1450" s="3"/>
      <c r="E1450" s="3"/>
      <c r="F1450" s="9"/>
      <c r="G1450" s="248" t="str">
        <f t="shared" si="110"/>
        <v/>
      </c>
      <c r="H1450" s="1" t="b">
        <f>IF(B1450="",FALSE,COUNTIF('従業員情報(給与以外)'!$A$4:$A$1000000,$B1450)=0)</f>
        <v>0</v>
      </c>
      <c r="I1450" s="9" t="b">
        <f t="shared" si="111"/>
        <v>1</v>
      </c>
      <c r="J1450" s="9" t="b">
        <f t="shared" si="112"/>
        <v>1</v>
      </c>
      <c r="K1450" s="9" t="b">
        <f t="shared" si="113"/>
        <v>1</v>
      </c>
      <c r="L1450" s="9" t="b">
        <f t="shared" si="114"/>
        <v>1</v>
      </c>
      <c r="M1450" s="1" t="b">
        <f>IF(OR(入力シート!$C$5&lt;&gt;入力リスト!$N$4,入力シート!$J$22&lt;&gt;入力リスト!$K$4),TRUE,IF($F$2=入力リスト!$Q$4,IF(F1450-INT(F1450)&lt;0.6,TRUE,FALSE),TRUE))</f>
        <v>1</v>
      </c>
      <c r="N1450" s="9" t="str">
        <f>IF(F1450="","",IF($F$2=入力リスト!$Q$4,ROUNDDOWN(INT(F1450)+ROUNDDOWN((F1450-INT(F1450))*100,0)/60,2),従業員の給与情報!F1450))</f>
        <v/>
      </c>
      <c r="O1450" s="8"/>
      <c r="P1450" s="8"/>
    </row>
    <row r="1451" spans="1:16">
      <c r="A1451" s="119"/>
      <c r="B1451" s="2"/>
      <c r="C1451" s="3"/>
      <c r="D1451" s="3"/>
      <c r="E1451" s="3"/>
      <c r="F1451" s="9"/>
      <c r="G1451" s="248" t="str">
        <f t="shared" si="110"/>
        <v/>
      </c>
      <c r="H1451" s="1" t="b">
        <f>IF(B1451="",FALSE,COUNTIF('従業員情報(給与以外)'!$A$4:$A$1000000,$B1451)=0)</f>
        <v>0</v>
      </c>
      <c r="I1451" s="9" t="b">
        <f t="shared" si="111"/>
        <v>1</v>
      </c>
      <c r="J1451" s="9" t="b">
        <f t="shared" si="112"/>
        <v>1</v>
      </c>
      <c r="K1451" s="9" t="b">
        <f t="shared" si="113"/>
        <v>1</v>
      </c>
      <c r="L1451" s="9" t="b">
        <f t="shared" si="114"/>
        <v>1</v>
      </c>
      <c r="M1451" s="1" t="b">
        <f>IF(OR(入力シート!$C$5&lt;&gt;入力リスト!$N$4,入力シート!$J$22&lt;&gt;入力リスト!$K$4),TRUE,IF($F$2=入力リスト!$Q$4,IF(F1451-INT(F1451)&lt;0.6,TRUE,FALSE),TRUE))</f>
        <v>1</v>
      </c>
      <c r="N1451" s="9" t="str">
        <f>IF(F1451="","",IF($F$2=入力リスト!$Q$4,ROUNDDOWN(INT(F1451)+ROUNDDOWN((F1451-INT(F1451))*100,0)/60,2),従業員の給与情報!F1451))</f>
        <v/>
      </c>
      <c r="O1451" s="8"/>
      <c r="P1451" s="8"/>
    </row>
    <row r="1452" spans="1:16">
      <c r="A1452" s="119"/>
      <c r="B1452" s="2"/>
      <c r="C1452" s="3"/>
      <c r="D1452" s="3"/>
      <c r="E1452" s="3"/>
      <c r="F1452" s="9"/>
      <c r="G1452" s="248" t="str">
        <f t="shared" si="110"/>
        <v/>
      </c>
      <c r="H1452" s="1" t="b">
        <f>IF(B1452="",FALSE,COUNTIF('従業員情報(給与以外)'!$A$4:$A$1000000,$B1452)=0)</f>
        <v>0</v>
      </c>
      <c r="I1452" s="9" t="b">
        <f t="shared" si="111"/>
        <v>1</v>
      </c>
      <c r="J1452" s="9" t="b">
        <f t="shared" si="112"/>
        <v>1</v>
      </c>
      <c r="K1452" s="9" t="b">
        <f t="shared" si="113"/>
        <v>1</v>
      </c>
      <c r="L1452" s="9" t="b">
        <f t="shared" si="114"/>
        <v>1</v>
      </c>
      <c r="M1452" s="1" t="b">
        <f>IF(OR(入力シート!$C$5&lt;&gt;入力リスト!$N$4,入力シート!$J$22&lt;&gt;入力リスト!$K$4),TRUE,IF($F$2=入力リスト!$Q$4,IF(F1452-INT(F1452)&lt;0.6,TRUE,FALSE),TRUE))</f>
        <v>1</v>
      </c>
      <c r="N1452" s="9" t="str">
        <f>IF(F1452="","",IF($F$2=入力リスト!$Q$4,ROUNDDOWN(INT(F1452)+ROUNDDOWN((F1452-INT(F1452))*100,0)/60,2),従業員の給与情報!F1452))</f>
        <v/>
      </c>
      <c r="O1452" s="8"/>
      <c r="P1452" s="8"/>
    </row>
    <row r="1453" spans="1:16">
      <c r="A1453" s="119"/>
      <c r="B1453" s="2"/>
      <c r="C1453" s="3"/>
      <c r="D1453" s="3"/>
      <c r="E1453" s="3"/>
      <c r="F1453" s="9"/>
      <c r="G1453" s="248" t="str">
        <f t="shared" si="110"/>
        <v/>
      </c>
      <c r="H1453" s="1" t="b">
        <f>IF(B1453="",FALSE,COUNTIF('従業員情報(給与以外)'!$A$4:$A$1000000,$B1453)=0)</f>
        <v>0</v>
      </c>
      <c r="I1453" s="9" t="b">
        <f t="shared" si="111"/>
        <v>1</v>
      </c>
      <c r="J1453" s="9" t="b">
        <f t="shared" si="112"/>
        <v>1</v>
      </c>
      <c r="K1453" s="9" t="b">
        <f t="shared" si="113"/>
        <v>1</v>
      </c>
      <c r="L1453" s="9" t="b">
        <f t="shared" si="114"/>
        <v>1</v>
      </c>
      <c r="M1453" s="1" t="b">
        <f>IF(OR(入力シート!$C$5&lt;&gt;入力リスト!$N$4,入力シート!$J$22&lt;&gt;入力リスト!$K$4),TRUE,IF($F$2=入力リスト!$Q$4,IF(F1453-INT(F1453)&lt;0.6,TRUE,FALSE),TRUE))</f>
        <v>1</v>
      </c>
      <c r="N1453" s="9" t="str">
        <f>IF(F1453="","",IF($F$2=入力リスト!$Q$4,ROUNDDOWN(INT(F1453)+ROUNDDOWN((F1453-INT(F1453))*100,0)/60,2),従業員の給与情報!F1453))</f>
        <v/>
      </c>
      <c r="O1453" s="8"/>
      <c r="P1453" s="8"/>
    </row>
    <row r="1454" spans="1:16">
      <c r="A1454" s="119"/>
      <c r="B1454" s="2"/>
      <c r="C1454" s="3"/>
      <c r="D1454" s="3"/>
      <c r="E1454" s="3"/>
      <c r="F1454" s="9"/>
      <c r="G1454" s="248" t="str">
        <f t="shared" si="110"/>
        <v/>
      </c>
      <c r="H1454" s="1" t="b">
        <f>IF(B1454="",FALSE,COUNTIF('従業員情報(給与以外)'!$A$4:$A$1000000,$B1454)=0)</f>
        <v>0</v>
      </c>
      <c r="I1454" s="9" t="b">
        <f t="shared" si="111"/>
        <v>1</v>
      </c>
      <c r="J1454" s="9" t="b">
        <f t="shared" si="112"/>
        <v>1</v>
      </c>
      <c r="K1454" s="9" t="b">
        <f t="shared" si="113"/>
        <v>1</v>
      </c>
      <c r="L1454" s="9" t="b">
        <f t="shared" si="114"/>
        <v>1</v>
      </c>
      <c r="M1454" s="1" t="b">
        <f>IF(OR(入力シート!$C$5&lt;&gt;入力リスト!$N$4,入力シート!$J$22&lt;&gt;入力リスト!$K$4),TRUE,IF($F$2=入力リスト!$Q$4,IF(F1454-INT(F1454)&lt;0.6,TRUE,FALSE),TRUE))</f>
        <v>1</v>
      </c>
      <c r="N1454" s="9" t="str">
        <f>IF(F1454="","",IF($F$2=入力リスト!$Q$4,ROUNDDOWN(INT(F1454)+ROUNDDOWN((F1454-INT(F1454))*100,0)/60,2),従業員の給与情報!F1454))</f>
        <v/>
      </c>
      <c r="O1454" s="8"/>
      <c r="P1454" s="8"/>
    </row>
    <row r="1455" spans="1:16">
      <c r="A1455" s="119"/>
      <c r="B1455" s="2"/>
      <c r="C1455" s="3"/>
      <c r="D1455" s="3"/>
      <c r="E1455" s="3"/>
      <c r="F1455" s="9"/>
      <c r="G1455" s="248" t="str">
        <f t="shared" si="110"/>
        <v/>
      </c>
      <c r="H1455" s="1" t="b">
        <f>IF(B1455="",FALSE,COUNTIF('従業員情報(給与以外)'!$A$4:$A$1000000,$B1455)=0)</f>
        <v>0</v>
      </c>
      <c r="I1455" s="9" t="b">
        <f t="shared" si="111"/>
        <v>1</v>
      </c>
      <c r="J1455" s="9" t="b">
        <f t="shared" si="112"/>
        <v>1</v>
      </c>
      <c r="K1455" s="9" t="b">
        <f t="shared" si="113"/>
        <v>1</v>
      </c>
      <c r="L1455" s="9" t="b">
        <f t="shared" si="114"/>
        <v>1</v>
      </c>
      <c r="M1455" s="1" t="b">
        <f>IF(OR(入力シート!$C$5&lt;&gt;入力リスト!$N$4,入力シート!$J$22&lt;&gt;入力リスト!$K$4),TRUE,IF($F$2=入力リスト!$Q$4,IF(F1455-INT(F1455)&lt;0.6,TRUE,FALSE),TRUE))</f>
        <v>1</v>
      </c>
      <c r="N1455" s="9" t="str">
        <f>IF(F1455="","",IF($F$2=入力リスト!$Q$4,ROUNDDOWN(INT(F1455)+ROUNDDOWN((F1455-INT(F1455))*100,0)/60,2),従業員の給与情報!F1455))</f>
        <v/>
      </c>
      <c r="O1455" s="8"/>
      <c r="P1455" s="8"/>
    </row>
    <row r="1456" spans="1:16">
      <c r="A1456" s="119"/>
      <c r="B1456" s="2"/>
      <c r="C1456" s="3"/>
      <c r="D1456" s="3"/>
      <c r="E1456" s="3"/>
      <c r="F1456" s="9"/>
      <c r="G1456" s="248" t="str">
        <f t="shared" si="110"/>
        <v/>
      </c>
      <c r="H1456" s="1" t="b">
        <f>IF(B1456="",FALSE,COUNTIF('従業員情報(給与以外)'!$A$4:$A$1000000,$B1456)=0)</f>
        <v>0</v>
      </c>
      <c r="I1456" s="9" t="b">
        <f t="shared" si="111"/>
        <v>1</v>
      </c>
      <c r="J1456" s="9" t="b">
        <f t="shared" si="112"/>
        <v>1</v>
      </c>
      <c r="K1456" s="9" t="b">
        <f t="shared" si="113"/>
        <v>1</v>
      </c>
      <c r="L1456" s="9" t="b">
        <f t="shared" si="114"/>
        <v>1</v>
      </c>
      <c r="M1456" s="1" t="b">
        <f>IF(OR(入力シート!$C$5&lt;&gt;入力リスト!$N$4,入力シート!$J$22&lt;&gt;入力リスト!$K$4),TRUE,IF($F$2=入力リスト!$Q$4,IF(F1456-INT(F1456)&lt;0.6,TRUE,FALSE),TRUE))</f>
        <v>1</v>
      </c>
      <c r="N1456" s="9" t="str">
        <f>IF(F1456="","",IF($F$2=入力リスト!$Q$4,ROUNDDOWN(INT(F1456)+ROUNDDOWN((F1456-INT(F1456))*100,0)/60,2),従業員の給与情報!F1456))</f>
        <v/>
      </c>
      <c r="O1456" s="8"/>
      <c r="P1456" s="8"/>
    </row>
    <row r="1457" spans="1:16">
      <c r="A1457" s="119"/>
      <c r="B1457" s="2"/>
      <c r="C1457" s="3"/>
      <c r="D1457" s="3"/>
      <c r="E1457" s="3"/>
      <c r="F1457" s="9"/>
      <c r="G1457" s="248" t="str">
        <f t="shared" si="110"/>
        <v/>
      </c>
      <c r="H1457" s="1" t="b">
        <f>IF(B1457="",FALSE,COUNTIF('従業員情報(給与以外)'!$A$4:$A$1000000,$B1457)=0)</f>
        <v>0</v>
      </c>
      <c r="I1457" s="9" t="b">
        <f t="shared" si="111"/>
        <v>1</v>
      </c>
      <c r="J1457" s="9" t="b">
        <f t="shared" si="112"/>
        <v>1</v>
      </c>
      <c r="K1457" s="9" t="b">
        <f t="shared" si="113"/>
        <v>1</v>
      </c>
      <c r="L1457" s="9" t="b">
        <f t="shared" si="114"/>
        <v>1</v>
      </c>
      <c r="M1457" s="1" t="b">
        <f>IF(OR(入力シート!$C$5&lt;&gt;入力リスト!$N$4,入力シート!$J$22&lt;&gt;入力リスト!$K$4),TRUE,IF($F$2=入力リスト!$Q$4,IF(F1457-INT(F1457)&lt;0.6,TRUE,FALSE),TRUE))</f>
        <v>1</v>
      </c>
      <c r="N1457" s="9" t="str">
        <f>IF(F1457="","",IF($F$2=入力リスト!$Q$4,ROUNDDOWN(INT(F1457)+ROUNDDOWN((F1457-INT(F1457))*100,0)/60,2),従業員の給与情報!F1457))</f>
        <v/>
      </c>
      <c r="O1457" s="8"/>
      <c r="P1457" s="8"/>
    </row>
    <row r="1458" spans="1:16">
      <c r="A1458" s="119"/>
      <c r="B1458" s="2"/>
      <c r="C1458" s="3"/>
      <c r="D1458" s="3"/>
      <c r="E1458" s="3"/>
      <c r="F1458" s="9"/>
      <c r="G1458" s="248" t="str">
        <f t="shared" si="110"/>
        <v/>
      </c>
      <c r="H1458" s="1" t="b">
        <f>IF(B1458="",FALSE,COUNTIF('従業員情報(給与以外)'!$A$4:$A$1000000,$B1458)=0)</f>
        <v>0</v>
      </c>
      <c r="I1458" s="9" t="b">
        <f t="shared" si="111"/>
        <v>1</v>
      </c>
      <c r="J1458" s="9" t="b">
        <f t="shared" si="112"/>
        <v>1</v>
      </c>
      <c r="K1458" s="9" t="b">
        <f t="shared" si="113"/>
        <v>1</v>
      </c>
      <c r="L1458" s="9" t="b">
        <f t="shared" si="114"/>
        <v>1</v>
      </c>
      <c r="M1458" s="1" t="b">
        <f>IF(OR(入力シート!$C$5&lt;&gt;入力リスト!$N$4,入力シート!$J$22&lt;&gt;入力リスト!$K$4),TRUE,IF($F$2=入力リスト!$Q$4,IF(F1458-INT(F1458)&lt;0.6,TRUE,FALSE),TRUE))</f>
        <v>1</v>
      </c>
      <c r="N1458" s="9" t="str">
        <f>IF(F1458="","",IF($F$2=入力リスト!$Q$4,ROUNDDOWN(INT(F1458)+ROUNDDOWN((F1458-INT(F1458))*100,0)/60,2),従業員の給与情報!F1458))</f>
        <v/>
      </c>
      <c r="O1458" s="8"/>
      <c r="P1458" s="8"/>
    </row>
    <row r="1459" spans="1:16">
      <c r="A1459" s="119"/>
      <c r="B1459" s="2"/>
      <c r="C1459" s="3"/>
      <c r="D1459" s="3"/>
      <c r="E1459" s="3"/>
      <c r="F1459" s="9"/>
      <c r="G1459" s="248" t="str">
        <f t="shared" si="110"/>
        <v/>
      </c>
      <c r="H1459" s="1" t="b">
        <f>IF(B1459="",FALSE,COUNTIF('従業員情報(給与以外)'!$A$4:$A$1000000,$B1459)=0)</f>
        <v>0</v>
      </c>
      <c r="I1459" s="9" t="b">
        <f t="shared" si="111"/>
        <v>1</v>
      </c>
      <c r="J1459" s="9" t="b">
        <f t="shared" si="112"/>
        <v>1</v>
      </c>
      <c r="K1459" s="9" t="b">
        <f t="shared" si="113"/>
        <v>1</v>
      </c>
      <c r="L1459" s="9" t="b">
        <f t="shared" si="114"/>
        <v>1</v>
      </c>
      <c r="M1459" s="1" t="b">
        <f>IF(OR(入力シート!$C$5&lt;&gt;入力リスト!$N$4,入力シート!$J$22&lt;&gt;入力リスト!$K$4),TRUE,IF($F$2=入力リスト!$Q$4,IF(F1459-INT(F1459)&lt;0.6,TRUE,FALSE),TRUE))</f>
        <v>1</v>
      </c>
      <c r="N1459" s="9" t="str">
        <f>IF(F1459="","",IF($F$2=入力リスト!$Q$4,ROUNDDOWN(INT(F1459)+ROUNDDOWN((F1459-INT(F1459))*100,0)/60,2),従業員の給与情報!F1459))</f>
        <v/>
      </c>
      <c r="O1459" s="8"/>
      <c r="P1459" s="8"/>
    </row>
    <row r="1460" spans="1:16">
      <c r="A1460" s="119"/>
      <c r="B1460" s="2"/>
      <c r="C1460" s="3"/>
      <c r="D1460" s="3"/>
      <c r="E1460" s="3"/>
      <c r="F1460" s="9"/>
      <c r="G1460" s="248" t="str">
        <f t="shared" si="110"/>
        <v/>
      </c>
      <c r="H1460" s="1" t="b">
        <f>IF(B1460="",FALSE,COUNTIF('従業員情報(給与以外)'!$A$4:$A$1000000,$B1460)=0)</f>
        <v>0</v>
      </c>
      <c r="I1460" s="9" t="b">
        <f t="shared" si="111"/>
        <v>1</v>
      </c>
      <c r="J1460" s="9" t="b">
        <f t="shared" si="112"/>
        <v>1</v>
      </c>
      <c r="K1460" s="9" t="b">
        <f t="shared" si="113"/>
        <v>1</v>
      </c>
      <c r="L1460" s="9" t="b">
        <f t="shared" si="114"/>
        <v>1</v>
      </c>
      <c r="M1460" s="1" t="b">
        <f>IF(OR(入力シート!$C$5&lt;&gt;入力リスト!$N$4,入力シート!$J$22&lt;&gt;入力リスト!$K$4),TRUE,IF($F$2=入力リスト!$Q$4,IF(F1460-INT(F1460)&lt;0.6,TRUE,FALSE),TRUE))</f>
        <v>1</v>
      </c>
      <c r="N1460" s="9" t="str">
        <f>IF(F1460="","",IF($F$2=入力リスト!$Q$4,ROUNDDOWN(INT(F1460)+ROUNDDOWN((F1460-INT(F1460))*100,0)/60,2),従業員の給与情報!F1460))</f>
        <v/>
      </c>
      <c r="O1460" s="8"/>
      <c r="P1460" s="8"/>
    </row>
    <row r="1461" spans="1:16">
      <c r="A1461" s="119"/>
      <c r="B1461" s="2"/>
      <c r="C1461" s="3"/>
      <c r="D1461" s="3"/>
      <c r="E1461" s="3"/>
      <c r="F1461" s="9"/>
      <c r="G1461" s="248" t="str">
        <f t="shared" si="110"/>
        <v/>
      </c>
      <c r="H1461" s="1" t="b">
        <f>IF(B1461="",FALSE,COUNTIF('従業員情報(給与以外)'!$A$4:$A$1000000,$B1461)=0)</f>
        <v>0</v>
      </c>
      <c r="I1461" s="9" t="b">
        <f t="shared" si="111"/>
        <v>1</v>
      </c>
      <c r="J1461" s="9" t="b">
        <f t="shared" si="112"/>
        <v>1</v>
      </c>
      <c r="K1461" s="9" t="b">
        <f t="shared" si="113"/>
        <v>1</v>
      </c>
      <c r="L1461" s="9" t="b">
        <f t="shared" si="114"/>
        <v>1</v>
      </c>
      <c r="M1461" s="1" t="b">
        <f>IF(OR(入力シート!$C$5&lt;&gt;入力リスト!$N$4,入力シート!$J$22&lt;&gt;入力リスト!$K$4),TRUE,IF($F$2=入力リスト!$Q$4,IF(F1461-INT(F1461)&lt;0.6,TRUE,FALSE),TRUE))</f>
        <v>1</v>
      </c>
      <c r="N1461" s="9" t="str">
        <f>IF(F1461="","",IF($F$2=入力リスト!$Q$4,ROUNDDOWN(INT(F1461)+ROUNDDOWN((F1461-INT(F1461))*100,0)/60,2),従業員の給与情報!F1461))</f>
        <v/>
      </c>
      <c r="O1461" s="8"/>
      <c r="P1461" s="8"/>
    </row>
    <row r="1462" spans="1:16">
      <c r="A1462" s="119"/>
      <c r="B1462" s="2"/>
      <c r="C1462" s="3"/>
      <c r="D1462" s="3"/>
      <c r="E1462" s="3"/>
      <c r="F1462" s="9"/>
      <c r="G1462" s="248" t="str">
        <f t="shared" si="110"/>
        <v/>
      </c>
      <c r="H1462" s="1" t="b">
        <f>IF(B1462="",FALSE,COUNTIF('従業員情報(給与以外)'!$A$4:$A$1000000,$B1462)=0)</f>
        <v>0</v>
      </c>
      <c r="I1462" s="9" t="b">
        <f t="shared" si="111"/>
        <v>1</v>
      </c>
      <c r="J1462" s="9" t="b">
        <f t="shared" si="112"/>
        <v>1</v>
      </c>
      <c r="K1462" s="9" t="b">
        <f t="shared" si="113"/>
        <v>1</v>
      </c>
      <c r="L1462" s="9" t="b">
        <f t="shared" si="114"/>
        <v>1</v>
      </c>
      <c r="M1462" s="1" t="b">
        <f>IF(OR(入力シート!$C$5&lt;&gt;入力リスト!$N$4,入力シート!$J$22&lt;&gt;入力リスト!$K$4),TRUE,IF($F$2=入力リスト!$Q$4,IF(F1462-INT(F1462)&lt;0.6,TRUE,FALSE),TRUE))</f>
        <v>1</v>
      </c>
      <c r="N1462" s="9" t="str">
        <f>IF(F1462="","",IF($F$2=入力リスト!$Q$4,ROUNDDOWN(INT(F1462)+ROUNDDOWN((F1462-INT(F1462))*100,0)/60,2),従業員の給与情報!F1462))</f>
        <v/>
      </c>
      <c r="O1462" s="8"/>
      <c r="P1462" s="8"/>
    </row>
    <row r="1463" spans="1:16">
      <c r="A1463" s="119"/>
      <c r="B1463" s="2"/>
      <c r="C1463" s="3"/>
      <c r="D1463" s="3"/>
      <c r="E1463" s="3"/>
      <c r="F1463" s="9"/>
      <c r="G1463" s="248" t="str">
        <f t="shared" si="110"/>
        <v/>
      </c>
      <c r="H1463" s="1" t="b">
        <f>IF(B1463="",FALSE,COUNTIF('従業員情報(給与以外)'!$A$4:$A$1000000,$B1463)=0)</f>
        <v>0</v>
      </c>
      <c r="I1463" s="9" t="b">
        <f t="shared" si="111"/>
        <v>1</v>
      </c>
      <c r="J1463" s="9" t="b">
        <f t="shared" si="112"/>
        <v>1</v>
      </c>
      <c r="K1463" s="9" t="b">
        <f t="shared" si="113"/>
        <v>1</v>
      </c>
      <c r="L1463" s="9" t="b">
        <f t="shared" si="114"/>
        <v>1</v>
      </c>
      <c r="M1463" s="1" t="b">
        <f>IF(OR(入力シート!$C$5&lt;&gt;入力リスト!$N$4,入力シート!$J$22&lt;&gt;入力リスト!$K$4),TRUE,IF($F$2=入力リスト!$Q$4,IF(F1463-INT(F1463)&lt;0.6,TRUE,FALSE),TRUE))</f>
        <v>1</v>
      </c>
      <c r="N1463" s="9" t="str">
        <f>IF(F1463="","",IF($F$2=入力リスト!$Q$4,ROUNDDOWN(INT(F1463)+ROUNDDOWN((F1463-INT(F1463))*100,0)/60,2),従業員の給与情報!F1463))</f>
        <v/>
      </c>
      <c r="O1463" s="8"/>
      <c r="P1463" s="8"/>
    </row>
    <row r="1464" spans="1:16">
      <c r="A1464" s="119"/>
      <c r="B1464" s="2"/>
      <c r="C1464" s="3"/>
      <c r="D1464" s="3"/>
      <c r="E1464" s="3"/>
      <c r="F1464" s="9"/>
      <c r="G1464" s="248" t="str">
        <f t="shared" si="110"/>
        <v/>
      </c>
      <c r="H1464" s="1" t="b">
        <f>IF(B1464="",FALSE,COUNTIF('従業員情報(給与以外)'!$A$4:$A$1000000,$B1464)=0)</f>
        <v>0</v>
      </c>
      <c r="I1464" s="9" t="b">
        <f t="shared" si="111"/>
        <v>1</v>
      </c>
      <c r="J1464" s="9" t="b">
        <f t="shared" si="112"/>
        <v>1</v>
      </c>
      <c r="K1464" s="9" t="b">
        <f t="shared" si="113"/>
        <v>1</v>
      </c>
      <c r="L1464" s="9" t="b">
        <f t="shared" si="114"/>
        <v>1</v>
      </c>
      <c r="M1464" s="1" t="b">
        <f>IF(OR(入力シート!$C$5&lt;&gt;入力リスト!$N$4,入力シート!$J$22&lt;&gt;入力リスト!$K$4),TRUE,IF($F$2=入力リスト!$Q$4,IF(F1464-INT(F1464)&lt;0.6,TRUE,FALSE),TRUE))</f>
        <v>1</v>
      </c>
      <c r="N1464" s="9" t="str">
        <f>IF(F1464="","",IF($F$2=入力リスト!$Q$4,ROUNDDOWN(INT(F1464)+ROUNDDOWN((F1464-INT(F1464))*100,0)/60,2),従業員の給与情報!F1464))</f>
        <v/>
      </c>
      <c r="O1464" s="8"/>
      <c r="P1464" s="8"/>
    </row>
    <row r="1465" spans="1:16">
      <c r="A1465" s="119"/>
      <c r="B1465" s="2"/>
      <c r="C1465" s="3"/>
      <c r="D1465" s="3"/>
      <c r="E1465" s="3"/>
      <c r="F1465" s="9"/>
      <c r="G1465" s="248" t="str">
        <f t="shared" si="110"/>
        <v/>
      </c>
      <c r="H1465" s="1" t="b">
        <f>IF(B1465="",FALSE,COUNTIF('従業員情報(給与以外)'!$A$4:$A$1000000,$B1465)=0)</f>
        <v>0</v>
      </c>
      <c r="I1465" s="9" t="b">
        <f t="shared" si="111"/>
        <v>1</v>
      </c>
      <c r="J1465" s="9" t="b">
        <f t="shared" si="112"/>
        <v>1</v>
      </c>
      <c r="K1465" s="9" t="b">
        <f t="shared" si="113"/>
        <v>1</v>
      </c>
      <c r="L1465" s="9" t="b">
        <f t="shared" si="114"/>
        <v>1</v>
      </c>
      <c r="M1465" s="1" t="b">
        <f>IF(OR(入力シート!$C$5&lt;&gt;入力リスト!$N$4,入力シート!$J$22&lt;&gt;入力リスト!$K$4),TRUE,IF($F$2=入力リスト!$Q$4,IF(F1465-INT(F1465)&lt;0.6,TRUE,FALSE),TRUE))</f>
        <v>1</v>
      </c>
      <c r="N1465" s="9" t="str">
        <f>IF(F1465="","",IF($F$2=入力リスト!$Q$4,ROUNDDOWN(INT(F1465)+ROUNDDOWN((F1465-INT(F1465))*100,0)/60,2),従業員の給与情報!F1465))</f>
        <v/>
      </c>
      <c r="O1465" s="8"/>
      <c r="P1465" s="8"/>
    </row>
    <row r="1466" spans="1:16">
      <c r="A1466" s="119"/>
      <c r="B1466" s="2"/>
      <c r="C1466" s="3"/>
      <c r="D1466" s="3"/>
      <c r="E1466" s="3"/>
      <c r="F1466" s="9"/>
      <c r="G1466" s="248" t="str">
        <f t="shared" si="110"/>
        <v/>
      </c>
      <c r="H1466" s="1" t="b">
        <f>IF(B1466="",FALSE,COUNTIF('従業員情報(給与以外)'!$A$4:$A$1000000,$B1466)=0)</f>
        <v>0</v>
      </c>
      <c r="I1466" s="9" t="b">
        <f t="shared" si="111"/>
        <v>1</v>
      </c>
      <c r="J1466" s="9" t="b">
        <f t="shared" si="112"/>
        <v>1</v>
      </c>
      <c r="K1466" s="9" t="b">
        <f t="shared" si="113"/>
        <v>1</v>
      </c>
      <c r="L1466" s="9" t="b">
        <f t="shared" si="114"/>
        <v>1</v>
      </c>
      <c r="M1466" s="1" t="b">
        <f>IF(OR(入力シート!$C$5&lt;&gt;入力リスト!$N$4,入力シート!$J$22&lt;&gt;入力リスト!$K$4),TRUE,IF($F$2=入力リスト!$Q$4,IF(F1466-INT(F1466)&lt;0.6,TRUE,FALSE),TRUE))</f>
        <v>1</v>
      </c>
      <c r="N1466" s="9" t="str">
        <f>IF(F1466="","",IF($F$2=入力リスト!$Q$4,ROUNDDOWN(INT(F1466)+ROUNDDOWN((F1466-INT(F1466))*100,0)/60,2),従業員の給与情報!F1466))</f>
        <v/>
      </c>
      <c r="O1466" s="8"/>
      <c r="P1466" s="8"/>
    </row>
    <row r="1467" spans="1:16">
      <c r="A1467" s="119"/>
      <c r="B1467" s="2"/>
      <c r="C1467" s="3"/>
      <c r="D1467" s="3"/>
      <c r="E1467" s="3"/>
      <c r="F1467" s="9"/>
      <c r="G1467" s="248" t="str">
        <f t="shared" si="110"/>
        <v/>
      </c>
      <c r="H1467" s="1" t="b">
        <f>IF(B1467="",FALSE,COUNTIF('従業員情報(給与以外)'!$A$4:$A$1000000,$B1467)=0)</f>
        <v>0</v>
      </c>
      <c r="I1467" s="9" t="b">
        <f t="shared" si="111"/>
        <v>1</v>
      </c>
      <c r="J1467" s="9" t="b">
        <f t="shared" si="112"/>
        <v>1</v>
      </c>
      <c r="K1467" s="9" t="b">
        <f t="shared" si="113"/>
        <v>1</v>
      </c>
      <c r="L1467" s="9" t="b">
        <f t="shared" si="114"/>
        <v>1</v>
      </c>
      <c r="M1467" s="1" t="b">
        <f>IF(OR(入力シート!$C$5&lt;&gt;入力リスト!$N$4,入力シート!$J$22&lt;&gt;入力リスト!$K$4),TRUE,IF($F$2=入力リスト!$Q$4,IF(F1467-INT(F1467)&lt;0.6,TRUE,FALSE),TRUE))</f>
        <v>1</v>
      </c>
      <c r="N1467" s="9" t="str">
        <f>IF(F1467="","",IF($F$2=入力リスト!$Q$4,ROUNDDOWN(INT(F1467)+ROUNDDOWN((F1467-INT(F1467))*100,0)/60,2),従業員の給与情報!F1467))</f>
        <v/>
      </c>
      <c r="O1467" s="8"/>
      <c r="P1467" s="8"/>
    </row>
    <row r="1468" spans="1:16">
      <c r="A1468" s="119"/>
      <c r="B1468" s="2"/>
      <c r="C1468" s="3"/>
      <c r="D1468" s="3"/>
      <c r="E1468" s="3"/>
      <c r="F1468" s="9"/>
      <c r="G1468" s="248" t="str">
        <f t="shared" si="110"/>
        <v/>
      </c>
      <c r="H1468" s="1" t="b">
        <f>IF(B1468="",FALSE,COUNTIF('従業員情報(給与以外)'!$A$4:$A$1000000,$B1468)=0)</f>
        <v>0</v>
      </c>
      <c r="I1468" s="9" t="b">
        <f t="shared" si="111"/>
        <v>1</v>
      </c>
      <c r="J1468" s="9" t="b">
        <f t="shared" si="112"/>
        <v>1</v>
      </c>
      <c r="K1468" s="9" t="b">
        <f t="shared" si="113"/>
        <v>1</v>
      </c>
      <c r="L1468" s="9" t="b">
        <f t="shared" si="114"/>
        <v>1</v>
      </c>
      <c r="M1468" s="1" t="b">
        <f>IF(OR(入力シート!$C$5&lt;&gt;入力リスト!$N$4,入力シート!$J$22&lt;&gt;入力リスト!$K$4),TRUE,IF($F$2=入力リスト!$Q$4,IF(F1468-INT(F1468)&lt;0.6,TRUE,FALSE),TRUE))</f>
        <v>1</v>
      </c>
      <c r="N1468" s="9" t="str">
        <f>IF(F1468="","",IF($F$2=入力リスト!$Q$4,ROUNDDOWN(INT(F1468)+ROUNDDOWN((F1468-INT(F1468))*100,0)/60,2),従業員の給与情報!F1468))</f>
        <v/>
      </c>
      <c r="O1468" s="8"/>
      <c r="P1468" s="8"/>
    </row>
    <row r="1469" spans="1:16">
      <c r="A1469" s="119"/>
      <c r="B1469" s="2"/>
      <c r="C1469" s="3"/>
      <c r="D1469" s="3"/>
      <c r="E1469" s="3"/>
      <c r="F1469" s="9"/>
      <c r="G1469" s="248" t="str">
        <f t="shared" si="110"/>
        <v/>
      </c>
      <c r="H1469" s="1" t="b">
        <f>IF(B1469="",FALSE,COUNTIF('従業員情報(給与以外)'!$A$4:$A$1000000,$B1469)=0)</f>
        <v>0</v>
      </c>
      <c r="I1469" s="9" t="b">
        <f t="shared" si="111"/>
        <v>1</v>
      </c>
      <c r="J1469" s="9" t="b">
        <f t="shared" si="112"/>
        <v>1</v>
      </c>
      <c r="K1469" s="9" t="b">
        <f t="shared" si="113"/>
        <v>1</v>
      </c>
      <c r="L1469" s="9" t="b">
        <f t="shared" si="114"/>
        <v>1</v>
      </c>
      <c r="M1469" s="1" t="b">
        <f>IF(OR(入力シート!$C$5&lt;&gt;入力リスト!$N$4,入力シート!$J$22&lt;&gt;入力リスト!$K$4),TRUE,IF($F$2=入力リスト!$Q$4,IF(F1469-INT(F1469)&lt;0.6,TRUE,FALSE),TRUE))</f>
        <v>1</v>
      </c>
      <c r="N1469" s="9" t="str">
        <f>IF(F1469="","",IF($F$2=入力リスト!$Q$4,ROUNDDOWN(INT(F1469)+ROUNDDOWN((F1469-INT(F1469))*100,0)/60,2),従業員の給与情報!F1469))</f>
        <v/>
      </c>
      <c r="O1469" s="8"/>
      <c r="P1469" s="8"/>
    </row>
    <row r="1470" spans="1:16">
      <c r="A1470" s="119"/>
      <c r="B1470" s="2"/>
      <c r="C1470" s="3"/>
      <c r="D1470" s="3"/>
      <c r="E1470" s="3"/>
      <c r="F1470" s="9"/>
      <c r="G1470" s="248" t="str">
        <f t="shared" si="110"/>
        <v/>
      </c>
      <c r="H1470" s="1" t="b">
        <f>IF(B1470="",FALSE,COUNTIF('従業員情報(給与以外)'!$A$4:$A$1000000,$B1470)=0)</f>
        <v>0</v>
      </c>
      <c r="I1470" s="9" t="b">
        <f t="shared" si="111"/>
        <v>1</v>
      </c>
      <c r="J1470" s="9" t="b">
        <f t="shared" si="112"/>
        <v>1</v>
      </c>
      <c r="K1470" s="9" t="b">
        <f t="shared" si="113"/>
        <v>1</v>
      </c>
      <c r="L1470" s="9" t="b">
        <f t="shared" si="114"/>
        <v>1</v>
      </c>
      <c r="M1470" s="1" t="b">
        <f>IF(OR(入力シート!$C$5&lt;&gt;入力リスト!$N$4,入力シート!$J$22&lt;&gt;入力リスト!$K$4),TRUE,IF($F$2=入力リスト!$Q$4,IF(F1470-INT(F1470)&lt;0.6,TRUE,FALSE),TRUE))</f>
        <v>1</v>
      </c>
      <c r="N1470" s="9" t="str">
        <f>IF(F1470="","",IF($F$2=入力リスト!$Q$4,ROUNDDOWN(INT(F1470)+ROUNDDOWN((F1470-INT(F1470))*100,0)/60,2),従業員の給与情報!F1470))</f>
        <v/>
      </c>
      <c r="O1470" s="8"/>
      <c r="P1470" s="8"/>
    </row>
    <row r="1471" spans="1:16">
      <c r="A1471" s="119"/>
      <c r="B1471" s="2"/>
      <c r="C1471" s="3"/>
      <c r="D1471" s="3"/>
      <c r="E1471" s="3"/>
      <c r="F1471" s="9"/>
      <c r="G1471" s="248" t="str">
        <f t="shared" si="110"/>
        <v/>
      </c>
      <c r="H1471" s="1" t="b">
        <f>IF(B1471="",FALSE,COUNTIF('従業員情報(給与以外)'!$A$4:$A$1000000,$B1471)=0)</f>
        <v>0</v>
      </c>
      <c r="I1471" s="9" t="b">
        <f t="shared" si="111"/>
        <v>1</v>
      </c>
      <c r="J1471" s="9" t="b">
        <f t="shared" si="112"/>
        <v>1</v>
      </c>
      <c r="K1471" s="9" t="b">
        <f t="shared" si="113"/>
        <v>1</v>
      </c>
      <c r="L1471" s="9" t="b">
        <f t="shared" si="114"/>
        <v>1</v>
      </c>
      <c r="M1471" s="1" t="b">
        <f>IF(OR(入力シート!$C$5&lt;&gt;入力リスト!$N$4,入力シート!$J$22&lt;&gt;入力リスト!$K$4),TRUE,IF($F$2=入力リスト!$Q$4,IF(F1471-INT(F1471)&lt;0.6,TRUE,FALSE),TRUE))</f>
        <v>1</v>
      </c>
      <c r="N1471" s="9" t="str">
        <f>IF(F1471="","",IF($F$2=入力リスト!$Q$4,ROUNDDOWN(INT(F1471)+ROUNDDOWN((F1471-INT(F1471))*100,0)/60,2),従業員の給与情報!F1471))</f>
        <v/>
      </c>
      <c r="O1471" s="8"/>
      <c r="P1471" s="8"/>
    </row>
    <row r="1472" spans="1:16">
      <c r="A1472" s="119"/>
      <c r="B1472" s="2"/>
      <c r="C1472" s="3"/>
      <c r="D1472" s="3"/>
      <c r="E1472" s="3"/>
      <c r="F1472" s="9"/>
      <c r="G1472" s="248" t="str">
        <f t="shared" si="110"/>
        <v/>
      </c>
      <c r="H1472" s="1" t="b">
        <f>IF(B1472="",FALSE,COUNTIF('従業員情報(給与以外)'!$A$4:$A$1000000,$B1472)=0)</f>
        <v>0</v>
      </c>
      <c r="I1472" s="9" t="b">
        <f t="shared" si="111"/>
        <v>1</v>
      </c>
      <c r="J1472" s="9" t="b">
        <f t="shared" si="112"/>
        <v>1</v>
      </c>
      <c r="K1472" s="9" t="b">
        <f t="shared" si="113"/>
        <v>1</v>
      </c>
      <c r="L1472" s="9" t="b">
        <f t="shared" si="114"/>
        <v>1</v>
      </c>
      <c r="M1472" s="1" t="b">
        <f>IF(OR(入力シート!$C$5&lt;&gt;入力リスト!$N$4,入力シート!$J$22&lt;&gt;入力リスト!$K$4),TRUE,IF($F$2=入力リスト!$Q$4,IF(F1472-INT(F1472)&lt;0.6,TRUE,FALSE),TRUE))</f>
        <v>1</v>
      </c>
      <c r="N1472" s="9" t="str">
        <f>IF(F1472="","",IF($F$2=入力リスト!$Q$4,ROUNDDOWN(INT(F1472)+ROUNDDOWN((F1472-INT(F1472))*100,0)/60,2),従業員の給与情報!F1472))</f>
        <v/>
      </c>
      <c r="O1472" s="8"/>
      <c r="P1472" s="8"/>
    </row>
    <row r="1473" spans="1:16">
      <c r="A1473" s="119"/>
      <c r="B1473" s="2"/>
      <c r="C1473" s="3"/>
      <c r="D1473" s="3"/>
      <c r="E1473" s="3"/>
      <c r="F1473" s="9"/>
      <c r="G1473" s="248" t="str">
        <f t="shared" si="110"/>
        <v/>
      </c>
      <c r="H1473" s="1" t="b">
        <f>IF(B1473="",FALSE,COUNTIF('従業員情報(給与以外)'!$A$4:$A$1000000,$B1473)=0)</f>
        <v>0</v>
      </c>
      <c r="I1473" s="9" t="b">
        <f t="shared" si="111"/>
        <v>1</v>
      </c>
      <c r="J1473" s="9" t="b">
        <f t="shared" si="112"/>
        <v>1</v>
      </c>
      <c r="K1473" s="9" t="b">
        <f t="shared" si="113"/>
        <v>1</v>
      </c>
      <c r="L1473" s="9" t="b">
        <f t="shared" si="114"/>
        <v>1</v>
      </c>
      <c r="M1473" s="1" t="b">
        <f>IF(OR(入力シート!$C$5&lt;&gt;入力リスト!$N$4,入力シート!$J$22&lt;&gt;入力リスト!$K$4),TRUE,IF($F$2=入力リスト!$Q$4,IF(F1473-INT(F1473)&lt;0.6,TRUE,FALSE),TRUE))</f>
        <v>1</v>
      </c>
      <c r="N1473" s="9" t="str">
        <f>IF(F1473="","",IF($F$2=入力リスト!$Q$4,ROUNDDOWN(INT(F1473)+ROUNDDOWN((F1473-INT(F1473))*100,0)/60,2),従業員の給与情報!F1473))</f>
        <v/>
      </c>
      <c r="O1473" s="8"/>
      <c r="P1473" s="8"/>
    </row>
    <row r="1474" spans="1:16">
      <c r="A1474" s="119"/>
      <c r="B1474" s="2"/>
      <c r="C1474" s="3"/>
      <c r="D1474" s="3"/>
      <c r="E1474" s="3"/>
      <c r="F1474" s="9"/>
      <c r="G1474" s="248" t="str">
        <f t="shared" si="110"/>
        <v/>
      </c>
      <c r="H1474" s="1" t="b">
        <f>IF(B1474="",FALSE,COUNTIF('従業員情報(給与以外)'!$A$4:$A$1000000,$B1474)=0)</f>
        <v>0</v>
      </c>
      <c r="I1474" s="9" t="b">
        <f t="shared" si="111"/>
        <v>1</v>
      </c>
      <c r="J1474" s="9" t="b">
        <f t="shared" si="112"/>
        <v>1</v>
      </c>
      <c r="K1474" s="9" t="b">
        <f t="shared" si="113"/>
        <v>1</v>
      </c>
      <c r="L1474" s="9" t="b">
        <f t="shared" si="114"/>
        <v>1</v>
      </c>
      <c r="M1474" s="1" t="b">
        <f>IF(OR(入力シート!$C$5&lt;&gt;入力リスト!$N$4,入力シート!$J$22&lt;&gt;入力リスト!$K$4),TRUE,IF($F$2=入力リスト!$Q$4,IF(F1474-INT(F1474)&lt;0.6,TRUE,FALSE),TRUE))</f>
        <v>1</v>
      </c>
      <c r="N1474" s="9" t="str">
        <f>IF(F1474="","",IF($F$2=入力リスト!$Q$4,ROUNDDOWN(INT(F1474)+ROUNDDOWN((F1474-INT(F1474))*100,0)/60,2),従業員の給与情報!F1474))</f>
        <v/>
      </c>
      <c r="O1474" s="8"/>
      <c r="P1474" s="8"/>
    </row>
    <row r="1475" spans="1:16">
      <c r="A1475" s="119"/>
      <c r="B1475" s="2"/>
      <c r="C1475" s="3"/>
      <c r="D1475" s="3"/>
      <c r="E1475" s="3"/>
      <c r="F1475" s="9"/>
      <c r="G1475" s="248" t="str">
        <f t="shared" si="110"/>
        <v/>
      </c>
      <c r="H1475" s="1" t="b">
        <f>IF(B1475="",FALSE,COUNTIF('従業員情報(給与以外)'!$A$4:$A$1000000,$B1475)=0)</f>
        <v>0</v>
      </c>
      <c r="I1475" s="9" t="b">
        <f t="shared" si="111"/>
        <v>1</v>
      </c>
      <c r="J1475" s="9" t="b">
        <f t="shared" si="112"/>
        <v>1</v>
      </c>
      <c r="K1475" s="9" t="b">
        <f t="shared" si="113"/>
        <v>1</v>
      </c>
      <c r="L1475" s="9" t="b">
        <f t="shared" si="114"/>
        <v>1</v>
      </c>
      <c r="M1475" s="1" t="b">
        <f>IF(OR(入力シート!$C$5&lt;&gt;入力リスト!$N$4,入力シート!$J$22&lt;&gt;入力リスト!$K$4),TRUE,IF($F$2=入力リスト!$Q$4,IF(F1475-INT(F1475)&lt;0.6,TRUE,FALSE),TRUE))</f>
        <v>1</v>
      </c>
      <c r="N1475" s="9" t="str">
        <f>IF(F1475="","",IF($F$2=入力リスト!$Q$4,ROUNDDOWN(INT(F1475)+ROUNDDOWN((F1475-INT(F1475))*100,0)/60,2),従業員の給与情報!F1475))</f>
        <v/>
      </c>
      <c r="O1475" s="8"/>
      <c r="P1475" s="8"/>
    </row>
    <row r="1476" spans="1:16">
      <c r="A1476" s="119"/>
      <c r="B1476" s="2"/>
      <c r="C1476" s="3"/>
      <c r="D1476" s="3"/>
      <c r="E1476" s="3"/>
      <c r="F1476" s="9"/>
      <c r="G1476" s="248" t="str">
        <f t="shared" si="110"/>
        <v/>
      </c>
      <c r="H1476" s="1" t="b">
        <f>IF(B1476="",FALSE,COUNTIF('従業員情報(給与以外)'!$A$4:$A$1000000,$B1476)=0)</f>
        <v>0</v>
      </c>
      <c r="I1476" s="9" t="b">
        <f t="shared" si="111"/>
        <v>1</v>
      </c>
      <c r="J1476" s="9" t="b">
        <f t="shared" si="112"/>
        <v>1</v>
      </c>
      <c r="K1476" s="9" t="b">
        <f t="shared" si="113"/>
        <v>1</v>
      </c>
      <c r="L1476" s="9" t="b">
        <f t="shared" si="114"/>
        <v>1</v>
      </c>
      <c r="M1476" s="1" t="b">
        <f>IF(OR(入力シート!$C$5&lt;&gt;入力リスト!$N$4,入力シート!$J$22&lt;&gt;入力リスト!$K$4),TRUE,IF($F$2=入力リスト!$Q$4,IF(F1476-INT(F1476)&lt;0.6,TRUE,FALSE),TRUE))</f>
        <v>1</v>
      </c>
      <c r="N1476" s="9" t="str">
        <f>IF(F1476="","",IF($F$2=入力リスト!$Q$4,ROUNDDOWN(INT(F1476)+ROUNDDOWN((F1476-INT(F1476))*100,0)/60,2),従業員の給与情報!F1476))</f>
        <v/>
      </c>
      <c r="O1476" s="8"/>
      <c r="P1476" s="8"/>
    </row>
    <row r="1477" spans="1:16">
      <c r="A1477" s="119"/>
      <c r="B1477" s="2"/>
      <c r="C1477" s="3"/>
      <c r="D1477" s="3"/>
      <c r="E1477" s="3"/>
      <c r="F1477" s="9"/>
      <c r="G1477" s="248" t="str">
        <f t="shared" ref="G1477:G1540" si="115">IF(AND($B1477="",OR(B1477&lt;&gt;"",C1477&lt;&gt;"",D1477&lt;&gt;"",E1477&lt;&gt;"",F1477&lt;&gt;"")),"従業員番号が空白です。",IF($H1477=TRUE,"この従業員番号は、シート［従業員情報（給与以外）］に存在しません。",IF(I1477=FALSE,"「毎月の固定給与額」","")&amp;IF(AND(I1477=FALSE,OR(J1477=FALSE,K1477=FALSE,L1477=FALSE)),",","")&amp;IF(J1477=FALSE,"「賞与額等」","")&amp;IF(AND(J1477=FALSE,OR(K1477=FALSE,L1477=FALSE)),",","")&amp;IF(K1477=FALSE,"「残業手当」","")&amp;IF(AND(K1477=FALSE,L1477=FALSE),",","")&amp;IF(L1477=FALSE,"「残業時間」","")&amp;IF(OR(I1477=FALSE,J1477=FALSE,K1477=FALSE,L1477=FALSE),"に数値以外が入力されています。","")&amp;IF(M1477,"","「残業時間」を分単位で入力した場合、小数点以下の値は0.6未満にしてください。")))</f>
        <v/>
      </c>
      <c r="H1477" s="1" t="b">
        <f>IF(B1477="",FALSE,COUNTIF('従業員情報(給与以外)'!$A$4:$A$1000000,$B1477)=0)</f>
        <v>0</v>
      </c>
      <c r="I1477" s="9" t="b">
        <f t="shared" ref="I1477:I1540" si="116">OR(C1477="",ISNUMBER(C1477))</f>
        <v>1</v>
      </c>
      <c r="J1477" s="9" t="b">
        <f t="shared" ref="J1477:J1540" si="117">OR(D1477="",ISNUMBER(D1477))</f>
        <v>1</v>
      </c>
      <c r="K1477" s="9" t="b">
        <f t="shared" ref="K1477:K1540" si="118">OR(E1477="",ISNUMBER(E1477))</f>
        <v>1</v>
      </c>
      <c r="L1477" s="9" t="b">
        <f t="shared" ref="L1477:L1540" si="119">OR(F1477="",ISNUMBER(F1477))</f>
        <v>1</v>
      </c>
      <c r="M1477" s="1" t="b">
        <f>IF(OR(入力シート!$C$5&lt;&gt;入力リスト!$N$4,入力シート!$J$22&lt;&gt;入力リスト!$K$4),TRUE,IF($F$2=入力リスト!$Q$4,IF(F1477-INT(F1477)&lt;0.6,TRUE,FALSE),TRUE))</f>
        <v>1</v>
      </c>
      <c r="N1477" s="9" t="str">
        <f>IF(F1477="","",IF($F$2=入力リスト!$Q$4,ROUNDDOWN(INT(F1477)+ROUNDDOWN((F1477-INT(F1477))*100,0)/60,2),従業員の給与情報!F1477))</f>
        <v/>
      </c>
      <c r="O1477" s="8"/>
      <c r="P1477" s="8"/>
    </row>
    <row r="1478" spans="1:16">
      <c r="A1478" s="119"/>
      <c r="B1478" s="2"/>
      <c r="C1478" s="3"/>
      <c r="D1478" s="3"/>
      <c r="E1478" s="3"/>
      <c r="F1478" s="9"/>
      <c r="G1478" s="248" t="str">
        <f t="shared" si="115"/>
        <v/>
      </c>
      <c r="H1478" s="1" t="b">
        <f>IF(B1478="",FALSE,COUNTIF('従業員情報(給与以外)'!$A$4:$A$1000000,$B1478)=0)</f>
        <v>0</v>
      </c>
      <c r="I1478" s="9" t="b">
        <f t="shared" si="116"/>
        <v>1</v>
      </c>
      <c r="J1478" s="9" t="b">
        <f t="shared" si="117"/>
        <v>1</v>
      </c>
      <c r="K1478" s="9" t="b">
        <f t="shared" si="118"/>
        <v>1</v>
      </c>
      <c r="L1478" s="9" t="b">
        <f t="shared" si="119"/>
        <v>1</v>
      </c>
      <c r="M1478" s="1" t="b">
        <f>IF(OR(入力シート!$C$5&lt;&gt;入力リスト!$N$4,入力シート!$J$22&lt;&gt;入力リスト!$K$4),TRUE,IF($F$2=入力リスト!$Q$4,IF(F1478-INT(F1478)&lt;0.6,TRUE,FALSE),TRUE))</f>
        <v>1</v>
      </c>
      <c r="N1478" s="9" t="str">
        <f>IF(F1478="","",IF($F$2=入力リスト!$Q$4,ROUNDDOWN(INT(F1478)+ROUNDDOWN((F1478-INT(F1478))*100,0)/60,2),従業員の給与情報!F1478))</f>
        <v/>
      </c>
      <c r="O1478" s="8"/>
      <c r="P1478" s="8"/>
    </row>
    <row r="1479" spans="1:16">
      <c r="A1479" s="119"/>
      <c r="B1479" s="2"/>
      <c r="C1479" s="3"/>
      <c r="D1479" s="3"/>
      <c r="E1479" s="3"/>
      <c r="F1479" s="9"/>
      <c r="G1479" s="248" t="str">
        <f t="shared" si="115"/>
        <v/>
      </c>
      <c r="H1479" s="1" t="b">
        <f>IF(B1479="",FALSE,COUNTIF('従業員情報(給与以外)'!$A$4:$A$1000000,$B1479)=0)</f>
        <v>0</v>
      </c>
      <c r="I1479" s="9" t="b">
        <f t="shared" si="116"/>
        <v>1</v>
      </c>
      <c r="J1479" s="9" t="b">
        <f t="shared" si="117"/>
        <v>1</v>
      </c>
      <c r="K1479" s="9" t="b">
        <f t="shared" si="118"/>
        <v>1</v>
      </c>
      <c r="L1479" s="9" t="b">
        <f t="shared" si="119"/>
        <v>1</v>
      </c>
      <c r="M1479" s="1" t="b">
        <f>IF(OR(入力シート!$C$5&lt;&gt;入力リスト!$N$4,入力シート!$J$22&lt;&gt;入力リスト!$K$4),TRUE,IF($F$2=入力リスト!$Q$4,IF(F1479-INT(F1479)&lt;0.6,TRUE,FALSE),TRUE))</f>
        <v>1</v>
      </c>
      <c r="N1479" s="9" t="str">
        <f>IF(F1479="","",IF($F$2=入力リスト!$Q$4,ROUNDDOWN(INT(F1479)+ROUNDDOWN((F1479-INT(F1479))*100,0)/60,2),従業員の給与情報!F1479))</f>
        <v/>
      </c>
      <c r="O1479" s="8"/>
      <c r="P1479" s="8"/>
    </row>
    <row r="1480" spans="1:16">
      <c r="A1480" s="119"/>
      <c r="B1480" s="2"/>
      <c r="C1480" s="3"/>
      <c r="D1480" s="3"/>
      <c r="E1480" s="3"/>
      <c r="F1480" s="9"/>
      <c r="G1480" s="248" t="str">
        <f t="shared" si="115"/>
        <v/>
      </c>
      <c r="H1480" s="1" t="b">
        <f>IF(B1480="",FALSE,COUNTIF('従業員情報(給与以外)'!$A$4:$A$1000000,$B1480)=0)</f>
        <v>0</v>
      </c>
      <c r="I1480" s="9" t="b">
        <f t="shared" si="116"/>
        <v>1</v>
      </c>
      <c r="J1480" s="9" t="b">
        <f t="shared" si="117"/>
        <v>1</v>
      </c>
      <c r="K1480" s="9" t="b">
        <f t="shared" si="118"/>
        <v>1</v>
      </c>
      <c r="L1480" s="9" t="b">
        <f t="shared" si="119"/>
        <v>1</v>
      </c>
      <c r="M1480" s="1" t="b">
        <f>IF(OR(入力シート!$C$5&lt;&gt;入力リスト!$N$4,入力シート!$J$22&lt;&gt;入力リスト!$K$4),TRUE,IF($F$2=入力リスト!$Q$4,IF(F1480-INT(F1480)&lt;0.6,TRUE,FALSE),TRUE))</f>
        <v>1</v>
      </c>
      <c r="N1480" s="9" t="str">
        <f>IF(F1480="","",IF($F$2=入力リスト!$Q$4,ROUNDDOWN(INT(F1480)+ROUNDDOWN((F1480-INT(F1480))*100,0)/60,2),従業員の給与情報!F1480))</f>
        <v/>
      </c>
      <c r="O1480" s="8"/>
      <c r="P1480" s="8"/>
    </row>
    <row r="1481" spans="1:16">
      <c r="A1481" s="119"/>
      <c r="B1481" s="2"/>
      <c r="C1481" s="3"/>
      <c r="D1481" s="3"/>
      <c r="E1481" s="3"/>
      <c r="F1481" s="9"/>
      <c r="G1481" s="248" t="str">
        <f t="shared" si="115"/>
        <v/>
      </c>
      <c r="H1481" s="1" t="b">
        <f>IF(B1481="",FALSE,COUNTIF('従業員情報(給与以外)'!$A$4:$A$1000000,$B1481)=0)</f>
        <v>0</v>
      </c>
      <c r="I1481" s="9" t="b">
        <f t="shared" si="116"/>
        <v>1</v>
      </c>
      <c r="J1481" s="9" t="b">
        <f t="shared" si="117"/>
        <v>1</v>
      </c>
      <c r="K1481" s="9" t="b">
        <f t="shared" si="118"/>
        <v>1</v>
      </c>
      <c r="L1481" s="9" t="b">
        <f t="shared" si="119"/>
        <v>1</v>
      </c>
      <c r="M1481" s="1" t="b">
        <f>IF(OR(入力シート!$C$5&lt;&gt;入力リスト!$N$4,入力シート!$J$22&lt;&gt;入力リスト!$K$4),TRUE,IF($F$2=入力リスト!$Q$4,IF(F1481-INT(F1481)&lt;0.6,TRUE,FALSE),TRUE))</f>
        <v>1</v>
      </c>
      <c r="N1481" s="9" t="str">
        <f>IF(F1481="","",IF($F$2=入力リスト!$Q$4,ROUNDDOWN(INT(F1481)+ROUNDDOWN((F1481-INT(F1481))*100,0)/60,2),従業員の給与情報!F1481))</f>
        <v/>
      </c>
      <c r="O1481" s="8"/>
      <c r="P1481" s="8"/>
    </row>
    <row r="1482" spans="1:16">
      <c r="A1482" s="119"/>
      <c r="B1482" s="2"/>
      <c r="C1482" s="3"/>
      <c r="D1482" s="3"/>
      <c r="E1482" s="3"/>
      <c r="F1482" s="9"/>
      <c r="G1482" s="248" t="str">
        <f t="shared" si="115"/>
        <v/>
      </c>
      <c r="H1482" s="1" t="b">
        <f>IF(B1482="",FALSE,COUNTIF('従業員情報(給与以外)'!$A$4:$A$1000000,$B1482)=0)</f>
        <v>0</v>
      </c>
      <c r="I1482" s="9" t="b">
        <f t="shared" si="116"/>
        <v>1</v>
      </c>
      <c r="J1482" s="9" t="b">
        <f t="shared" si="117"/>
        <v>1</v>
      </c>
      <c r="K1482" s="9" t="b">
        <f t="shared" si="118"/>
        <v>1</v>
      </c>
      <c r="L1482" s="9" t="b">
        <f t="shared" si="119"/>
        <v>1</v>
      </c>
      <c r="M1482" s="1" t="b">
        <f>IF(OR(入力シート!$C$5&lt;&gt;入力リスト!$N$4,入力シート!$J$22&lt;&gt;入力リスト!$K$4),TRUE,IF($F$2=入力リスト!$Q$4,IF(F1482-INT(F1482)&lt;0.6,TRUE,FALSE),TRUE))</f>
        <v>1</v>
      </c>
      <c r="N1482" s="9" t="str">
        <f>IF(F1482="","",IF($F$2=入力リスト!$Q$4,ROUNDDOWN(INT(F1482)+ROUNDDOWN((F1482-INT(F1482))*100,0)/60,2),従業員の給与情報!F1482))</f>
        <v/>
      </c>
      <c r="O1482" s="8"/>
      <c r="P1482" s="8"/>
    </row>
    <row r="1483" spans="1:16">
      <c r="A1483" s="119"/>
      <c r="B1483" s="2"/>
      <c r="C1483" s="3"/>
      <c r="D1483" s="3"/>
      <c r="E1483" s="3"/>
      <c r="F1483" s="9"/>
      <c r="G1483" s="248" t="str">
        <f t="shared" si="115"/>
        <v/>
      </c>
      <c r="H1483" s="1" t="b">
        <f>IF(B1483="",FALSE,COUNTIF('従業員情報(給与以外)'!$A$4:$A$1000000,$B1483)=0)</f>
        <v>0</v>
      </c>
      <c r="I1483" s="9" t="b">
        <f t="shared" si="116"/>
        <v>1</v>
      </c>
      <c r="J1483" s="9" t="b">
        <f t="shared" si="117"/>
        <v>1</v>
      </c>
      <c r="K1483" s="9" t="b">
        <f t="shared" si="118"/>
        <v>1</v>
      </c>
      <c r="L1483" s="9" t="b">
        <f t="shared" si="119"/>
        <v>1</v>
      </c>
      <c r="M1483" s="1" t="b">
        <f>IF(OR(入力シート!$C$5&lt;&gt;入力リスト!$N$4,入力シート!$J$22&lt;&gt;入力リスト!$K$4),TRUE,IF($F$2=入力リスト!$Q$4,IF(F1483-INT(F1483)&lt;0.6,TRUE,FALSE),TRUE))</f>
        <v>1</v>
      </c>
      <c r="N1483" s="9" t="str">
        <f>IF(F1483="","",IF($F$2=入力リスト!$Q$4,ROUNDDOWN(INT(F1483)+ROUNDDOWN((F1483-INT(F1483))*100,0)/60,2),従業員の給与情報!F1483))</f>
        <v/>
      </c>
      <c r="O1483" s="8"/>
      <c r="P1483" s="8"/>
    </row>
    <row r="1484" spans="1:16">
      <c r="A1484" s="119"/>
      <c r="B1484" s="2"/>
      <c r="C1484" s="3"/>
      <c r="D1484" s="3"/>
      <c r="E1484" s="3"/>
      <c r="F1484" s="9"/>
      <c r="G1484" s="248" t="str">
        <f t="shared" si="115"/>
        <v/>
      </c>
      <c r="H1484" s="1" t="b">
        <f>IF(B1484="",FALSE,COUNTIF('従業員情報(給与以外)'!$A$4:$A$1000000,$B1484)=0)</f>
        <v>0</v>
      </c>
      <c r="I1484" s="9" t="b">
        <f t="shared" si="116"/>
        <v>1</v>
      </c>
      <c r="J1484" s="9" t="b">
        <f t="shared" si="117"/>
        <v>1</v>
      </c>
      <c r="K1484" s="9" t="b">
        <f t="shared" si="118"/>
        <v>1</v>
      </c>
      <c r="L1484" s="9" t="b">
        <f t="shared" si="119"/>
        <v>1</v>
      </c>
      <c r="M1484" s="1" t="b">
        <f>IF(OR(入力シート!$C$5&lt;&gt;入力リスト!$N$4,入力シート!$J$22&lt;&gt;入力リスト!$K$4),TRUE,IF($F$2=入力リスト!$Q$4,IF(F1484-INT(F1484)&lt;0.6,TRUE,FALSE),TRUE))</f>
        <v>1</v>
      </c>
      <c r="N1484" s="9" t="str">
        <f>IF(F1484="","",IF($F$2=入力リスト!$Q$4,ROUNDDOWN(INT(F1484)+ROUNDDOWN((F1484-INT(F1484))*100,0)/60,2),従業員の給与情報!F1484))</f>
        <v/>
      </c>
      <c r="O1484" s="8"/>
      <c r="P1484" s="8"/>
    </row>
    <row r="1485" spans="1:16">
      <c r="A1485" s="119"/>
      <c r="B1485" s="2"/>
      <c r="C1485" s="3"/>
      <c r="D1485" s="3"/>
      <c r="E1485" s="3"/>
      <c r="F1485" s="9"/>
      <c r="G1485" s="248" t="str">
        <f t="shared" si="115"/>
        <v/>
      </c>
      <c r="H1485" s="1" t="b">
        <f>IF(B1485="",FALSE,COUNTIF('従業員情報(給与以外)'!$A$4:$A$1000000,$B1485)=0)</f>
        <v>0</v>
      </c>
      <c r="I1485" s="9" t="b">
        <f t="shared" si="116"/>
        <v>1</v>
      </c>
      <c r="J1485" s="9" t="b">
        <f t="shared" si="117"/>
        <v>1</v>
      </c>
      <c r="K1485" s="9" t="b">
        <f t="shared" si="118"/>
        <v>1</v>
      </c>
      <c r="L1485" s="9" t="b">
        <f t="shared" si="119"/>
        <v>1</v>
      </c>
      <c r="M1485" s="1" t="b">
        <f>IF(OR(入力シート!$C$5&lt;&gt;入力リスト!$N$4,入力シート!$J$22&lt;&gt;入力リスト!$K$4),TRUE,IF($F$2=入力リスト!$Q$4,IF(F1485-INT(F1485)&lt;0.6,TRUE,FALSE),TRUE))</f>
        <v>1</v>
      </c>
      <c r="N1485" s="9" t="str">
        <f>IF(F1485="","",IF($F$2=入力リスト!$Q$4,ROUNDDOWN(INT(F1485)+ROUNDDOWN((F1485-INT(F1485))*100,0)/60,2),従業員の給与情報!F1485))</f>
        <v/>
      </c>
      <c r="O1485" s="8"/>
      <c r="P1485" s="8"/>
    </row>
    <row r="1486" spans="1:16">
      <c r="A1486" s="119"/>
      <c r="B1486" s="2"/>
      <c r="C1486" s="3"/>
      <c r="D1486" s="3"/>
      <c r="E1486" s="3"/>
      <c r="F1486" s="9"/>
      <c r="G1486" s="248" t="str">
        <f t="shared" si="115"/>
        <v/>
      </c>
      <c r="H1486" s="1" t="b">
        <f>IF(B1486="",FALSE,COUNTIF('従業員情報(給与以外)'!$A$4:$A$1000000,$B1486)=0)</f>
        <v>0</v>
      </c>
      <c r="I1486" s="9" t="b">
        <f t="shared" si="116"/>
        <v>1</v>
      </c>
      <c r="J1486" s="9" t="b">
        <f t="shared" si="117"/>
        <v>1</v>
      </c>
      <c r="K1486" s="9" t="b">
        <f t="shared" si="118"/>
        <v>1</v>
      </c>
      <c r="L1486" s="9" t="b">
        <f t="shared" si="119"/>
        <v>1</v>
      </c>
      <c r="M1486" s="1" t="b">
        <f>IF(OR(入力シート!$C$5&lt;&gt;入力リスト!$N$4,入力シート!$J$22&lt;&gt;入力リスト!$K$4),TRUE,IF($F$2=入力リスト!$Q$4,IF(F1486-INT(F1486)&lt;0.6,TRUE,FALSE),TRUE))</f>
        <v>1</v>
      </c>
      <c r="N1486" s="9" t="str">
        <f>IF(F1486="","",IF($F$2=入力リスト!$Q$4,ROUNDDOWN(INT(F1486)+ROUNDDOWN((F1486-INT(F1486))*100,0)/60,2),従業員の給与情報!F1486))</f>
        <v/>
      </c>
      <c r="O1486" s="8"/>
      <c r="P1486" s="8"/>
    </row>
    <row r="1487" spans="1:16">
      <c r="A1487" s="119"/>
      <c r="B1487" s="2"/>
      <c r="C1487" s="3"/>
      <c r="D1487" s="3"/>
      <c r="E1487" s="3"/>
      <c r="F1487" s="9"/>
      <c r="G1487" s="248" t="str">
        <f t="shared" si="115"/>
        <v/>
      </c>
      <c r="H1487" s="1" t="b">
        <f>IF(B1487="",FALSE,COUNTIF('従業員情報(給与以外)'!$A$4:$A$1000000,$B1487)=0)</f>
        <v>0</v>
      </c>
      <c r="I1487" s="9" t="b">
        <f t="shared" si="116"/>
        <v>1</v>
      </c>
      <c r="J1487" s="9" t="b">
        <f t="shared" si="117"/>
        <v>1</v>
      </c>
      <c r="K1487" s="9" t="b">
        <f t="shared" si="118"/>
        <v>1</v>
      </c>
      <c r="L1487" s="9" t="b">
        <f t="shared" si="119"/>
        <v>1</v>
      </c>
      <c r="M1487" s="1" t="b">
        <f>IF(OR(入力シート!$C$5&lt;&gt;入力リスト!$N$4,入力シート!$J$22&lt;&gt;入力リスト!$K$4),TRUE,IF($F$2=入力リスト!$Q$4,IF(F1487-INT(F1487)&lt;0.6,TRUE,FALSE),TRUE))</f>
        <v>1</v>
      </c>
      <c r="N1487" s="9" t="str">
        <f>IF(F1487="","",IF($F$2=入力リスト!$Q$4,ROUNDDOWN(INT(F1487)+ROUNDDOWN((F1487-INT(F1487))*100,0)/60,2),従業員の給与情報!F1487))</f>
        <v/>
      </c>
      <c r="O1487" s="8"/>
      <c r="P1487" s="8"/>
    </row>
    <row r="1488" spans="1:16">
      <c r="A1488" s="119"/>
      <c r="B1488" s="2"/>
      <c r="C1488" s="3"/>
      <c r="D1488" s="3"/>
      <c r="E1488" s="3"/>
      <c r="F1488" s="9"/>
      <c r="G1488" s="248" t="str">
        <f t="shared" si="115"/>
        <v/>
      </c>
      <c r="H1488" s="1" t="b">
        <f>IF(B1488="",FALSE,COUNTIF('従業員情報(給与以外)'!$A$4:$A$1000000,$B1488)=0)</f>
        <v>0</v>
      </c>
      <c r="I1488" s="9" t="b">
        <f t="shared" si="116"/>
        <v>1</v>
      </c>
      <c r="J1488" s="9" t="b">
        <f t="shared" si="117"/>
        <v>1</v>
      </c>
      <c r="K1488" s="9" t="b">
        <f t="shared" si="118"/>
        <v>1</v>
      </c>
      <c r="L1488" s="9" t="b">
        <f t="shared" si="119"/>
        <v>1</v>
      </c>
      <c r="M1488" s="1" t="b">
        <f>IF(OR(入力シート!$C$5&lt;&gt;入力リスト!$N$4,入力シート!$J$22&lt;&gt;入力リスト!$K$4),TRUE,IF($F$2=入力リスト!$Q$4,IF(F1488-INT(F1488)&lt;0.6,TRUE,FALSE),TRUE))</f>
        <v>1</v>
      </c>
      <c r="N1488" s="9" t="str">
        <f>IF(F1488="","",IF($F$2=入力リスト!$Q$4,ROUNDDOWN(INT(F1488)+ROUNDDOWN((F1488-INT(F1488))*100,0)/60,2),従業員の給与情報!F1488))</f>
        <v/>
      </c>
      <c r="O1488" s="8"/>
      <c r="P1488" s="8"/>
    </row>
    <row r="1489" spans="1:16">
      <c r="A1489" s="119"/>
      <c r="B1489" s="2"/>
      <c r="C1489" s="3"/>
      <c r="D1489" s="3"/>
      <c r="E1489" s="3"/>
      <c r="F1489" s="9"/>
      <c r="G1489" s="248" t="str">
        <f t="shared" si="115"/>
        <v/>
      </c>
      <c r="H1489" s="1" t="b">
        <f>IF(B1489="",FALSE,COUNTIF('従業員情報(給与以外)'!$A$4:$A$1000000,$B1489)=0)</f>
        <v>0</v>
      </c>
      <c r="I1489" s="9" t="b">
        <f t="shared" si="116"/>
        <v>1</v>
      </c>
      <c r="J1489" s="9" t="b">
        <f t="shared" si="117"/>
        <v>1</v>
      </c>
      <c r="K1489" s="9" t="b">
        <f t="shared" si="118"/>
        <v>1</v>
      </c>
      <c r="L1489" s="9" t="b">
        <f t="shared" si="119"/>
        <v>1</v>
      </c>
      <c r="M1489" s="1" t="b">
        <f>IF(OR(入力シート!$C$5&lt;&gt;入力リスト!$N$4,入力シート!$J$22&lt;&gt;入力リスト!$K$4),TRUE,IF($F$2=入力リスト!$Q$4,IF(F1489-INT(F1489)&lt;0.6,TRUE,FALSE),TRUE))</f>
        <v>1</v>
      </c>
      <c r="N1489" s="9" t="str">
        <f>IF(F1489="","",IF($F$2=入力リスト!$Q$4,ROUNDDOWN(INT(F1489)+ROUNDDOWN((F1489-INT(F1489))*100,0)/60,2),従業員の給与情報!F1489))</f>
        <v/>
      </c>
      <c r="O1489" s="8"/>
      <c r="P1489" s="8"/>
    </row>
    <row r="1490" spans="1:16">
      <c r="A1490" s="119"/>
      <c r="B1490" s="2"/>
      <c r="C1490" s="3"/>
      <c r="D1490" s="3"/>
      <c r="E1490" s="3"/>
      <c r="F1490" s="9"/>
      <c r="G1490" s="248" t="str">
        <f t="shared" si="115"/>
        <v/>
      </c>
      <c r="H1490" s="1" t="b">
        <f>IF(B1490="",FALSE,COUNTIF('従業員情報(給与以外)'!$A$4:$A$1000000,$B1490)=0)</f>
        <v>0</v>
      </c>
      <c r="I1490" s="9" t="b">
        <f t="shared" si="116"/>
        <v>1</v>
      </c>
      <c r="J1490" s="9" t="b">
        <f t="shared" si="117"/>
        <v>1</v>
      </c>
      <c r="K1490" s="9" t="b">
        <f t="shared" si="118"/>
        <v>1</v>
      </c>
      <c r="L1490" s="9" t="b">
        <f t="shared" si="119"/>
        <v>1</v>
      </c>
      <c r="M1490" s="1" t="b">
        <f>IF(OR(入力シート!$C$5&lt;&gt;入力リスト!$N$4,入力シート!$J$22&lt;&gt;入力リスト!$K$4),TRUE,IF($F$2=入力リスト!$Q$4,IF(F1490-INT(F1490)&lt;0.6,TRUE,FALSE),TRUE))</f>
        <v>1</v>
      </c>
      <c r="N1490" s="9" t="str">
        <f>IF(F1490="","",IF($F$2=入力リスト!$Q$4,ROUNDDOWN(INT(F1490)+ROUNDDOWN((F1490-INT(F1490))*100,0)/60,2),従業員の給与情報!F1490))</f>
        <v/>
      </c>
      <c r="O1490" s="8"/>
      <c r="P1490" s="8"/>
    </row>
    <row r="1491" spans="1:16">
      <c r="A1491" s="119"/>
      <c r="B1491" s="2"/>
      <c r="C1491" s="3"/>
      <c r="D1491" s="3"/>
      <c r="E1491" s="3"/>
      <c r="F1491" s="9"/>
      <c r="G1491" s="248" t="str">
        <f t="shared" si="115"/>
        <v/>
      </c>
      <c r="H1491" s="1" t="b">
        <f>IF(B1491="",FALSE,COUNTIF('従業員情報(給与以外)'!$A$4:$A$1000000,$B1491)=0)</f>
        <v>0</v>
      </c>
      <c r="I1491" s="9" t="b">
        <f t="shared" si="116"/>
        <v>1</v>
      </c>
      <c r="J1491" s="9" t="b">
        <f t="shared" si="117"/>
        <v>1</v>
      </c>
      <c r="K1491" s="9" t="b">
        <f t="shared" si="118"/>
        <v>1</v>
      </c>
      <c r="L1491" s="9" t="b">
        <f t="shared" si="119"/>
        <v>1</v>
      </c>
      <c r="M1491" s="1" t="b">
        <f>IF(OR(入力シート!$C$5&lt;&gt;入力リスト!$N$4,入力シート!$J$22&lt;&gt;入力リスト!$K$4),TRUE,IF($F$2=入力リスト!$Q$4,IF(F1491-INT(F1491)&lt;0.6,TRUE,FALSE),TRUE))</f>
        <v>1</v>
      </c>
      <c r="N1491" s="9" t="str">
        <f>IF(F1491="","",IF($F$2=入力リスト!$Q$4,ROUNDDOWN(INT(F1491)+ROUNDDOWN((F1491-INT(F1491))*100,0)/60,2),従業員の給与情報!F1491))</f>
        <v/>
      </c>
      <c r="O1491" s="8"/>
      <c r="P1491" s="8"/>
    </row>
    <row r="1492" spans="1:16">
      <c r="A1492" s="119"/>
      <c r="B1492" s="2"/>
      <c r="C1492" s="3"/>
      <c r="D1492" s="3"/>
      <c r="E1492" s="3"/>
      <c r="F1492" s="9"/>
      <c r="G1492" s="248" t="str">
        <f t="shared" si="115"/>
        <v/>
      </c>
      <c r="H1492" s="1" t="b">
        <f>IF(B1492="",FALSE,COUNTIF('従業員情報(給与以外)'!$A$4:$A$1000000,$B1492)=0)</f>
        <v>0</v>
      </c>
      <c r="I1492" s="9" t="b">
        <f t="shared" si="116"/>
        <v>1</v>
      </c>
      <c r="J1492" s="9" t="b">
        <f t="shared" si="117"/>
        <v>1</v>
      </c>
      <c r="K1492" s="9" t="b">
        <f t="shared" si="118"/>
        <v>1</v>
      </c>
      <c r="L1492" s="9" t="b">
        <f t="shared" si="119"/>
        <v>1</v>
      </c>
      <c r="M1492" s="1" t="b">
        <f>IF(OR(入力シート!$C$5&lt;&gt;入力リスト!$N$4,入力シート!$J$22&lt;&gt;入力リスト!$K$4),TRUE,IF($F$2=入力リスト!$Q$4,IF(F1492-INT(F1492)&lt;0.6,TRUE,FALSE),TRUE))</f>
        <v>1</v>
      </c>
      <c r="N1492" s="9" t="str">
        <f>IF(F1492="","",IF($F$2=入力リスト!$Q$4,ROUNDDOWN(INT(F1492)+ROUNDDOWN((F1492-INT(F1492))*100,0)/60,2),従業員の給与情報!F1492))</f>
        <v/>
      </c>
      <c r="O1492" s="8"/>
      <c r="P1492" s="8"/>
    </row>
    <row r="1493" spans="1:16">
      <c r="A1493" s="119"/>
      <c r="B1493" s="2"/>
      <c r="C1493" s="3"/>
      <c r="D1493" s="3"/>
      <c r="E1493" s="3"/>
      <c r="F1493" s="9"/>
      <c r="G1493" s="248" t="str">
        <f t="shared" si="115"/>
        <v/>
      </c>
      <c r="H1493" s="1" t="b">
        <f>IF(B1493="",FALSE,COUNTIF('従業員情報(給与以外)'!$A$4:$A$1000000,$B1493)=0)</f>
        <v>0</v>
      </c>
      <c r="I1493" s="9" t="b">
        <f t="shared" si="116"/>
        <v>1</v>
      </c>
      <c r="J1493" s="9" t="b">
        <f t="shared" si="117"/>
        <v>1</v>
      </c>
      <c r="K1493" s="9" t="b">
        <f t="shared" si="118"/>
        <v>1</v>
      </c>
      <c r="L1493" s="9" t="b">
        <f t="shared" si="119"/>
        <v>1</v>
      </c>
      <c r="M1493" s="1" t="b">
        <f>IF(OR(入力シート!$C$5&lt;&gt;入力リスト!$N$4,入力シート!$J$22&lt;&gt;入力リスト!$K$4),TRUE,IF($F$2=入力リスト!$Q$4,IF(F1493-INT(F1493)&lt;0.6,TRUE,FALSE),TRUE))</f>
        <v>1</v>
      </c>
      <c r="N1493" s="9" t="str">
        <f>IF(F1493="","",IF($F$2=入力リスト!$Q$4,ROUNDDOWN(INT(F1493)+ROUNDDOWN((F1493-INT(F1493))*100,0)/60,2),従業員の給与情報!F1493))</f>
        <v/>
      </c>
      <c r="O1493" s="8"/>
      <c r="P1493" s="8"/>
    </row>
    <row r="1494" spans="1:16">
      <c r="A1494" s="119"/>
      <c r="B1494" s="2"/>
      <c r="C1494" s="3"/>
      <c r="D1494" s="3"/>
      <c r="E1494" s="3"/>
      <c r="F1494" s="9"/>
      <c r="G1494" s="248" t="str">
        <f t="shared" si="115"/>
        <v/>
      </c>
      <c r="H1494" s="1" t="b">
        <f>IF(B1494="",FALSE,COUNTIF('従業員情報(給与以外)'!$A$4:$A$1000000,$B1494)=0)</f>
        <v>0</v>
      </c>
      <c r="I1494" s="9" t="b">
        <f t="shared" si="116"/>
        <v>1</v>
      </c>
      <c r="J1494" s="9" t="b">
        <f t="shared" si="117"/>
        <v>1</v>
      </c>
      <c r="K1494" s="9" t="b">
        <f t="shared" si="118"/>
        <v>1</v>
      </c>
      <c r="L1494" s="9" t="b">
        <f t="shared" si="119"/>
        <v>1</v>
      </c>
      <c r="M1494" s="1" t="b">
        <f>IF(OR(入力シート!$C$5&lt;&gt;入力リスト!$N$4,入力シート!$J$22&lt;&gt;入力リスト!$K$4),TRUE,IF($F$2=入力リスト!$Q$4,IF(F1494-INT(F1494)&lt;0.6,TRUE,FALSE),TRUE))</f>
        <v>1</v>
      </c>
      <c r="N1494" s="9" t="str">
        <f>IF(F1494="","",IF($F$2=入力リスト!$Q$4,ROUNDDOWN(INT(F1494)+ROUNDDOWN((F1494-INT(F1494))*100,0)/60,2),従業員の給与情報!F1494))</f>
        <v/>
      </c>
      <c r="O1494" s="8"/>
      <c r="P1494" s="8"/>
    </row>
    <row r="1495" spans="1:16">
      <c r="A1495" s="119"/>
      <c r="B1495" s="2"/>
      <c r="C1495" s="3"/>
      <c r="D1495" s="3"/>
      <c r="E1495" s="3"/>
      <c r="F1495" s="9"/>
      <c r="G1495" s="248" t="str">
        <f t="shared" si="115"/>
        <v/>
      </c>
      <c r="H1495" s="1" t="b">
        <f>IF(B1495="",FALSE,COUNTIF('従業員情報(給与以外)'!$A$4:$A$1000000,$B1495)=0)</f>
        <v>0</v>
      </c>
      <c r="I1495" s="9" t="b">
        <f t="shared" si="116"/>
        <v>1</v>
      </c>
      <c r="J1495" s="9" t="b">
        <f t="shared" si="117"/>
        <v>1</v>
      </c>
      <c r="K1495" s="9" t="b">
        <f t="shared" si="118"/>
        <v>1</v>
      </c>
      <c r="L1495" s="9" t="b">
        <f t="shared" si="119"/>
        <v>1</v>
      </c>
      <c r="M1495" s="1" t="b">
        <f>IF(OR(入力シート!$C$5&lt;&gt;入力リスト!$N$4,入力シート!$J$22&lt;&gt;入力リスト!$K$4),TRUE,IF($F$2=入力リスト!$Q$4,IF(F1495-INT(F1495)&lt;0.6,TRUE,FALSE),TRUE))</f>
        <v>1</v>
      </c>
      <c r="N1495" s="9" t="str">
        <f>IF(F1495="","",IF($F$2=入力リスト!$Q$4,ROUNDDOWN(INT(F1495)+ROUNDDOWN((F1495-INT(F1495))*100,0)/60,2),従業員の給与情報!F1495))</f>
        <v/>
      </c>
      <c r="O1495" s="8"/>
      <c r="P1495" s="8"/>
    </row>
    <row r="1496" spans="1:16">
      <c r="A1496" s="119"/>
      <c r="B1496" s="2"/>
      <c r="C1496" s="3"/>
      <c r="D1496" s="3"/>
      <c r="E1496" s="3"/>
      <c r="F1496" s="9"/>
      <c r="G1496" s="248" t="str">
        <f t="shared" si="115"/>
        <v/>
      </c>
      <c r="H1496" s="1" t="b">
        <f>IF(B1496="",FALSE,COUNTIF('従業員情報(給与以外)'!$A$4:$A$1000000,$B1496)=0)</f>
        <v>0</v>
      </c>
      <c r="I1496" s="9" t="b">
        <f t="shared" si="116"/>
        <v>1</v>
      </c>
      <c r="J1496" s="9" t="b">
        <f t="shared" si="117"/>
        <v>1</v>
      </c>
      <c r="K1496" s="9" t="b">
        <f t="shared" si="118"/>
        <v>1</v>
      </c>
      <c r="L1496" s="9" t="b">
        <f t="shared" si="119"/>
        <v>1</v>
      </c>
      <c r="M1496" s="1" t="b">
        <f>IF(OR(入力シート!$C$5&lt;&gt;入力リスト!$N$4,入力シート!$J$22&lt;&gt;入力リスト!$K$4),TRUE,IF($F$2=入力リスト!$Q$4,IF(F1496-INT(F1496)&lt;0.6,TRUE,FALSE),TRUE))</f>
        <v>1</v>
      </c>
      <c r="N1496" s="9" t="str">
        <f>IF(F1496="","",IF($F$2=入力リスト!$Q$4,ROUNDDOWN(INT(F1496)+ROUNDDOWN((F1496-INT(F1496))*100,0)/60,2),従業員の給与情報!F1496))</f>
        <v/>
      </c>
      <c r="O1496" s="8"/>
      <c r="P1496" s="8"/>
    </row>
    <row r="1497" spans="1:16">
      <c r="A1497" s="119"/>
      <c r="B1497" s="2"/>
      <c r="C1497" s="3"/>
      <c r="D1497" s="3"/>
      <c r="E1497" s="3"/>
      <c r="F1497" s="9"/>
      <c r="G1497" s="248" t="str">
        <f t="shared" si="115"/>
        <v/>
      </c>
      <c r="H1497" s="1" t="b">
        <f>IF(B1497="",FALSE,COUNTIF('従業員情報(給与以外)'!$A$4:$A$1000000,$B1497)=0)</f>
        <v>0</v>
      </c>
      <c r="I1497" s="9" t="b">
        <f t="shared" si="116"/>
        <v>1</v>
      </c>
      <c r="J1497" s="9" t="b">
        <f t="shared" si="117"/>
        <v>1</v>
      </c>
      <c r="K1497" s="9" t="b">
        <f t="shared" si="118"/>
        <v>1</v>
      </c>
      <c r="L1497" s="9" t="b">
        <f t="shared" si="119"/>
        <v>1</v>
      </c>
      <c r="M1497" s="1" t="b">
        <f>IF(OR(入力シート!$C$5&lt;&gt;入力リスト!$N$4,入力シート!$J$22&lt;&gt;入力リスト!$K$4),TRUE,IF($F$2=入力リスト!$Q$4,IF(F1497-INT(F1497)&lt;0.6,TRUE,FALSE),TRUE))</f>
        <v>1</v>
      </c>
      <c r="N1497" s="9" t="str">
        <f>IF(F1497="","",IF($F$2=入力リスト!$Q$4,ROUNDDOWN(INT(F1497)+ROUNDDOWN((F1497-INT(F1497))*100,0)/60,2),従業員の給与情報!F1497))</f>
        <v/>
      </c>
      <c r="O1497" s="8"/>
      <c r="P1497" s="8"/>
    </row>
    <row r="1498" spans="1:16">
      <c r="A1498" s="119"/>
      <c r="B1498" s="2"/>
      <c r="C1498" s="3"/>
      <c r="D1498" s="3"/>
      <c r="E1498" s="3"/>
      <c r="F1498" s="9"/>
      <c r="G1498" s="248" t="str">
        <f t="shared" si="115"/>
        <v/>
      </c>
      <c r="H1498" s="1" t="b">
        <f>IF(B1498="",FALSE,COUNTIF('従業員情報(給与以外)'!$A$4:$A$1000000,$B1498)=0)</f>
        <v>0</v>
      </c>
      <c r="I1498" s="9" t="b">
        <f t="shared" si="116"/>
        <v>1</v>
      </c>
      <c r="J1498" s="9" t="b">
        <f t="shared" si="117"/>
        <v>1</v>
      </c>
      <c r="K1498" s="9" t="b">
        <f t="shared" si="118"/>
        <v>1</v>
      </c>
      <c r="L1498" s="9" t="b">
        <f t="shared" si="119"/>
        <v>1</v>
      </c>
      <c r="M1498" s="1" t="b">
        <f>IF(OR(入力シート!$C$5&lt;&gt;入力リスト!$N$4,入力シート!$J$22&lt;&gt;入力リスト!$K$4),TRUE,IF($F$2=入力リスト!$Q$4,IF(F1498-INT(F1498)&lt;0.6,TRUE,FALSE),TRUE))</f>
        <v>1</v>
      </c>
      <c r="N1498" s="9" t="str">
        <f>IF(F1498="","",IF($F$2=入力リスト!$Q$4,ROUNDDOWN(INT(F1498)+ROUNDDOWN((F1498-INT(F1498))*100,0)/60,2),従業員の給与情報!F1498))</f>
        <v/>
      </c>
      <c r="O1498" s="8"/>
      <c r="P1498" s="8"/>
    </row>
    <row r="1499" spans="1:16">
      <c r="A1499" s="119"/>
      <c r="B1499" s="2"/>
      <c r="C1499" s="3"/>
      <c r="D1499" s="3"/>
      <c r="E1499" s="3"/>
      <c r="F1499" s="9"/>
      <c r="G1499" s="248" t="str">
        <f t="shared" si="115"/>
        <v/>
      </c>
      <c r="H1499" s="1" t="b">
        <f>IF(B1499="",FALSE,COUNTIF('従業員情報(給与以外)'!$A$4:$A$1000000,$B1499)=0)</f>
        <v>0</v>
      </c>
      <c r="I1499" s="9" t="b">
        <f t="shared" si="116"/>
        <v>1</v>
      </c>
      <c r="J1499" s="9" t="b">
        <f t="shared" si="117"/>
        <v>1</v>
      </c>
      <c r="K1499" s="9" t="b">
        <f t="shared" si="118"/>
        <v>1</v>
      </c>
      <c r="L1499" s="9" t="b">
        <f t="shared" si="119"/>
        <v>1</v>
      </c>
      <c r="M1499" s="1" t="b">
        <f>IF(OR(入力シート!$C$5&lt;&gt;入力リスト!$N$4,入力シート!$J$22&lt;&gt;入力リスト!$K$4),TRUE,IF($F$2=入力リスト!$Q$4,IF(F1499-INT(F1499)&lt;0.6,TRUE,FALSE),TRUE))</f>
        <v>1</v>
      </c>
      <c r="N1499" s="9" t="str">
        <f>IF(F1499="","",IF($F$2=入力リスト!$Q$4,ROUNDDOWN(INT(F1499)+ROUNDDOWN((F1499-INT(F1499))*100,0)/60,2),従業員の給与情報!F1499))</f>
        <v/>
      </c>
      <c r="O1499" s="8"/>
      <c r="P1499" s="8"/>
    </row>
    <row r="1500" spans="1:16">
      <c r="A1500" s="119"/>
      <c r="B1500" s="2"/>
      <c r="C1500" s="3"/>
      <c r="D1500" s="3"/>
      <c r="E1500" s="3"/>
      <c r="F1500" s="9"/>
      <c r="G1500" s="248" t="str">
        <f t="shared" si="115"/>
        <v/>
      </c>
      <c r="H1500" s="1" t="b">
        <f>IF(B1500="",FALSE,COUNTIF('従業員情報(給与以外)'!$A$4:$A$1000000,$B1500)=0)</f>
        <v>0</v>
      </c>
      <c r="I1500" s="9" t="b">
        <f t="shared" si="116"/>
        <v>1</v>
      </c>
      <c r="J1500" s="9" t="b">
        <f t="shared" si="117"/>
        <v>1</v>
      </c>
      <c r="K1500" s="9" t="b">
        <f t="shared" si="118"/>
        <v>1</v>
      </c>
      <c r="L1500" s="9" t="b">
        <f t="shared" si="119"/>
        <v>1</v>
      </c>
      <c r="M1500" s="1" t="b">
        <f>IF(OR(入力シート!$C$5&lt;&gt;入力リスト!$N$4,入力シート!$J$22&lt;&gt;入力リスト!$K$4),TRUE,IF($F$2=入力リスト!$Q$4,IF(F1500-INT(F1500)&lt;0.6,TRUE,FALSE),TRUE))</f>
        <v>1</v>
      </c>
      <c r="N1500" s="9" t="str">
        <f>IF(F1500="","",IF($F$2=入力リスト!$Q$4,ROUNDDOWN(INT(F1500)+ROUNDDOWN((F1500-INT(F1500))*100,0)/60,2),従業員の給与情報!F1500))</f>
        <v/>
      </c>
      <c r="O1500" s="8"/>
      <c r="P1500" s="8"/>
    </row>
    <row r="1501" spans="1:16">
      <c r="A1501" s="119"/>
      <c r="B1501" s="2"/>
      <c r="C1501" s="3"/>
      <c r="D1501" s="3"/>
      <c r="E1501" s="3"/>
      <c r="F1501" s="9"/>
      <c r="G1501" s="248" t="str">
        <f t="shared" si="115"/>
        <v/>
      </c>
      <c r="H1501" s="1" t="b">
        <f>IF(B1501="",FALSE,COUNTIF('従業員情報(給与以外)'!$A$4:$A$1000000,$B1501)=0)</f>
        <v>0</v>
      </c>
      <c r="I1501" s="9" t="b">
        <f t="shared" si="116"/>
        <v>1</v>
      </c>
      <c r="J1501" s="9" t="b">
        <f t="shared" si="117"/>
        <v>1</v>
      </c>
      <c r="K1501" s="9" t="b">
        <f t="shared" si="118"/>
        <v>1</v>
      </c>
      <c r="L1501" s="9" t="b">
        <f t="shared" si="119"/>
        <v>1</v>
      </c>
      <c r="M1501" s="1" t="b">
        <f>IF(OR(入力シート!$C$5&lt;&gt;入力リスト!$N$4,入力シート!$J$22&lt;&gt;入力リスト!$K$4),TRUE,IF($F$2=入力リスト!$Q$4,IF(F1501-INT(F1501)&lt;0.6,TRUE,FALSE),TRUE))</f>
        <v>1</v>
      </c>
      <c r="N1501" s="9" t="str">
        <f>IF(F1501="","",IF($F$2=入力リスト!$Q$4,ROUNDDOWN(INT(F1501)+ROUNDDOWN((F1501-INT(F1501))*100,0)/60,2),従業員の給与情報!F1501))</f>
        <v/>
      </c>
      <c r="O1501" s="8"/>
      <c r="P1501" s="8"/>
    </row>
    <row r="1502" spans="1:16">
      <c r="A1502" s="119"/>
      <c r="B1502" s="2"/>
      <c r="C1502" s="3"/>
      <c r="D1502" s="3"/>
      <c r="E1502" s="3"/>
      <c r="F1502" s="9"/>
      <c r="G1502" s="248" t="str">
        <f t="shared" si="115"/>
        <v/>
      </c>
      <c r="H1502" s="1" t="b">
        <f>IF(B1502="",FALSE,COUNTIF('従業員情報(給与以外)'!$A$4:$A$1000000,$B1502)=0)</f>
        <v>0</v>
      </c>
      <c r="I1502" s="9" t="b">
        <f t="shared" si="116"/>
        <v>1</v>
      </c>
      <c r="J1502" s="9" t="b">
        <f t="shared" si="117"/>
        <v>1</v>
      </c>
      <c r="K1502" s="9" t="b">
        <f t="shared" si="118"/>
        <v>1</v>
      </c>
      <c r="L1502" s="9" t="b">
        <f t="shared" si="119"/>
        <v>1</v>
      </c>
      <c r="M1502" s="1" t="b">
        <f>IF(OR(入力シート!$C$5&lt;&gt;入力リスト!$N$4,入力シート!$J$22&lt;&gt;入力リスト!$K$4),TRUE,IF($F$2=入力リスト!$Q$4,IF(F1502-INT(F1502)&lt;0.6,TRUE,FALSE),TRUE))</f>
        <v>1</v>
      </c>
      <c r="N1502" s="9" t="str">
        <f>IF(F1502="","",IF($F$2=入力リスト!$Q$4,ROUNDDOWN(INT(F1502)+ROUNDDOWN((F1502-INT(F1502))*100,0)/60,2),従業員の給与情報!F1502))</f>
        <v/>
      </c>
      <c r="O1502" s="8"/>
      <c r="P1502" s="8"/>
    </row>
    <row r="1503" spans="1:16">
      <c r="A1503" s="119"/>
      <c r="B1503" s="2"/>
      <c r="C1503" s="3"/>
      <c r="D1503" s="3"/>
      <c r="E1503" s="3"/>
      <c r="F1503" s="9"/>
      <c r="G1503" s="248" t="str">
        <f t="shared" si="115"/>
        <v/>
      </c>
      <c r="H1503" s="1" t="b">
        <f>IF(B1503="",FALSE,COUNTIF('従業員情報(給与以外)'!$A$4:$A$1000000,$B1503)=0)</f>
        <v>0</v>
      </c>
      <c r="I1503" s="9" t="b">
        <f t="shared" si="116"/>
        <v>1</v>
      </c>
      <c r="J1503" s="9" t="b">
        <f t="shared" si="117"/>
        <v>1</v>
      </c>
      <c r="K1503" s="9" t="b">
        <f t="shared" si="118"/>
        <v>1</v>
      </c>
      <c r="L1503" s="9" t="b">
        <f t="shared" si="119"/>
        <v>1</v>
      </c>
      <c r="M1503" s="1" t="b">
        <f>IF(OR(入力シート!$C$5&lt;&gt;入力リスト!$N$4,入力シート!$J$22&lt;&gt;入力リスト!$K$4),TRUE,IF($F$2=入力リスト!$Q$4,IF(F1503-INT(F1503)&lt;0.6,TRUE,FALSE),TRUE))</f>
        <v>1</v>
      </c>
      <c r="N1503" s="9" t="str">
        <f>IF(F1503="","",IF($F$2=入力リスト!$Q$4,ROUNDDOWN(INT(F1503)+ROUNDDOWN((F1503-INT(F1503))*100,0)/60,2),従業員の給与情報!F1503))</f>
        <v/>
      </c>
      <c r="O1503" s="8"/>
      <c r="P1503" s="8"/>
    </row>
    <row r="1504" spans="1:16">
      <c r="A1504" s="119"/>
      <c r="B1504" s="2"/>
      <c r="C1504" s="3"/>
      <c r="D1504" s="3"/>
      <c r="E1504" s="3"/>
      <c r="F1504" s="9"/>
      <c r="G1504" s="248" t="str">
        <f t="shared" si="115"/>
        <v/>
      </c>
      <c r="H1504" s="1" t="b">
        <f>IF(B1504="",FALSE,COUNTIF('従業員情報(給与以外)'!$A$4:$A$1000000,$B1504)=0)</f>
        <v>0</v>
      </c>
      <c r="I1504" s="9" t="b">
        <f t="shared" si="116"/>
        <v>1</v>
      </c>
      <c r="J1504" s="9" t="b">
        <f t="shared" si="117"/>
        <v>1</v>
      </c>
      <c r="K1504" s="9" t="b">
        <f t="shared" si="118"/>
        <v>1</v>
      </c>
      <c r="L1504" s="9" t="b">
        <f t="shared" si="119"/>
        <v>1</v>
      </c>
      <c r="M1504" s="1" t="b">
        <f>IF(OR(入力シート!$C$5&lt;&gt;入力リスト!$N$4,入力シート!$J$22&lt;&gt;入力リスト!$K$4),TRUE,IF($F$2=入力リスト!$Q$4,IF(F1504-INT(F1504)&lt;0.6,TRUE,FALSE),TRUE))</f>
        <v>1</v>
      </c>
      <c r="N1504" s="9" t="str">
        <f>IF(F1504="","",IF($F$2=入力リスト!$Q$4,ROUNDDOWN(INT(F1504)+ROUNDDOWN((F1504-INT(F1504))*100,0)/60,2),従業員の給与情報!F1504))</f>
        <v/>
      </c>
      <c r="O1504" s="8"/>
      <c r="P1504" s="8"/>
    </row>
    <row r="1505" spans="1:16">
      <c r="A1505" s="119"/>
      <c r="B1505" s="2"/>
      <c r="C1505" s="3"/>
      <c r="D1505" s="3"/>
      <c r="E1505" s="3"/>
      <c r="F1505" s="9"/>
      <c r="G1505" s="248" t="str">
        <f t="shared" si="115"/>
        <v/>
      </c>
      <c r="H1505" s="1" t="b">
        <f>IF(B1505="",FALSE,COUNTIF('従業員情報(給与以外)'!$A$4:$A$1000000,$B1505)=0)</f>
        <v>0</v>
      </c>
      <c r="I1505" s="9" t="b">
        <f t="shared" si="116"/>
        <v>1</v>
      </c>
      <c r="J1505" s="9" t="b">
        <f t="shared" si="117"/>
        <v>1</v>
      </c>
      <c r="K1505" s="9" t="b">
        <f t="shared" si="118"/>
        <v>1</v>
      </c>
      <c r="L1505" s="9" t="b">
        <f t="shared" si="119"/>
        <v>1</v>
      </c>
      <c r="M1505" s="1" t="b">
        <f>IF(OR(入力シート!$C$5&lt;&gt;入力リスト!$N$4,入力シート!$J$22&lt;&gt;入力リスト!$K$4),TRUE,IF($F$2=入力リスト!$Q$4,IF(F1505-INT(F1505)&lt;0.6,TRUE,FALSE),TRUE))</f>
        <v>1</v>
      </c>
      <c r="N1505" s="9" t="str">
        <f>IF(F1505="","",IF($F$2=入力リスト!$Q$4,ROUNDDOWN(INT(F1505)+ROUNDDOWN((F1505-INT(F1505))*100,0)/60,2),従業員の給与情報!F1505))</f>
        <v/>
      </c>
      <c r="O1505" s="8"/>
      <c r="P1505" s="8"/>
    </row>
    <row r="1506" spans="1:16">
      <c r="A1506" s="119"/>
      <c r="B1506" s="2"/>
      <c r="C1506" s="3"/>
      <c r="D1506" s="3"/>
      <c r="E1506" s="3"/>
      <c r="F1506" s="9"/>
      <c r="G1506" s="248" t="str">
        <f t="shared" si="115"/>
        <v/>
      </c>
      <c r="H1506" s="1" t="b">
        <f>IF(B1506="",FALSE,COUNTIF('従業員情報(給与以外)'!$A$4:$A$1000000,$B1506)=0)</f>
        <v>0</v>
      </c>
      <c r="I1506" s="9" t="b">
        <f t="shared" si="116"/>
        <v>1</v>
      </c>
      <c r="J1506" s="9" t="b">
        <f t="shared" si="117"/>
        <v>1</v>
      </c>
      <c r="K1506" s="9" t="b">
        <f t="shared" si="118"/>
        <v>1</v>
      </c>
      <c r="L1506" s="9" t="b">
        <f t="shared" si="119"/>
        <v>1</v>
      </c>
      <c r="M1506" s="1" t="b">
        <f>IF(OR(入力シート!$C$5&lt;&gt;入力リスト!$N$4,入力シート!$J$22&lt;&gt;入力リスト!$K$4),TRUE,IF($F$2=入力リスト!$Q$4,IF(F1506-INT(F1506)&lt;0.6,TRUE,FALSE),TRUE))</f>
        <v>1</v>
      </c>
      <c r="N1506" s="9" t="str">
        <f>IF(F1506="","",IF($F$2=入力リスト!$Q$4,ROUNDDOWN(INT(F1506)+ROUNDDOWN((F1506-INT(F1506))*100,0)/60,2),従業員の給与情報!F1506))</f>
        <v/>
      </c>
      <c r="O1506" s="8"/>
      <c r="P1506" s="8"/>
    </row>
    <row r="1507" spans="1:16">
      <c r="A1507" s="119"/>
      <c r="B1507" s="2"/>
      <c r="C1507" s="3"/>
      <c r="D1507" s="3"/>
      <c r="E1507" s="3"/>
      <c r="F1507" s="9"/>
      <c r="G1507" s="248" t="str">
        <f t="shared" si="115"/>
        <v/>
      </c>
      <c r="H1507" s="1" t="b">
        <f>IF(B1507="",FALSE,COUNTIF('従業員情報(給与以外)'!$A$4:$A$1000000,$B1507)=0)</f>
        <v>0</v>
      </c>
      <c r="I1507" s="9" t="b">
        <f t="shared" si="116"/>
        <v>1</v>
      </c>
      <c r="J1507" s="9" t="b">
        <f t="shared" si="117"/>
        <v>1</v>
      </c>
      <c r="K1507" s="9" t="b">
        <f t="shared" si="118"/>
        <v>1</v>
      </c>
      <c r="L1507" s="9" t="b">
        <f t="shared" si="119"/>
        <v>1</v>
      </c>
      <c r="M1507" s="1" t="b">
        <f>IF(OR(入力シート!$C$5&lt;&gt;入力リスト!$N$4,入力シート!$J$22&lt;&gt;入力リスト!$K$4),TRUE,IF($F$2=入力リスト!$Q$4,IF(F1507-INT(F1507)&lt;0.6,TRUE,FALSE),TRUE))</f>
        <v>1</v>
      </c>
      <c r="N1507" s="9" t="str">
        <f>IF(F1507="","",IF($F$2=入力リスト!$Q$4,ROUNDDOWN(INT(F1507)+ROUNDDOWN((F1507-INT(F1507))*100,0)/60,2),従業員の給与情報!F1507))</f>
        <v/>
      </c>
      <c r="O1507" s="8"/>
      <c r="P1507" s="8"/>
    </row>
    <row r="1508" spans="1:16">
      <c r="A1508" s="119"/>
      <c r="B1508" s="2"/>
      <c r="C1508" s="3"/>
      <c r="D1508" s="3"/>
      <c r="E1508" s="3"/>
      <c r="F1508" s="9"/>
      <c r="G1508" s="248" t="str">
        <f t="shared" si="115"/>
        <v/>
      </c>
      <c r="H1508" s="1" t="b">
        <f>IF(B1508="",FALSE,COUNTIF('従業員情報(給与以外)'!$A$4:$A$1000000,$B1508)=0)</f>
        <v>0</v>
      </c>
      <c r="I1508" s="9" t="b">
        <f t="shared" si="116"/>
        <v>1</v>
      </c>
      <c r="J1508" s="9" t="b">
        <f t="shared" si="117"/>
        <v>1</v>
      </c>
      <c r="K1508" s="9" t="b">
        <f t="shared" si="118"/>
        <v>1</v>
      </c>
      <c r="L1508" s="9" t="b">
        <f t="shared" si="119"/>
        <v>1</v>
      </c>
      <c r="M1508" s="1" t="b">
        <f>IF(OR(入力シート!$C$5&lt;&gt;入力リスト!$N$4,入力シート!$J$22&lt;&gt;入力リスト!$K$4),TRUE,IF($F$2=入力リスト!$Q$4,IF(F1508-INT(F1508)&lt;0.6,TRUE,FALSE),TRUE))</f>
        <v>1</v>
      </c>
      <c r="N1508" s="9" t="str">
        <f>IF(F1508="","",IF($F$2=入力リスト!$Q$4,ROUNDDOWN(INT(F1508)+ROUNDDOWN((F1508-INT(F1508))*100,0)/60,2),従業員の給与情報!F1508))</f>
        <v/>
      </c>
      <c r="O1508" s="8"/>
      <c r="P1508" s="8"/>
    </row>
    <row r="1509" spans="1:16">
      <c r="A1509" s="119"/>
      <c r="B1509" s="2"/>
      <c r="C1509" s="3"/>
      <c r="D1509" s="3"/>
      <c r="E1509" s="3"/>
      <c r="F1509" s="9"/>
      <c r="G1509" s="248" t="str">
        <f t="shared" si="115"/>
        <v/>
      </c>
      <c r="H1509" s="1" t="b">
        <f>IF(B1509="",FALSE,COUNTIF('従業員情報(給与以外)'!$A$4:$A$1000000,$B1509)=0)</f>
        <v>0</v>
      </c>
      <c r="I1509" s="9" t="b">
        <f t="shared" si="116"/>
        <v>1</v>
      </c>
      <c r="J1509" s="9" t="b">
        <f t="shared" si="117"/>
        <v>1</v>
      </c>
      <c r="K1509" s="9" t="b">
        <f t="shared" si="118"/>
        <v>1</v>
      </c>
      <c r="L1509" s="9" t="b">
        <f t="shared" si="119"/>
        <v>1</v>
      </c>
      <c r="M1509" s="1" t="b">
        <f>IF(OR(入力シート!$C$5&lt;&gt;入力リスト!$N$4,入力シート!$J$22&lt;&gt;入力リスト!$K$4),TRUE,IF($F$2=入力リスト!$Q$4,IF(F1509-INT(F1509)&lt;0.6,TRUE,FALSE),TRUE))</f>
        <v>1</v>
      </c>
      <c r="N1509" s="9" t="str">
        <f>IF(F1509="","",IF($F$2=入力リスト!$Q$4,ROUNDDOWN(INT(F1509)+ROUNDDOWN((F1509-INT(F1509))*100,0)/60,2),従業員の給与情報!F1509))</f>
        <v/>
      </c>
      <c r="O1509" s="8"/>
      <c r="P1509" s="8"/>
    </row>
    <row r="1510" spans="1:16">
      <c r="A1510" s="119"/>
      <c r="B1510" s="2"/>
      <c r="C1510" s="3"/>
      <c r="D1510" s="3"/>
      <c r="E1510" s="3"/>
      <c r="F1510" s="9"/>
      <c r="G1510" s="248" t="str">
        <f t="shared" si="115"/>
        <v/>
      </c>
      <c r="H1510" s="1" t="b">
        <f>IF(B1510="",FALSE,COUNTIF('従業員情報(給与以外)'!$A$4:$A$1000000,$B1510)=0)</f>
        <v>0</v>
      </c>
      <c r="I1510" s="9" t="b">
        <f t="shared" si="116"/>
        <v>1</v>
      </c>
      <c r="J1510" s="9" t="b">
        <f t="shared" si="117"/>
        <v>1</v>
      </c>
      <c r="K1510" s="9" t="b">
        <f t="shared" si="118"/>
        <v>1</v>
      </c>
      <c r="L1510" s="9" t="b">
        <f t="shared" si="119"/>
        <v>1</v>
      </c>
      <c r="M1510" s="1" t="b">
        <f>IF(OR(入力シート!$C$5&lt;&gt;入力リスト!$N$4,入力シート!$J$22&lt;&gt;入力リスト!$K$4),TRUE,IF($F$2=入力リスト!$Q$4,IF(F1510-INT(F1510)&lt;0.6,TRUE,FALSE),TRUE))</f>
        <v>1</v>
      </c>
      <c r="N1510" s="9" t="str">
        <f>IF(F1510="","",IF($F$2=入力リスト!$Q$4,ROUNDDOWN(INT(F1510)+ROUNDDOWN((F1510-INT(F1510))*100,0)/60,2),従業員の給与情報!F1510))</f>
        <v/>
      </c>
      <c r="O1510" s="8"/>
      <c r="P1510" s="8"/>
    </row>
    <row r="1511" spans="1:16">
      <c r="A1511" s="119"/>
      <c r="B1511" s="2"/>
      <c r="C1511" s="3"/>
      <c r="D1511" s="3"/>
      <c r="E1511" s="3"/>
      <c r="F1511" s="9"/>
      <c r="G1511" s="248" t="str">
        <f t="shared" si="115"/>
        <v/>
      </c>
      <c r="H1511" s="1" t="b">
        <f>IF(B1511="",FALSE,COUNTIF('従業員情報(給与以外)'!$A$4:$A$1000000,$B1511)=0)</f>
        <v>0</v>
      </c>
      <c r="I1511" s="9" t="b">
        <f t="shared" si="116"/>
        <v>1</v>
      </c>
      <c r="J1511" s="9" t="b">
        <f t="shared" si="117"/>
        <v>1</v>
      </c>
      <c r="K1511" s="9" t="b">
        <f t="shared" si="118"/>
        <v>1</v>
      </c>
      <c r="L1511" s="9" t="b">
        <f t="shared" si="119"/>
        <v>1</v>
      </c>
      <c r="M1511" s="1" t="b">
        <f>IF(OR(入力シート!$C$5&lt;&gt;入力リスト!$N$4,入力シート!$J$22&lt;&gt;入力リスト!$K$4),TRUE,IF($F$2=入力リスト!$Q$4,IF(F1511-INT(F1511)&lt;0.6,TRUE,FALSE),TRUE))</f>
        <v>1</v>
      </c>
      <c r="N1511" s="9" t="str">
        <f>IF(F1511="","",IF($F$2=入力リスト!$Q$4,ROUNDDOWN(INT(F1511)+ROUNDDOWN((F1511-INT(F1511))*100,0)/60,2),従業員の給与情報!F1511))</f>
        <v/>
      </c>
      <c r="O1511" s="8"/>
      <c r="P1511" s="8"/>
    </row>
    <row r="1512" spans="1:16">
      <c r="A1512" s="119"/>
      <c r="B1512" s="2"/>
      <c r="C1512" s="3"/>
      <c r="D1512" s="3"/>
      <c r="E1512" s="3"/>
      <c r="F1512" s="9"/>
      <c r="G1512" s="248" t="str">
        <f t="shared" si="115"/>
        <v/>
      </c>
      <c r="H1512" s="1" t="b">
        <f>IF(B1512="",FALSE,COUNTIF('従業員情報(給与以外)'!$A$4:$A$1000000,$B1512)=0)</f>
        <v>0</v>
      </c>
      <c r="I1512" s="9" t="b">
        <f t="shared" si="116"/>
        <v>1</v>
      </c>
      <c r="J1512" s="9" t="b">
        <f t="shared" si="117"/>
        <v>1</v>
      </c>
      <c r="K1512" s="9" t="b">
        <f t="shared" si="118"/>
        <v>1</v>
      </c>
      <c r="L1512" s="9" t="b">
        <f t="shared" si="119"/>
        <v>1</v>
      </c>
      <c r="M1512" s="1" t="b">
        <f>IF(OR(入力シート!$C$5&lt;&gt;入力リスト!$N$4,入力シート!$J$22&lt;&gt;入力リスト!$K$4),TRUE,IF($F$2=入力リスト!$Q$4,IF(F1512-INT(F1512)&lt;0.6,TRUE,FALSE),TRUE))</f>
        <v>1</v>
      </c>
      <c r="N1512" s="9" t="str">
        <f>IF(F1512="","",IF($F$2=入力リスト!$Q$4,ROUNDDOWN(INT(F1512)+ROUNDDOWN((F1512-INT(F1512))*100,0)/60,2),従業員の給与情報!F1512))</f>
        <v/>
      </c>
      <c r="O1512" s="8"/>
      <c r="P1512" s="8"/>
    </row>
    <row r="1513" spans="1:16">
      <c r="A1513" s="119"/>
      <c r="B1513" s="2"/>
      <c r="C1513" s="3"/>
      <c r="D1513" s="3"/>
      <c r="E1513" s="3"/>
      <c r="F1513" s="9"/>
      <c r="G1513" s="248" t="str">
        <f t="shared" si="115"/>
        <v/>
      </c>
      <c r="H1513" s="1" t="b">
        <f>IF(B1513="",FALSE,COUNTIF('従業員情報(給与以外)'!$A$4:$A$1000000,$B1513)=0)</f>
        <v>0</v>
      </c>
      <c r="I1513" s="9" t="b">
        <f t="shared" si="116"/>
        <v>1</v>
      </c>
      <c r="J1513" s="9" t="b">
        <f t="shared" si="117"/>
        <v>1</v>
      </c>
      <c r="K1513" s="9" t="b">
        <f t="shared" si="118"/>
        <v>1</v>
      </c>
      <c r="L1513" s="9" t="b">
        <f t="shared" si="119"/>
        <v>1</v>
      </c>
      <c r="M1513" s="1" t="b">
        <f>IF(OR(入力シート!$C$5&lt;&gt;入力リスト!$N$4,入力シート!$J$22&lt;&gt;入力リスト!$K$4),TRUE,IF($F$2=入力リスト!$Q$4,IF(F1513-INT(F1513)&lt;0.6,TRUE,FALSE),TRUE))</f>
        <v>1</v>
      </c>
      <c r="N1513" s="9" t="str">
        <f>IF(F1513="","",IF($F$2=入力リスト!$Q$4,ROUNDDOWN(INT(F1513)+ROUNDDOWN((F1513-INT(F1513))*100,0)/60,2),従業員の給与情報!F1513))</f>
        <v/>
      </c>
      <c r="O1513" s="8"/>
      <c r="P1513" s="8"/>
    </row>
    <row r="1514" spans="1:16">
      <c r="A1514" s="119"/>
      <c r="B1514" s="2"/>
      <c r="C1514" s="3"/>
      <c r="D1514" s="3"/>
      <c r="E1514" s="3"/>
      <c r="F1514" s="9"/>
      <c r="G1514" s="248" t="str">
        <f t="shared" si="115"/>
        <v/>
      </c>
      <c r="H1514" s="1" t="b">
        <f>IF(B1514="",FALSE,COUNTIF('従業員情報(給与以外)'!$A$4:$A$1000000,$B1514)=0)</f>
        <v>0</v>
      </c>
      <c r="I1514" s="9" t="b">
        <f t="shared" si="116"/>
        <v>1</v>
      </c>
      <c r="J1514" s="9" t="b">
        <f t="shared" si="117"/>
        <v>1</v>
      </c>
      <c r="K1514" s="9" t="b">
        <f t="shared" si="118"/>
        <v>1</v>
      </c>
      <c r="L1514" s="9" t="b">
        <f t="shared" si="119"/>
        <v>1</v>
      </c>
      <c r="M1514" s="1" t="b">
        <f>IF(OR(入力シート!$C$5&lt;&gt;入力リスト!$N$4,入力シート!$J$22&lt;&gt;入力リスト!$K$4),TRUE,IF($F$2=入力リスト!$Q$4,IF(F1514-INT(F1514)&lt;0.6,TRUE,FALSE),TRUE))</f>
        <v>1</v>
      </c>
      <c r="N1514" s="9" t="str">
        <f>IF(F1514="","",IF($F$2=入力リスト!$Q$4,ROUNDDOWN(INT(F1514)+ROUNDDOWN((F1514-INT(F1514))*100,0)/60,2),従業員の給与情報!F1514))</f>
        <v/>
      </c>
      <c r="O1514" s="8"/>
      <c r="P1514" s="8"/>
    </row>
    <row r="1515" spans="1:16">
      <c r="A1515" s="119"/>
      <c r="B1515" s="2"/>
      <c r="C1515" s="3"/>
      <c r="D1515" s="3"/>
      <c r="E1515" s="3"/>
      <c r="F1515" s="9"/>
      <c r="G1515" s="248" t="str">
        <f t="shared" si="115"/>
        <v/>
      </c>
      <c r="H1515" s="1" t="b">
        <f>IF(B1515="",FALSE,COUNTIF('従業員情報(給与以外)'!$A$4:$A$1000000,$B1515)=0)</f>
        <v>0</v>
      </c>
      <c r="I1515" s="9" t="b">
        <f t="shared" si="116"/>
        <v>1</v>
      </c>
      <c r="J1515" s="9" t="b">
        <f t="shared" si="117"/>
        <v>1</v>
      </c>
      <c r="K1515" s="9" t="b">
        <f t="shared" si="118"/>
        <v>1</v>
      </c>
      <c r="L1515" s="9" t="b">
        <f t="shared" si="119"/>
        <v>1</v>
      </c>
      <c r="M1515" s="1" t="b">
        <f>IF(OR(入力シート!$C$5&lt;&gt;入力リスト!$N$4,入力シート!$J$22&lt;&gt;入力リスト!$K$4),TRUE,IF($F$2=入力リスト!$Q$4,IF(F1515-INT(F1515)&lt;0.6,TRUE,FALSE),TRUE))</f>
        <v>1</v>
      </c>
      <c r="N1515" s="9" t="str">
        <f>IF(F1515="","",IF($F$2=入力リスト!$Q$4,ROUNDDOWN(INT(F1515)+ROUNDDOWN((F1515-INT(F1515))*100,0)/60,2),従業員の給与情報!F1515))</f>
        <v/>
      </c>
      <c r="O1515" s="8"/>
      <c r="P1515" s="8"/>
    </row>
    <row r="1516" spans="1:16">
      <c r="A1516" s="119"/>
      <c r="B1516" s="2"/>
      <c r="C1516" s="3"/>
      <c r="D1516" s="3"/>
      <c r="E1516" s="3"/>
      <c r="F1516" s="9"/>
      <c r="G1516" s="248" t="str">
        <f t="shared" si="115"/>
        <v/>
      </c>
      <c r="H1516" s="1" t="b">
        <f>IF(B1516="",FALSE,COUNTIF('従業員情報(給与以外)'!$A$4:$A$1000000,$B1516)=0)</f>
        <v>0</v>
      </c>
      <c r="I1516" s="9" t="b">
        <f t="shared" si="116"/>
        <v>1</v>
      </c>
      <c r="J1516" s="9" t="b">
        <f t="shared" si="117"/>
        <v>1</v>
      </c>
      <c r="K1516" s="9" t="b">
        <f t="shared" si="118"/>
        <v>1</v>
      </c>
      <c r="L1516" s="9" t="b">
        <f t="shared" si="119"/>
        <v>1</v>
      </c>
      <c r="M1516" s="1" t="b">
        <f>IF(OR(入力シート!$C$5&lt;&gt;入力リスト!$N$4,入力シート!$J$22&lt;&gt;入力リスト!$K$4),TRUE,IF($F$2=入力リスト!$Q$4,IF(F1516-INT(F1516)&lt;0.6,TRUE,FALSE),TRUE))</f>
        <v>1</v>
      </c>
      <c r="N1516" s="9" t="str">
        <f>IF(F1516="","",IF($F$2=入力リスト!$Q$4,ROUNDDOWN(INT(F1516)+ROUNDDOWN((F1516-INT(F1516))*100,0)/60,2),従業員の給与情報!F1516))</f>
        <v/>
      </c>
      <c r="O1516" s="8"/>
      <c r="P1516" s="8"/>
    </row>
    <row r="1517" spans="1:16">
      <c r="A1517" s="119"/>
      <c r="B1517" s="2"/>
      <c r="C1517" s="3"/>
      <c r="D1517" s="3"/>
      <c r="E1517" s="3"/>
      <c r="F1517" s="9"/>
      <c r="G1517" s="248" t="str">
        <f t="shared" si="115"/>
        <v/>
      </c>
      <c r="H1517" s="1" t="b">
        <f>IF(B1517="",FALSE,COUNTIF('従業員情報(給与以外)'!$A$4:$A$1000000,$B1517)=0)</f>
        <v>0</v>
      </c>
      <c r="I1517" s="9" t="b">
        <f t="shared" si="116"/>
        <v>1</v>
      </c>
      <c r="J1517" s="9" t="b">
        <f t="shared" si="117"/>
        <v>1</v>
      </c>
      <c r="K1517" s="9" t="b">
        <f t="shared" si="118"/>
        <v>1</v>
      </c>
      <c r="L1517" s="9" t="b">
        <f t="shared" si="119"/>
        <v>1</v>
      </c>
      <c r="M1517" s="1" t="b">
        <f>IF(OR(入力シート!$C$5&lt;&gt;入力リスト!$N$4,入力シート!$J$22&lt;&gt;入力リスト!$K$4),TRUE,IF($F$2=入力リスト!$Q$4,IF(F1517-INT(F1517)&lt;0.6,TRUE,FALSE),TRUE))</f>
        <v>1</v>
      </c>
      <c r="N1517" s="9" t="str">
        <f>IF(F1517="","",IF($F$2=入力リスト!$Q$4,ROUNDDOWN(INT(F1517)+ROUNDDOWN((F1517-INT(F1517))*100,0)/60,2),従業員の給与情報!F1517))</f>
        <v/>
      </c>
      <c r="O1517" s="8"/>
      <c r="P1517" s="8"/>
    </row>
    <row r="1518" spans="1:16">
      <c r="A1518" s="119"/>
      <c r="B1518" s="2"/>
      <c r="C1518" s="3"/>
      <c r="D1518" s="3"/>
      <c r="E1518" s="3"/>
      <c r="F1518" s="9"/>
      <c r="G1518" s="248" t="str">
        <f t="shared" si="115"/>
        <v/>
      </c>
      <c r="H1518" s="1" t="b">
        <f>IF(B1518="",FALSE,COUNTIF('従業員情報(給与以外)'!$A$4:$A$1000000,$B1518)=0)</f>
        <v>0</v>
      </c>
      <c r="I1518" s="9" t="b">
        <f t="shared" si="116"/>
        <v>1</v>
      </c>
      <c r="J1518" s="9" t="b">
        <f t="shared" si="117"/>
        <v>1</v>
      </c>
      <c r="K1518" s="9" t="b">
        <f t="shared" si="118"/>
        <v>1</v>
      </c>
      <c r="L1518" s="9" t="b">
        <f t="shared" si="119"/>
        <v>1</v>
      </c>
      <c r="M1518" s="1" t="b">
        <f>IF(OR(入力シート!$C$5&lt;&gt;入力リスト!$N$4,入力シート!$J$22&lt;&gt;入力リスト!$K$4),TRUE,IF($F$2=入力リスト!$Q$4,IF(F1518-INT(F1518)&lt;0.6,TRUE,FALSE),TRUE))</f>
        <v>1</v>
      </c>
      <c r="N1518" s="9" t="str">
        <f>IF(F1518="","",IF($F$2=入力リスト!$Q$4,ROUNDDOWN(INT(F1518)+ROUNDDOWN((F1518-INT(F1518))*100,0)/60,2),従業員の給与情報!F1518))</f>
        <v/>
      </c>
      <c r="O1518" s="8"/>
      <c r="P1518" s="8"/>
    </row>
    <row r="1519" spans="1:16">
      <c r="A1519" s="119"/>
      <c r="B1519" s="2"/>
      <c r="C1519" s="3"/>
      <c r="D1519" s="3"/>
      <c r="E1519" s="3"/>
      <c r="F1519" s="9"/>
      <c r="G1519" s="248" t="str">
        <f t="shared" si="115"/>
        <v/>
      </c>
      <c r="H1519" s="1" t="b">
        <f>IF(B1519="",FALSE,COUNTIF('従業員情報(給与以外)'!$A$4:$A$1000000,$B1519)=0)</f>
        <v>0</v>
      </c>
      <c r="I1519" s="9" t="b">
        <f t="shared" si="116"/>
        <v>1</v>
      </c>
      <c r="J1519" s="9" t="b">
        <f t="shared" si="117"/>
        <v>1</v>
      </c>
      <c r="K1519" s="9" t="b">
        <f t="shared" si="118"/>
        <v>1</v>
      </c>
      <c r="L1519" s="9" t="b">
        <f t="shared" si="119"/>
        <v>1</v>
      </c>
      <c r="M1519" s="1" t="b">
        <f>IF(OR(入力シート!$C$5&lt;&gt;入力リスト!$N$4,入力シート!$J$22&lt;&gt;入力リスト!$K$4),TRUE,IF($F$2=入力リスト!$Q$4,IF(F1519-INT(F1519)&lt;0.6,TRUE,FALSE),TRUE))</f>
        <v>1</v>
      </c>
      <c r="N1519" s="9" t="str">
        <f>IF(F1519="","",IF($F$2=入力リスト!$Q$4,ROUNDDOWN(INT(F1519)+ROUNDDOWN((F1519-INT(F1519))*100,0)/60,2),従業員の給与情報!F1519))</f>
        <v/>
      </c>
      <c r="O1519" s="8"/>
      <c r="P1519" s="8"/>
    </row>
    <row r="1520" spans="1:16">
      <c r="A1520" s="119"/>
      <c r="B1520" s="2"/>
      <c r="C1520" s="3"/>
      <c r="D1520" s="3"/>
      <c r="E1520" s="3"/>
      <c r="F1520" s="9"/>
      <c r="G1520" s="248" t="str">
        <f t="shared" si="115"/>
        <v/>
      </c>
      <c r="H1520" s="1" t="b">
        <f>IF(B1520="",FALSE,COUNTIF('従業員情報(給与以外)'!$A$4:$A$1000000,$B1520)=0)</f>
        <v>0</v>
      </c>
      <c r="I1520" s="9" t="b">
        <f t="shared" si="116"/>
        <v>1</v>
      </c>
      <c r="J1520" s="9" t="b">
        <f t="shared" si="117"/>
        <v>1</v>
      </c>
      <c r="K1520" s="9" t="b">
        <f t="shared" si="118"/>
        <v>1</v>
      </c>
      <c r="L1520" s="9" t="b">
        <f t="shared" si="119"/>
        <v>1</v>
      </c>
      <c r="M1520" s="1" t="b">
        <f>IF(OR(入力シート!$C$5&lt;&gt;入力リスト!$N$4,入力シート!$J$22&lt;&gt;入力リスト!$K$4),TRUE,IF($F$2=入力リスト!$Q$4,IF(F1520-INT(F1520)&lt;0.6,TRUE,FALSE),TRUE))</f>
        <v>1</v>
      </c>
      <c r="N1520" s="9" t="str">
        <f>IF(F1520="","",IF($F$2=入力リスト!$Q$4,ROUNDDOWN(INT(F1520)+ROUNDDOWN((F1520-INT(F1520))*100,0)/60,2),従業員の給与情報!F1520))</f>
        <v/>
      </c>
      <c r="O1520" s="8"/>
      <c r="P1520" s="8"/>
    </row>
    <row r="1521" spans="1:16">
      <c r="A1521" s="119"/>
      <c r="B1521" s="2"/>
      <c r="C1521" s="3"/>
      <c r="D1521" s="3"/>
      <c r="E1521" s="3"/>
      <c r="F1521" s="9"/>
      <c r="G1521" s="248" t="str">
        <f t="shared" si="115"/>
        <v/>
      </c>
      <c r="H1521" s="1" t="b">
        <f>IF(B1521="",FALSE,COUNTIF('従業員情報(給与以外)'!$A$4:$A$1000000,$B1521)=0)</f>
        <v>0</v>
      </c>
      <c r="I1521" s="9" t="b">
        <f t="shared" si="116"/>
        <v>1</v>
      </c>
      <c r="J1521" s="9" t="b">
        <f t="shared" si="117"/>
        <v>1</v>
      </c>
      <c r="K1521" s="9" t="b">
        <f t="shared" si="118"/>
        <v>1</v>
      </c>
      <c r="L1521" s="9" t="b">
        <f t="shared" si="119"/>
        <v>1</v>
      </c>
      <c r="M1521" s="1" t="b">
        <f>IF(OR(入力シート!$C$5&lt;&gt;入力リスト!$N$4,入力シート!$J$22&lt;&gt;入力リスト!$K$4),TRUE,IF($F$2=入力リスト!$Q$4,IF(F1521-INT(F1521)&lt;0.6,TRUE,FALSE),TRUE))</f>
        <v>1</v>
      </c>
      <c r="N1521" s="9" t="str">
        <f>IF(F1521="","",IF($F$2=入力リスト!$Q$4,ROUNDDOWN(INT(F1521)+ROUNDDOWN((F1521-INT(F1521))*100,0)/60,2),従業員の給与情報!F1521))</f>
        <v/>
      </c>
      <c r="O1521" s="8"/>
      <c r="P1521" s="8"/>
    </row>
    <row r="1522" spans="1:16">
      <c r="A1522" s="119"/>
      <c r="B1522" s="2"/>
      <c r="C1522" s="3"/>
      <c r="D1522" s="3"/>
      <c r="E1522" s="3"/>
      <c r="F1522" s="9"/>
      <c r="G1522" s="248" t="str">
        <f t="shared" si="115"/>
        <v/>
      </c>
      <c r="H1522" s="1" t="b">
        <f>IF(B1522="",FALSE,COUNTIF('従業員情報(給与以外)'!$A$4:$A$1000000,$B1522)=0)</f>
        <v>0</v>
      </c>
      <c r="I1522" s="9" t="b">
        <f t="shared" si="116"/>
        <v>1</v>
      </c>
      <c r="J1522" s="9" t="b">
        <f t="shared" si="117"/>
        <v>1</v>
      </c>
      <c r="K1522" s="9" t="b">
        <f t="shared" si="118"/>
        <v>1</v>
      </c>
      <c r="L1522" s="9" t="b">
        <f t="shared" si="119"/>
        <v>1</v>
      </c>
      <c r="M1522" s="1" t="b">
        <f>IF(OR(入力シート!$C$5&lt;&gt;入力リスト!$N$4,入力シート!$J$22&lt;&gt;入力リスト!$K$4),TRUE,IF($F$2=入力リスト!$Q$4,IF(F1522-INT(F1522)&lt;0.6,TRUE,FALSE),TRUE))</f>
        <v>1</v>
      </c>
      <c r="N1522" s="9" t="str">
        <f>IF(F1522="","",IF($F$2=入力リスト!$Q$4,ROUNDDOWN(INT(F1522)+ROUNDDOWN((F1522-INT(F1522))*100,0)/60,2),従業員の給与情報!F1522))</f>
        <v/>
      </c>
      <c r="O1522" s="8"/>
      <c r="P1522" s="8"/>
    </row>
    <row r="1523" spans="1:16">
      <c r="A1523" s="119"/>
      <c r="B1523" s="2"/>
      <c r="C1523" s="3"/>
      <c r="D1523" s="3"/>
      <c r="E1523" s="3"/>
      <c r="F1523" s="9"/>
      <c r="G1523" s="248" t="str">
        <f t="shared" si="115"/>
        <v/>
      </c>
      <c r="H1523" s="1" t="b">
        <f>IF(B1523="",FALSE,COUNTIF('従業員情報(給与以外)'!$A$4:$A$1000000,$B1523)=0)</f>
        <v>0</v>
      </c>
      <c r="I1523" s="9" t="b">
        <f t="shared" si="116"/>
        <v>1</v>
      </c>
      <c r="J1523" s="9" t="b">
        <f t="shared" si="117"/>
        <v>1</v>
      </c>
      <c r="K1523" s="9" t="b">
        <f t="shared" si="118"/>
        <v>1</v>
      </c>
      <c r="L1523" s="9" t="b">
        <f t="shared" si="119"/>
        <v>1</v>
      </c>
      <c r="M1523" s="1" t="b">
        <f>IF(OR(入力シート!$C$5&lt;&gt;入力リスト!$N$4,入力シート!$J$22&lt;&gt;入力リスト!$K$4),TRUE,IF($F$2=入力リスト!$Q$4,IF(F1523-INT(F1523)&lt;0.6,TRUE,FALSE),TRUE))</f>
        <v>1</v>
      </c>
      <c r="N1523" s="9" t="str">
        <f>IF(F1523="","",IF($F$2=入力リスト!$Q$4,ROUNDDOWN(INT(F1523)+ROUNDDOWN((F1523-INT(F1523))*100,0)/60,2),従業員の給与情報!F1523))</f>
        <v/>
      </c>
      <c r="O1523" s="8"/>
      <c r="P1523" s="8"/>
    </row>
    <row r="1524" spans="1:16">
      <c r="A1524" s="119"/>
      <c r="B1524" s="2"/>
      <c r="C1524" s="3"/>
      <c r="D1524" s="3"/>
      <c r="E1524" s="3"/>
      <c r="F1524" s="9"/>
      <c r="G1524" s="248" t="str">
        <f t="shared" si="115"/>
        <v/>
      </c>
      <c r="H1524" s="1" t="b">
        <f>IF(B1524="",FALSE,COUNTIF('従業員情報(給与以外)'!$A$4:$A$1000000,$B1524)=0)</f>
        <v>0</v>
      </c>
      <c r="I1524" s="9" t="b">
        <f t="shared" si="116"/>
        <v>1</v>
      </c>
      <c r="J1524" s="9" t="b">
        <f t="shared" si="117"/>
        <v>1</v>
      </c>
      <c r="K1524" s="9" t="b">
        <f t="shared" si="118"/>
        <v>1</v>
      </c>
      <c r="L1524" s="9" t="b">
        <f t="shared" si="119"/>
        <v>1</v>
      </c>
      <c r="M1524" s="1" t="b">
        <f>IF(OR(入力シート!$C$5&lt;&gt;入力リスト!$N$4,入力シート!$J$22&lt;&gt;入力リスト!$K$4),TRUE,IF($F$2=入力リスト!$Q$4,IF(F1524-INT(F1524)&lt;0.6,TRUE,FALSE),TRUE))</f>
        <v>1</v>
      </c>
      <c r="N1524" s="9" t="str">
        <f>IF(F1524="","",IF($F$2=入力リスト!$Q$4,ROUNDDOWN(INT(F1524)+ROUNDDOWN((F1524-INT(F1524))*100,0)/60,2),従業員の給与情報!F1524))</f>
        <v/>
      </c>
      <c r="O1524" s="8"/>
      <c r="P1524" s="8"/>
    </row>
    <row r="1525" spans="1:16">
      <c r="A1525" s="119"/>
      <c r="B1525" s="2"/>
      <c r="C1525" s="3"/>
      <c r="D1525" s="3"/>
      <c r="E1525" s="3"/>
      <c r="F1525" s="9"/>
      <c r="G1525" s="248" t="str">
        <f t="shared" si="115"/>
        <v/>
      </c>
      <c r="H1525" s="1" t="b">
        <f>IF(B1525="",FALSE,COUNTIF('従業員情報(給与以外)'!$A$4:$A$1000000,$B1525)=0)</f>
        <v>0</v>
      </c>
      <c r="I1525" s="9" t="b">
        <f t="shared" si="116"/>
        <v>1</v>
      </c>
      <c r="J1525" s="9" t="b">
        <f t="shared" si="117"/>
        <v>1</v>
      </c>
      <c r="K1525" s="9" t="b">
        <f t="shared" si="118"/>
        <v>1</v>
      </c>
      <c r="L1525" s="9" t="b">
        <f t="shared" si="119"/>
        <v>1</v>
      </c>
      <c r="M1525" s="1" t="b">
        <f>IF(OR(入力シート!$C$5&lt;&gt;入力リスト!$N$4,入力シート!$J$22&lt;&gt;入力リスト!$K$4),TRUE,IF($F$2=入力リスト!$Q$4,IF(F1525-INT(F1525)&lt;0.6,TRUE,FALSE),TRUE))</f>
        <v>1</v>
      </c>
      <c r="N1525" s="9" t="str">
        <f>IF(F1525="","",IF($F$2=入力リスト!$Q$4,ROUNDDOWN(INT(F1525)+ROUNDDOWN((F1525-INT(F1525))*100,0)/60,2),従業員の給与情報!F1525))</f>
        <v/>
      </c>
      <c r="O1525" s="8"/>
      <c r="P1525" s="8"/>
    </row>
    <row r="1526" spans="1:16">
      <c r="A1526" s="119"/>
      <c r="B1526" s="2"/>
      <c r="C1526" s="3"/>
      <c r="D1526" s="3"/>
      <c r="E1526" s="3"/>
      <c r="F1526" s="9"/>
      <c r="G1526" s="248" t="str">
        <f t="shared" si="115"/>
        <v/>
      </c>
      <c r="H1526" s="1" t="b">
        <f>IF(B1526="",FALSE,COUNTIF('従業員情報(給与以外)'!$A$4:$A$1000000,$B1526)=0)</f>
        <v>0</v>
      </c>
      <c r="I1526" s="9" t="b">
        <f t="shared" si="116"/>
        <v>1</v>
      </c>
      <c r="J1526" s="9" t="b">
        <f t="shared" si="117"/>
        <v>1</v>
      </c>
      <c r="K1526" s="9" t="b">
        <f t="shared" si="118"/>
        <v>1</v>
      </c>
      <c r="L1526" s="9" t="b">
        <f t="shared" si="119"/>
        <v>1</v>
      </c>
      <c r="M1526" s="1" t="b">
        <f>IF(OR(入力シート!$C$5&lt;&gt;入力リスト!$N$4,入力シート!$J$22&lt;&gt;入力リスト!$K$4),TRUE,IF($F$2=入力リスト!$Q$4,IF(F1526-INT(F1526)&lt;0.6,TRUE,FALSE),TRUE))</f>
        <v>1</v>
      </c>
      <c r="N1526" s="9" t="str">
        <f>IF(F1526="","",IF($F$2=入力リスト!$Q$4,ROUNDDOWN(INT(F1526)+ROUNDDOWN((F1526-INT(F1526))*100,0)/60,2),従業員の給与情報!F1526))</f>
        <v/>
      </c>
      <c r="O1526" s="8"/>
      <c r="P1526" s="8"/>
    </row>
    <row r="1527" spans="1:16">
      <c r="A1527" s="119"/>
      <c r="B1527" s="2"/>
      <c r="C1527" s="3"/>
      <c r="D1527" s="3"/>
      <c r="E1527" s="3"/>
      <c r="F1527" s="9"/>
      <c r="G1527" s="248" t="str">
        <f t="shared" si="115"/>
        <v/>
      </c>
      <c r="H1527" s="1" t="b">
        <f>IF(B1527="",FALSE,COUNTIF('従業員情報(給与以外)'!$A$4:$A$1000000,$B1527)=0)</f>
        <v>0</v>
      </c>
      <c r="I1527" s="9" t="b">
        <f t="shared" si="116"/>
        <v>1</v>
      </c>
      <c r="J1527" s="9" t="b">
        <f t="shared" si="117"/>
        <v>1</v>
      </c>
      <c r="K1527" s="9" t="b">
        <f t="shared" si="118"/>
        <v>1</v>
      </c>
      <c r="L1527" s="9" t="b">
        <f t="shared" si="119"/>
        <v>1</v>
      </c>
      <c r="M1527" s="1" t="b">
        <f>IF(OR(入力シート!$C$5&lt;&gt;入力リスト!$N$4,入力シート!$J$22&lt;&gt;入力リスト!$K$4),TRUE,IF($F$2=入力リスト!$Q$4,IF(F1527-INT(F1527)&lt;0.6,TRUE,FALSE),TRUE))</f>
        <v>1</v>
      </c>
      <c r="N1527" s="9" t="str">
        <f>IF(F1527="","",IF($F$2=入力リスト!$Q$4,ROUNDDOWN(INT(F1527)+ROUNDDOWN((F1527-INT(F1527))*100,0)/60,2),従業員の給与情報!F1527))</f>
        <v/>
      </c>
      <c r="O1527" s="8"/>
      <c r="P1527" s="8"/>
    </row>
    <row r="1528" spans="1:16">
      <c r="A1528" s="119"/>
      <c r="B1528" s="2"/>
      <c r="C1528" s="3"/>
      <c r="D1528" s="3"/>
      <c r="E1528" s="3"/>
      <c r="F1528" s="9"/>
      <c r="G1528" s="248" t="str">
        <f t="shared" si="115"/>
        <v/>
      </c>
      <c r="H1528" s="1" t="b">
        <f>IF(B1528="",FALSE,COUNTIF('従業員情報(給与以外)'!$A$4:$A$1000000,$B1528)=0)</f>
        <v>0</v>
      </c>
      <c r="I1528" s="9" t="b">
        <f t="shared" si="116"/>
        <v>1</v>
      </c>
      <c r="J1528" s="9" t="b">
        <f t="shared" si="117"/>
        <v>1</v>
      </c>
      <c r="K1528" s="9" t="b">
        <f t="shared" si="118"/>
        <v>1</v>
      </c>
      <c r="L1528" s="9" t="b">
        <f t="shared" si="119"/>
        <v>1</v>
      </c>
      <c r="M1528" s="1" t="b">
        <f>IF(OR(入力シート!$C$5&lt;&gt;入力リスト!$N$4,入力シート!$J$22&lt;&gt;入力リスト!$K$4),TRUE,IF($F$2=入力リスト!$Q$4,IF(F1528-INT(F1528)&lt;0.6,TRUE,FALSE),TRUE))</f>
        <v>1</v>
      </c>
      <c r="N1528" s="9" t="str">
        <f>IF(F1528="","",IF($F$2=入力リスト!$Q$4,ROUNDDOWN(INT(F1528)+ROUNDDOWN((F1528-INT(F1528))*100,0)/60,2),従業員の給与情報!F1528))</f>
        <v/>
      </c>
      <c r="O1528" s="8"/>
      <c r="P1528" s="8"/>
    </row>
    <row r="1529" spans="1:16">
      <c r="A1529" s="119"/>
      <c r="B1529" s="2"/>
      <c r="C1529" s="3"/>
      <c r="D1529" s="3"/>
      <c r="E1529" s="3"/>
      <c r="F1529" s="9"/>
      <c r="G1529" s="248" t="str">
        <f t="shared" si="115"/>
        <v/>
      </c>
      <c r="H1529" s="1" t="b">
        <f>IF(B1529="",FALSE,COUNTIF('従業員情報(給与以外)'!$A$4:$A$1000000,$B1529)=0)</f>
        <v>0</v>
      </c>
      <c r="I1529" s="9" t="b">
        <f t="shared" si="116"/>
        <v>1</v>
      </c>
      <c r="J1529" s="9" t="b">
        <f t="shared" si="117"/>
        <v>1</v>
      </c>
      <c r="K1529" s="9" t="b">
        <f t="shared" si="118"/>
        <v>1</v>
      </c>
      <c r="L1529" s="9" t="b">
        <f t="shared" si="119"/>
        <v>1</v>
      </c>
      <c r="M1529" s="1" t="b">
        <f>IF(OR(入力シート!$C$5&lt;&gt;入力リスト!$N$4,入力シート!$J$22&lt;&gt;入力リスト!$K$4),TRUE,IF($F$2=入力リスト!$Q$4,IF(F1529-INT(F1529)&lt;0.6,TRUE,FALSE),TRUE))</f>
        <v>1</v>
      </c>
      <c r="N1529" s="9" t="str">
        <f>IF(F1529="","",IF($F$2=入力リスト!$Q$4,ROUNDDOWN(INT(F1529)+ROUNDDOWN((F1529-INT(F1529))*100,0)/60,2),従業員の給与情報!F1529))</f>
        <v/>
      </c>
      <c r="O1529" s="8"/>
      <c r="P1529" s="8"/>
    </row>
    <row r="1530" spans="1:16">
      <c r="A1530" s="119"/>
      <c r="B1530" s="2"/>
      <c r="C1530" s="3"/>
      <c r="D1530" s="3"/>
      <c r="E1530" s="3"/>
      <c r="F1530" s="9"/>
      <c r="G1530" s="248" t="str">
        <f t="shared" si="115"/>
        <v/>
      </c>
      <c r="H1530" s="1" t="b">
        <f>IF(B1530="",FALSE,COUNTIF('従業員情報(給与以外)'!$A$4:$A$1000000,$B1530)=0)</f>
        <v>0</v>
      </c>
      <c r="I1530" s="9" t="b">
        <f t="shared" si="116"/>
        <v>1</v>
      </c>
      <c r="J1530" s="9" t="b">
        <f t="shared" si="117"/>
        <v>1</v>
      </c>
      <c r="K1530" s="9" t="b">
        <f t="shared" si="118"/>
        <v>1</v>
      </c>
      <c r="L1530" s="9" t="b">
        <f t="shared" si="119"/>
        <v>1</v>
      </c>
      <c r="M1530" s="1" t="b">
        <f>IF(OR(入力シート!$C$5&lt;&gt;入力リスト!$N$4,入力シート!$J$22&lt;&gt;入力リスト!$K$4),TRUE,IF($F$2=入力リスト!$Q$4,IF(F1530-INT(F1530)&lt;0.6,TRUE,FALSE),TRUE))</f>
        <v>1</v>
      </c>
      <c r="N1530" s="9" t="str">
        <f>IF(F1530="","",IF($F$2=入力リスト!$Q$4,ROUNDDOWN(INT(F1530)+ROUNDDOWN((F1530-INT(F1530))*100,0)/60,2),従業員の給与情報!F1530))</f>
        <v/>
      </c>
      <c r="O1530" s="8"/>
      <c r="P1530" s="8"/>
    </row>
    <row r="1531" spans="1:16">
      <c r="A1531" s="119"/>
      <c r="B1531" s="2"/>
      <c r="C1531" s="3"/>
      <c r="D1531" s="3"/>
      <c r="E1531" s="3"/>
      <c r="F1531" s="9"/>
      <c r="G1531" s="248" t="str">
        <f t="shared" si="115"/>
        <v/>
      </c>
      <c r="H1531" s="1" t="b">
        <f>IF(B1531="",FALSE,COUNTIF('従業員情報(給与以外)'!$A$4:$A$1000000,$B1531)=0)</f>
        <v>0</v>
      </c>
      <c r="I1531" s="9" t="b">
        <f t="shared" si="116"/>
        <v>1</v>
      </c>
      <c r="J1531" s="9" t="b">
        <f t="shared" si="117"/>
        <v>1</v>
      </c>
      <c r="K1531" s="9" t="b">
        <f t="shared" si="118"/>
        <v>1</v>
      </c>
      <c r="L1531" s="9" t="b">
        <f t="shared" si="119"/>
        <v>1</v>
      </c>
      <c r="M1531" s="1" t="b">
        <f>IF(OR(入力シート!$C$5&lt;&gt;入力リスト!$N$4,入力シート!$J$22&lt;&gt;入力リスト!$K$4),TRUE,IF($F$2=入力リスト!$Q$4,IF(F1531-INT(F1531)&lt;0.6,TRUE,FALSE),TRUE))</f>
        <v>1</v>
      </c>
      <c r="N1531" s="9" t="str">
        <f>IF(F1531="","",IF($F$2=入力リスト!$Q$4,ROUNDDOWN(INT(F1531)+ROUNDDOWN((F1531-INT(F1531))*100,0)/60,2),従業員の給与情報!F1531))</f>
        <v/>
      </c>
      <c r="O1531" s="8"/>
      <c r="P1531" s="8"/>
    </row>
    <row r="1532" spans="1:16">
      <c r="A1532" s="119"/>
      <c r="B1532" s="2"/>
      <c r="C1532" s="3"/>
      <c r="D1532" s="3"/>
      <c r="E1532" s="3"/>
      <c r="F1532" s="9"/>
      <c r="G1532" s="248" t="str">
        <f t="shared" si="115"/>
        <v/>
      </c>
      <c r="H1532" s="1" t="b">
        <f>IF(B1532="",FALSE,COUNTIF('従業員情報(給与以外)'!$A$4:$A$1000000,$B1532)=0)</f>
        <v>0</v>
      </c>
      <c r="I1532" s="9" t="b">
        <f t="shared" si="116"/>
        <v>1</v>
      </c>
      <c r="J1532" s="9" t="b">
        <f t="shared" si="117"/>
        <v>1</v>
      </c>
      <c r="K1532" s="9" t="b">
        <f t="shared" si="118"/>
        <v>1</v>
      </c>
      <c r="L1532" s="9" t="b">
        <f t="shared" si="119"/>
        <v>1</v>
      </c>
      <c r="M1532" s="1" t="b">
        <f>IF(OR(入力シート!$C$5&lt;&gt;入力リスト!$N$4,入力シート!$J$22&lt;&gt;入力リスト!$K$4),TRUE,IF($F$2=入力リスト!$Q$4,IF(F1532-INT(F1532)&lt;0.6,TRUE,FALSE),TRUE))</f>
        <v>1</v>
      </c>
      <c r="N1532" s="9" t="str">
        <f>IF(F1532="","",IF($F$2=入力リスト!$Q$4,ROUNDDOWN(INT(F1532)+ROUNDDOWN((F1532-INT(F1532))*100,0)/60,2),従業員の給与情報!F1532))</f>
        <v/>
      </c>
      <c r="O1532" s="8"/>
      <c r="P1532" s="8"/>
    </row>
    <row r="1533" spans="1:16">
      <c r="A1533" s="119"/>
      <c r="B1533" s="2"/>
      <c r="C1533" s="3"/>
      <c r="D1533" s="3"/>
      <c r="E1533" s="3"/>
      <c r="F1533" s="9"/>
      <c r="G1533" s="248" t="str">
        <f t="shared" si="115"/>
        <v/>
      </c>
      <c r="H1533" s="1" t="b">
        <f>IF(B1533="",FALSE,COUNTIF('従業員情報(給与以外)'!$A$4:$A$1000000,$B1533)=0)</f>
        <v>0</v>
      </c>
      <c r="I1533" s="9" t="b">
        <f t="shared" si="116"/>
        <v>1</v>
      </c>
      <c r="J1533" s="9" t="b">
        <f t="shared" si="117"/>
        <v>1</v>
      </c>
      <c r="K1533" s="9" t="b">
        <f t="shared" si="118"/>
        <v>1</v>
      </c>
      <c r="L1533" s="9" t="b">
        <f t="shared" si="119"/>
        <v>1</v>
      </c>
      <c r="M1533" s="1" t="b">
        <f>IF(OR(入力シート!$C$5&lt;&gt;入力リスト!$N$4,入力シート!$J$22&lt;&gt;入力リスト!$K$4),TRUE,IF($F$2=入力リスト!$Q$4,IF(F1533-INT(F1533)&lt;0.6,TRUE,FALSE),TRUE))</f>
        <v>1</v>
      </c>
      <c r="N1533" s="9" t="str">
        <f>IF(F1533="","",IF($F$2=入力リスト!$Q$4,ROUNDDOWN(INT(F1533)+ROUNDDOWN((F1533-INT(F1533))*100,0)/60,2),従業員の給与情報!F1533))</f>
        <v/>
      </c>
      <c r="O1533" s="8"/>
      <c r="P1533" s="8"/>
    </row>
    <row r="1534" spans="1:16">
      <c r="A1534" s="119"/>
      <c r="B1534" s="2"/>
      <c r="C1534" s="3"/>
      <c r="D1534" s="3"/>
      <c r="E1534" s="3"/>
      <c r="F1534" s="9"/>
      <c r="G1534" s="248" t="str">
        <f t="shared" si="115"/>
        <v/>
      </c>
      <c r="H1534" s="1" t="b">
        <f>IF(B1534="",FALSE,COUNTIF('従業員情報(給与以外)'!$A$4:$A$1000000,$B1534)=0)</f>
        <v>0</v>
      </c>
      <c r="I1534" s="9" t="b">
        <f t="shared" si="116"/>
        <v>1</v>
      </c>
      <c r="J1534" s="9" t="b">
        <f t="shared" si="117"/>
        <v>1</v>
      </c>
      <c r="K1534" s="9" t="b">
        <f t="shared" si="118"/>
        <v>1</v>
      </c>
      <c r="L1534" s="9" t="b">
        <f t="shared" si="119"/>
        <v>1</v>
      </c>
      <c r="M1534" s="1" t="b">
        <f>IF(OR(入力シート!$C$5&lt;&gt;入力リスト!$N$4,入力シート!$J$22&lt;&gt;入力リスト!$K$4),TRUE,IF($F$2=入力リスト!$Q$4,IF(F1534-INT(F1534)&lt;0.6,TRUE,FALSE),TRUE))</f>
        <v>1</v>
      </c>
      <c r="N1534" s="9" t="str">
        <f>IF(F1534="","",IF($F$2=入力リスト!$Q$4,ROUNDDOWN(INT(F1534)+ROUNDDOWN((F1534-INT(F1534))*100,0)/60,2),従業員の給与情報!F1534))</f>
        <v/>
      </c>
      <c r="O1534" s="8"/>
      <c r="P1534" s="8"/>
    </row>
    <row r="1535" spans="1:16">
      <c r="A1535" s="119"/>
      <c r="B1535" s="2"/>
      <c r="C1535" s="3"/>
      <c r="D1535" s="3"/>
      <c r="E1535" s="3"/>
      <c r="F1535" s="9"/>
      <c r="G1535" s="248" t="str">
        <f t="shared" si="115"/>
        <v/>
      </c>
      <c r="H1535" s="1" t="b">
        <f>IF(B1535="",FALSE,COUNTIF('従業員情報(給与以外)'!$A$4:$A$1000000,$B1535)=0)</f>
        <v>0</v>
      </c>
      <c r="I1535" s="9" t="b">
        <f t="shared" si="116"/>
        <v>1</v>
      </c>
      <c r="J1535" s="9" t="b">
        <f t="shared" si="117"/>
        <v>1</v>
      </c>
      <c r="K1535" s="9" t="b">
        <f t="shared" si="118"/>
        <v>1</v>
      </c>
      <c r="L1535" s="9" t="b">
        <f t="shared" si="119"/>
        <v>1</v>
      </c>
      <c r="M1535" s="1" t="b">
        <f>IF(OR(入力シート!$C$5&lt;&gt;入力リスト!$N$4,入力シート!$J$22&lt;&gt;入力リスト!$K$4),TRUE,IF($F$2=入力リスト!$Q$4,IF(F1535-INT(F1535)&lt;0.6,TRUE,FALSE),TRUE))</f>
        <v>1</v>
      </c>
      <c r="N1535" s="9" t="str">
        <f>IF(F1535="","",IF($F$2=入力リスト!$Q$4,ROUNDDOWN(INT(F1535)+ROUNDDOWN((F1535-INT(F1535))*100,0)/60,2),従業員の給与情報!F1535))</f>
        <v/>
      </c>
      <c r="O1535" s="8"/>
      <c r="P1535" s="8"/>
    </row>
    <row r="1536" spans="1:16">
      <c r="A1536" s="119"/>
      <c r="B1536" s="2"/>
      <c r="C1536" s="3"/>
      <c r="D1536" s="3"/>
      <c r="E1536" s="3"/>
      <c r="F1536" s="9"/>
      <c r="G1536" s="248" t="str">
        <f t="shared" si="115"/>
        <v/>
      </c>
      <c r="H1536" s="1" t="b">
        <f>IF(B1536="",FALSE,COUNTIF('従業員情報(給与以外)'!$A$4:$A$1000000,$B1536)=0)</f>
        <v>0</v>
      </c>
      <c r="I1536" s="9" t="b">
        <f t="shared" si="116"/>
        <v>1</v>
      </c>
      <c r="J1536" s="9" t="b">
        <f t="shared" si="117"/>
        <v>1</v>
      </c>
      <c r="K1536" s="9" t="b">
        <f t="shared" si="118"/>
        <v>1</v>
      </c>
      <c r="L1536" s="9" t="b">
        <f t="shared" si="119"/>
        <v>1</v>
      </c>
      <c r="M1536" s="1" t="b">
        <f>IF(OR(入力シート!$C$5&lt;&gt;入力リスト!$N$4,入力シート!$J$22&lt;&gt;入力リスト!$K$4),TRUE,IF($F$2=入力リスト!$Q$4,IF(F1536-INT(F1536)&lt;0.6,TRUE,FALSE),TRUE))</f>
        <v>1</v>
      </c>
      <c r="N1536" s="9" t="str">
        <f>IF(F1536="","",IF($F$2=入力リスト!$Q$4,ROUNDDOWN(INT(F1536)+ROUNDDOWN((F1536-INT(F1536))*100,0)/60,2),従業員の給与情報!F1536))</f>
        <v/>
      </c>
      <c r="O1536" s="8"/>
      <c r="P1536" s="8"/>
    </row>
    <row r="1537" spans="1:16">
      <c r="A1537" s="119"/>
      <c r="B1537" s="2"/>
      <c r="C1537" s="3"/>
      <c r="D1537" s="3"/>
      <c r="E1537" s="3"/>
      <c r="F1537" s="9"/>
      <c r="G1537" s="248" t="str">
        <f t="shared" si="115"/>
        <v/>
      </c>
      <c r="H1537" s="1" t="b">
        <f>IF(B1537="",FALSE,COUNTIF('従業員情報(給与以外)'!$A$4:$A$1000000,$B1537)=0)</f>
        <v>0</v>
      </c>
      <c r="I1537" s="9" t="b">
        <f t="shared" si="116"/>
        <v>1</v>
      </c>
      <c r="J1537" s="9" t="b">
        <f t="shared" si="117"/>
        <v>1</v>
      </c>
      <c r="K1537" s="9" t="b">
        <f t="shared" si="118"/>
        <v>1</v>
      </c>
      <c r="L1537" s="9" t="b">
        <f t="shared" si="119"/>
        <v>1</v>
      </c>
      <c r="M1537" s="1" t="b">
        <f>IF(OR(入力シート!$C$5&lt;&gt;入力リスト!$N$4,入力シート!$J$22&lt;&gt;入力リスト!$K$4),TRUE,IF($F$2=入力リスト!$Q$4,IF(F1537-INT(F1537)&lt;0.6,TRUE,FALSE),TRUE))</f>
        <v>1</v>
      </c>
      <c r="N1537" s="9" t="str">
        <f>IF(F1537="","",IF($F$2=入力リスト!$Q$4,ROUNDDOWN(INT(F1537)+ROUNDDOWN((F1537-INT(F1537))*100,0)/60,2),従業員の給与情報!F1537))</f>
        <v/>
      </c>
      <c r="O1537" s="8"/>
      <c r="P1537" s="8"/>
    </row>
    <row r="1538" spans="1:16">
      <c r="A1538" s="119"/>
      <c r="B1538" s="2"/>
      <c r="C1538" s="3"/>
      <c r="D1538" s="3"/>
      <c r="E1538" s="3"/>
      <c r="F1538" s="9"/>
      <c r="G1538" s="248" t="str">
        <f t="shared" si="115"/>
        <v/>
      </c>
      <c r="H1538" s="1" t="b">
        <f>IF(B1538="",FALSE,COUNTIF('従業員情報(給与以外)'!$A$4:$A$1000000,$B1538)=0)</f>
        <v>0</v>
      </c>
      <c r="I1538" s="9" t="b">
        <f t="shared" si="116"/>
        <v>1</v>
      </c>
      <c r="J1538" s="9" t="b">
        <f t="shared" si="117"/>
        <v>1</v>
      </c>
      <c r="K1538" s="9" t="b">
        <f t="shared" si="118"/>
        <v>1</v>
      </c>
      <c r="L1538" s="9" t="b">
        <f t="shared" si="119"/>
        <v>1</v>
      </c>
      <c r="M1538" s="1" t="b">
        <f>IF(OR(入力シート!$C$5&lt;&gt;入力リスト!$N$4,入力シート!$J$22&lt;&gt;入力リスト!$K$4),TRUE,IF($F$2=入力リスト!$Q$4,IF(F1538-INT(F1538)&lt;0.6,TRUE,FALSE),TRUE))</f>
        <v>1</v>
      </c>
      <c r="N1538" s="9" t="str">
        <f>IF(F1538="","",IF($F$2=入力リスト!$Q$4,ROUNDDOWN(INT(F1538)+ROUNDDOWN((F1538-INT(F1538))*100,0)/60,2),従業員の給与情報!F1538))</f>
        <v/>
      </c>
      <c r="O1538" s="8"/>
      <c r="P1538" s="8"/>
    </row>
    <row r="1539" spans="1:16">
      <c r="A1539" s="119"/>
      <c r="B1539" s="2"/>
      <c r="C1539" s="3"/>
      <c r="D1539" s="3"/>
      <c r="E1539" s="3"/>
      <c r="F1539" s="9"/>
      <c r="G1539" s="248" t="str">
        <f t="shared" si="115"/>
        <v/>
      </c>
      <c r="H1539" s="1" t="b">
        <f>IF(B1539="",FALSE,COUNTIF('従業員情報(給与以外)'!$A$4:$A$1000000,$B1539)=0)</f>
        <v>0</v>
      </c>
      <c r="I1539" s="9" t="b">
        <f t="shared" si="116"/>
        <v>1</v>
      </c>
      <c r="J1539" s="9" t="b">
        <f t="shared" si="117"/>
        <v>1</v>
      </c>
      <c r="K1539" s="9" t="b">
        <f t="shared" si="118"/>
        <v>1</v>
      </c>
      <c r="L1539" s="9" t="b">
        <f t="shared" si="119"/>
        <v>1</v>
      </c>
      <c r="M1539" s="1" t="b">
        <f>IF(OR(入力シート!$C$5&lt;&gt;入力リスト!$N$4,入力シート!$J$22&lt;&gt;入力リスト!$K$4),TRUE,IF($F$2=入力リスト!$Q$4,IF(F1539-INT(F1539)&lt;0.6,TRUE,FALSE),TRUE))</f>
        <v>1</v>
      </c>
      <c r="N1539" s="9" t="str">
        <f>IF(F1539="","",IF($F$2=入力リスト!$Q$4,ROUNDDOWN(INT(F1539)+ROUNDDOWN((F1539-INT(F1539))*100,0)/60,2),従業員の給与情報!F1539))</f>
        <v/>
      </c>
      <c r="O1539" s="8"/>
      <c r="P1539" s="8"/>
    </row>
    <row r="1540" spans="1:16">
      <c r="A1540" s="119"/>
      <c r="B1540" s="2"/>
      <c r="C1540" s="3"/>
      <c r="D1540" s="3"/>
      <c r="E1540" s="3"/>
      <c r="F1540" s="9"/>
      <c r="G1540" s="248" t="str">
        <f t="shared" si="115"/>
        <v/>
      </c>
      <c r="H1540" s="1" t="b">
        <f>IF(B1540="",FALSE,COUNTIF('従業員情報(給与以外)'!$A$4:$A$1000000,$B1540)=0)</f>
        <v>0</v>
      </c>
      <c r="I1540" s="9" t="b">
        <f t="shared" si="116"/>
        <v>1</v>
      </c>
      <c r="J1540" s="9" t="b">
        <f t="shared" si="117"/>
        <v>1</v>
      </c>
      <c r="K1540" s="9" t="b">
        <f t="shared" si="118"/>
        <v>1</v>
      </c>
      <c r="L1540" s="9" t="b">
        <f t="shared" si="119"/>
        <v>1</v>
      </c>
      <c r="M1540" s="1" t="b">
        <f>IF(OR(入力シート!$C$5&lt;&gt;入力リスト!$N$4,入力シート!$J$22&lt;&gt;入力リスト!$K$4),TRUE,IF($F$2=入力リスト!$Q$4,IF(F1540-INT(F1540)&lt;0.6,TRUE,FALSE),TRUE))</f>
        <v>1</v>
      </c>
      <c r="N1540" s="9" t="str">
        <f>IF(F1540="","",IF($F$2=入力リスト!$Q$4,ROUNDDOWN(INT(F1540)+ROUNDDOWN((F1540-INT(F1540))*100,0)/60,2),従業員の給与情報!F1540))</f>
        <v/>
      </c>
      <c r="O1540" s="8"/>
      <c r="P1540" s="8"/>
    </row>
    <row r="1541" spans="1:16">
      <c r="A1541" s="119"/>
      <c r="B1541" s="2"/>
      <c r="C1541" s="3"/>
      <c r="D1541" s="3"/>
      <c r="E1541" s="3"/>
      <c r="F1541" s="9"/>
      <c r="G1541" s="248" t="str">
        <f t="shared" ref="G1541:G1604" si="120">IF(AND($B1541="",OR(B1541&lt;&gt;"",C1541&lt;&gt;"",D1541&lt;&gt;"",E1541&lt;&gt;"",F1541&lt;&gt;"")),"従業員番号が空白です。",IF($H1541=TRUE,"この従業員番号は、シート［従業員情報（給与以外）］に存在しません。",IF(I1541=FALSE,"「毎月の固定給与額」","")&amp;IF(AND(I1541=FALSE,OR(J1541=FALSE,K1541=FALSE,L1541=FALSE)),",","")&amp;IF(J1541=FALSE,"「賞与額等」","")&amp;IF(AND(J1541=FALSE,OR(K1541=FALSE,L1541=FALSE)),",","")&amp;IF(K1541=FALSE,"「残業手当」","")&amp;IF(AND(K1541=FALSE,L1541=FALSE),",","")&amp;IF(L1541=FALSE,"「残業時間」","")&amp;IF(OR(I1541=FALSE,J1541=FALSE,K1541=FALSE,L1541=FALSE),"に数値以外が入力されています。","")&amp;IF(M1541,"","「残業時間」を分単位で入力した場合、小数点以下の値は0.6未満にしてください。")))</f>
        <v/>
      </c>
      <c r="H1541" s="1" t="b">
        <f>IF(B1541="",FALSE,COUNTIF('従業員情報(給与以外)'!$A$4:$A$1000000,$B1541)=0)</f>
        <v>0</v>
      </c>
      <c r="I1541" s="9" t="b">
        <f t="shared" ref="I1541:I1604" si="121">OR(C1541="",ISNUMBER(C1541))</f>
        <v>1</v>
      </c>
      <c r="J1541" s="9" t="b">
        <f t="shared" ref="J1541:J1604" si="122">OR(D1541="",ISNUMBER(D1541))</f>
        <v>1</v>
      </c>
      <c r="K1541" s="9" t="b">
        <f t="shared" ref="K1541:K1604" si="123">OR(E1541="",ISNUMBER(E1541))</f>
        <v>1</v>
      </c>
      <c r="L1541" s="9" t="b">
        <f t="shared" ref="L1541:L1604" si="124">OR(F1541="",ISNUMBER(F1541))</f>
        <v>1</v>
      </c>
      <c r="M1541" s="1" t="b">
        <f>IF(OR(入力シート!$C$5&lt;&gt;入力リスト!$N$4,入力シート!$J$22&lt;&gt;入力リスト!$K$4),TRUE,IF($F$2=入力リスト!$Q$4,IF(F1541-INT(F1541)&lt;0.6,TRUE,FALSE),TRUE))</f>
        <v>1</v>
      </c>
      <c r="N1541" s="9" t="str">
        <f>IF(F1541="","",IF($F$2=入力リスト!$Q$4,ROUNDDOWN(INT(F1541)+ROUNDDOWN((F1541-INT(F1541))*100,0)/60,2),従業員の給与情報!F1541))</f>
        <v/>
      </c>
      <c r="O1541" s="8"/>
      <c r="P1541" s="8"/>
    </row>
    <row r="1542" spans="1:16">
      <c r="A1542" s="119"/>
      <c r="B1542" s="2"/>
      <c r="C1542" s="3"/>
      <c r="D1542" s="3"/>
      <c r="E1542" s="3"/>
      <c r="F1542" s="9"/>
      <c r="G1542" s="248" t="str">
        <f t="shared" si="120"/>
        <v/>
      </c>
      <c r="H1542" s="1" t="b">
        <f>IF(B1542="",FALSE,COUNTIF('従業員情報(給与以外)'!$A$4:$A$1000000,$B1542)=0)</f>
        <v>0</v>
      </c>
      <c r="I1542" s="9" t="b">
        <f t="shared" si="121"/>
        <v>1</v>
      </c>
      <c r="J1542" s="9" t="b">
        <f t="shared" si="122"/>
        <v>1</v>
      </c>
      <c r="K1542" s="9" t="b">
        <f t="shared" si="123"/>
        <v>1</v>
      </c>
      <c r="L1542" s="9" t="b">
        <f t="shared" si="124"/>
        <v>1</v>
      </c>
      <c r="M1542" s="1" t="b">
        <f>IF(OR(入力シート!$C$5&lt;&gt;入力リスト!$N$4,入力シート!$J$22&lt;&gt;入力リスト!$K$4),TRUE,IF($F$2=入力リスト!$Q$4,IF(F1542-INT(F1542)&lt;0.6,TRUE,FALSE),TRUE))</f>
        <v>1</v>
      </c>
      <c r="N1542" s="9" t="str">
        <f>IF(F1542="","",IF($F$2=入力リスト!$Q$4,ROUNDDOWN(INT(F1542)+ROUNDDOWN((F1542-INT(F1542))*100,0)/60,2),従業員の給与情報!F1542))</f>
        <v/>
      </c>
      <c r="O1542" s="8"/>
      <c r="P1542" s="8"/>
    </row>
    <row r="1543" spans="1:16">
      <c r="A1543" s="119"/>
      <c r="B1543" s="2"/>
      <c r="C1543" s="3"/>
      <c r="D1543" s="3"/>
      <c r="E1543" s="3"/>
      <c r="F1543" s="9"/>
      <c r="G1543" s="248" t="str">
        <f t="shared" si="120"/>
        <v/>
      </c>
      <c r="H1543" s="1" t="b">
        <f>IF(B1543="",FALSE,COUNTIF('従業員情報(給与以外)'!$A$4:$A$1000000,$B1543)=0)</f>
        <v>0</v>
      </c>
      <c r="I1543" s="9" t="b">
        <f t="shared" si="121"/>
        <v>1</v>
      </c>
      <c r="J1543" s="9" t="b">
        <f t="shared" si="122"/>
        <v>1</v>
      </c>
      <c r="K1543" s="9" t="b">
        <f t="shared" si="123"/>
        <v>1</v>
      </c>
      <c r="L1543" s="9" t="b">
        <f t="shared" si="124"/>
        <v>1</v>
      </c>
      <c r="M1543" s="1" t="b">
        <f>IF(OR(入力シート!$C$5&lt;&gt;入力リスト!$N$4,入力シート!$J$22&lt;&gt;入力リスト!$K$4),TRUE,IF($F$2=入力リスト!$Q$4,IF(F1543-INT(F1543)&lt;0.6,TRUE,FALSE),TRUE))</f>
        <v>1</v>
      </c>
      <c r="N1543" s="9" t="str">
        <f>IF(F1543="","",IF($F$2=入力リスト!$Q$4,ROUNDDOWN(INT(F1543)+ROUNDDOWN((F1543-INT(F1543))*100,0)/60,2),従業員の給与情報!F1543))</f>
        <v/>
      </c>
      <c r="O1543" s="8"/>
      <c r="P1543" s="8"/>
    </row>
    <row r="1544" spans="1:16">
      <c r="A1544" s="119"/>
      <c r="B1544" s="2"/>
      <c r="C1544" s="3"/>
      <c r="D1544" s="3"/>
      <c r="E1544" s="3"/>
      <c r="F1544" s="9"/>
      <c r="G1544" s="248" t="str">
        <f t="shared" si="120"/>
        <v/>
      </c>
      <c r="H1544" s="1" t="b">
        <f>IF(B1544="",FALSE,COUNTIF('従業員情報(給与以外)'!$A$4:$A$1000000,$B1544)=0)</f>
        <v>0</v>
      </c>
      <c r="I1544" s="9" t="b">
        <f t="shared" si="121"/>
        <v>1</v>
      </c>
      <c r="J1544" s="9" t="b">
        <f t="shared" si="122"/>
        <v>1</v>
      </c>
      <c r="K1544" s="9" t="b">
        <f t="shared" si="123"/>
        <v>1</v>
      </c>
      <c r="L1544" s="9" t="b">
        <f t="shared" si="124"/>
        <v>1</v>
      </c>
      <c r="M1544" s="1" t="b">
        <f>IF(OR(入力シート!$C$5&lt;&gt;入力リスト!$N$4,入力シート!$J$22&lt;&gt;入力リスト!$K$4),TRUE,IF($F$2=入力リスト!$Q$4,IF(F1544-INT(F1544)&lt;0.6,TRUE,FALSE),TRUE))</f>
        <v>1</v>
      </c>
      <c r="N1544" s="9" t="str">
        <f>IF(F1544="","",IF($F$2=入力リスト!$Q$4,ROUNDDOWN(INT(F1544)+ROUNDDOWN((F1544-INT(F1544))*100,0)/60,2),従業員の給与情報!F1544))</f>
        <v/>
      </c>
      <c r="O1544" s="8"/>
      <c r="P1544" s="8"/>
    </row>
    <row r="1545" spans="1:16">
      <c r="A1545" s="119"/>
      <c r="B1545" s="2"/>
      <c r="C1545" s="3"/>
      <c r="D1545" s="3"/>
      <c r="E1545" s="3"/>
      <c r="F1545" s="9"/>
      <c r="G1545" s="248" t="str">
        <f t="shared" si="120"/>
        <v/>
      </c>
      <c r="H1545" s="1" t="b">
        <f>IF(B1545="",FALSE,COUNTIF('従業員情報(給与以外)'!$A$4:$A$1000000,$B1545)=0)</f>
        <v>0</v>
      </c>
      <c r="I1545" s="9" t="b">
        <f t="shared" si="121"/>
        <v>1</v>
      </c>
      <c r="J1545" s="9" t="b">
        <f t="shared" si="122"/>
        <v>1</v>
      </c>
      <c r="K1545" s="9" t="b">
        <f t="shared" si="123"/>
        <v>1</v>
      </c>
      <c r="L1545" s="9" t="b">
        <f t="shared" si="124"/>
        <v>1</v>
      </c>
      <c r="M1545" s="1" t="b">
        <f>IF(OR(入力シート!$C$5&lt;&gt;入力リスト!$N$4,入力シート!$J$22&lt;&gt;入力リスト!$K$4),TRUE,IF($F$2=入力リスト!$Q$4,IF(F1545-INT(F1545)&lt;0.6,TRUE,FALSE),TRUE))</f>
        <v>1</v>
      </c>
      <c r="N1545" s="9" t="str">
        <f>IF(F1545="","",IF($F$2=入力リスト!$Q$4,ROUNDDOWN(INT(F1545)+ROUNDDOWN((F1545-INT(F1545))*100,0)/60,2),従業員の給与情報!F1545))</f>
        <v/>
      </c>
      <c r="O1545" s="8"/>
      <c r="P1545" s="8"/>
    </row>
    <row r="1546" spans="1:16">
      <c r="A1546" s="119"/>
      <c r="B1546" s="2"/>
      <c r="C1546" s="3"/>
      <c r="D1546" s="3"/>
      <c r="E1546" s="3"/>
      <c r="F1546" s="9"/>
      <c r="G1546" s="248" t="str">
        <f t="shared" si="120"/>
        <v/>
      </c>
      <c r="H1546" s="1" t="b">
        <f>IF(B1546="",FALSE,COUNTIF('従業員情報(給与以外)'!$A$4:$A$1000000,$B1546)=0)</f>
        <v>0</v>
      </c>
      <c r="I1546" s="9" t="b">
        <f t="shared" si="121"/>
        <v>1</v>
      </c>
      <c r="J1546" s="9" t="b">
        <f t="shared" si="122"/>
        <v>1</v>
      </c>
      <c r="K1546" s="9" t="b">
        <f t="shared" si="123"/>
        <v>1</v>
      </c>
      <c r="L1546" s="9" t="b">
        <f t="shared" si="124"/>
        <v>1</v>
      </c>
      <c r="M1546" s="1" t="b">
        <f>IF(OR(入力シート!$C$5&lt;&gt;入力リスト!$N$4,入力シート!$J$22&lt;&gt;入力リスト!$K$4),TRUE,IF($F$2=入力リスト!$Q$4,IF(F1546-INT(F1546)&lt;0.6,TRUE,FALSE),TRUE))</f>
        <v>1</v>
      </c>
      <c r="N1546" s="9" t="str">
        <f>IF(F1546="","",IF($F$2=入力リスト!$Q$4,ROUNDDOWN(INT(F1546)+ROUNDDOWN((F1546-INT(F1546))*100,0)/60,2),従業員の給与情報!F1546))</f>
        <v/>
      </c>
      <c r="O1546" s="8"/>
      <c r="P1546" s="8"/>
    </row>
    <row r="1547" spans="1:16">
      <c r="A1547" s="119"/>
      <c r="B1547" s="2"/>
      <c r="C1547" s="3"/>
      <c r="D1547" s="3"/>
      <c r="E1547" s="3"/>
      <c r="F1547" s="9"/>
      <c r="G1547" s="248" t="str">
        <f t="shared" si="120"/>
        <v/>
      </c>
      <c r="H1547" s="1" t="b">
        <f>IF(B1547="",FALSE,COUNTIF('従業員情報(給与以外)'!$A$4:$A$1000000,$B1547)=0)</f>
        <v>0</v>
      </c>
      <c r="I1547" s="9" t="b">
        <f t="shared" si="121"/>
        <v>1</v>
      </c>
      <c r="J1547" s="9" t="b">
        <f t="shared" si="122"/>
        <v>1</v>
      </c>
      <c r="K1547" s="9" t="b">
        <f t="shared" si="123"/>
        <v>1</v>
      </c>
      <c r="L1547" s="9" t="b">
        <f t="shared" si="124"/>
        <v>1</v>
      </c>
      <c r="M1547" s="1" t="b">
        <f>IF(OR(入力シート!$C$5&lt;&gt;入力リスト!$N$4,入力シート!$J$22&lt;&gt;入力リスト!$K$4),TRUE,IF($F$2=入力リスト!$Q$4,IF(F1547-INT(F1547)&lt;0.6,TRUE,FALSE),TRUE))</f>
        <v>1</v>
      </c>
      <c r="N1547" s="9" t="str">
        <f>IF(F1547="","",IF($F$2=入力リスト!$Q$4,ROUNDDOWN(INT(F1547)+ROUNDDOWN((F1547-INT(F1547))*100,0)/60,2),従業員の給与情報!F1547))</f>
        <v/>
      </c>
      <c r="O1547" s="8"/>
      <c r="P1547" s="8"/>
    </row>
    <row r="1548" spans="1:16">
      <c r="A1548" s="119"/>
      <c r="B1548" s="2"/>
      <c r="C1548" s="3"/>
      <c r="D1548" s="3"/>
      <c r="E1548" s="3"/>
      <c r="F1548" s="9"/>
      <c r="G1548" s="248" t="str">
        <f t="shared" si="120"/>
        <v/>
      </c>
      <c r="H1548" s="1" t="b">
        <f>IF(B1548="",FALSE,COUNTIF('従業員情報(給与以外)'!$A$4:$A$1000000,$B1548)=0)</f>
        <v>0</v>
      </c>
      <c r="I1548" s="9" t="b">
        <f t="shared" si="121"/>
        <v>1</v>
      </c>
      <c r="J1548" s="9" t="b">
        <f t="shared" si="122"/>
        <v>1</v>
      </c>
      <c r="K1548" s="9" t="b">
        <f t="shared" si="123"/>
        <v>1</v>
      </c>
      <c r="L1548" s="9" t="b">
        <f t="shared" si="124"/>
        <v>1</v>
      </c>
      <c r="M1548" s="1" t="b">
        <f>IF(OR(入力シート!$C$5&lt;&gt;入力リスト!$N$4,入力シート!$J$22&lt;&gt;入力リスト!$K$4),TRUE,IF($F$2=入力リスト!$Q$4,IF(F1548-INT(F1548)&lt;0.6,TRUE,FALSE),TRUE))</f>
        <v>1</v>
      </c>
      <c r="N1548" s="9" t="str">
        <f>IF(F1548="","",IF($F$2=入力リスト!$Q$4,ROUNDDOWN(INT(F1548)+ROUNDDOWN((F1548-INT(F1548))*100,0)/60,2),従業員の給与情報!F1548))</f>
        <v/>
      </c>
      <c r="O1548" s="8"/>
      <c r="P1548" s="8"/>
    </row>
    <row r="1549" spans="1:16">
      <c r="A1549" s="119"/>
      <c r="B1549" s="2"/>
      <c r="C1549" s="3"/>
      <c r="D1549" s="3"/>
      <c r="E1549" s="3"/>
      <c r="F1549" s="9"/>
      <c r="G1549" s="248" t="str">
        <f t="shared" si="120"/>
        <v/>
      </c>
      <c r="H1549" s="1" t="b">
        <f>IF(B1549="",FALSE,COUNTIF('従業員情報(給与以外)'!$A$4:$A$1000000,$B1549)=0)</f>
        <v>0</v>
      </c>
      <c r="I1549" s="9" t="b">
        <f t="shared" si="121"/>
        <v>1</v>
      </c>
      <c r="J1549" s="9" t="b">
        <f t="shared" si="122"/>
        <v>1</v>
      </c>
      <c r="K1549" s="9" t="b">
        <f t="shared" si="123"/>
        <v>1</v>
      </c>
      <c r="L1549" s="9" t="b">
        <f t="shared" si="124"/>
        <v>1</v>
      </c>
      <c r="M1549" s="1" t="b">
        <f>IF(OR(入力シート!$C$5&lt;&gt;入力リスト!$N$4,入力シート!$J$22&lt;&gt;入力リスト!$K$4),TRUE,IF($F$2=入力リスト!$Q$4,IF(F1549-INT(F1549)&lt;0.6,TRUE,FALSE),TRUE))</f>
        <v>1</v>
      </c>
      <c r="N1549" s="9" t="str">
        <f>IF(F1549="","",IF($F$2=入力リスト!$Q$4,ROUNDDOWN(INT(F1549)+ROUNDDOWN((F1549-INT(F1549))*100,0)/60,2),従業員の給与情報!F1549))</f>
        <v/>
      </c>
      <c r="O1549" s="8"/>
      <c r="P1549" s="8"/>
    </row>
    <row r="1550" spans="1:16">
      <c r="A1550" s="119"/>
      <c r="B1550" s="2"/>
      <c r="C1550" s="3"/>
      <c r="D1550" s="3"/>
      <c r="E1550" s="3"/>
      <c r="F1550" s="9"/>
      <c r="G1550" s="248" t="str">
        <f t="shared" si="120"/>
        <v/>
      </c>
      <c r="H1550" s="1" t="b">
        <f>IF(B1550="",FALSE,COUNTIF('従業員情報(給与以外)'!$A$4:$A$1000000,$B1550)=0)</f>
        <v>0</v>
      </c>
      <c r="I1550" s="9" t="b">
        <f t="shared" si="121"/>
        <v>1</v>
      </c>
      <c r="J1550" s="9" t="b">
        <f t="shared" si="122"/>
        <v>1</v>
      </c>
      <c r="K1550" s="9" t="b">
        <f t="shared" si="123"/>
        <v>1</v>
      </c>
      <c r="L1550" s="9" t="b">
        <f t="shared" si="124"/>
        <v>1</v>
      </c>
      <c r="M1550" s="1" t="b">
        <f>IF(OR(入力シート!$C$5&lt;&gt;入力リスト!$N$4,入力シート!$J$22&lt;&gt;入力リスト!$K$4),TRUE,IF($F$2=入力リスト!$Q$4,IF(F1550-INT(F1550)&lt;0.6,TRUE,FALSE),TRUE))</f>
        <v>1</v>
      </c>
      <c r="N1550" s="9" t="str">
        <f>IF(F1550="","",IF($F$2=入力リスト!$Q$4,ROUNDDOWN(INT(F1550)+ROUNDDOWN((F1550-INT(F1550))*100,0)/60,2),従業員の給与情報!F1550))</f>
        <v/>
      </c>
      <c r="O1550" s="8"/>
      <c r="P1550" s="8"/>
    </row>
    <row r="1551" spans="1:16">
      <c r="A1551" s="119"/>
      <c r="B1551" s="2"/>
      <c r="C1551" s="3"/>
      <c r="D1551" s="3"/>
      <c r="E1551" s="3"/>
      <c r="F1551" s="9"/>
      <c r="G1551" s="248" t="str">
        <f t="shared" si="120"/>
        <v/>
      </c>
      <c r="H1551" s="1" t="b">
        <f>IF(B1551="",FALSE,COUNTIF('従業員情報(給与以外)'!$A$4:$A$1000000,$B1551)=0)</f>
        <v>0</v>
      </c>
      <c r="I1551" s="9" t="b">
        <f t="shared" si="121"/>
        <v>1</v>
      </c>
      <c r="J1551" s="9" t="b">
        <f t="shared" si="122"/>
        <v>1</v>
      </c>
      <c r="K1551" s="9" t="b">
        <f t="shared" si="123"/>
        <v>1</v>
      </c>
      <c r="L1551" s="9" t="b">
        <f t="shared" si="124"/>
        <v>1</v>
      </c>
      <c r="M1551" s="1" t="b">
        <f>IF(OR(入力シート!$C$5&lt;&gt;入力リスト!$N$4,入力シート!$J$22&lt;&gt;入力リスト!$K$4),TRUE,IF($F$2=入力リスト!$Q$4,IF(F1551-INT(F1551)&lt;0.6,TRUE,FALSE),TRUE))</f>
        <v>1</v>
      </c>
      <c r="N1551" s="9" t="str">
        <f>IF(F1551="","",IF($F$2=入力リスト!$Q$4,ROUNDDOWN(INT(F1551)+ROUNDDOWN((F1551-INT(F1551))*100,0)/60,2),従業員の給与情報!F1551))</f>
        <v/>
      </c>
      <c r="O1551" s="8"/>
      <c r="P1551" s="8"/>
    </row>
    <row r="1552" spans="1:16">
      <c r="A1552" s="119"/>
      <c r="B1552" s="2"/>
      <c r="C1552" s="3"/>
      <c r="D1552" s="3"/>
      <c r="E1552" s="3"/>
      <c r="F1552" s="9"/>
      <c r="G1552" s="248" t="str">
        <f t="shared" si="120"/>
        <v/>
      </c>
      <c r="H1552" s="1" t="b">
        <f>IF(B1552="",FALSE,COUNTIF('従業員情報(給与以外)'!$A$4:$A$1000000,$B1552)=0)</f>
        <v>0</v>
      </c>
      <c r="I1552" s="9" t="b">
        <f t="shared" si="121"/>
        <v>1</v>
      </c>
      <c r="J1552" s="9" t="b">
        <f t="shared" si="122"/>
        <v>1</v>
      </c>
      <c r="K1552" s="9" t="b">
        <f t="shared" si="123"/>
        <v>1</v>
      </c>
      <c r="L1552" s="9" t="b">
        <f t="shared" si="124"/>
        <v>1</v>
      </c>
      <c r="M1552" s="1" t="b">
        <f>IF(OR(入力シート!$C$5&lt;&gt;入力リスト!$N$4,入力シート!$J$22&lt;&gt;入力リスト!$K$4),TRUE,IF($F$2=入力リスト!$Q$4,IF(F1552-INT(F1552)&lt;0.6,TRUE,FALSE),TRUE))</f>
        <v>1</v>
      </c>
      <c r="N1552" s="9" t="str">
        <f>IF(F1552="","",IF($F$2=入力リスト!$Q$4,ROUNDDOWN(INT(F1552)+ROUNDDOWN((F1552-INT(F1552))*100,0)/60,2),従業員の給与情報!F1552))</f>
        <v/>
      </c>
      <c r="O1552" s="8"/>
      <c r="P1552" s="8"/>
    </row>
    <row r="1553" spans="1:16">
      <c r="A1553" s="119"/>
      <c r="B1553" s="2"/>
      <c r="C1553" s="3"/>
      <c r="D1553" s="3"/>
      <c r="E1553" s="3"/>
      <c r="F1553" s="9"/>
      <c r="G1553" s="248" t="str">
        <f t="shared" si="120"/>
        <v/>
      </c>
      <c r="H1553" s="1" t="b">
        <f>IF(B1553="",FALSE,COUNTIF('従業員情報(給与以外)'!$A$4:$A$1000000,$B1553)=0)</f>
        <v>0</v>
      </c>
      <c r="I1553" s="9" t="b">
        <f t="shared" si="121"/>
        <v>1</v>
      </c>
      <c r="J1553" s="9" t="b">
        <f t="shared" si="122"/>
        <v>1</v>
      </c>
      <c r="K1553" s="9" t="b">
        <f t="shared" si="123"/>
        <v>1</v>
      </c>
      <c r="L1553" s="9" t="b">
        <f t="shared" si="124"/>
        <v>1</v>
      </c>
      <c r="M1553" s="1" t="b">
        <f>IF(OR(入力シート!$C$5&lt;&gt;入力リスト!$N$4,入力シート!$J$22&lt;&gt;入力リスト!$K$4),TRUE,IF($F$2=入力リスト!$Q$4,IF(F1553-INT(F1553)&lt;0.6,TRUE,FALSE),TRUE))</f>
        <v>1</v>
      </c>
      <c r="N1553" s="9" t="str">
        <f>IF(F1553="","",IF($F$2=入力リスト!$Q$4,ROUNDDOWN(INT(F1553)+ROUNDDOWN((F1553-INT(F1553))*100,0)/60,2),従業員の給与情報!F1553))</f>
        <v/>
      </c>
      <c r="O1553" s="8"/>
      <c r="P1553" s="8"/>
    </row>
    <row r="1554" spans="1:16">
      <c r="A1554" s="119"/>
      <c r="B1554" s="2"/>
      <c r="C1554" s="3"/>
      <c r="D1554" s="3"/>
      <c r="E1554" s="3"/>
      <c r="F1554" s="9"/>
      <c r="G1554" s="248" t="str">
        <f t="shared" si="120"/>
        <v/>
      </c>
      <c r="H1554" s="1" t="b">
        <f>IF(B1554="",FALSE,COUNTIF('従業員情報(給与以外)'!$A$4:$A$1000000,$B1554)=0)</f>
        <v>0</v>
      </c>
      <c r="I1554" s="9" t="b">
        <f t="shared" si="121"/>
        <v>1</v>
      </c>
      <c r="J1554" s="9" t="b">
        <f t="shared" si="122"/>
        <v>1</v>
      </c>
      <c r="K1554" s="9" t="b">
        <f t="shared" si="123"/>
        <v>1</v>
      </c>
      <c r="L1554" s="9" t="b">
        <f t="shared" si="124"/>
        <v>1</v>
      </c>
      <c r="M1554" s="1" t="b">
        <f>IF(OR(入力シート!$C$5&lt;&gt;入力リスト!$N$4,入力シート!$J$22&lt;&gt;入力リスト!$K$4),TRUE,IF($F$2=入力リスト!$Q$4,IF(F1554-INT(F1554)&lt;0.6,TRUE,FALSE),TRUE))</f>
        <v>1</v>
      </c>
      <c r="N1554" s="9" t="str">
        <f>IF(F1554="","",IF($F$2=入力リスト!$Q$4,ROUNDDOWN(INT(F1554)+ROUNDDOWN((F1554-INT(F1554))*100,0)/60,2),従業員の給与情報!F1554))</f>
        <v/>
      </c>
      <c r="O1554" s="8"/>
      <c r="P1554" s="8"/>
    </row>
    <row r="1555" spans="1:16">
      <c r="A1555" s="119"/>
      <c r="B1555" s="2"/>
      <c r="C1555" s="3"/>
      <c r="D1555" s="3"/>
      <c r="E1555" s="3"/>
      <c r="F1555" s="9"/>
      <c r="G1555" s="248" t="str">
        <f t="shared" si="120"/>
        <v/>
      </c>
      <c r="H1555" s="1" t="b">
        <f>IF(B1555="",FALSE,COUNTIF('従業員情報(給与以外)'!$A$4:$A$1000000,$B1555)=0)</f>
        <v>0</v>
      </c>
      <c r="I1555" s="9" t="b">
        <f t="shared" si="121"/>
        <v>1</v>
      </c>
      <c r="J1555" s="9" t="b">
        <f t="shared" si="122"/>
        <v>1</v>
      </c>
      <c r="K1555" s="9" t="b">
        <f t="shared" si="123"/>
        <v>1</v>
      </c>
      <c r="L1555" s="9" t="b">
        <f t="shared" si="124"/>
        <v>1</v>
      </c>
      <c r="M1555" s="1" t="b">
        <f>IF(OR(入力シート!$C$5&lt;&gt;入力リスト!$N$4,入力シート!$J$22&lt;&gt;入力リスト!$K$4),TRUE,IF($F$2=入力リスト!$Q$4,IF(F1555-INT(F1555)&lt;0.6,TRUE,FALSE),TRUE))</f>
        <v>1</v>
      </c>
      <c r="N1555" s="9" t="str">
        <f>IF(F1555="","",IF($F$2=入力リスト!$Q$4,ROUNDDOWN(INT(F1555)+ROUNDDOWN((F1555-INT(F1555))*100,0)/60,2),従業員の給与情報!F1555))</f>
        <v/>
      </c>
      <c r="O1555" s="8"/>
      <c r="P1555" s="8"/>
    </row>
    <row r="1556" spans="1:16">
      <c r="A1556" s="119"/>
      <c r="B1556" s="2"/>
      <c r="C1556" s="3"/>
      <c r="D1556" s="3"/>
      <c r="E1556" s="3"/>
      <c r="F1556" s="9"/>
      <c r="G1556" s="248" t="str">
        <f t="shared" si="120"/>
        <v/>
      </c>
      <c r="H1556" s="1" t="b">
        <f>IF(B1556="",FALSE,COUNTIF('従業員情報(給与以外)'!$A$4:$A$1000000,$B1556)=0)</f>
        <v>0</v>
      </c>
      <c r="I1556" s="9" t="b">
        <f t="shared" si="121"/>
        <v>1</v>
      </c>
      <c r="J1556" s="9" t="b">
        <f t="shared" si="122"/>
        <v>1</v>
      </c>
      <c r="K1556" s="9" t="b">
        <f t="shared" si="123"/>
        <v>1</v>
      </c>
      <c r="L1556" s="9" t="b">
        <f t="shared" si="124"/>
        <v>1</v>
      </c>
      <c r="M1556" s="1" t="b">
        <f>IF(OR(入力シート!$C$5&lt;&gt;入力リスト!$N$4,入力シート!$J$22&lt;&gt;入力リスト!$K$4),TRUE,IF($F$2=入力リスト!$Q$4,IF(F1556-INT(F1556)&lt;0.6,TRUE,FALSE),TRUE))</f>
        <v>1</v>
      </c>
      <c r="N1556" s="9" t="str">
        <f>IF(F1556="","",IF($F$2=入力リスト!$Q$4,ROUNDDOWN(INT(F1556)+ROUNDDOWN((F1556-INT(F1556))*100,0)/60,2),従業員の給与情報!F1556))</f>
        <v/>
      </c>
      <c r="O1556" s="8"/>
      <c r="P1556" s="8"/>
    </row>
    <row r="1557" spans="1:16">
      <c r="A1557" s="119"/>
      <c r="B1557" s="2"/>
      <c r="C1557" s="3"/>
      <c r="D1557" s="3"/>
      <c r="E1557" s="3"/>
      <c r="F1557" s="9"/>
      <c r="G1557" s="248" t="str">
        <f t="shared" si="120"/>
        <v/>
      </c>
      <c r="H1557" s="1" t="b">
        <f>IF(B1557="",FALSE,COUNTIF('従業員情報(給与以外)'!$A$4:$A$1000000,$B1557)=0)</f>
        <v>0</v>
      </c>
      <c r="I1557" s="9" t="b">
        <f t="shared" si="121"/>
        <v>1</v>
      </c>
      <c r="J1557" s="9" t="b">
        <f t="shared" si="122"/>
        <v>1</v>
      </c>
      <c r="K1557" s="9" t="b">
        <f t="shared" si="123"/>
        <v>1</v>
      </c>
      <c r="L1557" s="9" t="b">
        <f t="shared" si="124"/>
        <v>1</v>
      </c>
      <c r="M1557" s="1" t="b">
        <f>IF(OR(入力シート!$C$5&lt;&gt;入力リスト!$N$4,入力シート!$J$22&lt;&gt;入力リスト!$K$4),TRUE,IF($F$2=入力リスト!$Q$4,IF(F1557-INT(F1557)&lt;0.6,TRUE,FALSE),TRUE))</f>
        <v>1</v>
      </c>
      <c r="N1557" s="9" t="str">
        <f>IF(F1557="","",IF($F$2=入力リスト!$Q$4,ROUNDDOWN(INT(F1557)+ROUNDDOWN((F1557-INT(F1557))*100,0)/60,2),従業員の給与情報!F1557))</f>
        <v/>
      </c>
      <c r="O1557" s="8"/>
      <c r="P1557" s="8"/>
    </row>
    <row r="1558" spans="1:16">
      <c r="A1558" s="119"/>
      <c r="B1558" s="2"/>
      <c r="C1558" s="3"/>
      <c r="D1558" s="3"/>
      <c r="E1558" s="3"/>
      <c r="F1558" s="9"/>
      <c r="G1558" s="248" t="str">
        <f t="shared" si="120"/>
        <v/>
      </c>
      <c r="H1558" s="1" t="b">
        <f>IF(B1558="",FALSE,COUNTIF('従業員情報(給与以外)'!$A$4:$A$1000000,$B1558)=0)</f>
        <v>0</v>
      </c>
      <c r="I1558" s="9" t="b">
        <f t="shared" si="121"/>
        <v>1</v>
      </c>
      <c r="J1558" s="9" t="b">
        <f t="shared" si="122"/>
        <v>1</v>
      </c>
      <c r="K1558" s="9" t="b">
        <f t="shared" si="123"/>
        <v>1</v>
      </c>
      <c r="L1558" s="9" t="b">
        <f t="shared" si="124"/>
        <v>1</v>
      </c>
      <c r="M1558" s="1" t="b">
        <f>IF(OR(入力シート!$C$5&lt;&gt;入力リスト!$N$4,入力シート!$J$22&lt;&gt;入力リスト!$K$4),TRUE,IF($F$2=入力リスト!$Q$4,IF(F1558-INT(F1558)&lt;0.6,TRUE,FALSE),TRUE))</f>
        <v>1</v>
      </c>
      <c r="N1558" s="9" t="str">
        <f>IF(F1558="","",IF($F$2=入力リスト!$Q$4,ROUNDDOWN(INT(F1558)+ROUNDDOWN((F1558-INT(F1558))*100,0)/60,2),従業員の給与情報!F1558))</f>
        <v/>
      </c>
      <c r="O1558" s="8"/>
      <c r="P1558" s="8"/>
    </row>
    <row r="1559" spans="1:16">
      <c r="A1559" s="119"/>
      <c r="B1559" s="2"/>
      <c r="C1559" s="3"/>
      <c r="D1559" s="3"/>
      <c r="E1559" s="3"/>
      <c r="F1559" s="9"/>
      <c r="G1559" s="248" t="str">
        <f t="shared" si="120"/>
        <v/>
      </c>
      <c r="H1559" s="1" t="b">
        <f>IF(B1559="",FALSE,COUNTIF('従業員情報(給与以外)'!$A$4:$A$1000000,$B1559)=0)</f>
        <v>0</v>
      </c>
      <c r="I1559" s="9" t="b">
        <f t="shared" si="121"/>
        <v>1</v>
      </c>
      <c r="J1559" s="9" t="b">
        <f t="shared" si="122"/>
        <v>1</v>
      </c>
      <c r="K1559" s="9" t="b">
        <f t="shared" si="123"/>
        <v>1</v>
      </c>
      <c r="L1559" s="9" t="b">
        <f t="shared" si="124"/>
        <v>1</v>
      </c>
      <c r="M1559" s="1" t="b">
        <f>IF(OR(入力シート!$C$5&lt;&gt;入力リスト!$N$4,入力シート!$J$22&lt;&gt;入力リスト!$K$4),TRUE,IF($F$2=入力リスト!$Q$4,IF(F1559-INT(F1559)&lt;0.6,TRUE,FALSE),TRUE))</f>
        <v>1</v>
      </c>
      <c r="N1559" s="9" t="str">
        <f>IF(F1559="","",IF($F$2=入力リスト!$Q$4,ROUNDDOWN(INT(F1559)+ROUNDDOWN((F1559-INT(F1559))*100,0)/60,2),従業員の給与情報!F1559))</f>
        <v/>
      </c>
      <c r="O1559" s="8"/>
      <c r="P1559" s="8"/>
    </row>
    <row r="1560" spans="1:16">
      <c r="A1560" s="119"/>
      <c r="B1560" s="2"/>
      <c r="C1560" s="3"/>
      <c r="D1560" s="3"/>
      <c r="E1560" s="3"/>
      <c r="F1560" s="9"/>
      <c r="G1560" s="248" t="str">
        <f t="shared" si="120"/>
        <v/>
      </c>
      <c r="H1560" s="1" t="b">
        <f>IF(B1560="",FALSE,COUNTIF('従業員情報(給与以外)'!$A$4:$A$1000000,$B1560)=0)</f>
        <v>0</v>
      </c>
      <c r="I1560" s="9" t="b">
        <f t="shared" si="121"/>
        <v>1</v>
      </c>
      <c r="J1560" s="9" t="b">
        <f t="shared" si="122"/>
        <v>1</v>
      </c>
      <c r="K1560" s="9" t="b">
        <f t="shared" si="123"/>
        <v>1</v>
      </c>
      <c r="L1560" s="9" t="b">
        <f t="shared" si="124"/>
        <v>1</v>
      </c>
      <c r="M1560" s="1" t="b">
        <f>IF(OR(入力シート!$C$5&lt;&gt;入力リスト!$N$4,入力シート!$J$22&lt;&gt;入力リスト!$K$4),TRUE,IF($F$2=入力リスト!$Q$4,IF(F1560-INT(F1560)&lt;0.6,TRUE,FALSE),TRUE))</f>
        <v>1</v>
      </c>
      <c r="N1560" s="9" t="str">
        <f>IF(F1560="","",IF($F$2=入力リスト!$Q$4,ROUNDDOWN(INT(F1560)+ROUNDDOWN((F1560-INT(F1560))*100,0)/60,2),従業員の給与情報!F1560))</f>
        <v/>
      </c>
      <c r="O1560" s="8"/>
      <c r="P1560" s="8"/>
    </row>
    <row r="1561" spans="1:16">
      <c r="A1561" s="119"/>
      <c r="B1561" s="2"/>
      <c r="C1561" s="3"/>
      <c r="D1561" s="3"/>
      <c r="E1561" s="3"/>
      <c r="F1561" s="9"/>
      <c r="G1561" s="248" t="str">
        <f t="shared" si="120"/>
        <v/>
      </c>
      <c r="H1561" s="1" t="b">
        <f>IF(B1561="",FALSE,COUNTIF('従業員情報(給与以外)'!$A$4:$A$1000000,$B1561)=0)</f>
        <v>0</v>
      </c>
      <c r="I1561" s="9" t="b">
        <f t="shared" si="121"/>
        <v>1</v>
      </c>
      <c r="J1561" s="9" t="b">
        <f t="shared" si="122"/>
        <v>1</v>
      </c>
      <c r="K1561" s="9" t="b">
        <f t="shared" si="123"/>
        <v>1</v>
      </c>
      <c r="L1561" s="9" t="b">
        <f t="shared" si="124"/>
        <v>1</v>
      </c>
      <c r="M1561" s="1" t="b">
        <f>IF(OR(入力シート!$C$5&lt;&gt;入力リスト!$N$4,入力シート!$J$22&lt;&gt;入力リスト!$K$4),TRUE,IF($F$2=入力リスト!$Q$4,IF(F1561-INT(F1561)&lt;0.6,TRUE,FALSE),TRUE))</f>
        <v>1</v>
      </c>
      <c r="N1561" s="9" t="str">
        <f>IF(F1561="","",IF($F$2=入力リスト!$Q$4,ROUNDDOWN(INT(F1561)+ROUNDDOWN((F1561-INT(F1561))*100,0)/60,2),従業員の給与情報!F1561))</f>
        <v/>
      </c>
      <c r="O1561" s="8"/>
      <c r="P1561" s="8"/>
    </row>
    <row r="1562" spans="1:16">
      <c r="A1562" s="119"/>
      <c r="B1562" s="2"/>
      <c r="C1562" s="3"/>
      <c r="D1562" s="3"/>
      <c r="E1562" s="3"/>
      <c r="F1562" s="9"/>
      <c r="G1562" s="248" t="str">
        <f t="shared" si="120"/>
        <v/>
      </c>
      <c r="H1562" s="1" t="b">
        <f>IF(B1562="",FALSE,COUNTIF('従業員情報(給与以外)'!$A$4:$A$1000000,$B1562)=0)</f>
        <v>0</v>
      </c>
      <c r="I1562" s="9" t="b">
        <f t="shared" si="121"/>
        <v>1</v>
      </c>
      <c r="J1562" s="9" t="b">
        <f t="shared" si="122"/>
        <v>1</v>
      </c>
      <c r="K1562" s="9" t="b">
        <f t="shared" si="123"/>
        <v>1</v>
      </c>
      <c r="L1562" s="9" t="b">
        <f t="shared" si="124"/>
        <v>1</v>
      </c>
      <c r="M1562" s="1" t="b">
        <f>IF(OR(入力シート!$C$5&lt;&gt;入力リスト!$N$4,入力シート!$J$22&lt;&gt;入力リスト!$K$4),TRUE,IF($F$2=入力リスト!$Q$4,IF(F1562-INT(F1562)&lt;0.6,TRUE,FALSE),TRUE))</f>
        <v>1</v>
      </c>
      <c r="N1562" s="9" t="str">
        <f>IF(F1562="","",IF($F$2=入力リスト!$Q$4,ROUNDDOWN(INT(F1562)+ROUNDDOWN((F1562-INT(F1562))*100,0)/60,2),従業員の給与情報!F1562))</f>
        <v/>
      </c>
      <c r="O1562" s="8"/>
      <c r="P1562" s="8"/>
    </row>
    <row r="1563" spans="1:16">
      <c r="A1563" s="119"/>
      <c r="B1563" s="2"/>
      <c r="C1563" s="3"/>
      <c r="D1563" s="3"/>
      <c r="E1563" s="3"/>
      <c r="F1563" s="9"/>
      <c r="G1563" s="248" t="str">
        <f t="shared" si="120"/>
        <v/>
      </c>
      <c r="H1563" s="1" t="b">
        <f>IF(B1563="",FALSE,COUNTIF('従業員情報(給与以外)'!$A$4:$A$1000000,$B1563)=0)</f>
        <v>0</v>
      </c>
      <c r="I1563" s="9" t="b">
        <f t="shared" si="121"/>
        <v>1</v>
      </c>
      <c r="J1563" s="9" t="b">
        <f t="shared" si="122"/>
        <v>1</v>
      </c>
      <c r="K1563" s="9" t="b">
        <f t="shared" si="123"/>
        <v>1</v>
      </c>
      <c r="L1563" s="9" t="b">
        <f t="shared" si="124"/>
        <v>1</v>
      </c>
      <c r="M1563" s="1" t="b">
        <f>IF(OR(入力シート!$C$5&lt;&gt;入力リスト!$N$4,入力シート!$J$22&lt;&gt;入力リスト!$K$4),TRUE,IF($F$2=入力リスト!$Q$4,IF(F1563-INT(F1563)&lt;0.6,TRUE,FALSE),TRUE))</f>
        <v>1</v>
      </c>
      <c r="N1563" s="9" t="str">
        <f>IF(F1563="","",IF($F$2=入力リスト!$Q$4,ROUNDDOWN(INT(F1563)+ROUNDDOWN((F1563-INT(F1563))*100,0)/60,2),従業員の給与情報!F1563))</f>
        <v/>
      </c>
      <c r="O1563" s="8"/>
      <c r="P1563" s="8"/>
    </row>
    <row r="1564" spans="1:16">
      <c r="A1564" s="119"/>
      <c r="B1564" s="2"/>
      <c r="C1564" s="3"/>
      <c r="D1564" s="3"/>
      <c r="E1564" s="3"/>
      <c r="F1564" s="9"/>
      <c r="G1564" s="248" t="str">
        <f t="shared" si="120"/>
        <v/>
      </c>
      <c r="H1564" s="1" t="b">
        <f>IF(B1564="",FALSE,COUNTIF('従業員情報(給与以外)'!$A$4:$A$1000000,$B1564)=0)</f>
        <v>0</v>
      </c>
      <c r="I1564" s="9" t="b">
        <f t="shared" si="121"/>
        <v>1</v>
      </c>
      <c r="J1564" s="9" t="b">
        <f t="shared" si="122"/>
        <v>1</v>
      </c>
      <c r="K1564" s="9" t="b">
        <f t="shared" si="123"/>
        <v>1</v>
      </c>
      <c r="L1564" s="9" t="b">
        <f t="shared" si="124"/>
        <v>1</v>
      </c>
      <c r="M1564" s="1" t="b">
        <f>IF(OR(入力シート!$C$5&lt;&gt;入力リスト!$N$4,入力シート!$J$22&lt;&gt;入力リスト!$K$4),TRUE,IF($F$2=入力リスト!$Q$4,IF(F1564-INT(F1564)&lt;0.6,TRUE,FALSE),TRUE))</f>
        <v>1</v>
      </c>
      <c r="N1564" s="9" t="str">
        <f>IF(F1564="","",IF($F$2=入力リスト!$Q$4,ROUNDDOWN(INT(F1564)+ROUNDDOWN((F1564-INT(F1564))*100,0)/60,2),従業員の給与情報!F1564))</f>
        <v/>
      </c>
      <c r="O1564" s="8"/>
      <c r="P1564" s="8"/>
    </row>
    <row r="1565" spans="1:16">
      <c r="A1565" s="119"/>
      <c r="B1565" s="2"/>
      <c r="C1565" s="3"/>
      <c r="D1565" s="3"/>
      <c r="E1565" s="3"/>
      <c r="F1565" s="9"/>
      <c r="G1565" s="248" t="str">
        <f t="shared" si="120"/>
        <v/>
      </c>
      <c r="H1565" s="1" t="b">
        <f>IF(B1565="",FALSE,COUNTIF('従業員情報(給与以外)'!$A$4:$A$1000000,$B1565)=0)</f>
        <v>0</v>
      </c>
      <c r="I1565" s="9" t="b">
        <f t="shared" si="121"/>
        <v>1</v>
      </c>
      <c r="J1565" s="9" t="b">
        <f t="shared" si="122"/>
        <v>1</v>
      </c>
      <c r="K1565" s="9" t="b">
        <f t="shared" si="123"/>
        <v>1</v>
      </c>
      <c r="L1565" s="9" t="b">
        <f t="shared" si="124"/>
        <v>1</v>
      </c>
      <c r="M1565" s="1" t="b">
        <f>IF(OR(入力シート!$C$5&lt;&gt;入力リスト!$N$4,入力シート!$J$22&lt;&gt;入力リスト!$K$4),TRUE,IF($F$2=入力リスト!$Q$4,IF(F1565-INT(F1565)&lt;0.6,TRUE,FALSE),TRUE))</f>
        <v>1</v>
      </c>
      <c r="N1565" s="9" t="str">
        <f>IF(F1565="","",IF($F$2=入力リスト!$Q$4,ROUNDDOWN(INT(F1565)+ROUNDDOWN((F1565-INT(F1565))*100,0)/60,2),従業員の給与情報!F1565))</f>
        <v/>
      </c>
      <c r="O1565" s="8"/>
      <c r="P1565" s="8"/>
    </row>
    <row r="1566" spans="1:16">
      <c r="A1566" s="119"/>
      <c r="B1566" s="2"/>
      <c r="C1566" s="3"/>
      <c r="D1566" s="3"/>
      <c r="E1566" s="3"/>
      <c r="F1566" s="9"/>
      <c r="G1566" s="248" t="str">
        <f t="shared" si="120"/>
        <v/>
      </c>
      <c r="H1566" s="1" t="b">
        <f>IF(B1566="",FALSE,COUNTIF('従業員情報(給与以外)'!$A$4:$A$1000000,$B1566)=0)</f>
        <v>0</v>
      </c>
      <c r="I1566" s="9" t="b">
        <f t="shared" si="121"/>
        <v>1</v>
      </c>
      <c r="J1566" s="9" t="b">
        <f t="shared" si="122"/>
        <v>1</v>
      </c>
      <c r="K1566" s="9" t="b">
        <f t="shared" si="123"/>
        <v>1</v>
      </c>
      <c r="L1566" s="9" t="b">
        <f t="shared" si="124"/>
        <v>1</v>
      </c>
      <c r="M1566" s="1" t="b">
        <f>IF(OR(入力シート!$C$5&lt;&gt;入力リスト!$N$4,入力シート!$J$22&lt;&gt;入力リスト!$K$4),TRUE,IF($F$2=入力リスト!$Q$4,IF(F1566-INT(F1566)&lt;0.6,TRUE,FALSE),TRUE))</f>
        <v>1</v>
      </c>
      <c r="N1566" s="9" t="str">
        <f>IF(F1566="","",IF($F$2=入力リスト!$Q$4,ROUNDDOWN(INT(F1566)+ROUNDDOWN((F1566-INT(F1566))*100,0)/60,2),従業員の給与情報!F1566))</f>
        <v/>
      </c>
      <c r="O1566" s="8"/>
      <c r="P1566" s="8"/>
    </row>
    <row r="1567" spans="1:16">
      <c r="A1567" s="119"/>
      <c r="B1567" s="2"/>
      <c r="C1567" s="3"/>
      <c r="D1567" s="3"/>
      <c r="E1567" s="3"/>
      <c r="F1567" s="9"/>
      <c r="G1567" s="248" t="str">
        <f t="shared" si="120"/>
        <v/>
      </c>
      <c r="H1567" s="1" t="b">
        <f>IF(B1567="",FALSE,COUNTIF('従業員情報(給与以外)'!$A$4:$A$1000000,$B1567)=0)</f>
        <v>0</v>
      </c>
      <c r="I1567" s="9" t="b">
        <f t="shared" si="121"/>
        <v>1</v>
      </c>
      <c r="J1567" s="9" t="b">
        <f t="shared" si="122"/>
        <v>1</v>
      </c>
      <c r="K1567" s="9" t="b">
        <f t="shared" si="123"/>
        <v>1</v>
      </c>
      <c r="L1567" s="9" t="b">
        <f t="shared" si="124"/>
        <v>1</v>
      </c>
      <c r="M1567" s="1" t="b">
        <f>IF(OR(入力シート!$C$5&lt;&gt;入力リスト!$N$4,入力シート!$J$22&lt;&gt;入力リスト!$K$4),TRUE,IF($F$2=入力リスト!$Q$4,IF(F1567-INT(F1567)&lt;0.6,TRUE,FALSE),TRUE))</f>
        <v>1</v>
      </c>
      <c r="N1567" s="9" t="str">
        <f>IF(F1567="","",IF($F$2=入力リスト!$Q$4,ROUNDDOWN(INT(F1567)+ROUNDDOWN((F1567-INT(F1567))*100,0)/60,2),従業員の給与情報!F1567))</f>
        <v/>
      </c>
      <c r="O1567" s="8"/>
      <c r="P1567" s="8"/>
    </row>
    <row r="1568" spans="1:16">
      <c r="A1568" s="119"/>
      <c r="B1568" s="2"/>
      <c r="C1568" s="3"/>
      <c r="D1568" s="3"/>
      <c r="E1568" s="3"/>
      <c r="F1568" s="9"/>
      <c r="G1568" s="248" t="str">
        <f t="shared" si="120"/>
        <v/>
      </c>
      <c r="H1568" s="1" t="b">
        <f>IF(B1568="",FALSE,COUNTIF('従業員情報(給与以外)'!$A$4:$A$1000000,$B1568)=0)</f>
        <v>0</v>
      </c>
      <c r="I1568" s="9" t="b">
        <f t="shared" si="121"/>
        <v>1</v>
      </c>
      <c r="J1568" s="9" t="b">
        <f t="shared" si="122"/>
        <v>1</v>
      </c>
      <c r="K1568" s="9" t="b">
        <f t="shared" si="123"/>
        <v>1</v>
      </c>
      <c r="L1568" s="9" t="b">
        <f t="shared" si="124"/>
        <v>1</v>
      </c>
      <c r="M1568" s="1" t="b">
        <f>IF(OR(入力シート!$C$5&lt;&gt;入力リスト!$N$4,入力シート!$J$22&lt;&gt;入力リスト!$K$4),TRUE,IF($F$2=入力リスト!$Q$4,IF(F1568-INT(F1568)&lt;0.6,TRUE,FALSE),TRUE))</f>
        <v>1</v>
      </c>
      <c r="N1568" s="9" t="str">
        <f>IF(F1568="","",IF($F$2=入力リスト!$Q$4,ROUNDDOWN(INT(F1568)+ROUNDDOWN((F1568-INT(F1568))*100,0)/60,2),従業員の給与情報!F1568))</f>
        <v/>
      </c>
      <c r="O1568" s="8"/>
      <c r="P1568" s="8"/>
    </row>
    <row r="1569" spans="1:16">
      <c r="A1569" s="119"/>
      <c r="B1569" s="2"/>
      <c r="C1569" s="3"/>
      <c r="D1569" s="3"/>
      <c r="E1569" s="3"/>
      <c r="F1569" s="9"/>
      <c r="G1569" s="248" t="str">
        <f t="shared" si="120"/>
        <v/>
      </c>
      <c r="H1569" s="1" t="b">
        <f>IF(B1569="",FALSE,COUNTIF('従業員情報(給与以外)'!$A$4:$A$1000000,$B1569)=0)</f>
        <v>0</v>
      </c>
      <c r="I1569" s="9" t="b">
        <f t="shared" si="121"/>
        <v>1</v>
      </c>
      <c r="J1569" s="9" t="b">
        <f t="shared" si="122"/>
        <v>1</v>
      </c>
      <c r="K1569" s="9" t="b">
        <f t="shared" si="123"/>
        <v>1</v>
      </c>
      <c r="L1569" s="9" t="b">
        <f t="shared" si="124"/>
        <v>1</v>
      </c>
      <c r="M1569" s="1" t="b">
        <f>IF(OR(入力シート!$C$5&lt;&gt;入力リスト!$N$4,入力シート!$J$22&lt;&gt;入力リスト!$K$4),TRUE,IF($F$2=入力リスト!$Q$4,IF(F1569-INT(F1569)&lt;0.6,TRUE,FALSE),TRUE))</f>
        <v>1</v>
      </c>
      <c r="N1569" s="9" t="str">
        <f>IF(F1569="","",IF($F$2=入力リスト!$Q$4,ROUNDDOWN(INT(F1569)+ROUNDDOWN((F1569-INT(F1569))*100,0)/60,2),従業員の給与情報!F1569))</f>
        <v/>
      </c>
      <c r="O1569" s="8"/>
      <c r="P1569" s="8"/>
    </row>
    <row r="1570" spans="1:16">
      <c r="A1570" s="119"/>
      <c r="B1570" s="2"/>
      <c r="C1570" s="3"/>
      <c r="D1570" s="3"/>
      <c r="E1570" s="3"/>
      <c r="F1570" s="9"/>
      <c r="G1570" s="248" t="str">
        <f t="shared" si="120"/>
        <v/>
      </c>
      <c r="H1570" s="1" t="b">
        <f>IF(B1570="",FALSE,COUNTIF('従業員情報(給与以外)'!$A$4:$A$1000000,$B1570)=0)</f>
        <v>0</v>
      </c>
      <c r="I1570" s="9" t="b">
        <f t="shared" si="121"/>
        <v>1</v>
      </c>
      <c r="J1570" s="9" t="b">
        <f t="shared" si="122"/>
        <v>1</v>
      </c>
      <c r="K1570" s="9" t="b">
        <f t="shared" si="123"/>
        <v>1</v>
      </c>
      <c r="L1570" s="9" t="b">
        <f t="shared" si="124"/>
        <v>1</v>
      </c>
      <c r="M1570" s="1" t="b">
        <f>IF(OR(入力シート!$C$5&lt;&gt;入力リスト!$N$4,入力シート!$J$22&lt;&gt;入力リスト!$K$4),TRUE,IF($F$2=入力リスト!$Q$4,IF(F1570-INT(F1570)&lt;0.6,TRUE,FALSE),TRUE))</f>
        <v>1</v>
      </c>
      <c r="N1570" s="9" t="str">
        <f>IF(F1570="","",IF($F$2=入力リスト!$Q$4,ROUNDDOWN(INT(F1570)+ROUNDDOWN((F1570-INT(F1570))*100,0)/60,2),従業員の給与情報!F1570))</f>
        <v/>
      </c>
      <c r="O1570" s="8"/>
      <c r="P1570" s="8"/>
    </row>
    <row r="1571" spans="1:16">
      <c r="A1571" s="119"/>
      <c r="B1571" s="2"/>
      <c r="C1571" s="3"/>
      <c r="D1571" s="3"/>
      <c r="E1571" s="3"/>
      <c r="F1571" s="9"/>
      <c r="G1571" s="248" t="str">
        <f t="shared" si="120"/>
        <v/>
      </c>
      <c r="H1571" s="1" t="b">
        <f>IF(B1571="",FALSE,COUNTIF('従業員情報(給与以外)'!$A$4:$A$1000000,$B1571)=0)</f>
        <v>0</v>
      </c>
      <c r="I1571" s="9" t="b">
        <f t="shared" si="121"/>
        <v>1</v>
      </c>
      <c r="J1571" s="9" t="b">
        <f t="shared" si="122"/>
        <v>1</v>
      </c>
      <c r="K1571" s="9" t="b">
        <f t="shared" si="123"/>
        <v>1</v>
      </c>
      <c r="L1571" s="9" t="b">
        <f t="shared" si="124"/>
        <v>1</v>
      </c>
      <c r="M1571" s="1" t="b">
        <f>IF(OR(入力シート!$C$5&lt;&gt;入力リスト!$N$4,入力シート!$J$22&lt;&gt;入力リスト!$K$4),TRUE,IF($F$2=入力リスト!$Q$4,IF(F1571-INT(F1571)&lt;0.6,TRUE,FALSE),TRUE))</f>
        <v>1</v>
      </c>
      <c r="N1571" s="9" t="str">
        <f>IF(F1571="","",IF($F$2=入力リスト!$Q$4,ROUNDDOWN(INT(F1571)+ROUNDDOWN((F1571-INT(F1571))*100,0)/60,2),従業員の給与情報!F1571))</f>
        <v/>
      </c>
      <c r="O1571" s="8"/>
      <c r="P1571" s="8"/>
    </row>
    <row r="1572" spans="1:16">
      <c r="A1572" s="119"/>
      <c r="B1572" s="2"/>
      <c r="C1572" s="3"/>
      <c r="D1572" s="3"/>
      <c r="E1572" s="3"/>
      <c r="F1572" s="9"/>
      <c r="G1572" s="248" t="str">
        <f t="shared" si="120"/>
        <v/>
      </c>
      <c r="H1572" s="1" t="b">
        <f>IF(B1572="",FALSE,COUNTIF('従業員情報(給与以外)'!$A$4:$A$1000000,$B1572)=0)</f>
        <v>0</v>
      </c>
      <c r="I1572" s="9" t="b">
        <f t="shared" si="121"/>
        <v>1</v>
      </c>
      <c r="J1572" s="9" t="b">
        <f t="shared" si="122"/>
        <v>1</v>
      </c>
      <c r="K1572" s="9" t="b">
        <f t="shared" si="123"/>
        <v>1</v>
      </c>
      <c r="L1572" s="9" t="b">
        <f t="shared" si="124"/>
        <v>1</v>
      </c>
      <c r="M1572" s="1" t="b">
        <f>IF(OR(入力シート!$C$5&lt;&gt;入力リスト!$N$4,入力シート!$J$22&lt;&gt;入力リスト!$K$4),TRUE,IF($F$2=入力リスト!$Q$4,IF(F1572-INT(F1572)&lt;0.6,TRUE,FALSE),TRUE))</f>
        <v>1</v>
      </c>
      <c r="N1572" s="9" t="str">
        <f>IF(F1572="","",IF($F$2=入力リスト!$Q$4,ROUNDDOWN(INT(F1572)+ROUNDDOWN((F1572-INT(F1572))*100,0)/60,2),従業員の給与情報!F1572))</f>
        <v/>
      </c>
      <c r="O1572" s="8"/>
      <c r="P1572" s="8"/>
    </row>
    <row r="1573" spans="1:16">
      <c r="A1573" s="119"/>
      <c r="B1573" s="2"/>
      <c r="C1573" s="3"/>
      <c r="D1573" s="3"/>
      <c r="E1573" s="3"/>
      <c r="F1573" s="9"/>
      <c r="G1573" s="248" t="str">
        <f t="shared" si="120"/>
        <v/>
      </c>
      <c r="H1573" s="1" t="b">
        <f>IF(B1573="",FALSE,COUNTIF('従業員情報(給与以外)'!$A$4:$A$1000000,$B1573)=0)</f>
        <v>0</v>
      </c>
      <c r="I1573" s="9" t="b">
        <f t="shared" si="121"/>
        <v>1</v>
      </c>
      <c r="J1573" s="9" t="b">
        <f t="shared" si="122"/>
        <v>1</v>
      </c>
      <c r="K1573" s="9" t="b">
        <f t="shared" si="123"/>
        <v>1</v>
      </c>
      <c r="L1573" s="9" t="b">
        <f t="shared" si="124"/>
        <v>1</v>
      </c>
      <c r="M1573" s="1" t="b">
        <f>IF(OR(入力シート!$C$5&lt;&gt;入力リスト!$N$4,入力シート!$J$22&lt;&gt;入力リスト!$K$4),TRUE,IF($F$2=入力リスト!$Q$4,IF(F1573-INT(F1573)&lt;0.6,TRUE,FALSE),TRUE))</f>
        <v>1</v>
      </c>
      <c r="N1573" s="9" t="str">
        <f>IF(F1573="","",IF($F$2=入力リスト!$Q$4,ROUNDDOWN(INT(F1573)+ROUNDDOWN((F1573-INT(F1573))*100,0)/60,2),従業員の給与情報!F1573))</f>
        <v/>
      </c>
      <c r="O1573" s="8"/>
      <c r="P1573" s="8"/>
    </row>
    <row r="1574" spans="1:16">
      <c r="A1574" s="119"/>
      <c r="B1574" s="2"/>
      <c r="C1574" s="3"/>
      <c r="D1574" s="3"/>
      <c r="E1574" s="3"/>
      <c r="F1574" s="9"/>
      <c r="G1574" s="248" t="str">
        <f t="shared" si="120"/>
        <v/>
      </c>
      <c r="H1574" s="1" t="b">
        <f>IF(B1574="",FALSE,COUNTIF('従業員情報(給与以外)'!$A$4:$A$1000000,$B1574)=0)</f>
        <v>0</v>
      </c>
      <c r="I1574" s="9" t="b">
        <f t="shared" si="121"/>
        <v>1</v>
      </c>
      <c r="J1574" s="9" t="b">
        <f t="shared" si="122"/>
        <v>1</v>
      </c>
      <c r="K1574" s="9" t="b">
        <f t="shared" si="123"/>
        <v>1</v>
      </c>
      <c r="L1574" s="9" t="b">
        <f t="shared" si="124"/>
        <v>1</v>
      </c>
      <c r="M1574" s="1" t="b">
        <f>IF(OR(入力シート!$C$5&lt;&gt;入力リスト!$N$4,入力シート!$J$22&lt;&gt;入力リスト!$K$4),TRUE,IF($F$2=入力リスト!$Q$4,IF(F1574-INT(F1574)&lt;0.6,TRUE,FALSE),TRUE))</f>
        <v>1</v>
      </c>
      <c r="N1574" s="9" t="str">
        <f>IF(F1574="","",IF($F$2=入力リスト!$Q$4,ROUNDDOWN(INT(F1574)+ROUNDDOWN((F1574-INT(F1574))*100,0)/60,2),従業員の給与情報!F1574))</f>
        <v/>
      </c>
      <c r="O1574" s="8"/>
      <c r="P1574" s="8"/>
    </row>
    <row r="1575" spans="1:16">
      <c r="A1575" s="119"/>
      <c r="B1575" s="2"/>
      <c r="C1575" s="3"/>
      <c r="D1575" s="3"/>
      <c r="E1575" s="3"/>
      <c r="F1575" s="9"/>
      <c r="G1575" s="248" t="str">
        <f t="shared" si="120"/>
        <v/>
      </c>
      <c r="H1575" s="1" t="b">
        <f>IF(B1575="",FALSE,COUNTIF('従業員情報(給与以外)'!$A$4:$A$1000000,$B1575)=0)</f>
        <v>0</v>
      </c>
      <c r="I1575" s="9" t="b">
        <f t="shared" si="121"/>
        <v>1</v>
      </c>
      <c r="J1575" s="9" t="b">
        <f t="shared" si="122"/>
        <v>1</v>
      </c>
      <c r="K1575" s="9" t="b">
        <f t="shared" si="123"/>
        <v>1</v>
      </c>
      <c r="L1575" s="9" t="b">
        <f t="shared" si="124"/>
        <v>1</v>
      </c>
      <c r="M1575" s="1" t="b">
        <f>IF(OR(入力シート!$C$5&lt;&gt;入力リスト!$N$4,入力シート!$J$22&lt;&gt;入力リスト!$K$4),TRUE,IF($F$2=入力リスト!$Q$4,IF(F1575-INT(F1575)&lt;0.6,TRUE,FALSE),TRUE))</f>
        <v>1</v>
      </c>
      <c r="N1575" s="9" t="str">
        <f>IF(F1575="","",IF($F$2=入力リスト!$Q$4,ROUNDDOWN(INT(F1575)+ROUNDDOWN((F1575-INT(F1575))*100,0)/60,2),従業員の給与情報!F1575))</f>
        <v/>
      </c>
      <c r="O1575" s="8"/>
      <c r="P1575" s="8"/>
    </row>
    <row r="1576" spans="1:16">
      <c r="A1576" s="119"/>
      <c r="B1576" s="2"/>
      <c r="C1576" s="3"/>
      <c r="D1576" s="3"/>
      <c r="E1576" s="3"/>
      <c r="F1576" s="9"/>
      <c r="G1576" s="248" t="str">
        <f t="shared" si="120"/>
        <v/>
      </c>
      <c r="H1576" s="1" t="b">
        <f>IF(B1576="",FALSE,COUNTIF('従業員情報(給与以外)'!$A$4:$A$1000000,$B1576)=0)</f>
        <v>0</v>
      </c>
      <c r="I1576" s="9" t="b">
        <f t="shared" si="121"/>
        <v>1</v>
      </c>
      <c r="J1576" s="9" t="b">
        <f t="shared" si="122"/>
        <v>1</v>
      </c>
      <c r="K1576" s="9" t="b">
        <f t="shared" si="123"/>
        <v>1</v>
      </c>
      <c r="L1576" s="9" t="b">
        <f t="shared" si="124"/>
        <v>1</v>
      </c>
      <c r="M1576" s="1" t="b">
        <f>IF(OR(入力シート!$C$5&lt;&gt;入力リスト!$N$4,入力シート!$J$22&lt;&gt;入力リスト!$K$4),TRUE,IF($F$2=入力リスト!$Q$4,IF(F1576-INT(F1576)&lt;0.6,TRUE,FALSE),TRUE))</f>
        <v>1</v>
      </c>
      <c r="N1576" s="9" t="str">
        <f>IF(F1576="","",IF($F$2=入力リスト!$Q$4,ROUNDDOWN(INT(F1576)+ROUNDDOWN((F1576-INT(F1576))*100,0)/60,2),従業員の給与情報!F1576))</f>
        <v/>
      </c>
      <c r="O1576" s="8"/>
      <c r="P1576" s="8"/>
    </row>
    <row r="1577" spans="1:16">
      <c r="A1577" s="119"/>
      <c r="B1577" s="2"/>
      <c r="C1577" s="3"/>
      <c r="D1577" s="3"/>
      <c r="E1577" s="3"/>
      <c r="F1577" s="9"/>
      <c r="G1577" s="248" t="str">
        <f t="shared" si="120"/>
        <v/>
      </c>
      <c r="H1577" s="1" t="b">
        <f>IF(B1577="",FALSE,COUNTIF('従業員情報(給与以外)'!$A$4:$A$1000000,$B1577)=0)</f>
        <v>0</v>
      </c>
      <c r="I1577" s="9" t="b">
        <f t="shared" si="121"/>
        <v>1</v>
      </c>
      <c r="J1577" s="9" t="b">
        <f t="shared" si="122"/>
        <v>1</v>
      </c>
      <c r="K1577" s="9" t="b">
        <f t="shared" si="123"/>
        <v>1</v>
      </c>
      <c r="L1577" s="9" t="b">
        <f t="shared" si="124"/>
        <v>1</v>
      </c>
      <c r="M1577" s="1" t="b">
        <f>IF(OR(入力シート!$C$5&lt;&gt;入力リスト!$N$4,入力シート!$J$22&lt;&gt;入力リスト!$K$4),TRUE,IF($F$2=入力リスト!$Q$4,IF(F1577-INT(F1577)&lt;0.6,TRUE,FALSE),TRUE))</f>
        <v>1</v>
      </c>
      <c r="N1577" s="9" t="str">
        <f>IF(F1577="","",IF($F$2=入力リスト!$Q$4,ROUNDDOWN(INT(F1577)+ROUNDDOWN((F1577-INT(F1577))*100,0)/60,2),従業員の給与情報!F1577))</f>
        <v/>
      </c>
      <c r="O1577" s="8"/>
      <c r="P1577" s="8"/>
    </row>
    <row r="1578" spans="1:16">
      <c r="A1578" s="119"/>
      <c r="B1578" s="2"/>
      <c r="C1578" s="3"/>
      <c r="D1578" s="3"/>
      <c r="E1578" s="3"/>
      <c r="F1578" s="9"/>
      <c r="G1578" s="248" t="str">
        <f t="shared" si="120"/>
        <v/>
      </c>
      <c r="H1578" s="1" t="b">
        <f>IF(B1578="",FALSE,COUNTIF('従業員情報(給与以外)'!$A$4:$A$1000000,$B1578)=0)</f>
        <v>0</v>
      </c>
      <c r="I1578" s="9" t="b">
        <f t="shared" si="121"/>
        <v>1</v>
      </c>
      <c r="J1578" s="9" t="b">
        <f t="shared" si="122"/>
        <v>1</v>
      </c>
      <c r="K1578" s="9" t="b">
        <f t="shared" si="123"/>
        <v>1</v>
      </c>
      <c r="L1578" s="9" t="b">
        <f t="shared" si="124"/>
        <v>1</v>
      </c>
      <c r="M1578" s="1" t="b">
        <f>IF(OR(入力シート!$C$5&lt;&gt;入力リスト!$N$4,入力シート!$J$22&lt;&gt;入力リスト!$K$4),TRUE,IF($F$2=入力リスト!$Q$4,IF(F1578-INT(F1578)&lt;0.6,TRUE,FALSE),TRUE))</f>
        <v>1</v>
      </c>
      <c r="N1578" s="9" t="str">
        <f>IF(F1578="","",IF($F$2=入力リスト!$Q$4,ROUNDDOWN(INT(F1578)+ROUNDDOWN((F1578-INT(F1578))*100,0)/60,2),従業員の給与情報!F1578))</f>
        <v/>
      </c>
      <c r="O1578" s="8"/>
      <c r="P1578" s="8"/>
    </row>
    <row r="1579" spans="1:16">
      <c r="A1579" s="119"/>
      <c r="B1579" s="2"/>
      <c r="C1579" s="3"/>
      <c r="D1579" s="3"/>
      <c r="E1579" s="3"/>
      <c r="F1579" s="9"/>
      <c r="G1579" s="248" t="str">
        <f t="shared" si="120"/>
        <v/>
      </c>
      <c r="H1579" s="1" t="b">
        <f>IF(B1579="",FALSE,COUNTIF('従業員情報(給与以外)'!$A$4:$A$1000000,$B1579)=0)</f>
        <v>0</v>
      </c>
      <c r="I1579" s="9" t="b">
        <f t="shared" si="121"/>
        <v>1</v>
      </c>
      <c r="J1579" s="9" t="b">
        <f t="shared" si="122"/>
        <v>1</v>
      </c>
      <c r="K1579" s="9" t="b">
        <f t="shared" si="123"/>
        <v>1</v>
      </c>
      <c r="L1579" s="9" t="b">
        <f t="shared" si="124"/>
        <v>1</v>
      </c>
      <c r="M1579" s="1" t="b">
        <f>IF(OR(入力シート!$C$5&lt;&gt;入力リスト!$N$4,入力シート!$J$22&lt;&gt;入力リスト!$K$4),TRUE,IF($F$2=入力リスト!$Q$4,IF(F1579-INT(F1579)&lt;0.6,TRUE,FALSE),TRUE))</f>
        <v>1</v>
      </c>
      <c r="N1579" s="9" t="str">
        <f>IF(F1579="","",IF($F$2=入力リスト!$Q$4,ROUNDDOWN(INT(F1579)+ROUNDDOWN((F1579-INT(F1579))*100,0)/60,2),従業員の給与情報!F1579))</f>
        <v/>
      </c>
      <c r="O1579" s="8"/>
      <c r="P1579" s="8"/>
    </row>
    <row r="1580" spans="1:16">
      <c r="A1580" s="119"/>
      <c r="B1580" s="2"/>
      <c r="C1580" s="3"/>
      <c r="D1580" s="3"/>
      <c r="E1580" s="3"/>
      <c r="F1580" s="9"/>
      <c r="G1580" s="248" t="str">
        <f t="shared" si="120"/>
        <v/>
      </c>
      <c r="H1580" s="1" t="b">
        <f>IF(B1580="",FALSE,COUNTIF('従業員情報(給与以外)'!$A$4:$A$1000000,$B1580)=0)</f>
        <v>0</v>
      </c>
      <c r="I1580" s="9" t="b">
        <f t="shared" si="121"/>
        <v>1</v>
      </c>
      <c r="J1580" s="9" t="b">
        <f t="shared" si="122"/>
        <v>1</v>
      </c>
      <c r="K1580" s="9" t="b">
        <f t="shared" si="123"/>
        <v>1</v>
      </c>
      <c r="L1580" s="9" t="b">
        <f t="shared" si="124"/>
        <v>1</v>
      </c>
      <c r="M1580" s="1" t="b">
        <f>IF(OR(入力シート!$C$5&lt;&gt;入力リスト!$N$4,入力シート!$J$22&lt;&gt;入力リスト!$K$4),TRUE,IF($F$2=入力リスト!$Q$4,IF(F1580-INT(F1580)&lt;0.6,TRUE,FALSE),TRUE))</f>
        <v>1</v>
      </c>
      <c r="N1580" s="9" t="str">
        <f>IF(F1580="","",IF($F$2=入力リスト!$Q$4,ROUNDDOWN(INT(F1580)+ROUNDDOWN((F1580-INT(F1580))*100,0)/60,2),従業員の給与情報!F1580))</f>
        <v/>
      </c>
      <c r="O1580" s="8"/>
      <c r="P1580" s="8"/>
    </row>
    <row r="1581" spans="1:16">
      <c r="A1581" s="119"/>
      <c r="B1581" s="2"/>
      <c r="C1581" s="3"/>
      <c r="D1581" s="3"/>
      <c r="E1581" s="3"/>
      <c r="F1581" s="9"/>
      <c r="G1581" s="248" t="str">
        <f t="shared" si="120"/>
        <v/>
      </c>
      <c r="H1581" s="1" t="b">
        <f>IF(B1581="",FALSE,COUNTIF('従業員情報(給与以外)'!$A$4:$A$1000000,$B1581)=0)</f>
        <v>0</v>
      </c>
      <c r="I1581" s="9" t="b">
        <f t="shared" si="121"/>
        <v>1</v>
      </c>
      <c r="J1581" s="9" t="b">
        <f t="shared" si="122"/>
        <v>1</v>
      </c>
      <c r="K1581" s="9" t="b">
        <f t="shared" si="123"/>
        <v>1</v>
      </c>
      <c r="L1581" s="9" t="b">
        <f t="shared" si="124"/>
        <v>1</v>
      </c>
      <c r="M1581" s="1" t="b">
        <f>IF(OR(入力シート!$C$5&lt;&gt;入力リスト!$N$4,入力シート!$J$22&lt;&gt;入力リスト!$K$4),TRUE,IF($F$2=入力リスト!$Q$4,IF(F1581-INT(F1581)&lt;0.6,TRUE,FALSE),TRUE))</f>
        <v>1</v>
      </c>
      <c r="N1581" s="9" t="str">
        <f>IF(F1581="","",IF($F$2=入力リスト!$Q$4,ROUNDDOWN(INT(F1581)+ROUNDDOWN((F1581-INT(F1581))*100,0)/60,2),従業員の給与情報!F1581))</f>
        <v/>
      </c>
      <c r="O1581" s="8"/>
      <c r="P1581" s="8"/>
    </row>
    <row r="1582" spans="1:16">
      <c r="A1582" s="119"/>
      <c r="B1582" s="2"/>
      <c r="C1582" s="3"/>
      <c r="D1582" s="3"/>
      <c r="E1582" s="3"/>
      <c r="F1582" s="9"/>
      <c r="G1582" s="248" t="str">
        <f t="shared" si="120"/>
        <v/>
      </c>
      <c r="H1582" s="1" t="b">
        <f>IF(B1582="",FALSE,COUNTIF('従業員情報(給与以外)'!$A$4:$A$1000000,$B1582)=0)</f>
        <v>0</v>
      </c>
      <c r="I1582" s="9" t="b">
        <f t="shared" si="121"/>
        <v>1</v>
      </c>
      <c r="J1582" s="9" t="b">
        <f t="shared" si="122"/>
        <v>1</v>
      </c>
      <c r="K1582" s="9" t="b">
        <f t="shared" si="123"/>
        <v>1</v>
      </c>
      <c r="L1582" s="9" t="b">
        <f t="shared" si="124"/>
        <v>1</v>
      </c>
      <c r="M1582" s="1" t="b">
        <f>IF(OR(入力シート!$C$5&lt;&gt;入力リスト!$N$4,入力シート!$J$22&lt;&gt;入力リスト!$K$4),TRUE,IF($F$2=入力リスト!$Q$4,IF(F1582-INT(F1582)&lt;0.6,TRUE,FALSE),TRUE))</f>
        <v>1</v>
      </c>
      <c r="N1582" s="9" t="str">
        <f>IF(F1582="","",IF($F$2=入力リスト!$Q$4,ROUNDDOWN(INT(F1582)+ROUNDDOWN((F1582-INT(F1582))*100,0)/60,2),従業員の給与情報!F1582))</f>
        <v/>
      </c>
      <c r="O1582" s="8"/>
      <c r="P1582" s="8"/>
    </row>
    <row r="1583" spans="1:16">
      <c r="A1583" s="119"/>
      <c r="B1583" s="2"/>
      <c r="C1583" s="3"/>
      <c r="D1583" s="3"/>
      <c r="E1583" s="3"/>
      <c r="F1583" s="9"/>
      <c r="G1583" s="248" t="str">
        <f t="shared" si="120"/>
        <v/>
      </c>
      <c r="H1583" s="1" t="b">
        <f>IF(B1583="",FALSE,COUNTIF('従業員情報(給与以外)'!$A$4:$A$1000000,$B1583)=0)</f>
        <v>0</v>
      </c>
      <c r="I1583" s="9" t="b">
        <f t="shared" si="121"/>
        <v>1</v>
      </c>
      <c r="J1583" s="9" t="b">
        <f t="shared" si="122"/>
        <v>1</v>
      </c>
      <c r="K1583" s="9" t="b">
        <f t="shared" si="123"/>
        <v>1</v>
      </c>
      <c r="L1583" s="9" t="b">
        <f t="shared" si="124"/>
        <v>1</v>
      </c>
      <c r="M1583" s="1" t="b">
        <f>IF(OR(入力シート!$C$5&lt;&gt;入力リスト!$N$4,入力シート!$J$22&lt;&gt;入力リスト!$K$4),TRUE,IF($F$2=入力リスト!$Q$4,IF(F1583-INT(F1583)&lt;0.6,TRUE,FALSE),TRUE))</f>
        <v>1</v>
      </c>
      <c r="N1583" s="9" t="str">
        <f>IF(F1583="","",IF($F$2=入力リスト!$Q$4,ROUNDDOWN(INT(F1583)+ROUNDDOWN((F1583-INT(F1583))*100,0)/60,2),従業員の給与情報!F1583))</f>
        <v/>
      </c>
      <c r="O1583" s="8"/>
      <c r="P1583" s="8"/>
    </row>
    <row r="1584" spans="1:16">
      <c r="A1584" s="119"/>
      <c r="B1584" s="2"/>
      <c r="C1584" s="3"/>
      <c r="D1584" s="3"/>
      <c r="E1584" s="3"/>
      <c r="F1584" s="9"/>
      <c r="G1584" s="248" t="str">
        <f t="shared" si="120"/>
        <v/>
      </c>
      <c r="H1584" s="1" t="b">
        <f>IF(B1584="",FALSE,COUNTIF('従業員情報(給与以外)'!$A$4:$A$1000000,$B1584)=0)</f>
        <v>0</v>
      </c>
      <c r="I1584" s="9" t="b">
        <f t="shared" si="121"/>
        <v>1</v>
      </c>
      <c r="J1584" s="9" t="b">
        <f t="shared" si="122"/>
        <v>1</v>
      </c>
      <c r="K1584" s="9" t="b">
        <f t="shared" si="123"/>
        <v>1</v>
      </c>
      <c r="L1584" s="9" t="b">
        <f t="shared" si="124"/>
        <v>1</v>
      </c>
      <c r="M1584" s="1" t="b">
        <f>IF(OR(入力シート!$C$5&lt;&gt;入力リスト!$N$4,入力シート!$J$22&lt;&gt;入力リスト!$K$4),TRUE,IF($F$2=入力リスト!$Q$4,IF(F1584-INT(F1584)&lt;0.6,TRUE,FALSE),TRUE))</f>
        <v>1</v>
      </c>
      <c r="N1584" s="9" t="str">
        <f>IF(F1584="","",IF($F$2=入力リスト!$Q$4,ROUNDDOWN(INT(F1584)+ROUNDDOWN((F1584-INT(F1584))*100,0)/60,2),従業員の給与情報!F1584))</f>
        <v/>
      </c>
      <c r="O1584" s="8"/>
      <c r="P1584" s="8"/>
    </row>
    <row r="1585" spans="1:16">
      <c r="A1585" s="119"/>
      <c r="B1585" s="2"/>
      <c r="C1585" s="3"/>
      <c r="D1585" s="3"/>
      <c r="E1585" s="3"/>
      <c r="F1585" s="9"/>
      <c r="G1585" s="248" t="str">
        <f t="shared" si="120"/>
        <v/>
      </c>
      <c r="H1585" s="1" t="b">
        <f>IF(B1585="",FALSE,COUNTIF('従業員情報(給与以外)'!$A$4:$A$1000000,$B1585)=0)</f>
        <v>0</v>
      </c>
      <c r="I1585" s="9" t="b">
        <f t="shared" si="121"/>
        <v>1</v>
      </c>
      <c r="J1585" s="9" t="b">
        <f t="shared" si="122"/>
        <v>1</v>
      </c>
      <c r="K1585" s="9" t="b">
        <f t="shared" si="123"/>
        <v>1</v>
      </c>
      <c r="L1585" s="9" t="b">
        <f t="shared" si="124"/>
        <v>1</v>
      </c>
      <c r="M1585" s="1" t="b">
        <f>IF(OR(入力シート!$C$5&lt;&gt;入力リスト!$N$4,入力シート!$J$22&lt;&gt;入力リスト!$K$4),TRUE,IF($F$2=入力リスト!$Q$4,IF(F1585-INT(F1585)&lt;0.6,TRUE,FALSE),TRUE))</f>
        <v>1</v>
      </c>
      <c r="N1585" s="9" t="str">
        <f>IF(F1585="","",IF($F$2=入力リスト!$Q$4,ROUNDDOWN(INT(F1585)+ROUNDDOWN((F1585-INT(F1585))*100,0)/60,2),従業員の給与情報!F1585))</f>
        <v/>
      </c>
      <c r="O1585" s="8"/>
      <c r="P1585" s="8"/>
    </row>
    <row r="1586" spans="1:16">
      <c r="A1586" s="119"/>
      <c r="B1586" s="2"/>
      <c r="C1586" s="3"/>
      <c r="D1586" s="3"/>
      <c r="E1586" s="3"/>
      <c r="F1586" s="9"/>
      <c r="G1586" s="248" t="str">
        <f t="shared" si="120"/>
        <v/>
      </c>
      <c r="H1586" s="1" t="b">
        <f>IF(B1586="",FALSE,COUNTIF('従業員情報(給与以外)'!$A$4:$A$1000000,$B1586)=0)</f>
        <v>0</v>
      </c>
      <c r="I1586" s="9" t="b">
        <f t="shared" si="121"/>
        <v>1</v>
      </c>
      <c r="J1586" s="9" t="b">
        <f t="shared" si="122"/>
        <v>1</v>
      </c>
      <c r="K1586" s="9" t="b">
        <f t="shared" si="123"/>
        <v>1</v>
      </c>
      <c r="L1586" s="9" t="b">
        <f t="shared" si="124"/>
        <v>1</v>
      </c>
      <c r="M1586" s="1" t="b">
        <f>IF(OR(入力シート!$C$5&lt;&gt;入力リスト!$N$4,入力シート!$J$22&lt;&gt;入力リスト!$K$4),TRUE,IF($F$2=入力リスト!$Q$4,IF(F1586-INT(F1586)&lt;0.6,TRUE,FALSE),TRUE))</f>
        <v>1</v>
      </c>
      <c r="N1586" s="9" t="str">
        <f>IF(F1586="","",IF($F$2=入力リスト!$Q$4,ROUNDDOWN(INT(F1586)+ROUNDDOWN((F1586-INT(F1586))*100,0)/60,2),従業員の給与情報!F1586))</f>
        <v/>
      </c>
      <c r="O1586" s="8"/>
      <c r="P1586" s="8"/>
    </row>
    <row r="1587" spans="1:16">
      <c r="A1587" s="119"/>
      <c r="B1587" s="2"/>
      <c r="C1587" s="3"/>
      <c r="D1587" s="3"/>
      <c r="E1587" s="3"/>
      <c r="F1587" s="9"/>
      <c r="G1587" s="248" t="str">
        <f t="shared" si="120"/>
        <v/>
      </c>
      <c r="H1587" s="1" t="b">
        <f>IF(B1587="",FALSE,COUNTIF('従業員情報(給与以外)'!$A$4:$A$1000000,$B1587)=0)</f>
        <v>0</v>
      </c>
      <c r="I1587" s="9" t="b">
        <f t="shared" si="121"/>
        <v>1</v>
      </c>
      <c r="J1587" s="9" t="b">
        <f t="shared" si="122"/>
        <v>1</v>
      </c>
      <c r="K1587" s="9" t="b">
        <f t="shared" si="123"/>
        <v>1</v>
      </c>
      <c r="L1587" s="9" t="b">
        <f t="shared" si="124"/>
        <v>1</v>
      </c>
      <c r="M1587" s="1" t="b">
        <f>IF(OR(入力シート!$C$5&lt;&gt;入力リスト!$N$4,入力シート!$J$22&lt;&gt;入力リスト!$K$4),TRUE,IF($F$2=入力リスト!$Q$4,IF(F1587-INT(F1587)&lt;0.6,TRUE,FALSE),TRUE))</f>
        <v>1</v>
      </c>
      <c r="N1587" s="9" t="str">
        <f>IF(F1587="","",IF($F$2=入力リスト!$Q$4,ROUNDDOWN(INT(F1587)+ROUNDDOWN((F1587-INT(F1587))*100,0)/60,2),従業員の給与情報!F1587))</f>
        <v/>
      </c>
      <c r="O1587" s="8"/>
      <c r="P1587" s="8"/>
    </row>
    <row r="1588" spans="1:16">
      <c r="A1588" s="119"/>
      <c r="B1588" s="2"/>
      <c r="C1588" s="3"/>
      <c r="D1588" s="3"/>
      <c r="E1588" s="3"/>
      <c r="F1588" s="9"/>
      <c r="G1588" s="248" t="str">
        <f t="shared" si="120"/>
        <v/>
      </c>
      <c r="H1588" s="1" t="b">
        <f>IF(B1588="",FALSE,COUNTIF('従業員情報(給与以外)'!$A$4:$A$1000000,$B1588)=0)</f>
        <v>0</v>
      </c>
      <c r="I1588" s="9" t="b">
        <f t="shared" si="121"/>
        <v>1</v>
      </c>
      <c r="J1588" s="9" t="b">
        <f t="shared" si="122"/>
        <v>1</v>
      </c>
      <c r="K1588" s="9" t="b">
        <f t="shared" si="123"/>
        <v>1</v>
      </c>
      <c r="L1588" s="9" t="b">
        <f t="shared" si="124"/>
        <v>1</v>
      </c>
      <c r="M1588" s="1" t="b">
        <f>IF(OR(入力シート!$C$5&lt;&gt;入力リスト!$N$4,入力シート!$J$22&lt;&gt;入力リスト!$K$4),TRUE,IF($F$2=入力リスト!$Q$4,IF(F1588-INT(F1588)&lt;0.6,TRUE,FALSE),TRUE))</f>
        <v>1</v>
      </c>
      <c r="N1588" s="9" t="str">
        <f>IF(F1588="","",IF($F$2=入力リスト!$Q$4,ROUNDDOWN(INT(F1588)+ROUNDDOWN((F1588-INT(F1588))*100,0)/60,2),従業員の給与情報!F1588))</f>
        <v/>
      </c>
      <c r="O1588" s="8"/>
      <c r="P1588" s="8"/>
    </row>
    <row r="1589" spans="1:16">
      <c r="A1589" s="119"/>
      <c r="B1589" s="2"/>
      <c r="C1589" s="3"/>
      <c r="D1589" s="3"/>
      <c r="E1589" s="3"/>
      <c r="F1589" s="9"/>
      <c r="G1589" s="248" t="str">
        <f t="shared" si="120"/>
        <v/>
      </c>
      <c r="H1589" s="1" t="b">
        <f>IF(B1589="",FALSE,COUNTIF('従業員情報(給与以外)'!$A$4:$A$1000000,$B1589)=0)</f>
        <v>0</v>
      </c>
      <c r="I1589" s="9" t="b">
        <f t="shared" si="121"/>
        <v>1</v>
      </c>
      <c r="J1589" s="9" t="b">
        <f t="shared" si="122"/>
        <v>1</v>
      </c>
      <c r="K1589" s="9" t="b">
        <f t="shared" si="123"/>
        <v>1</v>
      </c>
      <c r="L1589" s="9" t="b">
        <f t="shared" si="124"/>
        <v>1</v>
      </c>
      <c r="M1589" s="1" t="b">
        <f>IF(OR(入力シート!$C$5&lt;&gt;入力リスト!$N$4,入力シート!$J$22&lt;&gt;入力リスト!$K$4),TRUE,IF($F$2=入力リスト!$Q$4,IF(F1589-INT(F1589)&lt;0.6,TRUE,FALSE),TRUE))</f>
        <v>1</v>
      </c>
      <c r="N1589" s="9" t="str">
        <f>IF(F1589="","",IF($F$2=入力リスト!$Q$4,ROUNDDOWN(INT(F1589)+ROUNDDOWN((F1589-INT(F1589))*100,0)/60,2),従業員の給与情報!F1589))</f>
        <v/>
      </c>
      <c r="O1589" s="8"/>
      <c r="P1589" s="8"/>
    </row>
    <row r="1590" spans="1:16">
      <c r="A1590" s="119"/>
      <c r="B1590" s="2"/>
      <c r="C1590" s="3"/>
      <c r="D1590" s="3"/>
      <c r="E1590" s="3"/>
      <c r="F1590" s="9"/>
      <c r="G1590" s="248" t="str">
        <f t="shared" si="120"/>
        <v/>
      </c>
      <c r="H1590" s="1" t="b">
        <f>IF(B1590="",FALSE,COUNTIF('従業員情報(給与以外)'!$A$4:$A$1000000,$B1590)=0)</f>
        <v>0</v>
      </c>
      <c r="I1590" s="9" t="b">
        <f t="shared" si="121"/>
        <v>1</v>
      </c>
      <c r="J1590" s="9" t="b">
        <f t="shared" si="122"/>
        <v>1</v>
      </c>
      <c r="K1590" s="9" t="b">
        <f t="shared" si="123"/>
        <v>1</v>
      </c>
      <c r="L1590" s="9" t="b">
        <f t="shared" si="124"/>
        <v>1</v>
      </c>
      <c r="M1590" s="1" t="b">
        <f>IF(OR(入力シート!$C$5&lt;&gt;入力リスト!$N$4,入力シート!$J$22&lt;&gt;入力リスト!$K$4),TRUE,IF($F$2=入力リスト!$Q$4,IF(F1590-INT(F1590)&lt;0.6,TRUE,FALSE),TRUE))</f>
        <v>1</v>
      </c>
      <c r="N1590" s="9" t="str">
        <f>IF(F1590="","",IF($F$2=入力リスト!$Q$4,ROUNDDOWN(INT(F1590)+ROUNDDOWN((F1590-INT(F1590))*100,0)/60,2),従業員の給与情報!F1590))</f>
        <v/>
      </c>
      <c r="O1590" s="8"/>
      <c r="P1590" s="8"/>
    </row>
    <row r="1591" spans="1:16">
      <c r="A1591" s="119"/>
      <c r="B1591" s="2"/>
      <c r="C1591" s="3"/>
      <c r="D1591" s="3"/>
      <c r="E1591" s="3"/>
      <c r="F1591" s="9"/>
      <c r="G1591" s="248" t="str">
        <f t="shared" si="120"/>
        <v/>
      </c>
      <c r="H1591" s="1" t="b">
        <f>IF(B1591="",FALSE,COUNTIF('従業員情報(給与以外)'!$A$4:$A$1000000,$B1591)=0)</f>
        <v>0</v>
      </c>
      <c r="I1591" s="9" t="b">
        <f t="shared" si="121"/>
        <v>1</v>
      </c>
      <c r="J1591" s="9" t="b">
        <f t="shared" si="122"/>
        <v>1</v>
      </c>
      <c r="K1591" s="9" t="b">
        <f t="shared" si="123"/>
        <v>1</v>
      </c>
      <c r="L1591" s="9" t="b">
        <f t="shared" si="124"/>
        <v>1</v>
      </c>
      <c r="M1591" s="1" t="b">
        <f>IF(OR(入力シート!$C$5&lt;&gt;入力リスト!$N$4,入力シート!$J$22&lt;&gt;入力リスト!$K$4),TRUE,IF($F$2=入力リスト!$Q$4,IF(F1591-INT(F1591)&lt;0.6,TRUE,FALSE),TRUE))</f>
        <v>1</v>
      </c>
      <c r="N1591" s="9" t="str">
        <f>IF(F1591="","",IF($F$2=入力リスト!$Q$4,ROUNDDOWN(INT(F1591)+ROUNDDOWN((F1591-INT(F1591))*100,0)/60,2),従業員の給与情報!F1591))</f>
        <v/>
      </c>
      <c r="O1591" s="8"/>
      <c r="P1591" s="8"/>
    </row>
    <row r="1592" spans="1:16">
      <c r="A1592" s="119"/>
      <c r="B1592" s="2"/>
      <c r="C1592" s="3"/>
      <c r="D1592" s="3"/>
      <c r="E1592" s="3"/>
      <c r="F1592" s="9"/>
      <c r="G1592" s="248" t="str">
        <f t="shared" si="120"/>
        <v/>
      </c>
      <c r="H1592" s="1" t="b">
        <f>IF(B1592="",FALSE,COUNTIF('従業員情報(給与以外)'!$A$4:$A$1000000,$B1592)=0)</f>
        <v>0</v>
      </c>
      <c r="I1592" s="9" t="b">
        <f t="shared" si="121"/>
        <v>1</v>
      </c>
      <c r="J1592" s="9" t="b">
        <f t="shared" si="122"/>
        <v>1</v>
      </c>
      <c r="K1592" s="9" t="b">
        <f t="shared" si="123"/>
        <v>1</v>
      </c>
      <c r="L1592" s="9" t="b">
        <f t="shared" si="124"/>
        <v>1</v>
      </c>
      <c r="M1592" s="1" t="b">
        <f>IF(OR(入力シート!$C$5&lt;&gt;入力リスト!$N$4,入力シート!$J$22&lt;&gt;入力リスト!$K$4),TRUE,IF($F$2=入力リスト!$Q$4,IF(F1592-INT(F1592)&lt;0.6,TRUE,FALSE),TRUE))</f>
        <v>1</v>
      </c>
      <c r="N1592" s="9" t="str">
        <f>IF(F1592="","",IF($F$2=入力リスト!$Q$4,ROUNDDOWN(INT(F1592)+ROUNDDOWN((F1592-INT(F1592))*100,0)/60,2),従業員の給与情報!F1592))</f>
        <v/>
      </c>
      <c r="O1592" s="8"/>
      <c r="P1592" s="8"/>
    </row>
    <row r="1593" spans="1:16">
      <c r="A1593" s="119"/>
      <c r="B1593" s="2"/>
      <c r="C1593" s="3"/>
      <c r="D1593" s="3"/>
      <c r="E1593" s="3"/>
      <c r="F1593" s="9"/>
      <c r="G1593" s="248" t="str">
        <f t="shared" si="120"/>
        <v/>
      </c>
      <c r="H1593" s="1" t="b">
        <f>IF(B1593="",FALSE,COUNTIF('従業員情報(給与以外)'!$A$4:$A$1000000,$B1593)=0)</f>
        <v>0</v>
      </c>
      <c r="I1593" s="9" t="b">
        <f t="shared" si="121"/>
        <v>1</v>
      </c>
      <c r="J1593" s="9" t="b">
        <f t="shared" si="122"/>
        <v>1</v>
      </c>
      <c r="K1593" s="9" t="b">
        <f t="shared" si="123"/>
        <v>1</v>
      </c>
      <c r="L1593" s="9" t="b">
        <f t="shared" si="124"/>
        <v>1</v>
      </c>
      <c r="M1593" s="1" t="b">
        <f>IF(OR(入力シート!$C$5&lt;&gt;入力リスト!$N$4,入力シート!$J$22&lt;&gt;入力リスト!$K$4),TRUE,IF($F$2=入力リスト!$Q$4,IF(F1593-INT(F1593)&lt;0.6,TRUE,FALSE),TRUE))</f>
        <v>1</v>
      </c>
      <c r="N1593" s="9" t="str">
        <f>IF(F1593="","",IF($F$2=入力リスト!$Q$4,ROUNDDOWN(INT(F1593)+ROUNDDOWN((F1593-INT(F1593))*100,0)/60,2),従業員の給与情報!F1593))</f>
        <v/>
      </c>
      <c r="O1593" s="8"/>
      <c r="P1593" s="8"/>
    </row>
    <row r="1594" spans="1:16">
      <c r="A1594" s="119"/>
      <c r="B1594" s="2"/>
      <c r="C1594" s="3"/>
      <c r="D1594" s="3"/>
      <c r="E1594" s="3"/>
      <c r="F1594" s="9"/>
      <c r="G1594" s="248" t="str">
        <f t="shared" si="120"/>
        <v/>
      </c>
      <c r="H1594" s="1" t="b">
        <f>IF(B1594="",FALSE,COUNTIF('従業員情報(給与以外)'!$A$4:$A$1000000,$B1594)=0)</f>
        <v>0</v>
      </c>
      <c r="I1594" s="9" t="b">
        <f t="shared" si="121"/>
        <v>1</v>
      </c>
      <c r="J1594" s="9" t="b">
        <f t="shared" si="122"/>
        <v>1</v>
      </c>
      <c r="K1594" s="9" t="b">
        <f t="shared" si="123"/>
        <v>1</v>
      </c>
      <c r="L1594" s="9" t="b">
        <f t="shared" si="124"/>
        <v>1</v>
      </c>
      <c r="M1594" s="1" t="b">
        <f>IF(OR(入力シート!$C$5&lt;&gt;入力リスト!$N$4,入力シート!$J$22&lt;&gt;入力リスト!$K$4),TRUE,IF($F$2=入力リスト!$Q$4,IF(F1594-INT(F1594)&lt;0.6,TRUE,FALSE),TRUE))</f>
        <v>1</v>
      </c>
      <c r="N1594" s="9" t="str">
        <f>IF(F1594="","",IF($F$2=入力リスト!$Q$4,ROUNDDOWN(INT(F1594)+ROUNDDOWN((F1594-INT(F1594))*100,0)/60,2),従業員の給与情報!F1594))</f>
        <v/>
      </c>
      <c r="O1594" s="8"/>
      <c r="P1594" s="8"/>
    </row>
    <row r="1595" spans="1:16">
      <c r="A1595" s="119"/>
      <c r="B1595" s="2"/>
      <c r="C1595" s="3"/>
      <c r="D1595" s="3"/>
      <c r="E1595" s="3"/>
      <c r="F1595" s="9"/>
      <c r="G1595" s="248" t="str">
        <f t="shared" si="120"/>
        <v/>
      </c>
      <c r="H1595" s="1" t="b">
        <f>IF(B1595="",FALSE,COUNTIF('従業員情報(給与以外)'!$A$4:$A$1000000,$B1595)=0)</f>
        <v>0</v>
      </c>
      <c r="I1595" s="9" t="b">
        <f t="shared" si="121"/>
        <v>1</v>
      </c>
      <c r="J1595" s="9" t="b">
        <f t="shared" si="122"/>
        <v>1</v>
      </c>
      <c r="K1595" s="9" t="b">
        <f t="shared" si="123"/>
        <v>1</v>
      </c>
      <c r="L1595" s="9" t="b">
        <f t="shared" si="124"/>
        <v>1</v>
      </c>
      <c r="M1595" s="1" t="b">
        <f>IF(OR(入力シート!$C$5&lt;&gt;入力リスト!$N$4,入力シート!$J$22&lt;&gt;入力リスト!$K$4),TRUE,IF($F$2=入力リスト!$Q$4,IF(F1595-INT(F1595)&lt;0.6,TRUE,FALSE),TRUE))</f>
        <v>1</v>
      </c>
      <c r="N1595" s="9" t="str">
        <f>IF(F1595="","",IF($F$2=入力リスト!$Q$4,ROUNDDOWN(INT(F1595)+ROUNDDOWN((F1595-INT(F1595))*100,0)/60,2),従業員の給与情報!F1595))</f>
        <v/>
      </c>
      <c r="O1595" s="8"/>
      <c r="P1595" s="8"/>
    </row>
    <row r="1596" spans="1:16">
      <c r="A1596" s="119"/>
      <c r="B1596" s="2"/>
      <c r="C1596" s="3"/>
      <c r="D1596" s="3"/>
      <c r="E1596" s="3"/>
      <c r="F1596" s="9"/>
      <c r="G1596" s="248" t="str">
        <f t="shared" si="120"/>
        <v/>
      </c>
      <c r="H1596" s="1" t="b">
        <f>IF(B1596="",FALSE,COUNTIF('従業員情報(給与以外)'!$A$4:$A$1000000,$B1596)=0)</f>
        <v>0</v>
      </c>
      <c r="I1596" s="9" t="b">
        <f t="shared" si="121"/>
        <v>1</v>
      </c>
      <c r="J1596" s="9" t="b">
        <f t="shared" si="122"/>
        <v>1</v>
      </c>
      <c r="K1596" s="9" t="b">
        <f t="shared" si="123"/>
        <v>1</v>
      </c>
      <c r="L1596" s="9" t="b">
        <f t="shared" si="124"/>
        <v>1</v>
      </c>
      <c r="M1596" s="1" t="b">
        <f>IF(OR(入力シート!$C$5&lt;&gt;入力リスト!$N$4,入力シート!$J$22&lt;&gt;入力リスト!$K$4),TRUE,IF($F$2=入力リスト!$Q$4,IF(F1596-INT(F1596)&lt;0.6,TRUE,FALSE),TRUE))</f>
        <v>1</v>
      </c>
      <c r="N1596" s="9" t="str">
        <f>IF(F1596="","",IF($F$2=入力リスト!$Q$4,ROUNDDOWN(INT(F1596)+ROUNDDOWN((F1596-INT(F1596))*100,0)/60,2),従業員の給与情報!F1596))</f>
        <v/>
      </c>
      <c r="O1596" s="8"/>
      <c r="P1596" s="8"/>
    </row>
    <row r="1597" spans="1:16">
      <c r="A1597" s="119"/>
      <c r="B1597" s="2"/>
      <c r="C1597" s="3"/>
      <c r="D1597" s="3"/>
      <c r="E1597" s="3"/>
      <c r="F1597" s="9"/>
      <c r="G1597" s="248" t="str">
        <f t="shared" si="120"/>
        <v/>
      </c>
      <c r="H1597" s="1" t="b">
        <f>IF(B1597="",FALSE,COUNTIF('従業員情報(給与以外)'!$A$4:$A$1000000,$B1597)=0)</f>
        <v>0</v>
      </c>
      <c r="I1597" s="9" t="b">
        <f t="shared" si="121"/>
        <v>1</v>
      </c>
      <c r="J1597" s="9" t="b">
        <f t="shared" si="122"/>
        <v>1</v>
      </c>
      <c r="K1597" s="9" t="b">
        <f t="shared" si="123"/>
        <v>1</v>
      </c>
      <c r="L1597" s="9" t="b">
        <f t="shared" si="124"/>
        <v>1</v>
      </c>
      <c r="M1597" s="1" t="b">
        <f>IF(OR(入力シート!$C$5&lt;&gt;入力リスト!$N$4,入力シート!$J$22&lt;&gt;入力リスト!$K$4),TRUE,IF($F$2=入力リスト!$Q$4,IF(F1597-INT(F1597)&lt;0.6,TRUE,FALSE),TRUE))</f>
        <v>1</v>
      </c>
      <c r="N1597" s="9" t="str">
        <f>IF(F1597="","",IF($F$2=入力リスト!$Q$4,ROUNDDOWN(INT(F1597)+ROUNDDOWN((F1597-INT(F1597))*100,0)/60,2),従業員の給与情報!F1597))</f>
        <v/>
      </c>
      <c r="O1597" s="8"/>
      <c r="P1597" s="8"/>
    </row>
    <row r="1598" spans="1:16">
      <c r="A1598" s="119"/>
      <c r="B1598" s="2"/>
      <c r="C1598" s="3"/>
      <c r="D1598" s="3"/>
      <c r="E1598" s="3"/>
      <c r="F1598" s="9"/>
      <c r="G1598" s="248" t="str">
        <f t="shared" si="120"/>
        <v/>
      </c>
      <c r="H1598" s="1" t="b">
        <f>IF(B1598="",FALSE,COUNTIF('従業員情報(給与以外)'!$A$4:$A$1000000,$B1598)=0)</f>
        <v>0</v>
      </c>
      <c r="I1598" s="9" t="b">
        <f t="shared" si="121"/>
        <v>1</v>
      </c>
      <c r="J1598" s="9" t="b">
        <f t="shared" si="122"/>
        <v>1</v>
      </c>
      <c r="K1598" s="9" t="b">
        <f t="shared" si="123"/>
        <v>1</v>
      </c>
      <c r="L1598" s="9" t="b">
        <f t="shared" si="124"/>
        <v>1</v>
      </c>
      <c r="M1598" s="1" t="b">
        <f>IF(OR(入力シート!$C$5&lt;&gt;入力リスト!$N$4,入力シート!$J$22&lt;&gt;入力リスト!$K$4),TRUE,IF($F$2=入力リスト!$Q$4,IF(F1598-INT(F1598)&lt;0.6,TRUE,FALSE),TRUE))</f>
        <v>1</v>
      </c>
      <c r="N1598" s="9" t="str">
        <f>IF(F1598="","",IF($F$2=入力リスト!$Q$4,ROUNDDOWN(INT(F1598)+ROUNDDOWN((F1598-INT(F1598))*100,0)/60,2),従業員の給与情報!F1598))</f>
        <v/>
      </c>
      <c r="O1598" s="8"/>
      <c r="P1598" s="8"/>
    </row>
    <row r="1599" spans="1:16">
      <c r="A1599" s="119"/>
      <c r="B1599" s="2"/>
      <c r="C1599" s="3"/>
      <c r="D1599" s="3"/>
      <c r="E1599" s="3"/>
      <c r="F1599" s="9"/>
      <c r="G1599" s="248" t="str">
        <f t="shared" si="120"/>
        <v/>
      </c>
      <c r="H1599" s="1" t="b">
        <f>IF(B1599="",FALSE,COUNTIF('従業員情報(給与以外)'!$A$4:$A$1000000,$B1599)=0)</f>
        <v>0</v>
      </c>
      <c r="I1599" s="9" t="b">
        <f t="shared" si="121"/>
        <v>1</v>
      </c>
      <c r="J1599" s="9" t="b">
        <f t="shared" si="122"/>
        <v>1</v>
      </c>
      <c r="K1599" s="9" t="b">
        <f t="shared" si="123"/>
        <v>1</v>
      </c>
      <c r="L1599" s="9" t="b">
        <f t="shared" si="124"/>
        <v>1</v>
      </c>
      <c r="M1599" s="1" t="b">
        <f>IF(OR(入力シート!$C$5&lt;&gt;入力リスト!$N$4,入力シート!$J$22&lt;&gt;入力リスト!$K$4),TRUE,IF($F$2=入力リスト!$Q$4,IF(F1599-INT(F1599)&lt;0.6,TRUE,FALSE),TRUE))</f>
        <v>1</v>
      </c>
      <c r="N1599" s="9" t="str">
        <f>IF(F1599="","",IF($F$2=入力リスト!$Q$4,ROUNDDOWN(INT(F1599)+ROUNDDOWN((F1599-INT(F1599))*100,0)/60,2),従業員の給与情報!F1599))</f>
        <v/>
      </c>
      <c r="O1599" s="8"/>
      <c r="P1599" s="8"/>
    </row>
    <row r="1600" spans="1:16">
      <c r="A1600" s="119"/>
      <c r="B1600" s="2"/>
      <c r="C1600" s="3"/>
      <c r="D1600" s="3"/>
      <c r="E1600" s="3"/>
      <c r="F1600" s="9"/>
      <c r="G1600" s="248" t="str">
        <f t="shared" si="120"/>
        <v/>
      </c>
      <c r="H1600" s="1" t="b">
        <f>IF(B1600="",FALSE,COUNTIF('従業員情報(給与以外)'!$A$4:$A$1000000,$B1600)=0)</f>
        <v>0</v>
      </c>
      <c r="I1600" s="9" t="b">
        <f t="shared" si="121"/>
        <v>1</v>
      </c>
      <c r="J1600" s="9" t="b">
        <f t="shared" si="122"/>
        <v>1</v>
      </c>
      <c r="K1600" s="9" t="b">
        <f t="shared" si="123"/>
        <v>1</v>
      </c>
      <c r="L1600" s="9" t="b">
        <f t="shared" si="124"/>
        <v>1</v>
      </c>
      <c r="M1600" s="1" t="b">
        <f>IF(OR(入力シート!$C$5&lt;&gt;入力リスト!$N$4,入力シート!$J$22&lt;&gt;入力リスト!$K$4),TRUE,IF($F$2=入力リスト!$Q$4,IF(F1600-INT(F1600)&lt;0.6,TRUE,FALSE),TRUE))</f>
        <v>1</v>
      </c>
      <c r="N1600" s="9" t="str">
        <f>IF(F1600="","",IF($F$2=入力リスト!$Q$4,ROUNDDOWN(INT(F1600)+ROUNDDOWN((F1600-INT(F1600))*100,0)/60,2),従業員の給与情報!F1600))</f>
        <v/>
      </c>
      <c r="O1600" s="8"/>
      <c r="P1600" s="8"/>
    </row>
    <row r="1601" spans="1:16">
      <c r="A1601" s="119"/>
      <c r="B1601" s="2"/>
      <c r="C1601" s="3"/>
      <c r="D1601" s="3"/>
      <c r="E1601" s="3"/>
      <c r="F1601" s="9"/>
      <c r="G1601" s="248" t="str">
        <f t="shared" si="120"/>
        <v/>
      </c>
      <c r="H1601" s="1" t="b">
        <f>IF(B1601="",FALSE,COUNTIF('従業員情報(給与以外)'!$A$4:$A$1000000,$B1601)=0)</f>
        <v>0</v>
      </c>
      <c r="I1601" s="9" t="b">
        <f t="shared" si="121"/>
        <v>1</v>
      </c>
      <c r="J1601" s="9" t="b">
        <f t="shared" si="122"/>
        <v>1</v>
      </c>
      <c r="K1601" s="9" t="b">
        <f t="shared" si="123"/>
        <v>1</v>
      </c>
      <c r="L1601" s="9" t="b">
        <f t="shared" si="124"/>
        <v>1</v>
      </c>
      <c r="M1601" s="1" t="b">
        <f>IF(OR(入力シート!$C$5&lt;&gt;入力リスト!$N$4,入力シート!$J$22&lt;&gt;入力リスト!$K$4),TRUE,IF($F$2=入力リスト!$Q$4,IF(F1601-INT(F1601)&lt;0.6,TRUE,FALSE),TRUE))</f>
        <v>1</v>
      </c>
      <c r="N1601" s="9" t="str">
        <f>IF(F1601="","",IF($F$2=入力リスト!$Q$4,ROUNDDOWN(INT(F1601)+ROUNDDOWN((F1601-INT(F1601))*100,0)/60,2),従業員の給与情報!F1601))</f>
        <v/>
      </c>
      <c r="O1601" s="8"/>
      <c r="P1601" s="8"/>
    </row>
    <row r="1602" spans="1:16">
      <c r="A1602" s="119"/>
      <c r="B1602" s="2"/>
      <c r="C1602" s="3"/>
      <c r="D1602" s="3"/>
      <c r="E1602" s="3"/>
      <c r="F1602" s="9"/>
      <c r="G1602" s="248" t="str">
        <f t="shared" si="120"/>
        <v/>
      </c>
      <c r="H1602" s="1" t="b">
        <f>IF(B1602="",FALSE,COUNTIF('従業員情報(給与以外)'!$A$4:$A$1000000,$B1602)=0)</f>
        <v>0</v>
      </c>
      <c r="I1602" s="9" t="b">
        <f t="shared" si="121"/>
        <v>1</v>
      </c>
      <c r="J1602" s="9" t="b">
        <f t="shared" si="122"/>
        <v>1</v>
      </c>
      <c r="K1602" s="9" t="b">
        <f t="shared" si="123"/>
        <v>1</v>
      </c>
      <c r="L1602" s="9" t="b">
        <f t="shared" si="124"/>
        <v>1</v>
      </c>
      <c r="M1602" s="1" t="b">
        <f>IF(OR(入力シート!$C$5&lt;&gt;入力リスト!$N$4,入力シート!$J$22&lt;&gt;入力リスト!$K$4),TRUE,IF($F$2=入力リスト!$Q$4,IF(F1602-INT(F1602)&lt;0.6,TRUE,FALSE),TRUE))</f>
        <v>1</v>
      </c>
      <c r="N1602" s="9" t="str">
        <f>IF(F1602="","",IF($F$2=入力リスト!$Q$4,ROUNDDOWN(INT(F1602)+ROUNDDOWN((F1602-INT(F1602))*100,0)/60,2),従業員の給与情報!F1602))</f>
        <v/>
      </c>
      <c r="O1602" s="8"/>
      <c r="P1602" s="8"/>
    </row>
    <row r="1603" spans="1:16">
      <c r="A1603" s="119"/>
      <c r="B1603" s="2"/>
      <c r="C1603" s="3"/>
      <c r="D1603" s="3"/>
      <c r="E1603" s="3"/>
      <c r="F1603" s="9"/>
      <c r="G1603" s="248" t="str">
        <f t="shared" si="120"/>
        <v/>
      </c>
      <c r="H1603" s="1" t="b">
        <f>IF(B1603="",FALSE,COUNTIF('従業員情報(給与以外)'!$A$4:$A$1000000,$B1603)=0)</f>
        <v>0</v>
      </c>
      <c r="I1603" s="9" t="b">
        <f t="shared" si="121"/>
        <v>1</v>
      </c>
      <c r="J1603" s="9" t="b">
        <f t="shared" si="122"/>
        <v>1</v>
      </c>
      <c r="K1603" s="9" t="b">
        <f t="shared" si="123"/>
        <v>1</v>
      </c>
      <c r="L1603" s="9" t="b">
        <f t="shared" si="124"/>
        <v>1</v>
      </c>
      <c r="M1603" s="1" t="b">
        <f>IF(OR(入力シート!$C$5&lt;&gt;入力リスト!$N$4,入力シート!$J$22&lt;&gt;入力リスト!$K$4),TRUE,IF($F$2=入力リスト!$Q$4,IF(F1603-INT(F1603)&lt;0.6,TRUE,FALSE),TRUE))</f>
        <v>1</v>
      </c>
      <c r="N1603" s="9" t="str">
        <f>IF(F1603="","",IF($F$2=入力リスト!$Q$4,ROUNDDOWN(INT(F1603)+ROUNDDOWN((F1603-INT(F1603))*100,0)/60,2),従業員の給与情報!F1603))</f>
        <v/>
      </c>
      <c r="O1603" s="8"/>
      <c r="P1603" s="8"/>
    </row>
    <row r="1604" spans="1:16">
      <c r="A1604" s="119"/>
      <c r="B1604" s="2"/>
      <c r="C1604" s="3"/>
      <c r="D1604" s="3"/>
      <c r="E1604" s="3"/>
      <c r="F1604" s="9"/>
      <c r="G1604" s="248" t="str">
        <f t="shared" si="120"/>
        <v/>
      </c>
      <c r="H1604" s="1" t="b">
        <f>IF(B1604="",FALSE,COUNTIF('従業員情報(給与以外)'!$A$4:$A$1000000,$B1604)=0)</f>
        <v>0</v>
      </c>
      <c r="I1604" s="9" t="b">
        <f t="shared" si="121"/>
        <v>1</v>
      </c>
      <c r="J1604" s="9" t="b">
        <f t="shared" si="122"/>
        <v>1</v>
      </c>
      <c r="K1604" s="9" t="b">
        <f t="shared" si="123"/>
        <v>1</v>
      </c>
      <c r="L1604" s="9" t="b">
        <f t="shared" si="124"/>
        <v>1</v>
      </c>
      <c r="M1604" s="1" t="b">
        <f>IF(OR(入力シート!$C$5&lt;&gt;入力リスト!$N$4,入力シート!$J$22&lt;&gt;入力リスト!$K$4),TRUE,IF($F$2=入力リスト!$Q$4,IF(F1604-INT(F1604)&lt;0.6,TRUE,FALSE),TRUE))</f>
        <v>1</v>
      </c>
      <c r="N1604" s="9" t="str">
        <f>IF(F1604="","",IF($F$2=入力リスト!$Q$4,ROUNDDOWN(INT(F1604)+ROUNDDOWN((F1604-INT(F1604))*100,0)/60,2),従業員の給与情報!F1604))</f>
        <v/>
      </c>
      <c r="O1604" s="8"/>
      <c r="P1604" s="8"/>
    </row>
    <row r="1605" spans="1:16">
      <c r="A1605" s="119"/>
      <c r="B1605" s="2"/>
      <c r="C1605" s="3"/>
      <c r="D1605" s="3"/>
      <c r="E1605" s="3"/>
      <c r="F1605" s="9"/>
      <c r="G1605" s="248" t="str">
        <f t="shared" ref="G1605:G1668" si="125">IF(AND($B1605="",OR(B1605&lt;&gt;"",C1605&lt;&gt;"",D1605&lt;&gt;"",E1605&lt;&gt;"",F1605&lt;&gt;"")),"従業員番号が空白です。",IF($H1605=TRUE,"この従業員番号は、シート［従業員情報（給与以外）］に存在しません。",IF(I1605=FALSE,"「毎月の固定給与額」","")&amp;IF(AND(I1605=FALSE,OR(J1605=FALSE,K1605=FALSE,L1605=FALSE)),",","")&amp;IF(J1605=FALSE,"「賞与額等」","")&amp;IF(AND(J1605=FALSE,OR(K1605=FALSE,L1605=FALSE)),",","")&amp;IF(K1605=FALSE,"「残業手当」","")&amp;IF(AND(K1605=FALSE,L1605=FALSE),",","")&amp;IF(L1605=FALSE,"「残業時間」","")&amp;IF(OR(I1605=FALSE,J1605=FALSE,K1605=FALSE,L1605=FALSE),"に数値以外が入力されています。","")&amp;IF(M1605,"","「残業時間」を分単位で入力した場合、小数点以下の値は0.6未満にしてください。")))</f>
        <v/>
      </c>
      <c r="H1605" s="1" t="b">
        <f>IF(B1605="",FALSE,COUNTIF('従業員情報(給与以外)'!$A$4:$A$1000000,$B1605)=0)</f>
        <v>0</v>
      </c>
      <c r="I1605" s="9" t="b">
        <f t="shared" ref="I1605:I1668" si="126">OR(C1605="",ISNUMBER(C1605))</f>
        <v>1</v>
      </c>
      <c r="J1605" s="9" t="b">
        <f t="shared" ref="J1605:J1668" si="127">OR(D1605="",ISNUMBER(D1605))</f>
        <v>1</v>
      </c>
      <c r="K1605" s="9" t="b">
        <f t="shared" ref="K1605:K1668" si="128">OR(E1605="",ISNUMBER(E1605))</f>
        <v>1</v>
      </c>
      <c r="L1605" s="9" t="b">
        <f t="shared" ref="L1605:L1668" si="129">OR(F1605="",ISNUMBER(F1605))</f>
        <v>1</v>
      </c>
      <c r="M1605" s="1" t="b">
        <f>IF(OR(入力シート!$C$5&lt;&gt;入力リスト!$N$4,入力シート!$J$22&lt;&gt;入力リスト!$K$4),TRUE,IF($F$2=入力リスト!$Q$4,IF(F1605-INT(F1605)&lt;0.6,TRUE,FALSE),TRUE))</f>
        <v>1</v>
      </c>
      <c r="N1605" s="9" t="str">
        <f>IF(F1605="","",IF($F$2=入力リスト!$Q$4,ROUNDDOWN(INT(F1605)+ROUNDDOWN((F1605-INT(F1605))*100,0)/60,2),従業員の給与情報!F1605))</f>
        <v/>
      </c>
      <c r="O1605" s="8"/>
      <c r="P1605" s="8"/>
    </row>
    <row r="1606" spans="1:16">
      <c r="A1606" s="119"/>
      <c r="B1606" s="2"/>
      <c r="C1606" s="3"/>
      <c r="D1606" s="3"/>
      <c r="E1606" s="3"/>
      <c r="F1606" s="9"/>
      <c r="G1606" s="248" t="str">
        <f t="shared" si="125"/>
        <v/>
      </c>
      <c r="H1606" s="1" t="b">
        <f>IF(B1606="",FALSE,COUNTIF('従業員情報(給与以外)'!$A$4:$A$1000000,$B1606)=0)</f>
        <v>0</v>
      </c>
      <c r="I1606" s="9" t="b">
        <f t="shared" si="126"/>
        <v>1</v>
      </c>
      <c r="J1606" s="9" t="b">
        <f t="shared" si="127"/>
        <v>1</v>
      </c>
      <c r="K1606" s="9" t="b">
        <f t="shared" si="128"/>
        <v>1</v>
      </c>
      <c r="L1606" s="9" t="b">
        <f t="shared" si="129"/>
        <v>1</v>
      </c>
      <c r="M1606" s="1" t="b">
        <f>IF(OR(入力シート!$C$5&lt;&gt;入力リスト!$N$4,入力シート!$J$22&lt;&gt;入力リスト!$K$4),TRUE,IF($F$2=入力リスト!$Q$4,IF(F1606-INT(F1606)&lt;0.6,TRUE,FALSE),TRUE))</f>
        <v>1</v>
      </c>
      <c r="N1606" s="9" t="str">
        <f>IF(F1606="","",IF($F$2=入力リスト!$Q$4,ROUNDDOWN(INT(F1606)+ROUNDDOWN((F1606-INT(F1606))*100,0)/60,2),従業員の給与情報!F1606))</f>
        <v/>
      </c>
      <c r="O1606" s="8"/>
      <c r="P1606" s="8"/>
    </row>
    <row r="1607" spans="1:16">
      <c r="A1607" s="119"/>
      <c r="B1607" s="2"/>
      <c r="C1607" s="3"/>
      <c r="D1607" s="3"/>
      <c r="E1607" s="3"/>
      <c r="F1607" s="9"/>
      <c r="G1607" s="248" t="str">
        <f t="shared" si="125"/>
        <v/>
      </c>
      <c r="H1607" s="1" t="b">
        <f>IF(B1607="",FALSE,COUNTIF('従業員情報(給与以外)'!$A$4:$A$1000000,$B1607)=0)</f>
        <v>0</v>
      </c>
      <c r="I1607" s="9" t="b">
        <f t="shared" si="126"/>
        <v>1</v>
      </c>
      <c r="J1607" s="9" t="b">
        <f t="shared" si="127"/>
        <v>1</v>
      </c>
      <c r="K1607" s="9" t="b">
        <f t="shared" si="128"/>
        <v>1</v>
      </c>
      <c r="L1607" s="9" t="b">
        <f t="shared" si="129"/>
        <v>1</v>
      </c>
      <c r="M1607" s="1" t="b">
        <f>IF(OR(入力シート!$C$5&lt;&gt;入力リスト!$N$4,入力シート!$J$22&lt;&gt;入力リスト!$K$4),TRUE,IF($F$2=入力リスト!$Q$4,IF(F1607-INT(F1607)&lt;0.6,TRUE,FALSE),TRUE))</f>
        <v>1</v>
      </c>
      <c r="N1607" s="9" t="str">
        <f>IF(F1607="","",IF($F$2=入力リスト!$Q$4,ROUNDDOWN(INT(F1607)+ROUNDDOWN((F1607-INT(F1607))*100,0)/60,2),従業員の給与情報!F1607))</f>
        <v/>
      </c>
      <c r="O1607" s="8"/>
      <c r="P1607" s="8"/>
    </row>
    <row r="1608" spans="1:16">
      <c r="A1608" s="119"/>
      <c r="B1608" s="2"/>
      <c r="C1608" s="3"/>
      <c r="D1608" s="3"/>
      <c r="E1608" s="3"/>
      <c r="F1608" s="9"/>
      <c r="G1608" s="248" t="str">
        <f t="shared" si="125"/>
        <v/>
      </c>
      <c r="H1608" s="1" t="b">
        <f>IF(B1608="",FALSE,COUNTIF('従業員情報(給与以外)'!$A$4:$A$1000000,$B1608)=0)</f>
        <v>0</v>
      </c>
      <c r="I1608" s="9" t="b">
        <f t="shared" si="126"/>
        <v>1</v>
      </c>
      <c r="J1608" s="9" t="b">
        <f t="shared" si="127"/>
        <v>1</v>
      </c>
      <c r="K1608" s="9" t="b">
        <f t="shared" si="128"/>
        <v>1</v>
      </c>
      <c r="L1608" s="9" t="b">
        <f t="shared" si="129"/>
        <v>1</v>
      </c>
      <c r="M1608" s="1" t="b">
        <f>IF(OR(入力シート!$C$5&lt;&gt;入力リスト!$N$4,入力シート!$J$22&lt;&gt;入力リスト!$K$4),TRUE,IF($F$2=入力リスト!$Q$4,IF(F1608-INT(F1608)&lt;0.6,TRUE,FALSE),TRUE))</f>
        <v>1</v>
      </c>
      <c r="N1608" s="9" t="str">
        <f>IF(F1608="","",IF($F$2=入力リスト!$Q$4,ROUNDDOWN(INT(F1608)+ROUNDDOWN((F1608-INT(F1608))*100,0)/60,2),従業員の給与情報!F1608))</f>
        <v/>
      </c>
      <c r="O1608" s="8"/>
      <c r="P1608" s="8"/>
    </row>
    <row r="1609" spans="1:16">
      <c r="A1609" s="119"/>
      <c r="B1609" s="2"/>
      <c r="C1609" s="3"/>
      <c r="D1609" s="3"/>
      <c r="E1609" s="3"/>
      <c r="F1609" s="9"/>
      <c r="G1609" s="248" t="str">
        <f t="shared" si="125"/>
        <v/>
      </c>
      <c r="H1609" s="1" t="b">
        <f>IF(B1609="",FALSE,COUNTIF('従業員情報(給与以外)'!$A$4:$A$1000000,$B1609)=0)</f>
        <v>0</v>
      </c>
      <c r="I1609" s="9" t="b">
        <f t="shared" si="126"/>
        <v>1</v>
      </c>
      <c r="J1609" s="9" t="b">
        <f t="shared" si="127"/>
        <v>1</v>
      </c>
      <c r="K1609" s="9" t="b">
        <f t="shared" si="128"/>
        <v>1</v>
      </c>
      <c r="L1609" s="9" t="b">
        <f t="shared" si="129"/>
        <v>1</v>
      </c>
      <c r="M1609" s="1" t="b">
        <f>IF(OR(入力シート!$C$5&lt;&gt;入力リスト!$N$4,入力シート!$J$22&lt;&gt;入力リスト!$K$4),TRUE,IF($F$2=入力リスト!$Q$4,IF(F1609-INT(F1609)&lt;0.6,TRUE,FALSE),TRUE))</f>
        <v>1</v>
      </c>
      <c r="N1609" s="9" t="str">
        <f>IF(F1609="","",IF($F$2=入力リスト!$Q$4,ROUNDDOWN(INT(F1609)+ROUNDDOWN((F1609-INT(F1609))*100,0)/60,2),従業員の給与情報!F1609))</f>
        <v/>
      </c>
      <c r="O1609" s="8"/>
      <c r="P1609" s="8"/>
    </row>
    <row r="1610" spans="1:16">
      <c r="A1610" s="119"/>
      <c r="B1610" s="2"/>
      <c r="C1610" s="3"/>
      <c r="D1610" s="3"/>
      <c r="E1610" s="3"/>
      <c r="F1610" s="9"/>
      <c r="G1610" s="248" t="str">
        <f t="shared" si="125"/>
        <v/>
      </c>
      <c r="H1610" s="1" t="b">
        <f>IF(B1610="",FALSE,COUNTIF('従業員情報(給与以外)'!$A$4:$A$1000000,$B1610)=0)</f>
        <v>0</v>
      </c>
      <c r="I1610" s="9" t="b">
        <f t="shared" si="126"/>
        <v>1</v>
      </c>
      <c r="J1610" s="9" t="b">
        <f t="shared" si="127"/>
        <v>1</v>
      </c>
      <c r="K1610" s="9" t="b">
        <f t="shared" si="128"/>
        <v>1</v>
      </c>
      <c r="L1610" s="9" t="b">
        <f t="shared" si="129"/>
        <v>1</v>
      </c>
      <c r="M1610" s="1" t="b">
        <f>IF(OR(入力シート!$C$5&lt;&gt;入力リスト!$N$4,入力シート!$J$22&lt;&gt;入力リスト!$K$4),TRUE,IF($F$2=入力リスト!$Q$4,IF(F1610-INT(F1610)&lt;0.6,TRUE,FALSE),TRUE))</f>
        <v>1</v>
      </c>
      <c r="N1610" s="9" t="str">
        <f>IF(F1610="","",IF($F$2=入力リスト!$Q$4,ROUNDDOWN(INT(F1610)+ROUNDDOWN((F1610-INT(F1610))*100,0)/60,2),従業員の給与情報!F1610))</f>
        <v/>
      </c>
      <c r="O1610" s="8"/>
      <c r="P1610" s="8"/>
    </row>
    <row r="1611" spans="1:16">
      <c r="A1611" s="119"/>
      <c r="B1611" s="2"/>
      <c r="C1611" s="3"/>
      <c r="D1611" s="3"/>
      <c r="E1611" s="3"/>
      <c r="F1611" s="9"/>
      <c r="G1611" s="248" t="str">
        <f t="shared" si="125"/>
        <v/>
      </c>
      <c r="H1611" s="1" t="b">
        <f>IF(B1611="",FALSE,COUNTIF('従業員情報(給与以外)'!$A$4:$A$1000000,$B1611)=0)</f>
        <v>0</v>
      </c>
      <c r="I1611" s="9" t="b">
        <f t="shared" si="126"/>
        <v>1</v>
      </c>
      <c r="J1611" s="9" t="b">
        <f t="shared" si="127"/>
        <v>1</v>
      </c>
      <c r="K1611" s="9" t="b">
        <f t="shared" si="128"/>
        <v>1</v>
      </c>
      <c r="L1611" s="9" t="b">
        <f t="shared" si="129"/>
        <v>1</v>
      </c>
      <c r="M1611" s="1" t="b">
        <f>IF(OR(入力シート!$C$5&lt;&gt;入力リスト!$N$4,入力シート!$J$22&lt;&gt;入力リスト!$K$4),TRUE,IF($F$2=入力リスト!$Q$4,IF(F1611-INT(F1611)&lt;0.6,TRUE,FALSE),TRUE))</f>
        <v>1</v>
      </c>
      <c r="N1611" s="9" t="str">
        <f>IF(F1611="","",IF($F$2=入力リスト!$Q$4,ROUNDDOWN(INT(F1611)+ROUNDDOWN((F1611-INT(F1611))*100,0)/60,2),従業員の給与情報!F1611))</f>
        <v/>
      </c>
      <c r="O1611" s="8"/>
      <c r="P1611" s="8"/>
    </row>
    <row r="1612" spans="1:16">
      <c r="A1612" s="119"/>
      <c r="B1612" s="2"/>
      <c r="C1612" s="3"/>
      <c r="D1612" s="3"/>
      <c r="E1612" s="3"/>
      <c r="F1612" s="9"/>
      <c r="G1612" s="248" t="str">
        <f t="shared" si="125"/>
        <v/>
      </c>
      <c r="H1612" s="1" t="b">
        <f>IF(B1612="",FALSE,COUNTIF('従業員情報(給与以外)'!$A$4:$A$1000000,$B1612)=0)</f>
        <v>0</v>
      </c>
      <c r="I1612" s="9" t="b">
        <f t="shared" si="126"/>
        <v>1</v>
      </c>
      <c r="J1612" s="9" t="b">
        <f t="shared" si="127"/>
        <v>1</v>
      </c>
      <c r="K1612" s="9" t="b">
        <f t="shared" si="128"/>
        <v>1</v>
      </c>
      <c r="L1612" s="9" t="b">
        <f t="shared" si="129"/>
        <v>1</v>
      </c>
      <c r="M1612" s="1" t="b">
        <f>IF(OR(入力シート!$C$5&lt;&gt;入力リスト!$N$4,入力シート!$J$22&lt;&gt;入力リスト!$K$4),TRUE,IF($F$2=入力リスト!$Q$4,IF(F1612-INT(F1612)&lt;0.6,TRUE,FALSE),TRUE))</f>
        <v>1</v>
      </c>
      <c r="N1612" s="9" t="str">
        <f>IF(F1612="","",IF($F$2=入力リスト!$Q$4,ROUNDDOWN(INT(F1612)+ROUNDDOWN((F1612-INT(F1612))*100,0)/60,2),従業員の給与情報!F1612))</f>
        <v/>
      </c>
      <c r="O1612" s="8"/>
      <c r="P1612" s="8"/>
    </row>
    <row r="1613" spans="1:16">
      <c r="A1613" s="119"/>
      <c r="B1613" s="2"/>
      <c r="C1613" s="3"/>
      <c r="D1613" s="3"/>
      <c r="E1613" s="3"/>
      <c r="F1613" s="9"/>
      <c r="G1613" s="248" t="str">
        <f t="shared" si="125"/>
        <v/>
      </c>
      <c r="H1613" s="1" t="b">
        <f>IF(B1613="",FALSE,COUNTIF('従業員情報(給与以外)'!$A$4:$A$1000000,$B1613)=0)</f>
        <v>0</v>
      </c>
      <c r="I1613" s="9" t="b">
        <f t="shared" si="126"/>
        <v>1</v>
      </c>
      <c r="J1613" s="9" t="b">
        <f t="shared" si="127"/>
        <v>1</v>
      </c>
      <c r="K1613" s="9" t="b">
        <f t="shared" si="128"/>
        <v>1</v>
      </c>
      <c r="L1613" s="9" t="b">
        <f t="shared" si="129"/>
        <v>1</v>
      </c>
      <c r="M1613" s="1" t="b">
        <f>IF(OR(入力シート!$C$5&lt;&gt;入力リスト!$N$4,入力シート!$J$22&lt;&gt;入力リスト!$K$4),TRUE,IF($F$2=入力リスト!$Q$4,IF(F1613-INT(F1613)&lt;0.6,TRUE,FALSE),TRUE))</f>
        <v>1</v>
      </c>
      <c r="N1613" s="9" t="str">
        <f>IF(F1613="","",IF($F$2=入力リスト!$Q$4,ROUNDDOWN(INT(F1613)+ROUNDDOWN((F1613-INT(F1613))*100,0)/60,2),従業員の給与情報!F1613))</f>
        <v/>
      </c>
      <c r="O1613" s="8"/>
      <c r="P1613" s="8"/>
    </row>
    <row r="1614" spans="1:16">
      <c r="A1614" s="119"/>
      <c r="B1614" s="2"/>
      <c r="C1614" s="3"/>
      <c r="D1614" s="3"/>
      <c r="E1614" s="3"/>
      <c r="F1614" s="9"/>
      <c r="G1614" s="248" t="str">
        <f t="shared" si="125"/>
        <v/>
      </c>
      <c r="H1614" s="1" t="b">
        <f>IF(B1614="",FALSE,COUNTIF('従業員情報(給与以外)'!$A$4:$A$1000000,$B1614)=0)</f>
        <v>0</v>
      </c>
      <c r="I1614" s="9" t="b">
        <f t="shared" si="126"/>
        <v>1</v>
      </c>
      <c r="J1614" s="9" t="b">
        <f t="shared" si="127"/>
        <v>1</v>
      </c>
      <c r="K1614" s="9" t="b">
        <f t="shared" si="128"/>
        <v>1</v>
      </c>
      <c r="L1614" s="9" t="b">
        <f t="shared" si="129"/>
        <v>1</v>
      </c>
      <c r="M1614" s="1" t="b">
        <f>IF(OR(入力シート!$C$5&lt;&gt;入力リスト!$N$4,入力シート!$J$22&lt;&gt;入力リスト!$K$4),TRUE,IF($F$2=入力リスト!$Q$4,IF(F1614-INT(F1614)&lt;0.6,TRUE,FALSE),TRUE))</f>
        <v>1</v>
      </c>
      <c r="N1614" s="9" t="str">
        <f>IF(F1614="","",IF($F$2=入力リスト!$Q$4,ROUNDDOWN(INT(F1614)+ROUNDDOWN((F1614-INT(F1614))*100,0)/60,2),従業員の給与情報!F1614))</f>
        <v/>
      </c>
      <c r="O1614" s="8"/>
      <c r="P1614" s="8"/>
    </row>
    <row r="1615" spans="1:16">
      <c r="A1615" s="119"/>
      <c r="B1615" s="2"/>
      <c r="C1615" s="3"/>
      <c r="D1615" s="3"/>
      <c r="E1615" s="3"/>
      <c r="F1615" s="9"/>
      <c r="G1615" s="248" t="str">
        <f t="shared" si="125"/>
        <v/>
      </c>
      <c r="H1615" s="1" t="b">
        <f>IF(B1615="",FALSE,COUNTIF('従業員情報(給与以外)'!$A$4:$A$1000000,$B1615)=0)</f>
        <v>0</v>
      </c>
      <c r="I1615" s="9" t="b">
        <f t="shared" si="126"/>
        <v>1</v>
      </c>
      <c r="J1615" s="9" t="b">
        <f t="shared" si="127"/>
        <v>1</v>
      </c>
      <c r="K1615" s="9" t="b">
        <f t="shared" si="128"/>
        <v>1</v>
      </c>
      <c r="L1615" s="9" t="b">
        <f t="shared" si="129"/>
        <v>1</v>
      </c>
      <c r="M1615" s="1" t="b">
        <f>IF(OR(入力シート!$C$5&lt;&gt;入力リスト!$N$4,入力シート!$J$22&lt;&gt;入力リスト!$K$4),TRUE,IF($F$2=入力リスト!$Q$4,IF(F1615-INT(F1615)&lt;0.6,TRUE,FALSE),TRUE))</f>
        <v>1</v>
      </c>
      <c r="N1615" s="9" t="str">
        <f>IF(F1615="","",IF($F$2=入力リスト!$Q$4,ROUNDDOWN(INT(F1615)+ROUNDDOWN((F1615-INT(F1615))*100,0)/60,2),従業員の給与情報!F1615))</f>
        <v/>
      </c>
      <c r="O1615" s="8"/>
      <c r="P1615" s="8"/>
    </row>
    <row r="1616" spans="1:16">
      <c r="A1616" s="119"/>
      <c r="B1616" s="2"/>
      <c r="C1616" s="3"/>
      <c r="D1616" s="3"/>
      <c r="E1616" s="3"/>
      <c r="F1616" s="9"/>
      <c r="G1616" s="248" t="str">
        <f t="shared" si="125"/>
        <v/>
      </c>
      <c r="H1616" s="1" t="b">
        <f>IF(B1616="",FALSE,COUNTIF('従業員情報(給与以外)'!$A$4:$A$1000000,$B1616)=0)</f>
        <v>0</v>
      </c>
      <c r="I1616" s="9" t="b">
        <f t="shared" si="126"/>
        <v>1</v>
      </c>
      <c r="J1616" s="9" t="b">
        <f t="shared" si="127"/>
        <v>1</v>
      </c>
      <c r="K1616" s="9" t="b">
        <f t="shared" si="128"/>
        <v>1</v>
      </c>
      <c r="L1616" s="9" t="b">
        <f t="shared" si="129"/>
        <v>1</v>
      </c>
      <c r="M1616" s="1" t="b">
        <f>IF(OR(入力シート!$C$5&lt;&gt;入力リスト!$N$4,入力シート!$J$22&lt;&gt;入力リスト!$K$4),TRUE,IF($F$2=入力リスト!$Q$4,IF(F1616-INT(F1616)&lt;0.6,TRUE,FALSE),TRUE))</f>
        <v>1</v>
      </c>
      <c r="N1616" s="9" t="str">
        <f>IF(F1616="","",IF($F$2=入力リスト!$Q$4,ROUNDDOWN(INT(F1616)+ROUNDDOWN((F1616-INT(F1616))*100,0)/60,2),従業員の給与情報!F1616))</f>
        <v/>
      </c>
      <c r="O1616" s="8"/>
      <c r="P1616" s="8"/>
    </row>
    <row r="1617" spans="1:16">
      <c r="A1617" s="119"/>
      <c r="B1617" s="2"/>
      <c r="C1617" s="3"/>
      <c r="D1617" s="3"/>
      <c r="E1617" s="3"/>
      <c r="F1617" s="9"/>
      <c r="G1617" s="248" t="str">
        <f t="shared" si="125"/>
        <v/>
      </c>
      <c r="H1617" s="1" t="b">
        <f>IF(B1617="",FALSE,COUNTIF('従業員情報(給与以外)'!$A$4:$A$1000000,$B1617)=0)</f>
        <v>0</v>
      </c>
      <c r="I1617" s="9" t="b">
        <f t="shared" si="126"/>
        <v>1</v>
      </c>
      <c r="J1617" s="9" t="b">
        <f t="shared" si="127"/>
        <v>1</v>
      </c>
      <c r="K1617" s="9" t="b">
        <f t="shared" si="128"/>
        <v>1</v>
      </c>
      <c r="L1617" s="9" t="b">
        <f t="shared" si="129"/>
        <v>1</v>
      </c>
      <c r="M1617" s="1" t="b">
        <f>IF(OR(入力シート!$C$5&lt;&gt;入力リスト!$N$4,入力シート!$J$22&lt;&gt;入力リスト!$K$4),TRUE,IF($F$2=入力リスト!$Q$4,IF(F1617-INT(F1617)&lt;0.6,TRUE,FALSE),TRUE))</f>
        <v>1</v>
      </c>
      <c r="N1617" s="9" t="str">
        <f>IF(F1617="","",IF($F$2=入力リスト!$Q$4,ROUNDDOWN(INT(F1617)+ROUNDDOWN((F1617-INT(F1617))*100,0)/60,2),従業員の給与情報!F1617))</f>
        <v/>
      </c>
      <c r="O1617" s="8"/>
      <c r="P1617" s="8"/>
    </row>
    <row r="1618" spans="1:16">
      <c r="A1618" s="119"/>
      <c r="B1618" s="2"/>
      <c r="C1618" s="3"/>
      <c r="D1618" s="3"/>
      <c r="E1618" s="3"/>
      <c r="F1618" s="9"/>
      <c r="G1618" s="248" t="str">
        <f t="shared" si="125"/>
        <v/>
      </c>
      <c r="H1618" s="1" t="b">
        <f>IF(B1618="",FALSE,COUNTIF('従業員情報(給与以外)'!$A$4:$A$1000000,$B1618)=0)</f>
        <v>0</v>
      </c>
      <c r="I1618" s="9" t="b">
        <f t="shared" si="126"/>
        <v>1</v>
      </c>
      <c r="J1618" s="9" t="b">
        <f t="shared" si="127"/>
        <v>1</v>
      </c>
      <c r="K1618" s="9" t="b">
        <f t="shared" si="128"/>
        <v>1</v>
      </c>
      <c r="L1618" s="9" t="b">
        <f t="shared" si="129"/>
        <v>1</v>
      </c>
      <c r="M1618" s="1" t="b">
        <f>IF(OR(入力シート!$C$5&lt;&gt;入力リスト!$N$4,入力シート!$J$22&lt;&gt;入力リスト!$K$4),TRUE,IF($F$2=入力リスト!$Q$4,IF(F1618-INT(F1618)&lt;0.6,TRUE,FALSE),TRUE))</f>
        <v>1</v>
      </c>
      <c r="N1618" s="9" t="str">
        <f>IF(F1618="","",IF($F$2=入力リスト!$Q$4,ROUNDDOWN(INT(F1618)+ROUNDDOWN((F1618-INT(F1618))*100,0)/60,2),従業員の給与情報!F1618))</f>
        <v/>
      </c>
      <c r="O1618" s="8"/>
      <c r="P1618" s="8"/>
    </row>
    <row r="1619" spans="1:16">
      <c r="A1619" s="119"/>
      <c r="B1619" s="2"/>
      <c r="C1619" s="3"/>
      <c r="D1619" s="3"/>
      <c r="E1619" s="3"/>
      <c r="F1619" s="9"/>
      <c r="G1619" s="248" t="str">
        <f t="shared" si="125"/>
        <v/>
      </c>
      <c r="H1619" s="1" t="b">
        <f>IF(B1619="",FALSE,COUNTIF('従業員情報(給与以外)'!$A$4:$A$1000000,$B1619)=0)</f>
        <v>0</v>
      </c>
      <c r="I1619" s="9" t="b">
        <f t="shared" si="126"/>
        <v>1</v>
      </c>
      <c r="J1619" s="9" t="b">
        <f t="shared" si="127"/>
        <v>1</v>
      </c>
      <c r="K1619" s="9" t="b">
        <f t="shared" si="128"/>
        <v>1</v>
      </c>
      <c r="L1619" s="9" t="b">
        <f t="shared" si="129"/>
        <v>1</v>
      </c>
      <c r="M1619" s="1" t="b">
        <f>IF(OR(入力シート!$C$5&lt;&gt;入力リスト!$N$4,入力シート!$J$22&lt;&gt;入力リスト!$K$4),TRUE,IF($F$2=入力リスト!$Q$4,IF(F1619-INT(F1619)&lt;0.6,TRUE,FALSE),TRUE))</f>
        <v>1</v>
      </c>
      <c r="N1619" s="9" t="str">
        <f>IF(F1619="","",IF($F$2=入力リスト!$Q$4,ROUNDDOWN(INT(F1619)+ROUNDDOWN((F1619-INT(F1619))*100,0)/60,2),従業員の給与情報!F1619))</f>
        <v/>
      </c>
      <c r="O1619" s="8"/>
      <c r="P1619" s="8"/>
    </row>
    <row r="1620" spans="1:16">
      <c r="A1620" s="119"/>
      <c r="B1620" s="2"/>
      <c r="C1620" s="3"/>
      <c r="D1620" s="3"/>
      <c r="E1620" s="3"/>
      <c r="F1620" s="9"/>
      <c r="G1620" s="248" t="str">
        <f t="shared" si="125"/>
        <v/>
      </c>
      <c r="H1620" s="1" t="b">
        <f>IF(B1620="",FALSE,COUNTIF('従業員情報(給与以外)'!$A$4:$A$1000000,$B1620)=0)</f>
        <v>0</v>
      </c>
      <c r="I1620" s="9" t="b">
        <f t="shared" si="126"/>
        <v>1</v>
      </c>
      <c r="J1620" s="9" t="b">
        <f t="shared" si="127"/>
        <v>1</v>
      </c>
      <c r="K1620" s="9" t="b">
        <f t="shared" si="128"/>
        <v>1</v>
      </c>
      <c r="L1620" s="9" t="b">
        <f t="shared" si="129"/>
        <v>1</v>
      </c>
      <c r="M1620" s="1" t="b">
        <f>IF(OR(入力シート!$C$5&lt;&gt;入力リスト!$N$4,入力シート!$J$22&lt;&gt;入力リスト!$K$4),TRUE,IF($F$2=入力リスト!$Q$4,IF(F1620-INT(F1620)&lt;0.6,TRUE,FALSE),TRUE))</f>
        <v>1</v>
      </c>
      <c r="N1620" s="9" t="str">
        <f>IF(F1620="","",IF($F$2=入力リスト!$Q$4,ROUNDDOWN(INT(F1620)+ROUNDDOWN((F1620-INT(F1620))*100,0)/60,2),従業員の給与情報!F1620))</f>
        <v/>
      </c>
      <c r="O1620" s="8"/>
      <c r="P1620" s="8"/>
    </row>
    <row r="1621" spans="1:16">
      <c r="A1621" s="119"/>
      <c r="B1621" s="2"/>
      <c r="C1621" s="3"/>
      <c r="D1621" s="3"/>
      <c r="E1621" s="3"/>
      <c r="F1621" s="9"/>
      <c r="G1621" s="248" t="str">
        <f t="shared" si="125"/>
        <v/>
      </c>
      <c r="H1621" s="1" t="b">
        <f>IF(B1621="",FALSE,COUNTIF('従業員情報(給与以外)'!$A$4:$A$1000000,$B1621)=0)</f>
        <v>0</v>
      </c>
      <c r="I1621" s="9" t="b">
        <f t="shared" si="126"/>
        <v>1</v>
      </c>
      <c r="J1621" s="9" t="b">
        <f t="shared" si="127"/>
        <v>1</v>
      </c>
      <c r="K1621" s="9" t="b">
        <f t="shared" si="128"/>
        <v>1</v>
      </c>
      <c r="L1621" s="9" t="b">
        <f t="shared" si="129"/>
        <v>1</v>
      </c>
      <c r="M1621" s="1" t="b">
        <f>IF(OR(入力シート!$C$5&lt;&gt;入力リスト!$N$4,入力シート!$J$22&lt;&gt;入力リスト!$K$4),TRUE,IF($F$2=入力リスト!$Q$4,IF(F1621-INT(F1621)&lt;0.6,TRUE,FALSE),TRUE))</f>
        <v>1</v>
      </c>
      <c r="N1621" s="9" t="str">
        <f>IF(F1621="","",IF($F$2=入力リスト!$Q$4,ROUNDDOWN(INT(F1621)+ROUNDDOWN((F1621-INT(F1621))*100,0)/60,2),従業員の給与情報!F1621))</f>
        <v/>
      </c>
      <c r="O1621" s="8"/>
      <c r="P1621" s="8"/>
    </row>
    <row r="1622" spans="1:16">
      <c r="A1622" s="119"/>
      <c r="B1622" s="2"/>
      <c r="C1622" s="3"/>
      <c r="D1622" s="3"/>
      <c r="E1622" s="3"/>
      <c r="F1622" s="9"/>
      <c r="G1622" s="248" t="str">
        <f t="shared" si="125"/>
        <v/>
      </c>
      <c r="H1622" s="1" t="b">
        <f>IF(B1622="",FALSE,COUNTIF('従業員情報(給与以外)'!$A$4:$A$1000000,$B1622)=0)</f>
        <v>0</v>
      </c>
      <c r="I1622" s="9" t="b">
        <f t="shared" si="126"/>
        <v>1</v>
      </c>
      <c r="J1622" s="9" t="b">
        <f t="shared" si="127"/>
        <v>1</v>
      </c>
      <c r="K1622" s="9" t="b">
        <f t="shared" si="128"/>
        <v>1</v>
      </c>
      <c r="L1622" s="9" t="b">
        <f t="shared" si="129"/>
        <v>1</v>
      </c>
      <c r="M1622" s="1" t="b">
        <f>IF(OR(入力シート!$C$5&lt;&gt;入力リスト!$N$4,入力シート!$J$22&lt;&gt;入力リスト!$K$4),TRUE,IF($F$2=入力リスト!$Q$4,IF(F1622-INT(F1622)&lt;0.6,TRUE,FALSE),TRUE))</f>
        <v>1</v>
      </c>
      <c r="N1622" s="9" t="str">
        <f>IF(F1622="","",IF($F$2=入力リスト!$Q$4,ROUNDDOWN(INT(F1622)+ROUNDDOWN((F1622-INT(F1622))*100,0)/60,2),従業員の給与情報!F1622))</f>
        <v/>
      </c>
      <c r="O1622" s="8"/>
      <c r="P1622" s="8"/>
    </row>
    <row r="1623" spans="1:16">
      <c r="A1623" s="119"/>
      <c r="B1623" s="2"/>
      <c r="C1623" s="3"/>
      <c r="D1623" s="3"/>
      <c r="E1623" s="3"/>
      <c r="F1623" s="9"/>
      <c r="G1623" s="248" t="str">
        <f t="shared" si="125"/>
        <v/>
      </c>
      <c r="H1623" s="1" t="b">
        <f>IF(B1623="",FALSE,COUNTIF('従業員情報(給与以外)'!$A$4:$A$1000000,$B1623)=0)</f>
        <v>0</v>
      </c>
      <c r="I1623" s="9" t="b">
        <f t="shared" si="126"/>
        <v>1</v>
      </c>
      <c r="J1623" s="9" t="b">
        <f t="shared" si="127"/>
        <v>1</v>
      </c>
      <c r="K1623" s="9" t="b">
        <f t="shared" si="128"/>
        <v>1</v>
      </c>
      <c r="L1623" s="9" t="b">
        <f t="shared" si="129"/>
        <v>1</v>
      </c>
      <c r="M1623" s="1" t="b">
        <f>IF(OR(入力シート!$C$5&lt;&gt;入力リスト!$N$4,入力シート!$J$22&lt;&gt;入力リスト!$K$4),TRUE,IF($F$2=入力リスト!$Q$4,IF(F1623-INT(F1623)&lt;0.6,TRUE,FALSE),TRUE))</f>
        <v>1</v>
      </c>
      <c r="N1623" s="9" t="str">
        <f>IF(F1623="","",IF($F$2=入力リスト!$Q$4,ROUNDDOWN(INT(F1623)+ROUNDDOWN((F1623-INT(F1623))*100,0)/60,2),従業員の給与情報!F1623))</f>
        <v/>
      </c>
      <c r="O1623" s="8"/>
      <c r="P1623" s="8"/>
    </row>
    <row r="1624" spans="1:16">
      <c r="A1624" s="119"/>
      <c r="B1624" s="2"/>
      <c r="C1624" s="3"/>
      <c r="D1624" s="3"/>
      <c r="E1624" s="3"/>
      <c r="F1624" s="9"/>
      <c r="G1624" s="248" t="str">
        <f t="shared" si="125"/>
        <v/>
      </c>
      <c r="H1624" s="1" t="b">
        <f>IF(B1624="",FALSE,COUNTIF('従業員情報(給与以外)'!$A$4:$A$1000000,$B1624)=0)</f>
        <v>0</v>
      </c>
      <c r="I1624" s="9" t="b">
        <f t="shared" si="126"/>
        <v>1</v>
      </c>
      <c r="J1624" s="9" t="b">
        <f t="shared" si="127"/>
        <v>1</v>
      </c>
      <c r="K1624" s="9" t="b">
        <f t="shared" si="128"/>
        <v>1</v>
      </c>
      <c r="L1624" s="9" t="b">
        <f t="shared" si="129"/>
        <v>1</v>
      </c>
      <c r="M1624" s="1" t="b">
        <f>IF(OR(入力シート!$C$5&lt;&gt;入力リスト!$N$4,入力シート!$J$22&lt;&gt;入力リスト!$K$4),TRUE,IF($F$2=入力リスト!$Q$4,IF(F1624-INT(F1624)&lt;0.6,TRUE,FALSE),TRUE))</f>
        <v>1</v>
      </c>
      <c r="N1624" s="9" t="str">
        <f>IF(F1624="","",IF($F$2=入力リスト!$Q$4,ROUNDDOWN(INT(F1624)+ROUNDDOWN((F1624-INT(F1624))*100,0)/60,2),従業員の給与情報!F1624))</f>
        <v/>
      </c>
      <c r="O1624" s="8"/>
      <c r="P1624" s="8"/>
    </row>
    <row r="1625" spans="1:16">
      <c r="A1625" s="119"/>
      <c r="B1625" s="2"/>
      <c r="C1625" s="3"/>
      <c r="D1625" s="3"/>
      <c r="E1625" s="3"/>
      <c r="F1625" s="9"/>
      <c r="G1625" s="248" t="str">
        <f t="shared" si="125"/>
        <v/>
      </c>
      <c r="H1625" s="1" t="b">
        <f>IF(B1625="",FALSE,COUNTIF('従業員情報(給与以外)'!$A$4:$A$1000000,$B1625)=0)</f>
        <v>0</v>
      </c>
      <c r="I1625" s="9" t="b">
        <f t="shared" si="126"/>
        <v>1</v>
      </c>
      <c r="J1625" s="9" t="b">
        <f t="shared" si="127"/>
        <v>1</v>
      </c>
      <c r="K1625" s="9" t="b">
        <f t="shared" si="128"/>
        <v>1</v>
      </c>
      <c r="L1625" s="9" t="b">
        <f t="shared" si="129"/>
        <v>1</v>
      </c>
      <c r="M1625" s="1" t="b">
        <f>IF(OR(入力シート!$C$5&lt;&gt;入力リスト!$N$4,入力シート!$J$22&lt;&gt;入力リスト!$K$4),TRUE,IF($F$2=入力リスト!$Q$4,IF(F1625-INT(F1625)&lt;0.6,TRUE,FALSE),TRUE))</f>
        <v>1</v>
      </c>
      <c r="N1625" s="9" t="str">
        <f>IF(F1625="","",IF($F$2=入力リスト!$Q$4,ROUNDDOWN(INT(F1625)+ROUNDDOWN((F1625-INT(F1625))*100,0)/60,2),従業員の給与情報!F1625))</f>
        <v/>
      </c>
      <c r="O1625" s="8"/>
      <c r="P1625" s="8"/>
    </row>
    <row r="1626" spans="1:16">
      <c r="A1626" s="119"/>
      <c r="B1626" s="2"/>
      <c r="C1626" s="3"/>
      <c r="D1626" s="3"/>
      <c r="E1626" s="3"/>
      <c r="F1626" s="9"/>
      <c r="G1626" s="248" t="str">
        <f t="shared" si="125"/>
        <v/>
      </c>
      <c r="H1626" s="1" t="b">
        <f>IF(B1626="",FALSE,COUNTIF('従業員情報(給与以外)'!$A$4:$A$1000000,$B1626)=0)</f>
        <v>0</v>
      </c>
      <c r="I1626" s="9" t="b">
        <f t="shared" si="126"/>
        <v>1</v>
      </c>
      <c r="J1626" s="9" t="b">
        <f t="shared" si="127"/>
        <v>1</v>
      </c>
      <c r="K1626" s="9" t="b">
        <f t="shared" si="128"/>
        <v>1</v>
      </c>
      <c r="L1626" s="9" t="b">
        <f t="shared" si="129"/>
        <v>1</v>
      </c>
      <c r="M1626" s="1" t="b">
        <f>IF(OR(入力シート!$C$5&lt;&gt;入力リスト!$N$4,入力シート!$J$22&lt;&gt;入力リスト!$K$4),TRUE,IF($F$2=入力リスト!$Q$4,IF(F1626-INT(F1626)&lt;0.6,TRUE,FALSE),TRUE))</f>
        <v>1</v>
      </c>
      <c r="N1626" s="9" t="str">
        <f>IF(F1626="","",IF($F$2=入力リスト!$Q$4,ROUNDDOWN(INT(F1626)+ROUNDDOWN((F1626-INT(F1626))*100,0)/60,2),従業員の給与情報!F1626))</f>
        <v/>
      </c>
      <c r="O1626" s="8"/>
      <c r="P1626" s="8"/>
    </row>
    <row r="1627" spans="1:16">
      <c r="A1627" s="119"/>
      <c r="B1627" s="2"/>
      <c r="C1627" s="3"/>
      <c r="D1627" s="3"/>
      <c r="E1627" s="3"/>
      <c r="F1627" s="9"/>
      <c r="G1627" s="248" t="str">
        <f t="shared" si="125"/>
        <v/>
      </c>
      <c r="H1627" s="1" t="b">
        <f>IF(B1627="",FALSE,COUNTIF('従業員情報(給与以外)'!$A$4:$A$1000000,$B1627)=0)</f>
        <v>0</v>
      </c>
      <c r="I1627" s="9" t="b">
        <f t="shared" si="126"/>
        <v>1</v>
      </c>
      <c r="J1627" s="9" t="b">
        <f t="shared" si="127"/>
        <v>1</v>
      </c>
      <c r="K1627" s="9" t="b">
        <f t="shared" si="128"/>
        <v>1</v>
      </c>
      <c r="L1627" s="9" t="b">
        <f t="shared" si="129"/>
        <v>1</v>
      </c>
      <c r="M1627" s="1" t="b">
        <f>IF(OR(入力シート!$C$5&lt;&gt;入力リスト!$N$4,入力シート!$J$22&lt;&gt;入力リスト!$K$4),TRUE,IF($F$2=入力リスト!$Q$4,IF(F1627-INT(F1627)&lt;0.6,TRUE,FALSE),TRUE))</f>
        <v>1</v>
      </c>
      <c r="N1627" s="9" t="str">
        <f>IF(F1627="","",IF($F$2=入力リスト!$Q$4,ROUNDDOWN(INT(F1627)+ROUNDDOWN((F1627-INT(F1627))*100,0)/60,2),従業員の給与情報!F1627))</f>
        <v/>
      </c>
      <c r="O1627" s="8"/>
      <c r="P1627" s="8"/>
    </row>
    <row r="1628" spans="1:16">
      <c r="A1628" s="119"/>
      <c r="B1628" s="2"/>
      <c r="C1628" s="3"/>
      <c r="D1628" s="3"/>
      <c r="E1628" s="3"/>
      <c r="F1628" s="9"/>
      <c r="G1628" s="248" t="str">
        <f t="shared" si="125"/>
        <v/>
      </c>
      <c r="H1628" s="1" t="b">
        <f>IF(B1628="",FALSE,COUNTIF('従業員情報(給与以外)'!$A$4:$A$1000000,$B1628)=0)</f>
        <v>0</v>
      </c>
      <c r="I1628" s="9" t="b">
        <f t="shared" si="126"/>
        <v>1</v>
      </c>
      <c r="J1628" s="9" t="b">
        <f t="shared" si="127"/>
        <v>1</v>
      </c>
      <c r="K1628" s="9" t="b">
        <f t="shared" si="128"/>
        <v>1</v>
      </c>
      <c r="L1628" s="9" t="b">
        <f t="shared" si="129"/>
        <v>1</v>
      </c>
      <c r="M1628" s="1" t="b">
        <f>IF(OR(入力シート!$C$5&lt;&gt;入力リスト!$N$4,入力シート!$J$22&lt;&gt;入力リスト!$K$4),TRUE,IF($F$2=入力リスト!$Q$4,IF(F1628-INT(F1628)&lt;0.6,TRUE,FALSE),TRUE))</f>
        <v>1</v>
      </c>
      <c r="N1628" s="9" t="str">
        <f>IF(F1628="","",IF($F$2=入力リスト!$Q$4,ROUNDDOWN(INT(F1628)+ROUNDDOWN((F1628-INT(F1628))*100,0)/60,2),従業員の給与情報!F1628))</f>
        <v/>
      </c>
      <c r="O1628" s="8"/>
      <c r="P1628" s="8"/>
    </row>
    <row r="1629" spans="1:16">
      <c r="A1629" s="119"/>
      <c r="B1629" s="2"/>
      <c r="C1629" s="3"/>
      <c r="D1629" s="3"/>
      <c r="E1629" s="3"/>
      <c r="F1629" s="9"/>
      <c r="G1629" s="248" t="str">
        <f t="shared" si="125"/>
        <v/>
      </c>
      <c r="H1629" s="1" t="b">
        <f>IF(B1629="",FALSE,COUNTIF('従業員情報(給与以外)'!$A$4:$A$1000000,$B1629)=0)</f>
        <v>0</v>
      </c>
      <c r="I1629" s="9" t="b">
        <f t="shared" si="126"/>
        <v>1</v>
      </c>
      <c r="J1629" s="9" t="b">
        <f t="shared" si="127"/>
        <v>1</v>
      </c>
      <c r="K1629" s="9" t="b">
        <f t="shared" si="128"/>
        <v>1</v>
      </c>
      <c r="L1629" s="9" t="b">
        <f t="shared" si="129"/>
        <v>1</v>
      </c>
      <c r="M1629" s="1" t="b">
        <f>IF(OR(入力シート!$C$5&lt;&gt;入力リスト!$N$4,入力シート!$J$22&lt;&gt;入力リスト!$K$4),TRUE,IF($F$2=入力リスト!$Q$4,IF(F1629-INT(F1629)&lt;0.6,TRUE,FALSE),TRUE))</f>
        <v>1</v>
      </c>
      <c r="N1629" s="9" t="str">
        <f>IF(F1629="","",IF($F$2=入力リスト!$Q$4,ROUNDDOWN(INT(F1629)+ROUNDDOWN((F1629-INT(F1629))*100,0)/60,2),従業員の給与情報!F1629))</f>
        <v/>
      </c>
      <c r="O1629" s="8"/>
      <c r="P1629" s="8"/>
    </row>
    <row r="1630" spans="1:16">
      <c r="A1630" s="119"/>
      <c r="B1630" s="2"/>
      <c r="C1630" s="3"/>
      <c r="D1630" s="3"/>
      <c r="E1630" s="3"/>
      <c r="F1630" s="9"/>
      <c r="G1630" s="248" t="str">
        <f t="shared" si="125"/>
        <v/>
      </c>
      <c r="H1630" s="1" t="b">
        <f>IF(B1630="",FALSE,COUNTIF('従業員情報(給与以外)'!$A$4:$A$1000000,$B1630)=0)</f>
        <v>0</v>
      </c>
      <c r="I1630" s="9" t="b">
        <f t="shared" si="126"/>
        <v>1</v>
      </c>
      <c r="J1630" s="9" t="b">
        <f t="shared" si="127"/>
        <v>1</v>
      </c>
      <c r="K1630" s="9" t="b">
        <f t="shared" si="128"/>
        <v>1</v>
      </c>
      <c r="L1630" s="9" t="b">
        <f t="shared" si="129"/>
        <v>1</v>
      </c>
      <c r="M1630" s="1" t="b">
        <f>IF(OR(入力シート!$C$5&lt;&gt;入力リスト!$N$4,入力シート!$J$22&lt;&gt;入力リスト!$K$4),TRUE,IF($F$2=入力リスト!$Q$4,IF(F1630-INT(F1630)&lt;0.6,TRUE,FALSE),TRUE))</f>
        <v>1</v>
      </c>
      <c r="N1630" s="9" t="str">
        <f>IF(F1630="","",IF($F$2=入力リスト!$Q$4,ROUNDDOWN(INT(F1630)+ROUNDDOWN((F1630-INT(F1630))*100,0)/60,2),従業員の給与情報!F1630))</f>
        <v/>
      </c>
      <c r="O1630" s="8"/>
      <c r="P1630" s="8"/>
    </row>
    <row r="1631" spans="1:16">
      <c r="A1631" s="119"/>
      <c r="B1631" s="2"/>
      <c r="C1631" s="3"/>
      <c r="D1631" s="3"/>
      <c r="E1631" s="3"/>
      <c r="F1631" s="9"/>
      <c r="G1631" s="248" t="str">
        <f t="shared" si="125"/>
        <v/>
      </c>
      <c r="H1631" s="1" t="b">
        <f>IF(B1631="",FALSE,COUNTIF('従業員情報(給与以外)'!$A$4:$A$1000000,$B1631)=0)</f>
        <v>0</v>
      </c>
      <c r="I1631" s="9" t="b">
        <f t="shared" si="126"/>
        <v>1</v>
      </c>
      <c r="J1631" s="9" t="b">
        <f t="shared" si="127"/>
        <v>1</v>
      </c>
      <c r="K1631" s="9" t="b">
        <f t="shared" si="128"/>
        <v>1</v>
      </c>
      <c r="L1631" s="9" t="b">
        <f t="shared" si="129"/>
        <v>1</v>
      </c>
      <c r="M1631" s="1" t="b">
        <f>IF(OR(入力シート!$C$5&lt;&gt;入力リスト!$N$4,入力シート!$J$22&lt;&gt;入力リスト!$K$4),TRUE,IF($F$2=入力リスト!$Q$4,IF(F1631-INT(F1631)&lt;0.6,TRUE,FALSE),TRUE))</f>
        <v>1</v>
      </c>
      <c r="N1631" s="9" t="str">
        <f>IF(F1631="","",IF($F$2=入力リスト!$Q$4,ROUNDDOWN(INT(F1631)+ROUNDDOWN((F1631-INT(F1631))*100,0)/60,2),従業員の給与情報!F1631))</f>
        <v/>
      </c>
      <c r="O1631" s="8"/>
      <c r="P1631" s="8"/>
    </row>
    <row r="1632" spans="1:16">
      <c r="A1632" s="119"/>
      <c r="B1632" s="2"/>
      <c r="C1632" s="3"/>
      <c r="D1632" s="3"/>
      <c r="E1632" s="3"/>
      <c r="F1632" s="9"/>
      <c r="G1632" s="248" t="str">
        <f t="shared" si="125"/>
        <v/>
      </c>
      <c r="H1632" s="1" t="b">
        <f>IF(B1632="",FALSE,COUNTIF('従業員情報(給与以外)'!$A$4:$A$1000000,$B1632)=0)</f>
        <v>0</v>
      </c>
      <c r="I1632" s="9" t="b">
        <f t="shared" si="126"/>
        <v>1</v>
      </c>
      <c r="J1632" s="9" t="b">
        <f t="shared" si="127"/>
        <v>1</v>
      </c>
      <c r="K1632" s="9" t="b">
        <f t="shared" si="128"/>
        <v>1</v>
      </c>
      <c r="L1632" s="9" t="b">
        <f t="shared" si="129"/>
        <v>1</v>
      </c>
      <c r="M1632" s="1" t="b">
        <f>IF(OR(入力シート!$C$5&lt;&gt;入力リスト!$N$4,入力シート!$J$22&lt;&gt;入力リスト!$K$4),TRUE,IF($F$2=入力リスト!$Q$4,IF(F1632-INT(F1632)&lt;0.6,TRUE,FALSE),TRUE))</f>
        <v>1</v>
      </c>
      <c r="N1632" s="9" t="str">
        <f>IF(F1632="","",IF($F$2=入力リスト!$Q$4,ROUNDDOWN(INT(F1632)+ROUNDDOWN((F1632-INT(F1632))*100,0)/60,2),従業員の給与情報!F1632))</f>
        <v/>
      </c>
      <c r="O1632" s="8"/>
      <c r="P1632" s="8"/>
    </row>
    <row r="1633" spans="1:16">
      <c r="A1633" s="119"/>
      <c r="B1633" s="2"/>
      <c r="C1633" s="3"/>
      <c r="D1633" s="3"/>
      <c r="E1633" s="3"/>
      <c r="F1633" s="9"/>
      <c r="G1633" s="248" t="str">
        <f t="shared" si="125"/>
        <v/>
      </c>
      <c r="H1633" s="1" t="b">
        <f>IF(B1633="",FALSE,COUNTIF('従業員情報(給与以外)'!$A$4:$A$1000000,$B1633)=0)</f>
        <v>0</v>
      </c>
      <c r="I1633" s="9" t="b">
        <f t="shared" si="126"/>
        <v>1</v>
      </c>
      <c r="J1633" s="9" t="b">
        <f t="shared" si="127"/>
        <v>1</v>
      </c>
      <c r="K1633" s="9" t="b">
        <f t="shared" si="128"/>
        <v>1</v>
      </c>
      <c r="L1633" s="9" t="b">
        <f t="shared" si="129"/>
        <v>1</v>
      </c>
      <c r="M1633" s="1" t="b">
        <f>IF(OR(入力シート!$C$5&lt;&gt;入力リスト!$N$4,入力シート!$J$22&lt;&gt;入力リスト!$K$4),TRUE,IF($F$2=入力リスト!$Q$4,IF(F1633-INT(F1633)&lt;0.6,TRUE,FALSE),TRUE))</f>
        <v>1</v>
      </c>
      <c r="N1633" s="9" t="str">
        <f>IF(F1633="","",IF($F$2=入力リスト!$Q$4,ROUNDDOWN(INT(F1633)+ROUNDDOWN((F1633-INT(F1633))*100,0)/60,2),従業員の給与情報!F1633))</f>
        <v/>
      </c>
      <c r="O1633" s="8"/>
      <c r="P1633" s="8"/>
    </row>
    <row r="1634" spans="1:16">
      <c r="A1634" s="119"/>
      <c r="B1634" s="2"/>
      <c r="C1634" s="3"/>
      <c r="D1634" s="3"/>
      <c r="E1634" s="3"/>
      <c r="F1634" s="9"/>
      <c r="G1634" s="248" t="str">
        <f t="shared" si="125"/>
        <v/>
      </c>
      <c r="H1634" s="1" t="b">
        <f>IF(B1634="",FALSE,COUNTIF('従業員情報(給与以外)'!$A$4:$A$1000000,$B1634)=0)</f>
        <v>0</v>
      </c>
      <c r="I1634" s="9" t="b">
        <f t="shared" si="126"/>
        <v>1</v>
      </c>
      <c r="J1634" s="9" t="b">
        <f t="shared" si="127"/>
        <v>1</v>
      </c>
      <c r="K1634" s="9" t="b">
        <f t="shared" si="128"/>
        <v>1</v>
      </c>
      <c r="L1634" s="9" t="b">
        <f t="shared" si="129"/>
        <v>1</v>
      </c>
      <c r="M1634" s="1" t="b">
        <f>IF(OR(入力シート!$C$5&lt;&gt;入力リスト!$N$4,入力シート!$J$22&lt;&gt;入力リスト!$K$4),TRUE,IF($F$2=入力リスト!$Q$4,IF(F1634-INT(F1634)&lt;0.6,TRUE,FALSE),TRUE))</f>
        <v>1</v>
      </c>
      <c r="N1634" s="9" t="str">
        <f>IF(F1634="","",IF($F$2=入力リスト!$Q$4,ROUNDDOWN(INT(F1634)+ROUNDDOWN((F1634-INT(F1634))*100,0)/60,2),従業員の給与情報!F1634))</f>
        <v/>
      </c>
      <c r="O1634" s="8"/>
      <c r="P1634" s="8"/>
    </row>
    <row r="1635" spans="1:16">
      <c r="A1635" s="119"/>
      <c r="B1635" s="2"/>
      <c r="C1635" s="3"/>
      <c r="D1635" s="3"/>
      <c r="E1635" s="3"/>
      <c r="F1635" s="9"/>
      <c r="G1635" s="248" t="str">
        <f t="shared" si="125"/>
        <v/>
      </c>
      <c r="H1635" s="1" t="b">
        <f>IF(B1635="",FALSE,COUNTIF('従業員情報(給与以外)'!$A$4:$A$1000000,$B1635)=0)</f>
        <v>0</v>
      </c>
      <c r="I1635" s="9" t="b">
        <f t="shared" si="126"/>
        <v>1</v>
      </c>
      <c r="J1635" s="9" t="b">
        <f t="shared" si="127"/>
        <v>1</v>
      </c>
      <c r="K1635" s="9" t="b">
        <f t="shared" si="128"/>
        <v>1</v>
      </c>
      <c r="L1635" s="9" t="b">
        <f t="shared" si="129"/>
        <v>1</v>
      </c>
      <c r="M1635" s="1" t="b">
        <f>IF(OR(入力シート!$C$5&lt;&gt;入力リスト!$N$4,入力シート!$J$22&lt;&gt;入力リスト!$K$4),TRUE,IF($F$2=入力リスト!$Q$4,IF(F1635-INT(F1635)&lt;0.6,TRUE,FALSE),TRUE))</f>
        <v>1</v>
      </c>
      <c r="N1635" s="9" t="str">
        <f>IF(F1635="","",IF($F$2=入力リスト!$Q$4,ROUNDDOWN(INT(F1635)+ROUNDDOWN((F1635-INT(F1635))*100,0)/60,2),従業員の給与情報!F1635))</f>
        <v/>
      </c>
      <c r="O1635" s="8"/>
      <c r="P1635" s="8"/>
    </row>
    <row r="1636" spans="1:16">
      <c r="A1636" s="119"/>
      <c r="B1636" s="2"/>
      <c r="C1636" s="3"/>
      <c r="D1636" s="3"/>
      <c r="E1636" s="3"/>
      <c r="F1636" s="9"/>
      <c r="G1636" s="248" t="str">
        <f t="shared" si="125"/>
        <v/>
      </c>
      <c r="H1636" s="1" t="b">
        <f>IF(B1636="",FALSE,COUNTIF('従業員情報(給与以外)'!$A$4:$A$1000000,$B1636)=0)</f>
        <v>0</v>
      </c>
      <c r="I1636" s="9" t="b">
        <f t="shared" si="126"/>
        <v>1</v>
      </c>
      <c r="J1636" s="9" t="b">
        <f t="shared" si="127"/>
        <v>1</v>
      </c>
      <c r="K1636" s="9" t="b">
        <f t="shared" si="128"/>
        <v>1</v>
      </c>
      <c r="L1636" s="9" t="b">
        <f t="shared" si="129"/>
        <v>1</v>
      </c>
      <c r="M1636" s="1" t="b">
        <f>IF(OR(入力シート!$C$5&lt;&gt;入力リスト!$N$4,入力シート!$J$22&lt;&gt;入力リスト!$K$4),TRUE,IF($F$2=入力リスト!$Q$4,IF(F1636-INT(F1636)&lt;0.6,TRUE,FALSE),TRUE))</f>
        <v>1</v>
      </c>
      <c r="N1636" s="9" t="str">
        <f>IF(F1636="","",IF($F$2=入力リスト!$Q$4,ROUNDDOWN(INT(F1636)+ROUNDDOWN((F1636-INT(F1636))*100,0)/60,2),従業員の給与情報!F1636))</f>
        <v/>
      </c>
      <c r="O1636" s="8"/>
      <c r="P1636" s="8"/>
    </row>
    <row r="1637" spans="1:16">
      <c r="A1637" s="119"/>
      <c r="B1637" s="2"/>
      <c r="C1637" s="3"/>
      <c r="D1637" s="3"/>
      <c r="E1637" s="3"/>
      <c r="F1637" s="9"/>
      <c r="G1637" s="248" t="str">
        <f t="shared" si="125"/>
        <v/>
      </c>
      <c r="H1637" s="1" t="b">
        <f>IF(B1637="",FALSE,COUNTIF('従業員情報(給与以外)'!$A$4:$A$1000000,$B1637)=0)</f>
        <v>0</v>
      </c>
      <c r="I1637" s="9" t="b">
        <f t="shared" si="126"/>
        <v>1</v>
      </c>
      <c r="J1637" s="9" t="b">
        <f t="shared" si="127"/>
        <v>1</v>
      </c>
      <c r="K1637" s="9" t="b">
        <f t="shared" si="128"/>
        <v>1</v>
      </c>
      <c r="L1637" s="9" t="b">
        <f t="shared" si="129"/>
        <v>1</v>
      </c>
      <c r="M1637" s="1" t="b">
        <f>IF(OR(入力シート!$C$5&lt;&gt;入力リスト!$N$4,入力シート!$J$22&lt;&gt;入力リスト!$K$4),TRUE,IF($F$2=入力リスト!$Q$4,IF(F1637-INT(F1637)&lt;0.6,TRUE,FALSE),TRUE))</f>
        <v>1</v>
      </c>
      <c r="N1637" s="9" t="str">
        <f>IF(F1637="","",IF($F$2=入力リスト!$Q$4,ROUNDDOWN(INT(F1637)+ROUNDDOWN((F1637-INT(F1637))*100,0)/60,2),従業員の給与情報!F1637))</f>
        <v/>
      </c>
      <c r="O1637" s="8"/>
      <c r="P1637" s="8"/>
    </row>
    <row r="1638" spans="1:16">
      <c r="A1638" s="119"/>
      <c r="B1638" s="2"/>
      <c r="C1638" s="3"/>
      <c r="D1638" s="3"/>
      <c r="E1638" s="3"/>
      <c r="F1638" s="9"/>
      <c r="G1638" s="248" t="str">
        <f t="shared" si="125"/>
        <v/>
      </c>
      <c r="H1638" s="1" t="b">
        <f>IF(B1638="",FALSE,COUNTIF('従業員情報(給与以外)'!$A$4:$A$1000000,$B1638)=0)</f>
        <v>0</v>
      </c>
      <c r="I1638" s="9" t="b">
        <f t="shared" si="126"/>
        <v>1</v>
      </c>
      <c r="J1638" s="9" t="b">
        <f t="shared" si="127"/>
        <v>1</v>
      </c>
      <c r="K1638" s="9" t="b">
        <f t="shared" si="128"/>
        <v>1</v>
      </c>
      <c r="L1638" s="9" t="b">
        <f t="shared" si="129"/>
        <v>1</v>
      </c>
      <c r="M1638" s="1" t="b">
        <f>IF(OR(入力シート!$C$5&lt;&gt;入力リスト!$N$4,入力シート!$J$22&lt;&gt;入力リスト!$K$4),TRUE,IF($F$2=入力リスト!$Q$4,IF(F1638-INT(F1638)&lt;0.6,TRUE,FALSE),TRUE))</f>
        <v>1</v>
      </c>
      <c r="N1638" s="9" t="str">
        <f>IF(F1638="","",IF($F$2=入力リスト!$Q$4,ROUNDDOWN(INT(F1638)+ROUNDDOWN((F1638-INT(F1638))*100,0)/60,2),従業員の給与情報!F1638))</f>
        <v/>
      </c>
      <c r="O1638" s="8"/>
      <c r="P1638" s="8"/>
    </row>
    <row r="1639" spans="1:16">
      <c r="A1639" s="119"/>
      <c r="B1639" s="2"/>
      <c r="C1639" s="3"/>
      <c r="D1639" s="3"/>
      <c r="E1639" s="3"/>
      <c r="F1639" s="9"/>
      <c r="G1639" s="248" t="str">
        <f t="shared" si="125"/>
        <v/>
      </c>
      <c r="H1639" s="1" t="b">
        <f>IF(B1639="",FALSE,COUNTIF('従業員情報(給与以外)'!$A$4:$A$1000000,$B1639)=0)</f>
        <v>0</v>
      </c>
      <c r="I1639" s="9" t="b">
        <f t="shared" si="126"/>
        <v>1</v>
      </c>
      <c r="J1639" s="9" t="b">
        <f t="shared" si="127"/>
        <v>1</v>
      </c>
      <c r="K1639" s="9" t="b">
        <f t="shared" si="128"/>
        <v>1</v>
      </c>
      <c r="L1639" s="9" t="b">
        <f t="shared" si="129"/>
        <v>1</v>
      </c>
      <c r="M1639" s="1" t="b">
        <f>IF(OR(入力シート!$C$5&lt;&gt;入力リスト!$N$4,入力シート!$J$22&lt;&gt;入力リスト!$K$4),TRUE,IF($F$2=入力リスト!$Q$4,IF(F1639-INT(F1639)&lt;0.6,TRUE,FALSE),TRUE))</f>
        <v>1</v>
      </c>
      <c r="N1639" s="9" t="str">
        <f>IF(F1639="","",IF($F$2=入力リスト!$Q$4,ROUNDDOWN(INT(F1639)+ROUNDDOWN((F1639-INT(F1639))*100,0)/60,2),従業員の給与情報!F1639))</f>
        <v/>
      </c>
      <c r="O1639" s="8"/>
      <c r="P1639" s="8"/>
    </row>
    <row r="1640" spans="1:16">
      <c r="A1640" s="119"/>
      <c r="B1640" s="2"/>
      <c r="C1640" s="3"/>
      <c r="D1640" s="3"/>
      <c r="E1640" s="3"/>
      <c r="F1640" s="9"/>
      <c r="G1640" s="248" t="str">
        <f t="shared" si="125"/>
        <v/>
      </c>
      <c r="H1640" s="1" t="b">
        <f>IF(B1640="",FALSE,COUNTIF('従業員情報(給与以外)'!$A$4:$A$1000000,$B1640)=0)</f>
        <v>0</v>
      </c>
      <c r="I1640" s="9" t="b">
        <f t="shared" si="126"/>
        <v>1</v>
      </c>
      <c r="J1640" s="9" t="b">
        <f t="shared" si="127"/>
        <v>1</v>
      </c>
      <c r="K1640" s="9" t="b">
        <f t="shared" si="128"/>
        <v>1</v>
      </c>
      <c r="L1640" s="9" t="b">
        <f t="shared" si="129"/>
        <v>1</v>
      </c>
      <c r="M1640" s="1" t="b">
        <f>IF(OR(入力シート!$C$5&lt;&gt;入力リスト!$N$4,入力シート!$J$22&lt;&gt;入力リスト!$K$4),TRUE,IF($F$2=入力リスト!$Q$4,IF(F1640-INT(F1640)&lt;0.6,TRUE,FALSE),TRUE))</f>
        <v>1</v>
      </c>
      <c r="N1640" s="9" t="str">
        <f>IF(F1640="","",IF($F$2=入力リスト!$Q$4,ROUNDDOWN(INT(F1640)+ROUNDDOWN((F1640-INT(F1640))*100,0)/60,2),従業員の給与情報!F1640))</f>
        <v/>
      </c>
      <c r="O1640" s="8"/>
      <c r="P1640" s="8"/>
    </row>
    <row r="1641" spans="1:16">
      <c r="A1641" s="119"/>
      <c r="B1641" s="2"/>
      <c r="C1641" s="3"/>
      <c r="D1641" s="3"/>
      <c r="E1641" s="3"/>
      <c r="F1641" s="9"/>
      <c r="G1641" s="248" t="str">
        <f t="shared" si="125"/>
        <v/>
      </c>
      <c r="H1641" s="1" t="b">
        <f>IF(B1641="",FALSE,COUNTIF('従業員情報(給与以外)'!$A$4:$A$1000000,$B1641)=0)</f>
        <v>0</v>
      </c>
      <c r="I1641" s="9" t="b">
        <f t="shared" si="126"/>
        <v>1</v>
      </c>
      <c r="J1641" s="9" t="b">
        <f t="shared" si="127"/>
        <v>1</v>
      </c>
      <c r="K1641" s="9" t="b">
        <f t="shared" si="128"/>
        <v>1</v>
      </c>
      <c r="L1641" s="9" t="b">
        <f t="shared" si="129"/>
        <v>1</v>
      </c>
      <c r="M1641" s="1" t="b">
        <f>IF(OR(入力シート!$C$5&lt;&gt;入力リスト!$N$4,入力シート!$J$22&lt;&gt;入力リスト!$K$4),TRUE,IF($F$2=入力リスト!$Q$4,IF(F1641-INT(F1641)&lt;0.6,TRUE,FALSE),TRUE))</f>
        <v>1</v>
      </c>
      <c r="N1641" s="9" t="str">
        <f>IF(F1641="","",IF($F$2=入力リスト!$Q$4,ROUNDDOWN(INT(F1641)+ROUNDDOWN((F1641-INT(F1641))*100,0)/60,2),従業員の給与情報!F1641))</f>
        <v/>
      </c>
      <c r="O1641" s="8"/>
      <c r="P1641" s="8"/>
    </row>
    <row r="1642" spans="1:16">
      <c r="A1642" s="119"/>
      <c r="B1642" s="2"/>
      <c r="C1642" s="3"/>
      <c r="D1642" s="3"/>
      <c r="E1642" s="3"/>
      <c r="F1642" s="9"/>
      <c r="G1642" s="248" t="str">
        <f t="shared" si="125"/>
        <v/>
      </c>
      <c r="H1642" s="1" t="b">
        <f>IF(B1642="",FALSE,COUNTIF('従業員情報(給与以外)'!$A$4:$A$1000000,$B1642)=0)</f>
        <v>0</v>
      </c>
      <c r="I1642" s="9" t="b">
        <f t="shared" si="126"/>
        <v>1</v>
      </c>
      <c r="J1642" s="9" t="b">
        <f t="shared" si="127"/>
        <v>1</v>
      </c>
      <c r="K1642" s="9" t="b">
        <f t="shared" si="128"/>
        <v>1</v>
      </c>
      <c r="L1642" s="9" t="b">
        <f t="shared" si="129"/>
        <v>1</v>
      </c>
      <c r="M1642" s="1" t="b">
        <f>IF(OR(入力シート!$C$5&lt;&gt;入力リスト!$N$4,入力シート!$J$22&lt;&gt;入力リスト!$K$4),TRUE,IF($F$2=入力リスト!$Q$4,IF(F1642-INT(F1642)&lt;0.6,TRUE,FALSE),TRUE))</f>
        <v>1</v>
      </c>
      <c r="N1642" s="9" t="str">
        <f>IF(F1642="","",IF($F$2=入力リスト!$Q$4,ROUNDDOWN(INT(F1642)+ROUNDDOWN((F1642-INT(F1642))*100,0)/60,2),従業員の給与情報!F1642))</f>
        <v/>
      </c>
      <c r="O1642" s="8"/>
      <c r="P1642" s="8"/>
    </row>
    <row r="1643" spans="1:16">
      <c r="A1643" s="119"/>
      <c r="B1643" s="2"/>
      <c r="C1643" s="3"/>
      <c r="D1643" s="3"/>
      <c r="E1643" s="3"/>
      <c r="F1643" s="9"/>
      <c r="G1643" s="248" t="str">
        <f t="shared" si="125"/>
        <v/>
      </c>
      <c r="H1643" s="1" t="b">
        <f>IF(B1643="",FALSE,COUNTIF('従業員情報(給与以外)'!$A$4:$A$1000000,$B1643)=0)</f>
        <v>0</v>
      </c>
      <c r="I1643" s="9" t="b">
        <f t="shared" si="126"/>
        <v>1</v>
      </c>
      <c r="J1643" s="9" t="b">
        <f t="shared" si="127"/>
        <v>1</v>
      </c>
      <c r="K1643" s="9" t="b">
        <f t="shared" si="128"/>
        <v>1</v>
      </c>
      <c r="L1643" s="9" t="b">
        <f t="shared" si="129"/>
        <v>1</v>
      </c>
      <c r="M1643" s="1" t="b">
        <f>IF(OR(入力シート!$C$5&lt;&gt;入力リスト!$N$4,入力シート!$J$22&lt;&gt;入力リスト!$K$4),TRUE,IF($F$2=入力リスト!$Q$4,IF(F1643-INT(F1643)&lt;0.6,TRUE,FALSE),TRUE))</f>
        <v>1</v>
      </c>
      <c r="N1643" s="9" t="str">
        <f>IF(F1643="","",IF($F$2=入力リスト!$Q$4,ROUNDDOWN(INT(F1643)+ROUNDDOWN((F1643-INT(F1643))*100,0)/60,2),従業員の給与情報!F1643))</f>
        <v/>
      </c>
      <c r="O1643" s="8"/>
      <c r="P1643" s="8"/>
    </row>
    <row r="1644" spans="1:16">
      <c r="A1644" s="119"/>
      <c r="B1644" s="2"/>
      <c r="C1644" s="3"/>
      <c r="D1644" s="3"/>
      <c r="E1644" s="3"/>
      <c r="F1644" s="9"/>
      <c r="G1644" s="248" t="str">
        <f t="shared" si="125"/>
        <v/>
      </c>
      <c r="H1644" s="1" t="b">
        <f>IF(B1644="",FALSE,COUNTIF('従業員情報(給与以外)'!$A$4:$A$1000000,$B1644)=0)</f>
        <v>0</v>
      </c>
      <c r="I1644" s="9" t="b">
        <f t="shared" si="126"/>
        <v>1</v>
      </c>
      <c r="J1644" s="9" t="b">
        <f t="shared" si="127"/>
        <v>1</v>
      </c>
      <c r="K1644" s="9" t="b">
        <f t="shared" si="128"/>
        <v>1</v>
      </c>
      <c r="L1644" s="9" t="b">
        <f t="shared" si="129"/>
        <v>1</v>
      </c>
      <c r="M1644" s="1" t="b">
        <f>IF(OR(入力シート!$C$5&lt;&gt;入力リスト!$N$4,入力シート!$J$22&lt;&gt;入力リスト!$K$4),TRUE,IF($F$2=入力リスト!$Q$4,IF(F1644-INT(F1644)&lt;0.6,TRUE,FALSE),TRUE))</f>
        <v>1</v>
      </c>
      <c r="N1644" s="9" t="str">
        <f>IF(F1644="","",IF($F$2=入力リスト!$Q$4,ROUNDDOWN(INT(F1644)+ROUNDDOWN((F1644-INT(F1644))*100,0)/60,2),従業員の給与情報!F1644))</f>
        <v/>
      </c>
      <c r="O1644" s="8"/>
      <c r="P1644" s="8"/>
    </row>
    <row r="1645" spans="1:16">
      <c r="A1645" s="119"/>
      <c r="B1645" s="2"/>
      <c r="C1645" s="3"/>
      <c r="D1645" s="3"/>
      <c r="E1645" s="3"/>
      <c r="F1645" s="9"/>
      <c r="G1645" s="248" t="str">
        <f t="shared" si="125"/>
        <v/>
      </c>
      <c r="H1645" s="1" t="b">
        <f>IF(B1645="",FALSE,COUNTIF('従業員情報(給与以外)'!$A$4:$A$1000000,$B1645)=0)</f>
        <v>0</v>
      </c>
      <c r="I1645" s="9" t="b">
        <f t="shared" si="126"/>
        <v>1</v>
      </c>
      <c r="J1645" s="9" t="b">
        <f t="shared" si="127"/>
        <v>1</v>
      </c>
      <c r="K1645" s="9" t="b">
        <f t="shared" si="128"/>
        <v>1</v>
      </c>
      <c r="L1645" s="9" t="b">
        <f t="shared" si="129"/>
        <v>1</v>
      </c>
      <c r="M1645" s="1" t="b">
        <f>IF(OR(入力シート!$C$5&lt;&gt;入力リスト!$N$4,入力シート!$J$22&lt;&gt;入力リスト!$K$4),TRUE,IF($F$2=入力リスト!$Q$4,IF(F1645-INT(F1645)&lt;0.6,TRUE,FALSE),TRUE))</f>
        <v>1</v>
      </c>
      <c r="N1645" s="9" t="str">
        <f>IF(F1645="","",IF($F$2=入力リスト!$Q$4,ROUNDDOWN(INT(F1645)+ROUNDDOWN((F1645-INT(F1645))*100,0)/60,2),従業員の給与情報!F1645))</f>
        <v/>
      </c>
      <c r="O1645" s="8"/>
      <c r="P1645" s="8"/>
    </row>
    <row r="1646" spans="1:16">
      <c r="A1646" s="119"/>
      <c r="B1646" s="2"/>
      <c r="C1646" s="3"/>
      <c r="D1646" s="3"/>
      <c r="E1646" s="3"/>
      <c r="F1646" s="9"/>
      <c r="G1646" s="248" t="str">
        <f t="shared" si="125"/>
        <v/>
      </c>
      <c r="H1646" s="1" t="b">
        <f>IF(B1646="",FALSE,COUNTIF('従業員情報(給与以外)'!$A$4:$A$1000000,$B1646)=0)</f>
        <v>0</v>
      </c>
      <c r="I1646" s="9" t="b">
        <f t="shared" si="126"/>
        <v>1</v>
      </c>
      <c r="J1646" s="9" t="b">
        <f t="shared" si="127"/>
        <v>1</v>
      </c>
      <c r="K1646" s="9" t="b">
        <f t="shared" si="128"/>
        <v>1</v>
      </c>
      <c r="L1646" s="9" t="b">
        <f t="shared" si="129"/>
        <v>1</v>
      </c>
      <c r="M1646" s="1" t="b">
        <f>IF(OR(入力シート!$C$5&lt;&gt;入力リスト!$N$4,入力シート!$J$22&lt;&gt;入力リスト!$K$4),TRUE,IF($F$2=入力リスト!$Q$4,IF(F1646-INT(F1646)&lt;0.6,TRUE,FALSE),TRUE))</f>
        <v>1</v>
      </c>
      <c r="N1646" s="9" t="str">
        <f>IF(F1646="","",IF($F$2=入力リスト!$Q$4,ROUNDDOWN(INT(F1646)+ROUNDDOWN((F1646-INT(F1646))*100,0)/60,2),従業員の給与情報!F1646))</f>
        <v/>
      </c>
      <c r="O1646" s="8"/>
      <c r="P1646" s="8"/>
    </row>
    <row r="1647" spans="1:16">
      <c r="A1647" s="119"/>
      <c r="B1647" s="2"/>
      <c r="C1647" s="3"/>
      <c r="D1647" s="3"/>
      <c r="E1647" s="3"/>
      <c r="F1647" s="9"/>
      <c r="G1647" s="248" t="str">
        <f t="shared" si="125"/>
        <v/>
      </c>
      <c r="H1647" s="1" t="b">
        <f>IF(B1647="",FALSE,COUNTIF('従業員情報(給与以外)'!$A$4:$A$1000000,$B1647)=0)</f>
        <v>0</v>
      </c>
      <c r="I1647" s="9" t="b">
        <f t="shared" si="126"/>
        <v>1</v>
      </c>
      <c r="J1647" s="9" t="b">
        <f t="shared" si="127"/>
        <v>1</v>
      </c>
      <c r="K1647" s="9" t="b">
        <f t="shared" si="128"/>
        <v>1</v>
      </c>
      <c r="L1647" s="9" t="b">
        <f t="shared" si="129"/>
        <v>1</v>
      </c>
      <c r="M1647" s="1" t="b">
        <f>IF(OR(入力シート!$C$5&lt;&gt;入力リスト!$N$4,入力シート!$J$22&lt;&gt;入力リスト!$K$4),TRUE,IF($F$2=入力リスト!$Q$4,IF(F1647-INT(F1647)&lt;0.6,TRUE,FALSE),TRUE))</f>
        <v>1</v>
      </c>
      <c r="N1647" s="9" t="str">
        <f>IF(F1647="","",IF($F$2=入力リスト!$Q$4,ROUNDDOWN(INT(F1647)+ROUNDDOWN((F1647-INT(F1647))*100,0)/60,2),従業員の給与情報!F1647))</f>
        <v/>
      </c>
      <c r="O1647" s="8"/>
      <c r="P1647" s="8"/>
    </row>
    <row r="1648" spans="1:16">
      <c r="A1648" s="119"/>
      <c r="B1648" s="2"/>
      <c r="C1648" s="3"/>
      <c r="D1648" s="3"/>
      <c r="E1648" s="3"/>
      <c r="F1648" s="9"/>
      <c r="G1648" s="248" t="str">
        <f t="shared" si="125"/>
        <v/>
      </c>
      <c r="H1648" s="1" t="b">
        <f>IF(B1648="",FALSE,COUNTIF('従業員情報(給与以外)'!$A$4:$A$1000000,$B1648)=0)</f>
        <v>0</v>
      </c>
      <c r="I1648" s="9" t="b">
        <f t="shared" si="126"/>
        <v>1</v>
      </c>
      <c r="J1648" s="9" t="b">
        <f t="shared" si="127"/>
        <v>1</v>
      </c>
      <c r="K1648" s="9" t="b">
        <f t="shared" si="128"/>
        <v>1</v>
      </c>
      <c r="L1648" s="9" t="b">
        <f t="shared" si="129"/>
        <v>1</v>
      </c>
      <c r="M1648" s="1" t="b">
        <f>IF(OR(入力シート!$C$5&lt;&gt;入力リスト!$N$4,入力シート!$J$22&lt;&gt;入力リスト!$K$4),TRUE,IF($F$2=入力リスト!$Q$4,IF(F1648-INT(F1648)&lt;0.6,TRUE,FALSE),TRUE))</f>
        <v>1</v>
      </c>
      <c r="N1648" s="9" t="str">
        <f>IF(F1648="","",IF($F$2=入力リスト!$Q$4,ROUNDDOWN(INT(F1648)+ROUNDDOWN((F1648-INT(F1648))*100,0)/60,2),従業員の給与情報!F1648))</f>
        <v/>
      </c>
      <c r="O1648" s="8"/>
      <c r="P1648" s="8"/>
    </row>
    <row r="1649" spans="1:16">
      <c r="A1649" s="119"/>
      <c r="B1649" s="2"/>
      <c r="C1649" s="3"/>
      <c r="D1649" s="3"/>
      <c r="E1649" s="3"/>
      <c r="F1649" s="9"/>
      <c r="G1649" s="248" t="str">
        <f t="shared" si="125"/>
        <v/>
      </c>
      <c r="H1649" s="1" t="b">
        <f>IF(B1649="",FALSE,COUNTIF('従業員情報(給与以外)'!$A$4:$A$1000000,$B1649)=0)</f>
        <v>0</v>
      </c>
      <c r="I1649" s="9" t="b">
        <f t="shared" si="126"/>
        <v>1</v>
      </c>
      <c r="J1649" s="9" t="b">
        <f t="shared" si="127"/>
        <v>1</v>
      </c>
      <c r="K1649" s="9" t="b">
        <f t="shared" si="128"/>
        <v>1</v>
      </c>
      <c r="L1649" s="9" t="b">
        <f t="shared" si="129"/>
        <v>1</v>
      </c>
      <c r="M1649" s="1" t="b">
        <f>IF(OR(入力シート!$C$5&lt;&gt;入力リスト!$N$4,入力シート!$J$22&lt;&gt;入力リスト!$K$4),TRUE,IF($F$2=入力リスト!$Q$4,IF(F1649-INT(F1649)&lt;0.6,TRUE,FALSE),TRUE))</f>
        <v>1</v>
      </c>
      <c r="N1649" s="9" t="str">
        <f>IF(F1649="","",IF($F$2=入力リスト!$Q$4,ROUNDDOWN(INT(F1649)+ROUNDDOWN((F1649-INT(F1649))*100,0)/60,2),従業員の給与情報!F1649))</f>
        <v/>
      </c>
      <c r="O1649" s="8"/>
      <c r="P1649" s="8"/>
    </row>
    <row r="1650" spans="1:16">
      <c r="A1650" s="119"/>
      <c r="B1650" s="2"/>
      <c r="C1650" s="3"/>
      <c r="D1650" s="3"/>
      <c r="E1650" s="3"/>
      <c r="F1650" s="9"/>
      <c r="G1650" s="248" t="str">
        <f t="shared" si="125"/>
        <v/>
      </c>
      <c r="H1650" s="1" t="b">
        <f>IF(B1650="",FALSE,COUNTIF('従業員情報(給与以外)'!$A$4:$A$1000000,$B1650)=0)</f>
        <v>0</v>
      </c>
      <c r="I1650" s="9" t="b">
        <f t="shared" si="126"/>
        <v>1</v>
      </c>
      <c r="J1650" s="9" t="b">
        <f t="shared" si="127"/>
        <v>1</v>
      </c>
      <c r="K1650" s="9" t="b">
        <f t="shared" si="128"/>
        <v>1</v>
      </c>
      <c r="L1650" s="9" t="b">
        <f t="shared" si="129"/>
        <v>1</v>
      </c>
      <c r="M1650" s="1" t="b">
        <f>IF(OR(入力シート!$C$5&lt;&gt;入力リスト!$N$4,入力シート!$J$22&lt;&gt;入力リスト!$K$4),TRUE,IF($F$2=入力リスト!$Q$4,IF(F1650-INT(F1650)&lt;0.6,TRUE,FALSE),TRUE))</f>
        <v>1</v>
      </c>
      <c r="N1650" s="9" t="str">
        <f>IF(F1650="","",IF($F$2=入力リスト!$Q$4,ROUNDDOWN(INT(F1650)+ROUNDDOWN((F1650-INT(F1650))*100,0)/60,2),従業員の給与情報!F1650))</f>
        <v/>
      </c>
      <c r="O1650" s="8"/>
      <c r="P1650" s="8"/>
    </row>
    <row r="1651" spans="1:16">
      <c r="A1651" s="119"/>
      <c r="B1651" s="2"/>
      <c r="C1651" s="3"/>
      <c r="D1651" s="3"/>
      <c r="E1651" s="3"/>
      <c r="F1651" s="9"/>
      <c r="G1651" s="248" t="str">
        <f t="shared" si="125"/>
        <v/>
      </c>
      <c r="H1651" s="1" t="b">
        <f>IF(B1651="",FALSE,COUNTIF('従業員情報(給与以外)'!$A$4:$A$1000000,$B1651)=0)</f>
        <v>0</v>
      </c>
      <c r="I1651" s="9" t="b">
        <f t="shared" si="126"/>
        <v>1</v>
      </c>
      <c r="J1651" s="9" t="b">
        <f t="shared" si="127"/>
        <v>1</v>
      </c>
      <c r="K1651" s="9" t="b">
        <f t="shared" si="128"/>
        <v>1</v>
      </c>
      <c r="L1651" s="9" t="b">
        <f t="shared" si="129"/>
        <v>1</v>
      </c>
      <c r="M1651" s="1" t="b">
        <f>IF(OR(入力シート!$C$5&lt;&gt;入力リスト!$N$4,入力シート!$J$22&lt;&gt;入力リスト!$K$4),TRUE,IF($F$2=入力リスト!$Q$4,IF(F1651-INT(F1651)&lt;0.6,TRUE,FALSE),TRUE))</f>
        <v>1</v>
      </c>
      <c r="N1651" s="9" t="str">
        <f>IF(F1651="","",IF($F$2=入力リスト!$Q$4,ROUNDDOWN(INT(F1651)+ROUNDDOWN((F1651-INT(F1651))*100,0)/60,2),従業員の給与情報!F1651))</f>
        <v/>
      </c>
      <c r="O1651" s="8"/>
      <c r="P1651" s="8"/>
    </row>
    <row r="1652" spans="1:16">
      <c r="A1652" s="119"/>
      <c r="B1652" s="2"/>
      <c r="C1652" s="3"/>
      <c r="D1652" s="3"/>
      <c r="E1652" s="3"/>
      <c r="F1652" s="9"/>
      <c r="G1652" s="248" t="str">
        <f t="shared" si="125"/>
        <v/>
      </c>
      <c r="H1652" s="1" t="b">
        <f>IF(B1652="",FALSE,COUNTIF('従業員情報(給与以外)'!$A$4:$A$1000000,$B1652)=0)</f>
        <v>0</v>
      </c>
      <c r="I1652" s="9" t="b">
        <f t="shared" si="126"/>
        <v>1</v>
      </c>
      <c r="J1652" s="9" t="b">
        <f t="shared" si="127"/>
        <v>1</v>
      </c>
      <c r="K1652" s="9" t="b">
        <f t="shared" si="128"/>
        <v>1</v>
      </c>
      <c r="L1652" s="9" t="b">
        <f t="shared" si="129"/>
        <v>1</v>
      </c>
      <c r="M1652" s="1" t="b">
        <f>IF(OR(入力シート!$C$5&lt;&gt;入力リスト!$N$4,入力シート!$J$22&lt;&gt;入力リスト!$K$4),TRUE,IF($F$2=入力リスト!$Q$4,IF(F1652-INT(F1652)&lt;0.6,TRUE,FALSE),TRUE))</f>
        <v>1</v>
      </c>
      <c r="N1652" s="9" t="str">
        <f>IF(F1652="","",IF($F$2=入力リスト!$Q$4,ROUNDDOWN(INT(F1652)+ROUNDDOWN((F1652-INT(F1652))*100,0)/60,2),従業員の給与情報!F1652))</f>
        <v/>
      </c>
      <c r="O1652" s="8"/>
      <c r="P1652" s="8"/>
    </row>
    <row r="1653" spans="1:16">
      <c r="A1653" s="119"/>
      <c r="B1653" s="2"/>
      <c r="C1653" s="3"/>
      <c r="D1653" s="3"/>
      <c r="E1653" s="3"/>
      <c r="F1653" s="9"/>
      <c r="G1653" s="248" t="str">
        <f t="shared" si="125"/>
        <v/>
      </c>
      <c r="H1653" s="1" t="b">
        <f>IF(B1653="",FALSE,COUNTIF('従業員情報(給与以外)'!$A$4:$A$1000000,$B1653)=0)</f>
        <v>0</v>
      </c>
      <c r="I1653" s="9" t="b">
        <f t="shared" si="126"/>
        <v>1</v>
      </c>
      <c r="J1653" s="9" t="b">
        <f t="shared" si="127"/>
        <v>1</v>
      </c>
      <c r="K1653" s="9" t="b">
        <f t="shared" si="128"/>
        <v>1</v>
      </c>
      <c r="L1653" s="9" t="b">
        <f t="shared" si="129"/>
        <v>1</v>
      </c>
      <c r="M1653" s="1" t="b">
        <f>IF(OR(入力シート!$C$5&lt;&gt;入力リスト!$N$4,入力シート!$J$22&lt;&gt;入力リスト!$K$4),TRUE,IF($F$2=入力リスト!$Q$4,IF(F1653-INT(F1653)&lt;0.6,TRUE,FALSE),TRUE))</f>
        <v>1</v>
      </c>
      <c r="N1653" s="9" t="str">
        <f>IF(F1653="","",IF($F$2=入力リスト!$Q$4,ROUNDDOWN(INT(F1653)+ROUNDDOWN((F1653-INT(F1653))*100,0)/60,2),従業員の給与情報!F1653))</f>
        <v/>
      </c>
      <c r="O1653" s="8"/>
      <c r="P1653" s="8"/>
    </row>
    <row r="1654" spans="1:16">
      <c r="A1654" s="119"/>
      <c r="B1654" s="2"/>
      <c r="C1654" s="3"/>
      <c r="D1654" s="3"/>
      <c r="E1654" s="3"/>
      <c r="F1654" s="9"/>
      <c r="G1654" s="248" t="str">
        <f t="shared" si="125"/>
        <v/>
      </c>
      <c r="H1654" s="1" t="b">
        <f>IF(B1654="",FALSE,COUNTIF('従業員情報(給与以外)'!$A$4:$A$1000000,$B1654)=0)</f>
        <v>0</v>
      </c>
      <c r="I1654" s="9" t="b">
        <f t="shared" si="126"/>
        <v>1</v>
      </c>
      <c r="J1654" s="9" t="b">
        <f t="shared" si="127"/>
        <v>1</v>
      </c>
      <c r="K1654" s="9" t="b">
        <f t="shared" si="128"/>
        <v>1</v>
      </c>
      <c r="L1654" s="9" t="b">
        <f t="shared" si="129"/>
        <v>1</v>
      </c>
      <c r="M1654" s="1" t="b">
        <f>IF(OR(入力シート!$C$5&lt;&gt;入力リスト!$N$4,入力シート!$J$22&lt;&gt;入力リスト!$K$4),TRUE,IF($F$2=入力リスト!$Q$4,IF(F1654-INT(F1654)&lt;0.6,TRUE,FALSE),TRUE))</f>
        <v>1</v>
      </c>
      <c r="N1654" s="9" t="str">
        <f>IF(F1654="","",IF($F$2=入力リスト!$Q$4,ROUNDDOWN(INT(F1654)+ROUNDDOWN((F1654-INT(F1654))*100,0)/60,2),従業員の給与情報!F1654))</f>
        <v/>
      </c>
      <c r="O1654" s="8"/>
      <c r="P1654" s="8"/>
    </row>
    <row r="1655" spans="1:16">
      <c r="A1655" s="119"/>
      <c r="B1655" s="2"/>
      <c r="C1655" s="3"/>
      <c r="D1655" s="3"/>
      <c r="E1655" s="3"/>
      <c r="F1655" s="9"/>
      <c r="G1655" s="248" t="str">
        <f t="shared" si="125"/>
        <v/>
      </c>
      <c r="H1655" s="1" t="b">
        <f>IF(B1655="",FALSE,COUNTIF('従業員情報(給与以外)'!$A$4:$A$1000000,$B1655)=0)</f>
        <v>0</v>
      </c>
      <c r="I1655" s="9" t="b">
        <f t="shared" si="126"/>
        <v>1</v>
      </c>
      <c r="J1655" s="9" t="b">
        <f t="shared" si="127"/>
        <v>1</v>
      </c>
      <c r="K1655" s="9" t="b">
        <f t="shared" si="128"/>
        <v>1</v>
      </c>
      <c r="L1655" s="9" t="b">
        <f t="shared" si="129"/>
        <v>1</v>
      </c>
      <c r="M1655" s="1" t="b">
        <f>IF(OR(入力シート!$C$5&lt;&gt;入力リスト!$N$4,入力シート!$J$22&lt;&gt;入力リスト!$K$4),TRUE,IF($F$2=入力リスト!$Q$4,IF(F1655-INT(F1655)&lt;0.6,TRUE,FALSE),TRUE))</f>
        <v>1</v>
      </c>
      <c r="N1655" s="9" t="str">
        <f>IF(F1655="","",IF($F$2=入力リスト!$Q$4,ROUNDDOWN(INT(F1655)+ROUNDDOWN((F1655-INT(F1655))*100,0)/60,2),従業員の給与情報!F1655))</f>
        <v/>
      </c>
      <c r="O1655" s="8"/>
      <c r="P1655" s="8"/>
    </row>
    <row r="1656" spans="1:16">
      <c r="A1656" s="119"/>
      <c r="B1656" s="2"/>
      <c r="C1656" s="3"/>
      <c r="D1656" s="3"/>
      <c r="E1656" s="3"/>
      <c r="F1656" s="9"/>
      <c r="G1656" s="248" t="str">
        <f t="shared" si="125"/>
        <v/>
      </c>
      <c r="H1656" s="1" t="b">
        <f>IF(B1656="",FALSE,COUNTIF('従業員情報(給与以外)'!$A$4:$A$1000000,$B1656)=0)</f>
        <v>0</v>
      </c>
      <c r="I1656" s="9" t="b">
        <f t="shared" si="126"/>
        <v>1</v>
      </c>
      <c r="J1656" s="9" t="b">
        <f t="shared" si="127"/>
        <v>1</v>
      </c>
      <c r="K1656" s="9" t="b">
        <f t="shared" si="128"/>
        <v>1</v>
      </c>
      <c r="L1656" s="9" t="b">
        <f t="shared" si="129"/>
        <v>1</v>
      </c>
      <c r="M1656" s="1" t="b">
        <f>IF(OR(入力シート!$C$5&lt;&gt;入力リスト!$N$4,入力シート!$J$22&lt;&gt;入力リスト!$K$4),TRUE,IF($F$2=入力リスト!$Q$4,IF(F1656-INT(F1656)&lt;0.6,TRUE,FALSE),TRUE))</f>
        <v>1</v>
      </c>
      <c r="N1656" s="9" t="str">
        <f>IF(F1656="","",IF($F$2=入力リスト!$Q$4,ROUNDDOWN(INT(F1656)+ROUNDDOWN((F1656-INT(F1656))*100,0)/60,2),従業員の給与情報!F1656))</f>
        <v/>
      </c>
      <c r="O1656" s="8"/>
      <c r="P1656" s="8"/>
    </row>
    <row r="1657" spans="1:16">
      <c r="A1657" s="119"/>
      <c r="B1657" s="2"/>
      <c r="C1657" s="3"/>
      <c r="D1657" s="3"/>
      <c r="E1657" s="3"/>
      <c r="F1657" s="9"/>
      <c r="G1657" s="248" t="str">
        <f t="shared" si="125"/>
        <v/>
      </c>
      <c r="H1657" s="1" t="b">
        <f>IF(B1657="",FALSE,COUNTIF('従業員情報(給与以外)'!$A$4:$A$1000000,$B1657)=0)</f>
        <v>0</v>
      </c>
      <c r="I1657" s="9" t="b">
        <f t="shared" si="126"/>
        <v>1</v>
      </c>
      <c r="J1657" s="9" t="b">
        <f t="shared" si="127"/>
        <v>1</v>
      </c>
      <c r="K1657" s="9" t="b">
        <f t="shared" si="128"/>
        <v>1</v>
      </c>
      <c r="L1657" s="9" t="b">
        <f t="shared" si="129"/>
        <v>1</v>
      </c>
      <c r="M1657" s="1" t="b">
        <f>IF(OR(入力シート!$C$5&lt;&gt;入力リスト!$N$4,入力シート!$J$22&lt;&gt;入力リスト!$K$4),TRUE,IF($F$2=入力リスト!$Q$4,IF(F1657-INT(F1657)&lt;0.6,TRUE,FALSE),TRUE))</f>
        <v>1</v>
      </c>
      <c r="N1657" s="9" t="str">
        <f>IF(F1657="","",IF($F$2=入力リスト!$Q$4,ROUNDDOWN(INT(F1657)+ROUNDDOWN((F1657-INT(F1657))*100,0)/60,2),従業員の給与情報!F1657))</f>
        <v/>
      </c>
      <c r="O1657" s="8"/>
      <c r="P1657" s="8"/>
    </row>
    <row r="1658" spans="1:16">
      <c r="A1658" s="119"/>
      <c r="B1658" s="2"/>
      <c r="C1658" s="3"/>
      <c r="D1658" s="3"/>
      <c r="E1658" s="3"/>
      <c r="F1658" s="9"/>
      <c r="G1658" s="248" t="str">
        <f t="shared" si="125"/>
        <v/>
      </c>
      <c r="H1658" s="1" t="b">
        <f>IF(B1658="",FALSE,COUNTIF('従業員情報(給与以外)'!$A$4:$A$1000000,$B1658)=0)</f>
        <v>0</v>
      </c>
      <c r="I1658" s="9" t="b">
        <f t="shared" si="126"/>
        <v>1</v>
      </c>
      <c r="J1658" s="9" t="b">
        <f t="shared" si="127"/>
        <v>1</v>
      </c>
      <c r="K1658" s="9" t="b">
        <f t="shared" si="128"/>
        <v>1</v>
      </c>
      <c r="L1658" s="9" t="b">
        <f t="shared" si="129"/>
        <v>1</v>
      </c>
      <c r="M1658" s="1" t="b">
        <f>IF(OR(入力シート!$C$5&lt;&gt;入力リスト!$N$4,入力シート!$J$22&lt;&gt;入力リスト!$K$4),TRUE,IF($F$2=入力リスト!$Q$4,IF(F1658-INT(F1658)&lt;0.6,TRUE,FALSE),TRUE))</f>
        <v>1</v>
      </c>
      <c r="N1658" s="9" t="str">
        <f>IF(F1658="","",IF($F$2=入力リスト!$Q$4,ROUNDDOWN(INT(F1658)+ROUNDDOWN((F1658-INT(F1658))*100,0)/60,2),従業員の給与情報!F1658))</f>
        <v/>
      </c>
      <c r="O1658" s="8"/>
      <c r="P1658" s="8"/>
    </row>
    <row r="1659" spans="1:16">
      <c r="A1659" s="119"/>
      <c r="B1659" s="2"/>
      <c r="C1659" s="3"/>
      <c r="D1659" s="3"/>
      <c r="E1659" s="3"/>
      <c r="F1659" s="9"/>
      <c r="G1659" s="248" t="str">
        <f t="shared" si="125"/>
        <v/>
      </c>
      <c r="H1659" s="1" t="b">
        <f>IF(B1659="",FALSE,COUNTIF('従業員情報(給与以外)'!$A$4:$A$1000000,$B1659)=0)</f>
        <v>0</v>
      </c>
      <c r="I1659" s="9" t="b">
        <f t="shared" si="126"/>
        <v>1</v>
      </c>
      <c r="J1659" s="9" t="b">
        <f t="shared" si="127"/>
        <v>1</v>
      </c>
      <c r="K1659" s="9" t="b">
        <f t="shared" si="128"/>
        <v>1</v>
      </c>
      <c r="L1659" s="9" t="b">
        <f t="shared" si="129"/>
        <v>1</v>
      </c>
      <c r="M1659" s="1" t="b">
        <f>IF(OR(入力シート!$C$5&lt;&gt;入力リスト!$N$4,入力シート!$J$22&lt;&gt;入力リスト!$K$4),TRUE,IF($F$2=入力リスト!$Q$4,IF(F1659-INT(F1659)&lt;0.6,TRUE,FALSE),TRUE))</f>
        <v>1</v>
      </c>
      <c r="N1659" s="9" t="str">
        <f>IF(F1659="","",IF($F$2=入力リスト!$Q$4,ROUNDDOWN(INT(F1659)+ROUNDDOWN((F1659-INT(F1659))*100,0)/60,2),従業員の給与情報!F1659))</f>
        <v/>
      </c>
      <c r="O1659" s="8"/>
      <c r="P1659" s="8"/>
    </row>
    <row r="1660" spans="1:16">
      <c r="A1660" s="119"/>
      <c r="B1660" s="2"/>
      <c r="C1660" s="3"/>
      <c r="D1660" s="3"/>
      <c r="E1660" s="3"/>
      <c r="F1660" s="9"/>
      <c r="G1660" s="248" t="str">
        <f t="shared" si="125"/>
        <v/>
      </c>
      <c r="H1660" s="1" t="b">
        <f>IF(B1660="",FALSE,COUNTIF('従業員情報(給与以外)'!$A$4:$A$1000000,$B1660)=0)</f>
        <v>0</v>
      </c>
      <c r="I1660" s="9" t="b">
        <f t="shared" si="126"/>
        <v>1</v>
      </c>
      <c r="J1660" s="9" t="b">
        <f t="shared" si="127"/>
        <v>1</v>
      </c>
      <c r="K1660" s="9" t="b">
        <f t="shared" si="128"/>
        <v>1</v>
      </c>
      <c r="L1660" s="9" t="b">
        <f t="shared" si="129"/>
        <v>1</v>
      </c>
      <c r="M1660" s="1" t="b">
        <f>IF(OR(入力シート!$C$5&lt;&gt;入力リスト!$N$4,入力シート!$J$22&lt;&gt;入力リスト!$K$4),TRUE,IF($F$2=入力リスト!$Q$4,IF(F1660-INT(F1660)&lt;0.6,TRUE,FALSE),TRUE))</f>
        <v>1</v>
      </c>
      <c r="N1660" s="9" t="str">
        <f>IF(F1660="","",IF($F$2=入力リスト!$Q$4,ROUNDDOWN(INT(F1660)+ROUNDDOWN((F1660-INT(F1660))*100,0)/60,2),従業員の給与情報!F1660))</f>
        <v/>
      </c>
      <c r="O1660" s="8"/>
      <c r="P1660" s="8"/>
    </row>
    <row r="1661" spans="1:16">
      <c r="A1661" s="119"/>
      <c r="B1661" s="2"/>
      <c r="C1661" s="3"/>
      <c r="D1661" s="3"/>
      <c r="E1661" s="3"/>
      <c r="F1661" s="9"/>
      <c r="G1661" s="248" t="str">
        <f t="shared" si="125"/>
        <v/>
      </c>
      <c r="H1661" s="1" t="b">
        <f>IF(B1661="",FALSE,COUNTIF('従業員情報(給与以外)'!$A$4:$A$1000000,$B1661)=0)</f>
        <v>0</v>
      </c>
      <c r="I1661" s="9" t="b">
        <f t="shared" si="126"/>
        <v>1</v>
      </c>
      <c r="J1661" s="9" t="b">
        <f t="shared" si="127"/>
        <v>1</v>
      </c>
      <c r="K1661" s="9" t="b">
        <f t="shared" si="128"/>
        <v>1</v>
      </c>
      <c r="L1661" s="9" t="b">
        <f t="shared" si="129"/>
        <v>1</v>
      </c>
      <c r="M1661" s="1" t="b">
        <f>IF(OR(入力シート!$C$5&lt;&gt;入力リスト!$N$4,入力シート!$J$22&lt;&gt;入力リスト!$K$4),TRUE,IF($F$2=入力リスト!$Q$4,IF(F1661-INT(F1661)&lt;0.6,TRUE,FALSE),TRUE))</f>
        <v>1</v>
      </c>
      <c r="N1661" s="9" t="str">
        <f>IF(F1661="","",IF($F$2=入力リスト!$Q$4,ROUNDDOWN(INT(F1661)+ROUNDDOWN((F1661-INT(F1661))*100,0)/60,2),従業員の給与情報!F1661))</f>
        <v/>
      </c>
      <c r="O1661" s="8"/>
      <c r="P1661" s="8"/>
    </row>
    <row r="1662" spans="1:16">
      <c r="A1662" s="119"/>
      <c r="B1662" s="2"/>
      <c r="C1662" s="3"/>
      <c r="D1662" s="3"/>
      <c r="E1662" s="3"/>
      <c r="F1662" s="9"/>
      <c r="G1662" s="248" t="str">
        <f t="shared" si="125"/>
        <v/>
      </c>
      <c r="H1662" s="1" t="b">
        <f>IF(B1662="",FALSE,COUNTIF('従業員情報(給与以外)'!$A$4:$A$1000000,$B1662)=0)</f>
        <v>0</v>
      </c>
      <c r="I1662" s="9" t="b">
        <f t="shared" si="126"/>
        <v>1</v>
      </c>
      <c r="J1662" s="9" t="b">
        <f t="shared" si="127"/>
        <v>1</v>
      </c>
      <c r="K1662" s="9" t="b">
        <f t="shared" si="128"/>
        <v>1</v>
      </c>
      <c r="L1662" s="9" t="b">
        <f t="shared" si="129"/>
        <v>1</v>
      </c>
      <c r="M1662" s="1" t="b">
        <f>IF(OR(入力シート!$C$5&lt;&gt;入力リスト!$N$4,入力シート!$J$22&lt;&gt;入力リスト!$K$4),TRUE,IF($F$2=入力リスト!$Q$4,IF(F1662-INT(F1662)&lt;0.6,TRUE,FALSE),TRUE))</f>
        <v>1</v>
      </c>
      <c r="N1662" s="9" t="str">
        <f>IF(F1662="","",IF($F$2=入力リスト!$Q$4,ROUNDDOWN(INT(F1662)+ROUNDDOWN((F1662-INT(F1662))*100,0)/60,2),従業員の給与情報!F1662))</f>
        <v/>
      </c>
      <c r="O1662" s="8"/>
      <c r="P1662" s="8"/>
    </row>
    <row r="1663" spans="1:16">
      <c r="A1663" s="119"/>
      <c r="B1663" s="2"/>
      <c r="C1663" s="3"/>
      <c r="D1663" s="3"/>
      <c r="E1663" s="3"/>
      <c r="F1663" s="9"/>
      <c r="G1663" s="248" t="str">
        <f t="shared" si="125"/>
        <v/>
      </c>
      <c r="H1663" s="1" t="b">
        <f>IF(B1663="",FALSE,COUNTIF('従業員情報(給与以外)'!$A$4:$A$1000000,$B1663)=0)</f>
        <v>0</v>
      </c>
      <c r="I1663" s="9" t="b">
        <f t="shared" si="126"/>
        <v>1</v>
      </c>
      <c r="J1663" s="9" t="b">
        <f t="shared" si="127"/>
        <v>1</v>
      </c>
      <c r="K1663" s="9" t="b">
        <f t="shared" si="128"/>
        <v>1</v>
      </c>
      <c r="L1663" s="9" t="b">
        <f t="shared" si="129"/>
        <v>1</v>
      </c>
      <c r="M1663" s="1" t="b">
        <f>IF(OR(入力シート!$C$5&lt;&gt;入力リスト!$N$4,入力シート!$J$22&lt;&gt;入力リスト!$K$4),TRUE,IF($F$2=入力リスト!$Q$4,IF(F1663-INT(F1663)&lt;0.6,TRUE,FALSE),TRUE))</f>
        <v>1</v>
      </c>
      <c r="N1663" s="9" t="str">
        <f>IF(F1663="","",IF($F$2=入力リスト!$Q$4,ROUNDDOWN(INT(F1663)+ROUNDDOWN((F1663-INT(F1663))*100,0)/60,2),従業員の給与情報!F1663))</f>
        <v/>
      </c>
      <c r="O1663" s="8"/>
      <c r="P1663" s="8"/>
    </row>
    <row r="1664" spans="1:16">
      <c r="A1664" s="119"/>
      <c r="B1664" s="2"/>
      <c r="C1664" s="3"/>
      <c r="D1664" s="3"/>
      <c r="E1664" s="3"/>
      <c r="F1664" s="9"/>
      <c r="G1664" s="248" t="str">
        <f t="shared" si="125"/>
        <v/>
      </c>
      <c r="H1664" s="1" t="b">
        <f>IF(B1664="",FALSE,COUNTIF('従業員情報(給与以外)'!$A$4:$A$1000000,$B1664)=0)</f>
        <v>0</v>
      </c>
      <c r="I1664" s="9" t="b">
        <f t="shared" si="126"/>
        <v>1</v>
      </c>
      <c r="J1664" s="9" t="b">
        <f t="shared" si="127"/>
        <v>1</v>
      </c>
      <c r="K1664" s="9" t="b">
        <f t="shared" si="128"/>
        <v>1</v>
      </c>
      <c r="L1664" s="9" t="b">
        <f t="shared" si="129"/>
        <v>1</v>
      </c>
      <c r="M1664" s="1" t="b">
        <f>IF(OR(入力シート!$C$5&lt;&gt;入力リスト!$N$4,入力シート!$J$22&lt;&gt;入力リスト!$K$4),TRUE,IF($F$2=入力リスト!$Q$4,IF(F1664-INT(F1664)&lt;0.6,TRUE,FALSE),TRUE))</f>
        <v>1</v>
      </c>
      <c r="N1664" s="9" t="str">
        <f>IF(F1664="","",IF($F$2=入力リスト!$Q$4,ROUNDDOWN(INT(F1664)+ROUNDDOWN((F1664-INT(F1664))*100,0)/60,2),従業員の給与情報!F1664))</f>
        <v/>
      </c>
      <c r="O1664" s="8"/>
      <c r="P1664" s="8"/>
    </row>
    <row r="1665" spans="1:16">
      <c r="A1665" s="119"/>
      <c r="B1665" s="2"/>
      <c r="C1665" s="3"/>
      <c r="D1665" s="3"/>
      <c r="E1665" s="3"/>
      <c r="F1665" s="9"/>
      <c r="G1665" s="248" t="str">
        <f t="shared" si="125"/>
        <v/>
      </c>
      <c r="H1665" s="1" t="b">
        <f>IF(B1665="",FALSE,COUNTIF('従業員情報(給与以外)'!$A$4:$A$1000000,$B1665)=0)</f>
        <v>0</v>
      </c>
      <c r="I1665" s="9" t="b">
        <f t="shared" si="126"/>
        <v>1</v>
      </c>
      <c r="J1665" s="9" t="b">
        <f t="shared" si="127"/>
        <v>1</v>
      </c>
      <c r="K1665" s="9" t="b">
        <f t="shared" si="128"/>
        <v>1</v>
      </c>
      <c r="L1665" s="9" t="b">
        <f t="shared" si="129"/>
        <v>1</v>
      </c>
      <c r="M1665" s="1" t="b">
        <f>IF(OR(入力シート!$C$5&lt;&gt;入力リスト!$N$4,入力シート!$J$22&lt;&gt;入力リスト!$K$4),TRUE,IF($F$2=入力リスト!$Q$4,IF(F1665-INT(F1665)&lt;0.6,TRUE,FALSE),TRUE))</f>
        <v>1</v>
      </c>
      <c r="N1665" s="9" t="str">
        <f>IF(F1665="","",IF($F$2=入力リスト!$Q$4,ROUNDDOWN(INT(F1665)+ROUNDDOWN((F1665-INT(F1665))*100,0)/60,2),従業員の給与情報!F1665))</f>
        <v/>
      </c>
      <c r="O1665" s="8"/>
      <c r="P1665" s="8"/>
    </row>
    <row r="1666" spans="1:16">
      <c r="A1666" s="119"/>
      <c r="B1666" s="2"/>
      <c r="C1666" s="3"/>
      <c r="D1666" s="3"/>
      <c r="E1666" s="3"/>
      <c r="F1666" s="9"/>
      <c r="G1666" s="248" t="str">
        <f t="shared" si="125"/>
        <v/>
      </c>
      <c r="H1666" s="1" t="b">
        <f>IF(B1666="",FALSE,COUNTIF('従業員情報(給与以外)'!$A$4:$A$1000000,$B1666)=0)</f>
        <v>0</v>
      </c>
      <c r="I1666" s="9" t="b">
        <f t="shared" si="126"/>
        <v>1</v>
      </c>
      <c r="J1666" s="9" t="b">
        <f t="shared" si="127"/>
        <v>1</v>
      </c>
      <c r="K1666" s="9" t="b">
        <f t="shared" si="128"/>
        <v>1</v>
      </c>
      <c r="L1666" s="9" t="b">
        <f t="shared" si="129"/>
        <v>1</v>
      </c>
      <c r="M1666" s="1" t="b">
        <f>IF(OR(入力シート!$C$5&lt;&gt;入力リスト!$N$4,入力シート!$J$22&lt;&gt;入力リスト!$K$4),TRUE,IF($F$2=入力リスト!$Q$4,IF(F1666-INT(F1666)&lt;0.6,TRUE,FALSE),TRUE))</f>
        <v>1</v>
      </c>
      <c r="N1666" s="9" t="str">
        <f>IF(F1666="","",IF($F$2=入力リスト!$Q$4,ROUNDDOWN(INT(F1666)+ROUNDDOWN((F1666-INT(F1666))*100,0)/60,2),従業員の給与情報!F1666))</f>
        <v/>
      </c>
      <c r="O1666" s="8"/>
      <c r="P1666" s="8"/>
    </row>
    <row r="1667" spans="1:16">
      <c r="A1667" s="119"/>
      <c r="B1667" s="2"/>
      <c r="C1667" s="3"/>
      <c r="D1667" s="3"/>
      <c r="E1667" s="3"/>
      <c r="F1667" s="9"/>
      <c r="G1667" s="248" t="str">
        <f t="shared" si="125"/>
        <v/>
      </c>
      <c r="H1667" s="1" t="b">
        <f>IF(B1667="",FALSE,COUNTIF('従業員情報(給与以外)'!$A$4:$A$1000000,$B1667)=0)</f>
        <v>0</v>
      </c>
      <c r="I1667" s="9" t="b">
        <f t="shared" si="126"/>
        <v>1</v>
      </c>
      <c r="J1667" s="9" t="b">
        <f t="shared" si="127"/>
        <v>1</v>
      </c>
      <c r="K1667" s="9" t="b">
        <f t="shared" si="128"/>
        <v>1</v>
      </c>
      <c r="L1667" s="9" t="b">
        <f t="shared" si="129"/>
        <v>1</v>
      </c>
      <c r="M1667" s="1" t="b">
        <f>IF(OR(入力シート!$C$5&lt;&gt;入力リスト!$N$4,入力シート!$J$22&lt;&gt;入力リスト!$K$4),TRUE,IF($F$2=入力リスト!$Q$4,IF(F1667-INT(F1667)&lt;0.6,TRUE,FALSE),TRUE))</f>
        <v>1</v>
      </c>
      <c r="N1667" s="9" t="str">
        <f>IF(F1667="","",IF($F$2=入力リスト!$Q$4,ROUNDDOWN(INT(F1667)+ROUNDDOWN((F1667-INT(F1667))*100,0)/60,2),従業員の給与情報!F1667))</f>
        <v/>
      </c>
      <c r="O1667" s="8"/>
      <c r="P1667" s="8"/>
    </row>
    <row r="1668" spans="1:16">
      <c r="A1668" s="119"/>
      <c r="B1668" s="2"/>
      <c r="C1668" s="3"/>
      <c r="D1668" s="3"/>
      <c r="E1668" s="3"/>
      <c r="F1668" s="9"/>
      <c r="G1668" s="248" t="str">
        <f t="shared" si="125"/>
        <v/>
      </c>
      <c r="H1668" s="1" t="b">
        <f>IF(B1668="",FALSE,COUNTIF('従業員情報(給与以外)'!$A$4:$A$1000000,$B1668)=0)</f>
        <v>0</v>
      </c>
      <c r="I1668" s="9" t="b">
        <f t="shared" si="126"/>
        <v>1</v>
      </c>
      <c r="J1668" s="9" t="b">
        <f t="shared" si="127"/>
        <v>1</v>
      </c>
      <c r="K1668" s="9" t="b">
        <f t="shared" si="128"/>
        <v>1</v>
      </c>
      <c r="L1668" s="9" t="b">
        <f t="shared" si="129"/>
        <v>1</v>
      </c>
      <c r="M1668" s="1" t="b">
        <f>IF(OR(入力シート!$C$5&lt;&gt;入力リスト!$N$4,入力シート!$J$22&lt;&gt;入力リスト!$K$4),TRUE,IF($F$2=入力リスト!$Q$4,IF(F1668-INT(F1668)&lt;0.6,TRUE,FALSE),TRUE))</f>
        <v>1</v>
      </c>
      <c r="N1668" s="9" t="str">
        <f>IF(F1668="","",IF($F$2=入力リスト!$Q$4,ROUNDDOWN(INT(F1668)+ROUNDDOWN((F1668-INT(F1668))*100,0)/60,2),従業員の給与情報!F1668))</f>
        <v/>
      </c>
      <c r="O1668" s="8"/>
      <c r="P1668" s="8"/>
    </row>
    <row r="1669" spans="1:16">
      <c r="A1669" s="119"/>
      <c r="B1669" s="2"/>
      <c r="C1669" s="3"/>
      <c r="D1669" s="3"/>
      <c r="E1669" s="3"/>
      <c r="F1669" s="9"/>
      <c r="G1669" s="248" t="str">
        <f t="shared" ref="G1669:G1732" si="130">IF(AND($B1669="",OR(B1669&lt;&gt;"",C1669&lt;&gt;"",D1669&lt;&gt;"",E1669&lt;&gt;"",F1669&lt;&gt;"")),"従業員番号が空白です。",IF($H1669=TRUE,"この従業員番号は、シート［従業員情報（給与以外）］に存在しません。",IF(I1669=FALSE,"「毎月の固定給与額」","")&amp;IF(AND(I1669=FALSE,OR(J1669=FALSE,K1669=FALSE,L1669=FALSE)),",","")&amp;IF(J1669=FALSE,"「賞与額等」","")&amp;IF(AND(J1669=FALSE,OR(K1669=FALSE,L1669=FALSE)),",","")&amp;IF(K1669=FALSE,"「残業手当」","")&amp;IF(AND(K1669=FALSE,L1669=FALSE),",","")&amp;IF(L1669=FALSE,"「残業時間」","")&amp;IF(OR(I1669=FALSE,J1669=FALSE,K1669=FALSE,L1669=FALSE),"に数値以外が入力されています。","")&amp;IF(M1669,"","「残業時間」を分単位で入力した場合、小数点以下の値は0.6未満にしてください。")))</f>
        <v/>
      </c>
      <c r="H1669" s="1" t="b">
        <f>IF(B1669="",FALSE,COUNTIF('従業員情報(給与以外)'!$A$4:$A$1000000,$B1669)=0)</f>
        <v>0</v>
      </c>
      <c r="I1669" s="9" t="b">
        <f t="shared" ref="I1669:I1732" si="131">OR(C1669="",ISNUMBER(C1669))</f>
        <v>1</v>
      </c>
      <c r="J1669" s="9" t="b">
        <f t="shared" ref="J1669:J1732" si="132">OR(D1669="",ISNUMBER(D1669))</f>
        <v>1</v>
      </c>
      <c r="K1669" s="9" t="b">
        <f t="shared" ref="K1669:K1732" si="133">OR(E1669="",ISNUMBER(E1669))</f>
        <v>1</v>
      </c>
      <c r="L1669" s="9" t="b">
        <f t="shared" ref="L1669:L1732" si="134">OR(F1669="",ISNUMBER(F1669))</f>
        <v>1</v>
      </c>
      <c r="M1669" s="1" t="b">
        <f>IF(OR(入力シート!$C$5&lt;&gt;入力リスト!$N$4,入力シート!$J$22&lt;&gt;入力リスト!$K$4),TRUE,IF($F$2=入力リスト!$Q$4,IF(F1669-INT(F1669)&lt;0.6,TRUE,FALSE),TRUE))</f>
        <v>1</v>
      </c>
      <c r="N1669" s="9" t="str">
        <f>IF(F1669="","",IF($F$2=入力リスト!$Q$4,ROUNDDOWN(INT(F1669)+ROUNDDOWN((F1669-INT(F1669))*100,0)/60,2),従業員の給与情報!F1669))</f>
        <v/>
      </c>
      <c r="O1669" s="8"/>
      <c r="P1669" s="8"/>
    </row>
    <row r="1670" spans="1:16">
      <c r="A1670" s="119"/>
      <c r="B1670" s="2"/>
      <c r="C1670" s="3"/>
      <c r="D1670" s="3"/>
      <c r="E1670" s="3"/>
      <c r="F1670" s="9"/>
      <c r="G1670" s="248" t="str">
        <f t="shared" si="130"/>
        <v/>
      </c>
      <c r="H1670" s="1" t="b">
        <f>IF(B1670="",FALSE,COUNTIF('従業員情報(給与以外)'!$A$4:$A$1000000,$B1670)=0)</f>
        <v>0</v>
      </c>
      <c r="I1670" s="9" t="b">
        <f t="shared" si="131"/>
        <v>1</v>
      </c>
      <c r="J1670" s="9" t="b">
        <f t="shared" si="132"/>
        <v>1</v>
      </c>
      <c r="K1670" s="9" t="b">
        <f t="shared" si="133"/>
        <v>1</v>
      </c>
      <c r="L1670" s="9" t="b">
        <f t="shared" si="134"/>
        <v>1</v>
      </c>
      <c r="M1670" s="1" t="b">
        <f>IF(OR(入力シート!$C$5&lt;&gt;入力リスト!$N$4,入力シート!$J$22&lt;&gt;入力リスト!$K$4),TRUE,IF($F$2=入力リスト!$Q$4,IF(F1670-INT(F1670)&lt;0.6,TRUE,FALSE),TRUE))</f>
        <v>1</v>
      </c>
      <c r="N1670" s="9" t="str">
        <f>IF(F1670="","",IF($F$2=入力リスト!$Q$4,ROUNDDOWN(INT(F1670)+ROUNDDOWN((F1670-INT(F1670))*100,0)/60,2),従業員の給与情報!F1670))</f>
        <v/>
      </c>
      <c r="O1670" s="8"/>
      <c r="P1670" s="8"/>
    </row>
    <row r="1671" spans="1:16">
      <c r="A1671" s="119"/>
      <c r="B1671" s="2"/>
      <c r="C1671" s="3"/>
      <c r="D1671" s="3"/>
      <c r="E1671" s="3"/>
      <c r="F1671" s="9"/>
      <c r="G1671" s="248" t="str">
        <f t="shared" si="130"/>
        <v/>
      </c>
      <c r="H1671" s="1" t="b">
        <f>IF(B1671="",FALSE,COUNTIF('従業員情報(給与以外)'!$A$4:$A$1000000,$B1671)=0)</f>
        <v>0</v>
      </c>
      <c r="I1671" s="9" t="b">
        <f t="shared" si="131"/>
        <v>1</v>
      </c>
      <c r="J1671" s="9" t="b">
        <f t="shared" si="132"/>
        <v>1</v>
      </c>
      <c r="K1671" s="9" t="b">
        <f t="shared" si="133"/>
        <v>1</v>
      </c>
      <c r="L1671" s="9" t="b">
        <f t="shared" si="134"/>
        <v>1</v>
      </c>
      <c r="M1671" s="1" t="b">
        <f>IF(OR(入力シート!$C$5&lt;&gt;入力リスト!$N$4,入力シート!$J$22&lt;&gt;入力リスト!$K$4),TRUE,IF($F$2=入力リスト!$Q$4,IF(F1671-INT(F1671)&lt;0.6,TRUE,FALSE),TRUE))</f>
        <v>1</v>
      </c>
      <c r="N1671" s="9" t="str">
        <f>IF(F1671="","",IF($F$2=入力リスト!$Q$4,ROUNDDOWN(INT(F1671)+ROUNDDOWN((F1671-INT(F1671))*100,0)/60,2),従業員の給与情報!F1671))</f>
        <v/>
      </c>
      <c r="O1671" s="8"/>
      <c r="P1671" s="8"/>
    </row>
    <row r="1672" spans="1:16">
      <c r="A1672" s="119"/>
      <c r="B1672" s="2"/>
      <c r="C1672" s="3"/>
      <c r="D1672" s="3"/>
      <c r="E1672" s="3"/>
      <c r="F1672" s="9"/>
      <c r="G1672" s="248" t="str">
        <f t="shared" si="130"/>
        <v/>
      </c>
      <c r="H1672" s="1" t="b">
        <f>IF(B1672="",FALSE,COUNTIF('従業員情報(給与以外)'!$A$4:$A$1000000,$B1672)=0)</f>
        <v>0</v>
      </c>
      <c r="I1672" s="9" t="b">
        <f t="shared" si="131"/>
        <v>1</v>
      </c>
      <c r="J1672" s="9" t="b">
        <f t="shared" si="132"/>
        <v>1</v>
      </c>
      <c r="K1672" s="9" t="b">
        <f t="shared" si="133"/>
        <v>1</v>
      </c>
      <c r="L1672" s="9" t="b">
        <f t="shared" si="134"/>
        <v>1</v>
      </c>
      <c r="M1672" s="1" t="b">
        <f>IF(OR(入力シート!$C$5&lt;&gt;入力リスト!$N$4,入力シート!$J$22&lt;&gt;入力リスト!$K$4),TRUE,IF($F$2=入力リスト!$Q$4,IF(F1672-INT(F1672)&lt;0.6,TRUE,FALSE),TRUE))</f>
        <v>1</v>
      </c>
      <c r="N1672" s="9" t="str">
        <f>IF(F1672="","",IF($F$2=入力リスト!$Q$4,ROUNDDOWN(INT(F1672)+ROUNDDOWN((F1672-INT(F1672))*100,0)/60,2),従業員の給与情報!F1672))</f>
        <v/>
      </c>
      <c r="O1672" s="8"/>
      <c r="P1672" s="8"/>
    </row>
    <row r="1673" spans="1:16">
      <c r="A1673" s="119"/>
      <c r="B1673" s="2"/>
      <c r="C1673" s="3"/>
      <c r="D1673" s="3"/>
      <c r="E1673" s="3"/>
      <c r="F1673" s="9"/>
      <c r="G1673" s="248" t="str">
        <f t="shared" si="130"/>
        <v/>
      </c>
      <c r="H1673" s="1" t="b">
        <f>IF(B1673="",FALSE,COUNTIF('従業員情報(給与以外)'!$A$4:$A$1000000,$B1673)=0)</f>
        <v>0</v>
      </c>
      <c r="I1673" s="9" t="b">
        <f t="shared" si="131"/>
        <v>1</v>
      </c>
      <c r="J1673" s="9" t="b">
        <f t="shared" si="132"/>
        <v>1</v>
      </c>
      <c r="K1673" s="9" t="b">
        <f t="shared" si="133"/>
        <v>1</v>
      </c>
      <c r="L1673" s="9" t="b">
        <f t="shared" si="134"/>
        <v>1</v>
      </c>
      <c r="M1673" s="1" t="b">
        <f>IF(OR(入力シート!$C$5&lt;&gt;入力リスト!$N$4,入力シート!$J$22&lt;&gt;入力リスト!$K$4),TRUE,IF($F$2=入力リスト!$Q$4,IF(F1673-INT(F1673)&lt;0.6,TRUE,FALSE),TRUE))</f>
        <v>1</v>
      </c>
      <c r="N1673" s="9" t="str">
        <f>IF(F1673="","",IF($F$2=入力リスト!$Q$4,ROUNDDOWN(INT(F1673)+ROUNDDOWN((F1673-INT(F1673))*100,0)/60,2),従業員の給与情報!F1673))</f>
        <v/>
      </c>
      <c r="O1673" s="8"/>
      <c r="P1673" s="8"/>
    </row>
    <row r="1674" spans="1:16">
      <c r="A1674" s="119"/>
      <c r="B1674" s="2"/>
      <c r="C1674" s="3"/>
      <c r="D1674" s="3"/>
      <c r="E1674" s="3"/>
      <c r="F1674" s="9"/>
      <c r="G1674" s="248" t="str">
        <f t="shared" si="130"/>
        <v/>
      </c>
      <c r="H1674" s="1" t="b">
        <f>IF(B1674="",FALSE,COUNTIF('従業員情報(給与以外)'!$A$4:$A$1000000,$B1674)=0)</f>
        <v>0</v>
      </c>
      <c r="I1674" s="9" t="b">
        <f t="shared" si="131"/>
        <v>1</v>
      </c>
      <c r="J1674" s="9" t="b">
        <f t="shared" si="132"/>
        <v>1</v>
      </c>
      <c r="K1674" s="9" t="b">
        <f t="shared" si="133"/>
        <v>1</v>
      </c>
      <c r="L1674" s="9" t="b">
        <f t="shared" si="134"/>
        <v>1</v>
      </c>
      <c r="M1674" s="1" t="b">
        <f>IF(OR(入力シート!$C$5&lt;&gt;入力リスト!$N$4,入力シート!$J$22&lt;&gt;入力リスト!$K$4),TRUE,IF($F$2=入力リスト!$Q$4,IF(F1674-INT(F1674)&lt;0.6,TRUE,FALSE),TRUE))</f>
        <v>1</v>
      </c>
      <c r="N1674" s="9" t="str">
        <f>IF(F1674="","",IF($F$2=入力リスト!$Q$4,ROUNDDOWN(INT(F1674)+ROUNDDOWN((F1674-INT(F1674))*100,0)/60,2),従業員の給与情報!F1674))</f>
        <v/>
      </c>
      <c r="O1674" s="8"/>
      <c r="P1674" s="8"/>
    </row>
    <row r="1675" spans="1:16">
      <c r="A1675" s="119"/>
      <c r="B1675" s="2"/>
      <c r="C1675" s="3"/>
      <c r="D1675" s="3"/>
      <c r="E1675" s="3"/>
      <c r="F1675" s="9"/>
      <c r="G1675" s="248" t="str">
        <f t="shared" si="130"/>
        <v/>
      </c>
      <c r="H1675" s="1" t="b">
        <f>IF(B1675="",FALSE,COUNTIF('従業員情報(給与以外)'!$A$4:$A$1000000,$B1675)=0)</f>
        <v>0</v>
      </c>
      <c r="I1675" s="9" t="b">
        <f t="shared" si="131"/>
        <v>1</v>
      </c>
      <c r="J1675" s="9" t="b">
        <f t="shared" si="132"/>
        <v>1</v>
      </c>
      <c r="K1675" s="9" t="b">
        <f t="shared" si="133"/>
        <v>1</v>
      </c>
      <c r="L1675" s="9" t="b">
        <f t="shared" si="134"/>
        <v>1</v>
      </c>
      <c r="M1675" s="1" t="b">
        <f>IF(OR(入力シート!$C$5&lt;&gt;入力リスト!$N$4,入力シート!$J$22&lt;&gt;入力リスト!$K$4),TRUE,IF($F$2=入力リスト!$Q$4,IF(F1675-INT(F1675)&lt;0.6,TRUE,FALSE),TRUE))</f>
        <v>1</v>
      </c>
      <c r="N1675" s="9" t="str">
        <f>IF(F1675="","",IF($F$2=入力リスト!$Q$4,ROUNDDOWN(INT(F1675)+ROUNDDOWN((F1675-INT(F1675))*100,0)/60,2),従業員の給与情報!F1675))</f>
        <v/>
      </c>
      <c r="O1675" s="8"/>
      <c r="P1675" s="8"/>
    </row>
    <row r="1676" spans="1:16">
      <c r="A1676" s="119"/>
      <c r="B1676" s="2"/>
      <c r="C1676" s="3"/>
      <c r="D1676" s="3"/>
      <c r="E1676" s="3"/>
      <c r="F1676" s="9"/>
      <c r="G1676" s="248" t="str">
        <f t="shared" si="130"/>
        <v/>
      </c>
      <c r="H1676" s="1" t="b">
        <f>IF(B1676="",FALSE,COUNTIF('従業員情報(給与以外)'!$A$4:$A$1000000,$B1676)=0)</f>
        <v>0</v>
      </c>
      <c r="I1676" s="9" t="b">
        <f t="shared" si="131"/>
        <v>1</v>
      </c>
      <c r="J1676" s="9" t="b">
        <f t="shared" si="132"/>
        <v>1</v>
      </c>
      <c r="K1676" s="9" t="b">
        <f t="shared" si="133"/>
        <v>1</v>
      </c>
      <c r="L1676" s="9" t="b">
        <f t="shared" si="134"/>
        <v>1</v>
      </c>
      <c r="M1676" s="1" t="b">
        <f>IF(OR(入力シート!$C$5&lt;&gt;入力リスト!$N$4,入力シート!$J$22&lt;&gt;入力リスト!$K$4),TRUE,IF($F$2=入力リスト!$Q$4,IF(F1676-INT(F1676)&lt;0.6,TRUE,FALSE),TRUE))</f>
        <v>1</v>
      </c>
      <c r="N1676" s="9" t="str">
        <f>IF(F1676="","",IF($F$2=入力リスト!$Q$4,ROUNDDOWN(INT(F1676)+ROUNDDOWN((F1676-INT(F1676))*100,0)/60,2),従業員の給与情報!F1676))</f>
        <v/>
      </c>
      <c r="O1676" s="8"/>
      <c r="P1676" s="8"/>
    </row>
    <row r="1677" spans="1:16">
      <c r="A1677" s="119"/>
      <c r="B1677" s="2"/>
      <c r="C1677" s="3"/>
      <c r="D1677" s="3"/>
      <c r="E1677" s="3"/>
      <c r="F1677" s="9"/>
      <c r="G1677" s="248" t="str">
        <f t="shared" si="130"/>
        <v/>
      </c>
      <c r="H1677" s="1" t="b">
        <f>IF(B1677="",FALSE,COUNTIF('従業員情報(給与以外)'!$A$4:$A$1000000,$B1677)=0)</f>
        <v>0</v>
      </c>
      <c r="I1677" s="9" t="b">
        <f t="shared" si="131"/>
        <v>1</v>
      </c>
      <c r="J1677" s="9" t="b">
        <f t="shared" si="132"/>
        <v>1</v>
      </c>
      <c r="K1677" s="9" t="b">
        <f t="shared" si="133"/>
        <v>1</v>
      </c>
      <c r="L1677" s="9" t="b">
        <f t="shared" si="134"/>
        <v>1</v>
      </c>
      <c r="M1677" s="1" t="b">
        <f>IF(OR(入力シート!$C$5&lt;&gt;入力リスト!$N$4,入力シート!$J$22&lt;&gt;入力リスト!$K$4),TRUE,IF($F$2=入力リスト!$Q$4,IF(F1677-INT(F1677)&lt;0.6,TRUE,FALSE),TRUE))</f>
        <v>1</v>
      </c>
      <c r="N1677" s="9" t="str">
        <f>IF(F1677="","",IF($F$2=入力リスト!$Q$4,ROUNDDOWN(INT(F1677)+ROUNDDOWN((F1677-INT(F1677))*100,0)/60,2),従業員の給与情報!F1677))</f>
        <v/>
      </c>
      <c r="O1677" s="8"/>
      <c r="P1677" s="8"/>
    </row>
    <row r="1678" spans="1:16">
      <c r="A1678" s="119"/>
      <c r="B1678" s="2"/>
      <c r="C1678" s="3"/>
      <c r="D1678" s="3"/>
      <c r="E1678" s="3"/>
      <c r="F1678" s="9"/>
      <c r="G1678" s="248" t="str">
        <f t="shared" si="130"/>
        <v/>
      </c>
      <c r="H1678" s="1" t="b">
        <f>IF(B1678="",FALSE,COUNTIF('従業員情報(給与以外)'!$A$4:$A$1000000,$B1678)=0)</f>
        <v>0</v>
      </c>
      <c r="I1678" s="9" t="b">
        <f t="shared" si="131"/>
        <v>1</v>
      </c>
      <c r="J1678" s="9" t="b">
        <f t="shared" si="132"/>
        <v>1</v>
      </c>
      <c r="K1678" s="9" t="b">
        <f t="shared" si="133"/>
        <v>1</v>
      </c>
      <c r="L1678" s="9" t="b">
        <f t="shared" si="134"/>
        <v>1</v>
      </c>
      <c r="M1678" s="1" t="b">
        <f>IF(OR(入力シート!$C$5&lt;&gt;入力リスト!$N$4,入力シート!$J$22&lt;&gt;入力リスト!$K$4),TRUE,IF($F$2=入力リスト!$Q$4,IF(F1678-INT(F1678)&lt;0.6,TRUE,FALSE),TRUE))</f>
        <v>1</v>
      </c>
      <c r="N1678" s="9" t="str">
        <f>IF(F1678="","",IF($F$2=入力リスト!$Q$4,ROUNDDOWN(INT(F1678)+ROUNDDOWN((F1678-INT(F1678))*100,0)/60,2),従業員の給与情報!F1678))</f>
        <v/>
      </c>
      <c r="O1678" s="8"/>
      <c r="P1678" s="8"/>
    </row>
    <row r="1679" spans="1:16">
      <c r="A1679" s="119"/>
      <c r="B1679" s="2"/>
      <c r="C1679" s="3"/>
      <c r="D1679" s="3"/>
      <c r="E1679" s="3"/>
      <c r="F1679" s="9"/>
      <c r="G1679" s="248" t="str">
        <f t="shared" si="130"/>
        <v/>
      </c>
      <c r="H1679" s="1" t="b">
        <f>IF(B1679="",FALSE,COUNTIF('従業員情報(給与以外)'!$A$4:$A$1000000,$B1679)=0)</f>
        <v>0</v>
      </c>
      <c r="I1679" s="9" t="b">
        <f t="shared" si="131"/>
        <v>1</v>
      </c>
      <c r="J1679" s="9" t="b">
        <f t="shared" si="132"/>
        <v>1</v>
      </c>
      <c r="K1679" s="9" t="b">
        <f t="shared" si="133"/>
        <v>1</v>
      </c>
      <c r="L1679" s="9" t="b">
        <f t="shared" si="134"/>
        <v>1</v>
      </c>
      <c r="M1679" s="1" t="b">
        <f>IF(OR(入力シート!$C$5&lt;&gt;入力リスト!$N$4,入力シート!$J$22&lt;&gt;入力リスト!$K$4),TRUE,IF($F$2=入力リスト!$Q$4,IF(F1679-INT(F1679)&lt;0.6,TRUE,FALSE),TRUE))</f>
        <v>1</v>
      </c>
      <c r="N1679" s="9" t="str">
        <f>IF(F1679="","",IF($F$2=入力リスト!$Q$4,ROUNDDOWN(INT(F1679)+ROUNDDOWN((F1679-INT(F1679))*100,0)/60,2),従業員の給与情報!F1679))</f>
        <v/>
      </c>
      <c r="O1679" s="8"/>
      <c r="P1679" s="8"/>
    </row>
    <row r="1680" spans="1:16">
      <c r="A1680" s="119"/>
      <c r="B1680" s="2"/>
      <c r="C1680" s="3"/>
      <c r="D1680" s="3"/>
      <c r="E1680" s="3"/>
      <c r="F1680" s="9"/>
      <c r="G1680" s="248" t="str">
        <f t="shared" si="130"/>
        <v/>
      </c>
      <c r="H1680" s="1" t="b">
        <f>IF(B1680="",FALSE,COUNTIF('従業員情報(給与以外)'!$A$4:$A$1000000,$B1680)=0)</f>
        <v>0</v>
      </c>
      <c r="I1680" s="9" t="b">
        <f t="shared" si="131"/>
        <v>1</v>
      </c>
      <c r="J1680" s="9" t="b">
        <f t="shared" si="132"/>
        <v>1</v>
      </c>
      <c r="K1680" s="9" t="b">
        <f t="shared" si="133"/>
        <v>1</v>
      </c>
      <c r="L1680" s="9" t="b">
        <f t="shared" si="134"/>
        <v>1</v>
      </c>
      <c r="M1680" s="1" t="b">
        <f>IF(OR(入力シート!$C$5&lt;&gt;入力リスト!$N$4,入力シート!$J$22&lt;&gt;入力リスト!$K$4),TRUE,IF($F$2=入力リスト!$Q$4,IF(F1680-INT(F1680)&lt;0.6,TRUE,FALSE),TRUE))</f>
        <v>1</v>
      </c>
      <c r="N1680" s="9" t="str">
        <f>IF(F1680="","",IF($F$2=入力リスト!$Q$4,ROUNDDOWN(INT(F1680)+ROUNDDOWN((F1680-INT(F1680))*100,0)/60,2),従業員の給与情報!F1680))</f>
        <v/>
      </c>
      <c r="O1680" s="8"/>
      <c r="P1680" s="8"/>
    </row>
    <row r="1681" spans="1:16">
      <c r="A1681" s="119"/>
      <c r="B1681" s="2"/>
      <c r="C1681" s="3"/>
      <c r="D1681" s="3"/>
      <c r="E1681" s="3"/>
      <c r="F1681" s="9"/>
      <c r="G1681" s="248" t="str">
        <f t="shared" si="130"/>
        <v/>
      </c>
      <c r="H1681" s="1" t="b">
        <f>IF(B1681="",FALSE,COUNTIF('従業員情報(給与以外)'!$A$4:$A$1000000,$B1681)=0)</f>
        <v>0</v>
      </c>
      <c r="I1681" s="9" t="b">
        <f t="shared" si="131"/>
        <v>1</v>
      </c>
      <c r="J1681" s="9" t="b">
        <f t="shared" si="132"/>
        <v>1</v>
      </c>
      <c r="K1681" s="9" t="b">
        <f t="shared" si="133"/>
        <v>1</v>
      </c>
      <c r="L1681" s="9" t="b">
        <f t="shared" si="134"/>
        <v>1</v>
      </c>
      <c r="M1681" s="1" t="b">
        <f>IF(OR(入力シート!$C$5&lt;&gt;入力リスト!$N$4,入力シート!$J$22&lt;&gt;入力リスト!$K$4),TRUE,IF($F$2=入力リスト!$Q$4,IF(F1681-INT(F1681)&lt;0.6,TRUE,FALSE),TRUE))</f>
        <v>1</v>
      </c>
      <c r="N1681" s="9" t="str">
        <f>IF(F1681="","",IF($F$2=入力リスト!$Q$4,ROUNDDOWN(INT(F1681)+ROUNDDOWN((F1681-INT(F1681))*100,0)/60,2),従業員の給与情報!F1681))</f>
        <v/>
      </c>
      <c r="O1681" s="8"/>
      <c r="P1681" s="8"/>
    </row>
    <row r="1682" spans="1:16">
      <c r="A1682" s="119"/>
      <c r="B1682" s="2"/>
      <c r="C1682" s="3"/>
      <c r="D1682" s="3"/>
      <c r="E1682" s="3"/>
      <c r="F1682" s="9"/>
      <c r="G1682" s="248" t="str">
        <f t="shared" si="130"/>
        <v/>
      </c>
      <c r="H1682" s="1" t="b">
        <f>IF(B1682="",FALSE,COUNTIF('従業員情報(給与以外)'!$A$4:$A$1000000,$B1682)=0)</f>
        <v>0</v>
      </c>
      <c r="I1682" s="9" t="b">
        <f t="shared" si="131"/>
        <v>1</v>
      </c>
      <c r="J1682" s="9" t="b">
        <f t="shared" si="132"/>
        <v>1</v>
      </c>
      <c r="K1682" s="9" t="b">
        <f t="shared" si="133"/>
        <v>1</v>
      </c>
      <c r="L1682" s="9" t="b">
        <f t="shared" si="134"/>
        <v>1</v>
      </c>
      <c r="M1682" s="1" t="b">
        <f>IF(OR(入力シート!$C$5&lt;&gt;入力リスト!$N$4,入力シート!$J$22&lt;&gt;入力リスト!$K$4),TRUE,IF($F$2=入力リスト!$Q$4,IF(F1682-INT(F1682)&lt;0.6,TRUE,FALSE),TRUE))</f>
        <v>1</v>
      </c>
      <c r="N1682" s="9" t="str">
        <f>IF(F1682="","",IF($F$2=入力リスト!$Q$4,ROUNDDOWN(INT(F1682)+ROUNDDOWN((F1682-INT(F1682))*100,0)/60,2),従業員の給与情報!F1682))</f>
        <v/>
      </c>
      <c r="O1682" s="8"/>
      <c r="P1682" s="8"/>
    </row>
    <row r="1683" spans="1:16">
      <c r="A1683" s="119"/>
      <c r="B1683" s="2"/>
      <c r="C1683" s="3"/>
      <c r="D1683" s="3"/>
      <c r="E1683" s="3"/>
      <c r="F1683" s="9"/>
      <c r="G1683" s="248" t="str">
        <f t="shared" si="130"/>
        <v/>
      </c>
      <c r="H1683" s="1" t="b">
        <f>IF(B1683="",FALSE,COUNTIF('従業員情報(給与以外)'!$A$4:$A$1000000,$B1683)=0)</f>
        <v>0</v>
      </c>
      <c r="I1683" s="9" t="b">
        <f t="shared" si="131"/>
        <v>1</v>
      </c>
      <c r="J1683" s="9" t="b">
        <f t="shared" si="132"/>
        <v>1</v>
      </c>
      <c r="K1683" s="9" t="b">
        <f t="shared" si="133"/>
        <v>1</v>
      </c>
      <c r="L1683" s="9" t="b">
        <f t="shared" si="134"/>
        <v>1</v>
      </c>
      <c r="M1683" s="1" t="b">
        <f>IF(OR(入力シート!$C$5&lt;&gt;入力リスト!$N$4,入力シート!$J$22&lt;&gt;入力リスト!$K$4),TRUE,IF($F$2=入力リスト!$Q$4,IF(F1683-INT(F1683)&lt;0.6,TRUE,FALSE),TRUE))</f>
        <v>1</v>
      </c>
      <c r="N1683" s="9" t="str">
        <f>IF(F1683="","",IF($F$2=入力リスト!$Q$4,ROUNDDOWN(INT(F1683)+ROUNDDOWN((F1683-INT(F1683))*100,0)/60,2),従業員の給与情報!F1683))</f>
        <v/>
      </c>
      <c r="O1683" s="8"/>
      <c r="P1683" s="8"/>
    </row>
    <row r="1684" spans="1:16">
      <c r="A1684" s="119"/>
      <c r="B1684" s="2"/>
      <c r="C1684" s="3"/>
      <c r="D1684" s="3"/>
      <c r="E1684" s="3"/>
      <c r="F1684" s="9"/>
      <c r="G1684" s="248" t="str">
        <f t="shared" si="130"/>
        <v/>
      </c>
      <c r="H1684" s="1" t="b">
        <f>IF(B1684="",FALSE,COUNTIF('従業員情報(給与以外)'!$A$4:$A$1000000,$B1684)=0)</f>
        <v>0</v>
      </c>
      <c r="I1684" s="9" t="b">
        <f t="shared" si="131"/>
        <v>1</v>
      </c>
      <c r="J1684" s="9" t="b">
        <f t="shared" si="132"/>
        <v>1</v>
      </c>
      <c r="K1684" s="9" t="b">
        <f t="shared" si="133"/>
        <v>1</v>
      </c>
      <c r="L1684" s="9" t="b">
        <f t="shared" si="134"/>
        <v>1</v>
      </c>
      <c r="M1684" s="1" t="b">
        <f>IF(OR(入力シート!$C$5&lt;&gt;入力リスト!$N$4,入力シート!$J$22&lt;&gt;入力リスト!$K$4),TRUE,IF($F$2=入力リスト!$Q$4,IF(F1684-INT(F1684)&lt;0.6,TRUE,FALSE),TRUE))</f>
        <v>1</v>
      </c>
      <c r="N1684" s="9" t="str">
        <f>IF(F1684="","",IF($F$2=入力リスト!$Q$4,ROUNDDOWN(INT(F1684)+ROUNDDOWN((F1684-INT(F1684))*100,0)/60,2),従業員の給与情報!F1684))</f>
        <v/>
      </c>
      <c r="O1684" s="8"/>
      <c r="P1684" s="8"/>
    </row>
    <row r="1685" spans="1:16">
      <c r="A1685" s="119"/>
      <c r="B1685" s="2"/>
      <c r="C1685" s="3"/>
      <c r="D1685" s="3"/>
      <c r="E1685" s="3"/>
      <c r="F1685" s="9"/>
      <c r="G1685" s="248" t="str">
        <f t="shared" si="130"/>
        <v/>
      </c>
      <c r="H1685" s="1" t="b">
        <f>IF(B1685="",FALSE,COUNTIF('従業員情報(給与以外)'!$A$4:$A$1000000,$B1685)=0)</f>
        <v>0</v>
      </c>
      <c r="I1685" s="9" t="b">
        <f t="shared" si="131"/>
        <v>1</v>
      </c>
      <c r="J1685" s="9" t="b">
        <f t="shared" si="132"/>
        <v>1</v>
      </c>
      <c r="K1685" s="9" t="b">
        <f t="shared" si="133"/>
        <v>1</v>
      </c>
      <c r="L1685" s="9" t="b">
        <f t="shared" si="134"/>
        <v>1</v>
      </c>
      <c r="M1685" s="1" t="b">
        <f>IF(OR(入力シート!$C$5&lt;&gt;入力リスト!$N$4,入力シート!$J$22&lt;&gt;入力リスト!$K$4),TRUE,IF($F$2=入力リスト!$Q$4,IF(F1685-INT(F1685)&lt;0.6,TRUE,FALSE),TRUE))</f>
        <v>1</v>
      </c>
      <c r="N1685" s="9" t="str">
        <f>IF(F1685="","",IF($F$2=入力リスト!$Q$4,ROUNDDOWN(INT(F1685)+ROUNDDOWN((F1685-INT(F1685))*100,0)/60,2),従業員の給与情報!F1685))</f>
        <v/>
      </c>
      <c r="O1685" s="8"/>
      <c r="P1685" s="8"/>
    </row>
    <row r="1686" spans="1:16">
      <c r="A1686" s="119"/>
      <c r="B1686" s="2"/>
      <c r="C1686" s="3"/>
      <c r="D1686" s="3"/>
      <c r="E1686" s="3"/>
      <c r="F1686" s="9"/>
      <c r="G1686" s="248" t="str">
        <f t="shared" si="130"/>
        <v/>
      </c>
      <c r="H1686" s="1" t="b">
        <f>IF(B1686="",FALSE,COUNTIF('従業員情報(給与以外)'!$A$4:$A$1000000,$B1686)=0)</f>
        <v>0</v>
      </c>
      <c r="I1686" s="9" t="b">
        <f t="shared" si="131"/>
        <v>1</v>
      </c>
      <c r="J1686" s="9" t="b">
        <f t="shared" si="132"/>
        <v>1</v>
      </c>
      <c r="K1686" s="9" t="b">
        <f t="shared" si="133"/>
        <v>1</v>
      </c>
      <c r="L1686" s="9" t="b">
        <f t="shared" si="134"/>
        <v>1</v>
      </c>
      <c r="M1686" s="1" t="b">
        <f>IF(OR(入力シート!$C$5&lt;&gt;入力リスト!$N$4,入力シート!$J$22&lt;&gt;入力リスト!$K$4),TRUE,IF($F$2=入力リスト!$Q$4,IF(F1686-INT(F1686)&lt;0.6,TRUE,FALSE),TRUE))</f>
        <v>1</v>
      </c>
      <c r="N1686" s="9" t="str">
        <f>IF(F1686="","",IF($F$2=入力リスト!$Q$4,ROUNDDOWN(INT(F1686)+ROUNDDOWN((F1686-INT(F1686))*100,0)/60,2),従業員の給与情報!F1686))</f>
        <v/>
      </c>
      <c r="O1686" s="8"/>
      <c r="P1686" s="8"/>
    </row>
    <row r="1687" spans="1:16">
      <c r="A1687" s="119"/>
      <c r="B1687" s="2"/>
      <c r="C1687" s="3"/>
      <c r="D1687" s="3"/>
      <c r="E1687" s="3"/>
      <c r="F1687" s="9"/>
      <c r="G1687" s="248" t="str">
        <f t="shared" si="130"/>
        <v/>
      </c>
      <c r="H1687" s="1" t="b">
        <f>IF(B1687="",FALSE,COUNTIF('従業員情報(給与以外)'!$A$4:$A$1000000,$B1687)=0)</f>
        <v>0</v>
      </c>
      <c r="I1687" s="9" t="b">
        <f t="shared" si="131"/>
        <v>1</v>
      </c>
      <c r="J1687" s="9" t="b">
        <f t="shared" si="132"/>
        <v>1</v>
      </c>
      <c r="K1687" s="9" t="b">
        <f t="shared" si="133"/>
        <v>1</v>
      </c>
      <c r="L1687" s="9" t="b">
        <f t="shared" si="134"/>
        <v>1</v>
      </c>
      <c r="M1687" s="1" t="b">
        <f>IF(OR(入力シート!$C$5&lt;&gt;入力リスト!$N$4,入力シート!$J$22&lt;&gt;入力リスト!$K$4),TRUE,IF($F$2=入力リスト!$Q$4,IF(F1687-INT(F1687)&lt;0.6,TRUE,FALSE),TRUE))</f>
        <v>1</v>
      </c>
      <c r="N1687" s="9" t="str">
        <f>IF(F1687="","",IF($F$2=入力リスト!$Q$4,ROUNDDOWN(INT(F1687)+ROUNDDOWN((F1687-INT(F1687))*100,0)/60,2),従業員の給与情報!F1687))</f>
        <v/>
      </c>
      <c r="O1687" s="8"/>
      <c r="P1687" s="8"/>
    </row>
    <row r="1688" spans="1:16">
      <c r="A1688" s="119"/>
      <c r="B1688" s="2"/>
      <c r="C1688" s="3"/>
      <c r="D1688" s="3"/>
      <c r="E1688" s="3"/>
      <c r="F1688" s="9"/>
      <c r="G1688" s="248" t="str">
        <f t="shared" si="130"/>
        <v/>
      </c>
      <c r="H1688" s="1" t="b">
        <f>IF(B1688="",FALSE,COUNTIF('従業員情報(給与以外)'!$A$4:$A$1000000,$B1688)=0)</f>
        <v>0</v>
      </c>
      <c r="I1688" s="9" t="b">
        <f t="shared" si="131"/>
        <v>1</v>
      </c>
      <c r="J1688" s="9" t="b">
        <f t="shared" si="132"/>
        <v>1</v>
      </c>
      <c r="K1688" s="9" t="b">
        <f t="shared" si="133"/>
        <v>1</v>
      </c>
      <c r="L1688" s="9" t="b">
        <f t="shared" si="134"/>
        <v>1</v>
      </c>
      <c r="M1688" s="1" t="b">
        <f>IF(OR(入力シート!$C$5&lt;&gt;入力リスト!$N$4,入力シート!$J$22&lt;&gt;入力リスト!$K$4),TRUE,IF($F$2=入力リスト!$Q$4,IF(F1688-INT(F1688)&lt;0.6,TRUE,FALSE),TRUE))</f>
        <v>1</v>
      </c>
      <c r="N1688" s="9" t="str">
        <f>IF(F1688="","",IF($F$2=入力リスト!$Q$4,ROUNDDOWN(INT(F1688)+ROUNDDOWN((F1688-INT(F1688))*100,0)/60,2),従業員の給与情報!F1688))</f>
        <v/>
      </c>
      <c r="O1688" s="8"/>
      <c r="P1688" s="8"/>
    </row>
    <row r="1689" spans="1:16">
      <c r="A1689" s="119"/>
      <c r="B1689" s="2"/>
      <c r="C1689" s="3"/>
      <c r="D1689" s="3"/>
      <c r="E1689" s="3"/>
      <c r="F1689" s="9"/>
      <c r="G1689" s="248" t="str">
        <f t="shared" si="130"/>
        <v/>
      </c>
      <c r="H1689" s="1" t="b">
        <f>IF(B1689="",FALSE,COUNTIF('従業員情報(給与以外)'!$A$4:$A$1000000,$B1689)=0)</f>
        <v>0</v>
      </c>
      <c r="I1689" s="9" t="b">
        <f t="shared" si="131"/>
        <v>1</v>
      </c>
      <c r="J1689" s="9" t="b">
        <f t="shared" si="132"/>
        <v>1</v>
      </c>
      <c r="K1689" s="9" t="b">
        <f t="shared" si="133"/>
        <v>1</v>
      </c>
      <c r="L1689" s="9" t="b">
        <f t="shared" si="134"/>
        <v>1</v>
      </c>
      <c r="M1689" s="1" t="b">
        <f>IF(OR(入力シート!$C$5&lt;&gt;入力リスト!$N$4,入力シート!$J$22&lt;&gt;入力リスト!$K$4),TRUE,IF($F$2=入力リスト!$Q$4,IF(F1689-INT(F1689)&lt;0.6,TRUE,FALSE),TRUE))</f>
        <v>1</v>
      </c>
      <c r="N1689" s="9" t="str">
        <f>IF(F1689="","",IF($F$2=入力リスト!$Q$4,ROUNDDOWN(INT(F1689)+ROUNDDOWN((F1689-INT(F1689))*100,0)/60,2),従業員の給与情報!F1689))</f>
        <v/>
      </c>
      <c r="O1689" s="8"/>
      <c r="P1689" s="8"/>
    </row>
    <row r="1690" spans="1:16">
      <c r="A1690" s="119"/>
      <c r="B1690" s="2"/>
      <c r="C1690" s="3"/>
      <c r="D1690" s="3"/>
      <c r="E1690" s="3"/>
      <c r="F1690" s="9"/>
      <c r="G1690" s="248" t="str">
        <f t="shared" si="130"/>
        <v/>
      </c>
      <c r="H1690" s="1" t="b">
        <f>IF(B1690="",FALSE,COUNTIF('従業員情報(給与以外)'!$A$4:$A$1000000,$B1690)=0)</f>
        <v>0</v>
      </c>
      <c r="I1690" s="9" t="b">
        <f t="shared" si="131"/>
        <v>1</v>
      </c>
      <c r="J1690" s="9" t="b">
        <f t="shared" si="132"/>
        <v>1</v>
      </c>
      <c r="K1690" s="9" t="b">
        <f t="shared" si="133"/>
        <v>1</v>
      </c>
      <c r="L1690" s="9" t="b">
        <f t="shared" si="134"/>
        <v>1</v>
      </c>
      <c r="M1690" s="1" t="b">
        <f>IF(OR(入力シート!$C$5&lt;&gt;入力リスト!$N$4,入力シート!$J$22&lt;&gt;入力リスト!$K$4),TRUE,IF($F$2=入力リスト!$Q$4,IF(F1690-INT(F1690)&lt;0.6,TRUE,FALSE),TRUE))</f>
        <v>1</v>
      </c>
      <c r="N1690" s="9" t="str">
        <f>IF(F1690="","",IF($F$2=入力リスト!$Q$4,ROUNDDOWN(INT(F1690)+ROUNDDOWN((F1690-INT(F1690))*100,0)/60,2),従業員の給与情報!F1690))</f>
        <v/>
      </c>
      <c r="O1690" s="8"/>
      <c r="P1690" s="8"/>
    </row>
    <row r="1691" spans="1:16">
      <c r="A1691" s="119"/>
      <c r="B1691" s="2"/>
      <c r="C1691" s="3"/>
      <c r="D1691" s="3"/>
      <c r="E1691" s="3"/>
      <c r="F1691" s="9"/>
      <c r="G1691" s="248" t="str">
        <f t="shared" si="130"/>
        <v/>
      </c>
      <c r="H1691" s="1" t="b">
        <f>IF(B1691="",FALSE,COUNTIF('従業員情報(給与以外)'!$A$4:$A$1000000,$B1691)=0)</f>
        <v>0</v>
      </c>
      <c r="I1691" s="9" t="b">
        <f t="shared" si="131"/>
        <v>1</v>
      </c>
      <c r="J1691" s="9" t="b">
        <f t="shared" si="132"/>
        <v>1</v>
      </c>
      <c r="K1691" s="9" t="b">
        <f t="shared" si="133"/>
        <v>1</v>
      </c>
      <c r="L1691" s="9" t="b">
        <f t="shared" si="134"/>
        <v>1</v>
      </c>
      <c r="M1691" s="1" t="b">
        <f>IF(OR(入力シート!$C$5&lt;&gt;入力リスト!$N$4,入力シート!$J$22&lt;&gt;入力リスト!$K$4),TRUE,IF($F$2=入力リスト!$Q$4,IF(F1691-INT(F1691)&lt;0.6,TRUE,FALSE),TRUE))</f>
        <v>1</v>
      </c>
      <c r="N1691" s="9" t="str">
        <f>IF(F1691="","",IF($F$2=入力リスト!$Q$4,ROUNDDOWN(INT(F1691)+ROUNDDOWN((F1691-INT(F1691))*100,0)/60,2),従業員の給与情報!F1691))</f>
        <v/>
      </c>
      <c r="O1691" s="8"/>
      <c r="P1691" s="8"/>
    </row>
    <row r="1692" spans="1:16">
      <c r="A1692" s="119"/>
      <c r="B1692" s="2"/>
      <c r="C1692" s="3"/>
      <c r="D1692" s="3"/>
      <c r="E1692" s="3"/>
      <c r="F1692" s="9"/>
      <c r="G1692" s="248" t="str">
        <f t="shared" si="130"/>
        <v/>
      </c>
      <c r="H1692" s="1" t="b">
        <f>IF(B1692="",FALSE,COUNTIF('従業員情報(給与以外)'!$A$4:$A$1000000,$B1692)=0)</f>
        <v>0</v>
      </c>
      <c r="I1692" s="9" t="b">
        <f t="shared" si="131"/>
        <v>1</v>
      </c>
      <c r="J1692" s="9" t="b">
        <f t="shared" si="132"/>
        <v>1</v>
      </c>
      <c r="K1692" s="9" t="b">
        <f t="shared" si="133"/>
        <v>1</v>
      </c>
      <c r="L1692" s="9" t="b">
        <f t="shared" si="134"/>
        <v>1</v>
      </c>
      <c r="M1692" s="1" t="b">
        <f>IF(OR(入力シート!$C$5&lt;&gt;入力リスト!$N$4,入力シート!$J$22&lt;&gt;入力リスト!$K$4),TRUE,IF($F$2=入力リスト!$Q$4,IF(F1692-INT(F1692)&lt;0.6,TRUE,FALSE),TRUE))</f>
        <v>1</v>
      </c>
      <c r="N1692" s="9" t="str">
        <f>IF(F1692="","",IF($F$2=入力リスト!$Q$4,ROUNDDOWN(INT(F1692)+ROUNDDOWN((F1692-INT(F1692))*100,0)/60,2),従業員の給与情報!F1692))</f>
        <v/>
      </c>
      <c r="O1692" s="8"/>
      <c r="P1692" s="8"/>
    </row>
    <row r="1693" spans="1:16">
      <c r="A1693" s="119"/>
      <c r="B1693" s="2"/>
      <c r="C1693" s="3"/>
      <c r="D1693" s="3"/>
      <c r="E1693" s="3"/>
      <c r="F1693" s="9"/>
      <c r="G1693" s="248" t="str">
        <f t="shared" si="130"/>
        <v/>
      </c>
      <c r="H1693" s="1" t="b">
        <f>IF(B1693="",FALSE,COUNTIF('従業員情報(給与以外)'!$A$4:$A$1000000,$B1693)=0)</f>
        <v>0</v>
      </c>
      <c r="I1693" s="9" t="b">
        <f t="shared" si="131"/>
        <v>1</v>
      </c>
      <c r="J1693" s="9" t="b">
        <f t="shared" si="132"/>
        <v>1</v>
      </c>
      <c r="K1693" s="9" t="b">
        <f t="shared" si="133"/>
        <v>1</v>
      </c>
      <c r="L1693" s="9" t="b">
        <f t="shared" si="134"/>
        <v>1</v>
      </c>
      <c r="M1693" s="1" t="b">
        <f>IF(OR(入力シート!$C$5&lt;&gt;入力リスト!$N$4,入力シート!$J$22&lt;&gt;入力リスト!$K$4),TRUE,IF($F$2=入力リスト!$Q$4,IF(F1693-INT(F1693)&lt;0.6,TRUE,FALSE),TRUE))</f>
        <v>1</v>
      </c>
      <c r="N1693" s="9" t="str">
        <f>IF(F1693="","",IF($F$2=入力リスト!$Q$4,ROUNDDOWN(INT(F1693)+ROUNDDOWN((F1693-INT(F1693))*100,0)/60,2),従業員の給与情報!F1693))</f>
        <v/>
      </c>
      <c r="O1693" s="8"/>
      <c r="P1693" s="8"/>
    </row>
    <row r="1694" spans="1:16">
      <c r="A1694" s="119"/>
      <c r="B1694" s="2"/>
      <c r="C1694" s="3"/>
      <c r="D1694" s="3"/>
      <c r="E1694" s="3"/>
      <c r="F1694" s="9"/>
      <c r="G1694" s="248" t="str">
        <f t="shared" si="130"/>
        <v/>
      </c>
      <c r="H1694" s="1" t="b">
        <f>IF(B1694="",FALSE,COUNTIF('従業員情報(給与以外)'!$A$4:$A$1000000,$B1694)=0)</f>
        <v>0</v>
      </c>
      <c r="I1694" s="9" t="b">
        <f t="shared" si="131"/>
        <v>1</v>
      </c>
      <c r="J1694" s="9" t="b">
        <f t="shared" si="132"/>
        <v>1</v>
      </c>
      <c r="K1694" s="9" t="b">
        <f t="shared" si="133"/>
        <v>1</v>
      </c>
      <c r="L1694" s="9" t="b">
        <f t="shared" si="134"/>
        <v>1</v>
      </c>
      <c r="M1694" s="1" t="b">
        <f>IF(OR(入力シート!$C$5&lt;&gt;入力リスト!$N$4,入力シート!$J$22&lt;&gt;入力リスト!$K$4),TRUE,IF($F$2=入力リスト!$Q$4,IF(F1694-INT(F1694)&lt;0.6,TRUE,FALSE),TRUE))</f>
        <v>1</v>
      </c>
      <c r="N1694" s="9" t="str">
        <f>IF(F1694="","",IF($F$2=入力リスト!$Q$4,ROUNDDOWN(INT(F1694)+ROUNDDOWN((F1694-INT(F1694))*100,0)/60,2),従業員の給与情報!F1694))</f>
        <v/>
      </c>
      <c r="O1694" s="8"/>
      <c r="P1694" s="8"/>
    </row>
    <row r="1695" spans="1:16">
      <c r="A1695" s="119"/>
      <c r="B1695" s="2"/>
      <c r="C1695" s="3"/>
      <c r="D1695" s="3"/>
      <c r="E1695" s="3"/>
      <c r="F1695" s="9"/>
      <c r="G1695" s="248" t="str">
        <f t="shared" si="130"/>
        <v/>
      </c>
      <c r="H1695" s="1" t="b">
        <f>IF(B1695="",FALSE,COUNTIF('従業員情報(給与以外)'!$A$4:$A$1000000,$B1695)=0)</f>
        <v>0</v>
      </c>
      <c r="I1695" s="9" t="b">
        <f t="shared" si="131"/>
        <v>1</v>
      </c>
      <c r="J1695" s="9" t="b">
        <f t="shared" si="132"/>
        <v>1</v>
      </c>
      <c r="K1695" s="9" t="b">
        <f t="shared" si="133"/>
        <v>1</v>
      </c>
      <c r="L1695" s="9" t="b">
        <f t="shared" si="134"/>
        <v>1</v>
      </c>
      <c r="M1695" s="1" t="b">
        <f>IF(OR(入力シート!$C$5&lt;&gt;入力リスト!$N$4,入力シート!$J$22&lt;&gt;入力リスト!$K$4),TRUE,IF($F$2=入力リスト!$Q$4,IF(F1695-INT(F1695)&lt;0.6,TRUE,FALSE),TRUE))</f>
        <v>1</v>
      </c>
      <c r="N1695" s="9" t="str">
        <f>IF(F1695="","",IF($F$2=入力リスト!$Q$4,ROUNDDOWN(INT(F1695)+ROUNDDOWN((F1695-INT(F1695))*100,0)/60,2),従業員の給与情報!F1695))</f>
        <v/>
      </c>
      <c r="O1695" s="8"/>
      <c r="P1695" s="8"/>
    </row>
    <row r="1696" spans="1:16">
      <c r="A1696" s="119"/>
      <c r="B1696" s="2"/>
      <c r="C1696" s="3"/>
      <c r="D1696" s="3"/>
      <c r="E1696" s="3"/>
      <c r="F1696" s="9"/>
      <c r="G1696" s="248" t="str">
        <f t="shared" si="130"/>
        <v/>
      </c>
      <c r="H1696" s="1" t="b">
        <f>IF(B1696="",FALSE,COUNTIF('従業員情報(給与以外)'!$A$4:$A$1000000,$B1696)=0)</f>
        <v>0</v>
      </c>
      <c r="I1696" s="9" t="b">
        <f t="shared" si="131"/>
        <v>1</v>
      </c>
      <c r="J1696" s="9" t="b">
        <f t="shared" si="132"/>
        <v>1</v>
      </c>
      <c r="K1696" s="9" t="b">
        <f t="shared" si="133"/>
        <v>1</v>
      </c>
      <c r="L1696" s="9" t="b">
        <f t="shared" si="134"/>
        <v>1</v>
      </c>
      <c r="M1696" s="1" t="b">
        <f>IF(OR(入力シート!$C$5&lt;&gt;入力リスト!$N$4,入力シート!$J$22&lt;&gt;入力リスト!$K$4),TRUE,IF($F$2=入力リスト!$Q$4,IF(F1696-INT(F1696)&lt;0.6,TRUE,FALSE),TRUE))</f>
        <v>1</v>
      </c>
      <c r="N1696" s="9" t="str">
        <f>IF(F1696="","",IF($F$2=入力リスト!$Q$4,ROUNDDOWN(INT(F1696)+ROUNDDOWN((F1696-INT(F1696))*100,0)/60,2),従業員の給与情報!F1696))</f>
        <v/>
      </c>
      <c r="O1696" s="8"/>
      <c r="P1696" s="8"/>
    </row>
    <row r="1697" spans="1:16">
      <c r="A1697" s="119"/>
      <c r="B1697" s="2"/>
      <c r="C1697" s="3"/>
      <c r="D1697" s="3"/>
      <c r="E1697" s="3"/>
      <c r="F1697" s="9"/>
      <c r="G1697" s="248" t="str">
        <f t="shared" si="130"/>
        <v/>
      </c>
      <c r="H1697" s="1" t="b">
        <f>IF(B1697="",FALSE,COUNTIF('従業員情報(給与以外)'!$A$4:$A$1000000,$B1697)=0)</f>
        <v>0</v>
      </c>
      <c r="I1697" s="9" t="b">
        <f t="shared" si="131"/>
        <v>1</v>
      </c>
      <c r="J1697" s="9" t="b">
        <f t="shared" si="132"/>
        <v>1</v>
      </c>
      <c r="K1697" s="9" t="b">
        <f t="shared" si="133"/>
        <v>1</v>
      </c>
      <c r="L1697" s="9" t="b">
        <f t="shared" si="134"/>
        <v>1</v>
      </c>
      <c r="M1697" s="1" t="b">
        <f>IF(OR(入力シート!$C$5&lt;&gt;入力リスト!$N$4,入力シート!$J$22&lt;&gt;入力リスト!$K$4),TRUE,IF($F$2=入力リスト!$Q$4,IF(F1697-INT(F1697)&lt;0.6,TRUE,FALSE),TRUE))</f>
        <v>1</v>
      </c>
      <c r="N1697" s="9" t="str">
        <f>IF(F1697="","",IF($F$2=入力リスト!$Q$4,ROUNDDOWN(INT(F1697)+ROUNDDOWN((F1697-INT(F1697))*100,0)/60,2),従業員の給与情報!F1697))</f>
        <v/>
      </c>
      <c r="O1697" s="8"/>
      <c r="P1697" s="8"/>
    </row>
    <row r="1698" spans="1:16">
      <c r="A1698" s="119"/>
      <c r="B1698" s="2"/>
      <c r="C1698" s="3"/>
      <c r="D1698" s="3"/>
      <c r="E1698" s="3"/>
      <c r="F1698" s="9"/>
      <c r="G1698" s="248" t="str">
        <f t="shared" si="130"/>
        <v/>
      </c>
      <c r="H1698" s="1" t="b">
        <f>IF(B1698="",FALSE,COUNTIF('従業員情報(給与以外)'!$A$4:$A$1000000,$B1698)=0)</f>
        <v>0</v>
      </c>
      <c r="I1698" s="9" t="b">
        <f t="shared" si="131"/>
        <v>1</v>
      </c>
      <c r="J1698" s="9" t="b">
        <f t="shared" si="132"/>
        <v>1</v>
      </c>
      <c r="K1698" s="9" t="b">
        <f t="shared" si="133"/>
        <v>1</v>
      </c>
      <c r="L1698" s="9" t="b">
        <f t="shared" si="134"/>
        <v>1</v>
      </c>
      <c r="M1698" s="1" t="b">
        <f>IF(OR(入力シート!$C$5&lt;&gt;入力リスト!$N$4,入力シート!$J$22&lt;&gt;入力リスト!$K$4),TRUE,IF($F$2=入力リスト!$Q$4,IF(F1698-INT(F1698)&lt;0.6,TRUE,FALSE),TRUE))</f>
        <v>1</v>
      </c>
      <c r="N1698" s="9" t="str">
        <f>IF(F1698="","",IF($F$2=入力リスト!$Q$4,ROUNDDOWN(INT(F1698)+ROUNDDOWN((F1698-INT(F1698))*100,0)/60,2),従業員の給与情報!F1698))</f>
        <v/>
      </c>
      <c r="O1698" s="8"/>
      <c r="P1698" s="8"/>
    </row>
    <row r="1699" spans="1:16">
      <c r="A1699" s="119"/>
      <c r="B1699" s="2"/>
      <c r="C1699" s="3"/>
      <c r="D1699" s="3"/>
      <c r="E1699" s="3"/>
      <c r="F1699" s="9"/>
      <c r="G1699" s="248" t="str">
        <f t="shared" si="130"/>
        <v/>
      </c>
      <c r="H1699" s="1" t="b">
        <f>IF(B1699="",FALSE,COUNTIF('従業員情報(給与以外)'!$A$4:$A$1000000,$B1699)=0)</f>
        <v>0</v>
      </c>
      <c r="I1699" s="9" t="b">
        <f t="shared" si="131"/>
        <v>1</v>
      </c>
      <c r="J1699" s="9" t="b">
        <f t="shared" si="132"/>
        <v>1</v>
      </c>
      <c r="K1699" s="9" t="b">
        <f t="shared" si="133"/>
        <v>1</v>
      </c>
      <c r="L1699" s="9" t="b">
        <f t="shared" si="134"/>
        <v>1</v>
      </c>
      <c r="M1699" s="1" t="b">
        <f>IF(OR(入力シート!$C$5&lt;&gt;入力リスト!$N$4,入力シート!$J$22&lt;&gt;入力リスト!$K$4),TRUE,IF($F$2=入力リスト!$Q$4,IF(F1699-INT(F1699)&lt;0.6,TRUE,FALSE),TRUE))</f>
        <v>1</v>
      </c>
      <c r="N1699" s="9" t="str">
        <f>IF(F1699="","",IF($F$2=入力リスト!$Q$4,ROUNDDOWN(INT(F1699)+ROUNDDOWN((F1699-INT(F1699))*100,0)/60,2),従業員の給与情報!F1699))</f>
        <v/>
      </c>
      <c r="O1699" s="8"/>
      <c r="P1699" s="8"/>
    </row>
    <row r="1700" spans="1:16">
      <c r="A1700" s="119"/>
      <c r="B1700" s="2"/>
      <c r="C1700" s="3"/>
      <c r="D1700" s="3"/>
      <c r="E1700" s="3"/>
      <c r="F1700" s="9"/>
      <c r="G1700" s="248" t="str">
        <f t="shared" si="130"/>
        <v/>
      </c>
      <c r="H1700" s="1" t="b">
        <f>IF(B1700="",FALSE,COUNTIF('従業員情報(給与以外)'!$A$4:$A$1000000,$B1700)=0)</f>
        <v>0</v>
      </c>
      <c r="I1700" s="9" t="b">
        <f t="shared" si="131"/>
        <v>1</v>
      </c>
      <c r="J1700" s="9" t="b">
        <f t="shared" si="132"/>
        <v>1</v>
      </c>
      <c r="K1700" s="9" t="b">
        <f t="shared" si="133"/>
        <v>1</v>
      </c>
      <c r="L1700" s="9" t="b">
        <f t="shared" si="134"/>
        <v>1</v>
      </c>
      <c r="M1700" s="1" t="b">
        <f>IF(OR(入力シート!$C$5&lt;&gt;入力リスト!$N$4,入力シート!$J$22&lt;&gt;入力リスト!$K$4),TRUE,IF($F$2=入力リスト!$Q$4,IF(F1700-INT(F1700)&lt;0.6,TRUE,FALSE),TRUE))</f>
        <v>1</v>
      </c>
      <c r="N1700" s="9" t="str">
        <f>IF(F1700="","",IF($F$2=入力リスト!$Q$4,ROUNDDOWN(INT(F1700)+ROUNDDOWN((F1700-INT(F1700))*100,0)/60,2),従業員の給与情報!F1700))</f>
        <v/>
      </c>
      <c r="O1700" s="8"/>
      <c r="P1700" s="8"/>
    </row>
    <row r="1701" spans="1:16">
      <c r="A1701" s="119"/>
      <c r="B1701" s="2"/>
      <c r="C1701" s="3"/>
      <c r="D1701" s="3"/>
      <c r="E1701" s="3"/>
      <c r="F1701" s="9"/>
      <c r="G1701" s="248" t="str">
        <f t="shared" si="130"/>
        <v/>
      </c>
      <c r="H1701" s="1" t="b">
        <f>IF(B1701="",FALSE,COUNTIF('従業員情報(給与以外)'!$A$4:$A$1000000,$B1701)=0)</f>
        <v>0</v>
      </c>
      <c r="I1701" s="9" t="b">
        <f t="shared" si="131"/>
        <v>1</v>
      </c>
      <c r="J1701" s="9" t="b">
        <f t="shared" si="132"/>
        <v>1</v>
      </c>
      <c r="K1701" s="9" t="b">
        <f t="shared" si="133"/>
        <v>1</v>
      </c>
      <c r="L1701" s="9" t="b">
        <f t="shared" si="134"/>
        <v>1</v>
      </c>
      <c r="M1701" s="1" t="b">
        <f>IF(OR(入力シート!$C$5&lt;&gt;入力リスト!$N$4,入力シート!$J$22&lt;&gt;入力リスト!$K$4),TRUE,IF($F$2=入力リスト!$Q$4,IF(F1701-INT(F1701)&lt;0.6,TRUE,FALSE),TRUE))</f>
        <v>1</v>
      </c>
      <c r="N1701" s="9" t="str">
        <f>IF(F1701="","",IF($F$2=入力リスト!$Q$4,ROUNDDOWN(INT(F1701)+ROUNDDOWN((F1701-INT(F1701))*100,0)/60,2),従業員の給与情報!F1701))</f>
        <v/>
      </c>
      <c r="O1701" s="8"/>
      <c r="P1701" s="8"/>
    </row>
    <row r="1702" spans="1:16">
      <c r="A1702" s="119"/>
      <c r="B1702" s="2"/>
      <c r="C1702" s="3"/>
      <c r="D1702" s="3"/>
      <c r="E1702" s="3"/>
      <c r="F1702" s="9"/>
      <c r="G1702" s="248" t="str">
        <f t="shared" si="130"/>
        <v/>
      </c>
      <c r="H1702" s="1" t="b">
        <f>IF(B1702="",FALSE,COUNTIF('従業員情報(給与以外)'!$A$4:$A$1000000,$B1702)=0)</f>
        <v>0</v>
      </c>
      <c r="I1702" s="9" t="b">
        <f t="shared" si="131"/>
        <v>1</v>
      </c>
      <c r="J1702" s="9" t="b">
        <f t="shared" si="132"/>
        <v>1</v>
      </c>
      <c r="K1702" s="9" t="b">
        <f t="shared" si="133"/>
        <v>1</v>
      </c>
      <c r="L1702" s="9" t="b">
        <f t="shared" si="134"/>
        <v>1</v>
      </c>
      <c r="M1702" s="1" t="b">
        <f>IF(OR(入力シート!$C$5&lt;&gt;入力リスト!$N$4,入力シート!$J$22&lt;&gt;入力リスト!$K$4),TRUE,IF($F$2=入力リスト!$Q$4,IF(F1702-INT(F1702)&lt;0.6,TRUE,FALSE),TRUE))</f>
        <v>1</v>
      </c>
      <c r="N1702" s="9" t="str">
        <f>IF(F1702="","",IF($F$2=入力リスト!$Q$4,ROUNDDOWN(INT(F1702)+ROUNDDOWN((F1702-INT(F1702))*100,0)/60,2),従業員の給与情報!F1702))</f>
        <v/>
      </c>
      <c r="O1702" s="8"/>
      <c r="P1702" s="8"/>
    </row>
    <row r="1703" spans="1:16">
      <c r="A1703" s="119"/>
      <c r="B1703" s="2"/>
      <c r="C1703" s="3"/>
      <c r="D1703" s="3"/>
      <c r="E1703" s="3"/>
      <c r="F1703" s="9"/>
      <c r="G1703" s="248" t="str">
        <f t="shared" si="130"/>
        <v/>
      </c>
      <c r="H1703" s="1" t="b">
        <f>IF(B1703="",FALSE,COUNTIF('従業員情報(給与以外)'!$A$4:$A$1000000,$B1703)=0)</f>
        <v>0</v>
      </c>
      <c r="I1703" s="9" t="b">
        <f t="shared" si="131"/>
        <v>1</v>
      </c>
      <c r="J1703" s="9" t="b">
        <f t="shared" si="132"/>
        <v>1</v>
      </c>
      <c r="K1703" s="9" t="b">
        <f t="shared" si="133"/>
        <v>1</v>
      </c>
      <c r="L1703" s="9" t="b">
        <f t="shared" si="134"/>
        <v>1</v>
      </c>
      <c r="M1703" s="1" t="b">
        <f>IF(OR(入力シート!$C$5&lt;&gt;入力リスト!$N$4,入力シート!$J$22&lt;&gt;入力リスト!$K$4),TRUE,IF($F$2=入力リスト!$Q$4,IF(F1703-INT(F1703)&lt;0.6,TRUE,FALSE),TRUE))</f>
        <v>1</v>
      </c>
      <c r="N1703" s="9" t="str">
        <f>IF(F1703="","",IF($F$2=入力リスト!$Q$4,ROUNDDOWN(INT(F1703)+ROUNDDOWN((F1703-INT(F1703))*100,0)/60,2),従業員の給与情報!F1703))</f>
        <v/>
      </c>
      <c r="O1703" s="8"/>
      <c r="P1703" s="8"/>
    </row>
    <row r="1704" spans="1:16">
      <c r="A1704" s="119"/>
      <c r="B1704" s="2"/>
      <c r="C1704" s="3"/>
      <c r="D1704" s="3"/>
      <c r="E1704" s="3"/>
      <c r="F1704" s="9"/>
      <c r="G1704" s="248" t="str">
        <f t="shared" si="130"/>
        <v/>
      </c>
      <c r="H1704" s="1" t="b">
        <f>IF(B1704="",FALSE,COUNTIF('従業員情報(給与以外)'!$A$4:$A$1000000,$B1704)=0)</f>
        <v>0</v>
      </c>
      <c r="I1704" s="9" t="b">
        <f t="shared" si="131"/>
        <v>1</v>
      </c>
      <c r="J1704" s="9" t="b">
        <f t="shared" si="132"/>
        <v>1</v>
      </c>
      <c r="K1704" s="9" t="b">
        <f t="shared" si="133"/>
        <v>1</v>
      </c>
      <c r="L1704" s="9" t="b">
        <f t="shared" si="134"/>
        <v>1</v>
      </c>
      <c r="M1704" s="1" t="b">
        <f>IF(OR(入力シート!$C$5&lt;&gt;入力リスト!$N$4,入力シート!$J$22&lt;&gt;入力リスト!$K$4),TRUE,IF($F$2=入力リスト!$Q$4,IF(F1704-INT(F1704)&lt;0.6,TRUE,FALSE),TRUE))</f>
        <v>1</v>
      </c>
      <c r="N1704" s="9" t="str">
        <f>IF(F1704="","",IF($F$2=入力リスト!$Q$4,ROUNDDOWN(INT(F1704)+ROUNDDOWN((F1704-INT(F1704))*100,0)/60,2),従業員の給与情報!F1704))</f>
        <v/>
      </c>
      <c r="O1704" s="8"/>
      <c r="P1704" s="8"/>
    </row>
    <row r="1705" spans="1:16">
      <c r="A1705" s="119"/>
      <c r="B1705" s="2"/>
      <c r="C1705" s="3"/>
      <c r="D1705" s="3"/>
      <c r="E1705" s="3"/>
      <c r="F1705" s="9"/>
      <c r="G1705" s="248" t="str">
        <f t="shared" si="130"/>
        <v/>
      </c>
      <c r="H1705" s="1" t="b">
        <f>IF(B1705="",FALSE,COUNTIF('従業員情報(給与以外)'!$A$4:$A$1000000,$B1705)=0)</f>
        <v>0</v>
      </c>
      <c r="I1705" s="9" t="b">
        <f t="shared" si="131"/>
        <v>1</v>
      </c>
      <c r="J1705" s="9" t="b">
        <f t="shared" si="132"/>
        <v>1</v>
      </c>
      <c r="K1705" s="9" t="b">
        <f t="shared" si="133"/>
        <v>1</v>
      </c>
      <c r="L1705" s="9" t="b">
        <f t="shared" si="134"/>
        <v>1</v>
      </c>
      <c r="M1705" s="1" t="b">
        <f>IF(OR(入力シート!$C$5&lt;&gt;入力リスト!$N$4,入力シート!$J$22&lt;&gt;入力リスト!$K$4),TRUE,IF($F$2=入力リスト!$Q$4,IF(F1705-INT(F1705)&lt;0.6,TRUE,FALSE),TRUE))</f>
        <v>1</v>
      </c>
      <c r="N1705" s="9" t="str">
        <f>IF(F1705="","",IF($F$2=入力リスト!$Q$4,ROUNDDOWN(INT(F1705)+ROUNDDOWN((F1705-INT(F1705))*100,0)/60,2),従業員の給与情報!F1705))</f>
        <v/>
      </c>
      <c r="O1705" s="8"/>
      <c r="P1705" s="8"/>
    </row>
    <row r="1706" spans="1:16">
      <c r="A1706" s="119"/>
      <c r="B1706" s="2"/>
      <c r="C1706" s="3"/>
      <c r="D1706" s="3"/>
      <c r="E1706" s="3"/>
      <c r="F1706" s="9"/>
      <c r="G1706" s="248" t="str">
        <f t="shared" si="130"/>
        <v/>
      </c>
      <c r="H1706" s="1" t="b">
        <f>IF(B1706="",FALSE,COUNTIF('従業員情報(給与以外)'!$A$4:$A$1000000,$B1706)=0)</f>
        <v>0</v>
      </c>
      <c r="I1706" s="9" t="b">
        <f t="shared" si="131"/>
        <v>1</v>
      </c>
      <c r="J1706" s="9" t="b">
        <f t="shared" si="132"/>
        <v>1</v>
      </c>
      <c r="K1706" s="9" t="b">
        <f t="shared" si="133"/>
        <v>1</v>
      </c>
      <c r="L1706" s="9" t="b">
        <f t="shared" si="134"/>
        <v>1</v>
      </c>
      <c r="M1706" s="1" t="b">
        <f>IF(OR(入力シート!$C$5&lt;&gt;入力リスト!$N$4,入力シート!$J$22&lt;&gt;入力リスト!$K$4),TRUE,IF($F$2=入力リスト!$Q$4,IF(F1706-INT(F1706)&lt;0.6,TRUE,FALSE),TRUE))</f>
        <v>1</v>
      </c>
      <c r="N1706" s="9" t="str">
        <f>IF(F1706="","",IF($F$2=入力リスト!$Q$4,ROUNDDOWN(INT(F1706)+ROUNDDOWN((F1706-INT(F1706))*100,0)/60,2),従業員の給与情報!F1706))</f>
        <v/>
      </c>
      <c r="O1706" s="8"/>
      <c r="P1706" s="8"/>
    </row>
    <row r="1707" spans="1:16">
      <c r="A1707" s="119"/>
      <c r="B1707" s="2"/>
      <c r="C1707" s="3"/>
      <c r="D1707" s="3"/>
      <c r="E1707" s="3"/>
      <c r="F1707" s="9"/>
      <c r="G1707" s="248" t="str">
        <f t="shared" si="130"/>
        <v/>
      </c>
      <c r="H1707" s="1" t="b">
        <f>IF(B1707="",FALSE,COUNTIF('従業員情報(給与以外)'!$A$4:$A$1000000,$B1707)=0)</f>
        <v>0</v>
      </c>
      <c r="I1707" s="9" t="b">
        <f t="shared" si="131"/>
        <v>1</v>
      </c>
      <c r="J1707" s="9" t="b">
        <f t="shared" si="132"/>
        <v>1</v>
      </c>
      <c r="K1707" s="9" t="b">
        <f t="shared" si="133"/>
        <v>1</v>
      </c>
      <c r="L1707" s="9" t="b">
        <f t="shared" si="134"/>
        <v>1</v>
      </c>
      <c r="M1707" s="1" t="b">
        <f>IF(OR(入力シート!$C$5&lt;&gt;入力リスト!$N$4,入力シート!$J$22&lt;&gt;入力リスト!$K$4),TRUE,IF($F$2=入力リスト!$Q$4,IF(F1707-INT(F1707)&lt;0.6,TRUE,FALSE),TRUE))</f>
        <v>1</v>
      </c>
      <c r="N1707" s="9" t="str">
        <f>IF(F1707="","",IF($F$2=入力リスト!$Q$4,ROUNDDOWN(INT(F1707)+ROUNDDOWN((F1707-INT(F1707))*100,0)/60,2),従業員の給与情報!F1707))</f>
        <v/>
      </c>
      <c r="O1707" s="8"/>
      <c r="P1707" s="8"/>
    </row>
    <row r="1708" spans="1:16">
      <c r="A1708" s="119"/>
      <c r="B1708" s="2"/>
      <c r="C1708" s="3"/>
      <c r="D1708" s="3"/>
      <c r="E1708" s="3"/>
      <c r="F1708" s="9"/>
      <c r="G1708" s="248" t="str">
        <f t="shared" si="130"/>
        <v/>
      </c>
      <c r="H1708" s="1" t="b">
        <f>IF(B1708="",FALSE,COUNTIF('従業員情報(給与以外)'!$A$4:$A$1000000,$B1708)=0)</f>
        <v>0</v>
      </c>
      <c r="I1708" s="9" t="b">
        <f t="shared" si="131"/>
        <v>1</v>
      </c>
      <c r="J1708" s="9" t="b">
        <f t="shared" si="132"/>
        <v>1</v>
      </c>
      <c r="K1708" s="9" t="b">
        <f t="shared" si="133"/>
        <v>1</v>
      </c>
      <c r="L1708" s="9" t="b">
        <f t="shared" si="134"/>
        <v>1</v>
      </c>
      <c r="M1708" s="1" t="b">
        <f>IF(OR(入力シート!$C$5&lt;&gt;入力リスト!$N$4,入力シート!$J$22&lt;&gt;入力リスト!$K$4),TRUE,IF($F$2=入力リスト!$Q$4,IF(F1708-INT(F1708)&lt;0.6,TRUE,FALSE),TRUE))</f>
        <v>1</v>
      </c>
      <c r="N1708" s="9" t="str">
        <f>IF(F1708="","",IF($F$2=入力リスト!$Q$4,ROUNDDOWN(INT(F1708)+ROUNDDOWN((F1708-INT(F1708))*100,0)/60,2),従業員の給与情報!F1708))</f>
        <v/>
      </c>
      <c r="O1708" s="8"/>
      <c r="P1708" s="8"/>
    </row>
    <row r="1709" spans="1:16">
      <c r="A1709" s="119"/>
      <c r="B1709" s="2"/>
      <c r="C1709" s="3"/>
      <c r="D1709" s="3"/>
      <c r="E1709" s="3"/>
      <c r="F1709" s="9"/>
      <c r="G1709" s="248" t="str">
        <f t="shared" si="130"/>
        <v/>
      </c>
      <c r="H1709" s="1" t="b">
        <f>IF(B1709="",FALSE,COUNTIF('従業員情報(給与以外)'!$A$4:$A$1000000,$B1709)=0)</f>
        <v>0</v>
      </c>
      <c r="I1709" s="9" t="b">
        <f t="shared" si="131"/>
        <v>1</v>
      </c>
      <c r="J1709" s="9" t="b">
        <f t="shared" si="132"/>
        <v>1</v>
      </c>
      <c r="K1709" s="9" t="b">
        <f t="shared" si="133"/>
        <v>1</v>
      </c>
      <c r="L1709" s="9" t="b">
        <f t="shared" si="134"/>
        <v>1</v>
      </c>
      <c r="M1709" s="1" t="b">
        <f>IF(OR(入力シート!$C$5&lt;&gt;入力リスト!$N$4,入力シート!$J$22&lt;&gt;入力リスト!$K$4),TRUE,IF($F$2=入力リスト!$Q$4,IF(F1709-INT(F1709)&lt;0.6,TRUE,FALSE),TRUE))</f>
        <v>1</v>
      </c>
      <c r="N1709" s="9" t="str">
        <f>IF(F1709="","",IF($F$2=入力リスト!$Q$4,ROUNDDOWN(INT(F1709)+ROUNDDOWN((F1709-INT(F1709))*100,0)/60,2),従業員の給与情報!F1709))</f>
        <v/>
      </c>
      <c r="O1709" s="8"/>
      <c r="P1709" s="8"/>
    </row>
    <row r="1710" spans="1:16">
      <c r="A1710" s="119"/>
      <c r="B1710" s="2"/>
      <c r="C1710" s="3"/>
      <c r="D1710" s="3"/>
      <c r="E1710" s="3"/>
      <c r="F1710" s="9"/>
      <c r="G1710" s="248" t="str">
        <f t="shared" si="130"/>
        <v/>
      </c>
      <c r="H1710" s="1" t="b">
        <f>IF(B1710="",FALSE,COUNTIF('従業員情報(給与以外)'!$A$4:$A$1000000,$B1710)=0)</f>
        <v>0</v>
      </c>
      <c r="I1710" s="9" t="b">
        <f t="shared" si="131"/>
        <v>1</v>
      </c>
      <c r="J1710" s="9" t="b">
        <f t="shared" si="132"/>
        <v>1</v>
      </c>
      <c r="K1710" s="9" t="b">
        <f t="shared" si="133"/>
        <v>1</v>
      </c>
      <c r="L1710" s="9" t="b">
        <f t="shared" si="134"/>
        <v>1</v>
      </c>
      <c r="M1710" s="1" t="b">
        <f>IF(OR(入力シート!$C$5&lt;&gt;入力リスト!$N$4,入力シート!$J$22&lt;&gt;入力リスト!$K$4),TRUE,IF($F$2=入力リスト!$Q$4,IF(F1710-INT(F1710)&lt;0.6,TRUE,FALSE),TRUE))</f>
        <v>1</v>
      </c>
      <c r="N1710" s="9" t="str">
        <f>IF(F1710="","",IF($F$2=入力リスト!$Q$4,ROUNDDOWN(INT(F1710)+ROUNDDOWN((F1710-INT(F1710))*100,0)/60,2),従業員の給与情報!F1710))</f>
        <v/>
      </c>
      <c r="O1710" s="8"/>
      <c r="P1710" s="8"/>
    </row>
    <row r="1711" spans="1:16">
      <c r="A1711" s="119"/>
      <c r="B1711" s="2"/>
      <c r="C1711" s="3"/>
      <c r="D1711" s="3"/>
      <c r="E1711" s="3"/>
      <c r="F1711" s="9"/>
      <c r="G1711" s="248" t="str">
        <f t="shared" si="130"/>
        <v/>
      </c>
      <c r="H1711" s="1" t="b">
        <f>IF(B1711="",FALSE,COUNTIF('従業員情報(給与以外)'!$A$4:$A$1000000,$B1711)=0)</f>
        <v>0</v>
      </c>
      <c r="I1711" s="9" t="b">
        <f t="shared" si="131"/>
        <v>1</v>
      </c>
      <c r="J1711" s="9" t="b">
        <f t="shared" si="132"/>
        <v>1</v>
      </c>
      <c r="K1711" s="9" t="b">
        <f t="shared" si="133"/>
        <v>1</v>
      </c>
      <c r="L1711" s="9" t="b">
        <f t="shared" si="134"/>
        <v>1</v>
      </c>
      <c r="M1711" s="1" t="b">
        <f>IF(OR(入力シート!$C$5&lt;&gt;入力リスト!$N$4,入力シート!$J$22&lt;&gt;入力リスト!$K$4),TRUE,IF($F$2=入力リスト!$Q$4,IF(F1711-INT(F1711)&lt;0.6,TRUE,FALSE),TRUE))</f>
        <v>1</v>
      </c>
      <c r="N1711" s="9" t="str">
        <f>IF(F1711="","",IF($F$2=入力リスト!$Q$4,ROUNDDOWN(INT(F1711)+ROUNDDOWN((F1711-INT(F1711))*100,0)/60,2),従業員の給与情報!F1711))</f>
        <v/>
      </c>
      <c r="O1711" s="8"/>
      <c r="P1711" s="8"/>
    </row>
    <row r="1712" spans="1:16">
      <c r="A1712" s="119"/>
      <c r="B1712" s="2"/>
      <c r="C1712" s="3"/>
      <c r="D1712" s="3"/>
      <c r="E1712" s="3"/>
      <c r="F1712" s="9"/>
      <c r="G1712" s="248" t="str">
        <f t="shared" si="130"/>
        <v/>
      </c>
      <c r="H1712" s="1" t="b">
        <f>IF(B1712="",FALSE,COUNTIF('従業員情報(給与以外)'!$A$4:$A$1000000,$B1712)=0)</f>
        <v>0</v>
      </c>
      <c r="I1712" s="9" t="b">
        <f t="shared" si="131"/>
        <v>1</v>
      </c>
      <c r="J1712" s="9" t="b">
        <f t="shared" si="132"/>
        <v>1</v>
      </c>
      <c r="K1712" s="9" t="b">
        <f t="shared" si="133"/>
        <v>1</v>
      </c>
      <c r="L1712" s="9" t="b">
        <f t="shared" si="134"/>
        <v>1</v>
      </c>
      <c r="M1712" s="1" t="b">
        <f>IF(OR(入力シート!$C$5&lt;&gt;入力リスト!$N$4,入力シート!$J$22&lt;&gt;入力リスト!$K$4),TRUE,IF($F$2=入力リスト!$Q$4,IF(F1712-INT(F1712)&lt;0.6,TRUE,FALSE),TRUE))</f>
        <v>1</v>
      </c>
      <c r="N1712" s="9" t="str">
        <f>IF(F1712="","",IF($F$2=入力リスト!$Q$4,ROUNDDOWN(INT(F1712)+ROUNDDOWN((F1712-INT(F1712))*100,0)/60,2),従業員の給与情報!F1712))</f>
        <v/>
      </c>
      <c r="O1712" s="8"/>
      <c r="P1712" s="8"/>
    </row>
    <row r="1713" spans="1:16">
      <c r="A1713" s="119"/>
      <c r="B1713" s="2"/>
      <c r="C1713" s="3"/>
      <c r="D1713" s="3"/>
      <c r="E1713" s="3"/>
      <c r="F1713" s="9"/>
      <c r="G1713" s="248" t="str">
        <f t="shared" si="130"/>
        <v/>
      </c>
      <c r="H1713" s="1" t="b">
        <f>IF(B1713="",FALSE,COUNTIF('従業員情報(給与以外)'!$A$4:$A$1000000,$B1713)=0)</f>
        <v>0</v>
      </c>
      <c r="I1713" s="9" t="b">
        <f t="shared" si="131"/>
        <v>1</v>
      </c>
      <c r="J1713" s="9" t="b">
        <f t="shared" si="132"/>
        <v>1</v>
      </c>
      <c r="K1713" s="9" t="b">
        <f t="shared" si="133"/>
        <v>1</v>
      </c>
      <c r="L1713" s="9" t="b">
        <f t="shared" si="134"/>
        <v>1</v>
      </c>
      <c r="M1713" s="1" t="b">
        <f>IF(OR(入力シート!$C$5&lt;&gt;入力リスト!$N$4,入力シート!$J$22&lt;&gt;入力リスト!$K$4),TRUE,IF($F$2=入力リスト!$Q$4,IF(F1713-INT(F1713)&lt;0.6,TRUE,FALSE),TRUE))</f>
        <v>1</v>
      </c>
      <c r="N1713" s="9" t="str">
        <f>IF(F1713="","",IF($F$2=入力リスト!$Q$4,ROUNDDOWN(INT(F1713)+ROUNDDOWN((F1713-INT(F1713))*100,0)/60,2),従業員の給与情報!F1713))</f>
        <v/>
      </c>
      <c r="O1713" s="8"/>
      <c r="P1713" s="8"/>
    </row>
    <row r="1714" spans="1:16">
      <c r="A1714" s="119"/>
      <c r="B1714" s="2"/>
      <c r="C1714" s="3"/>
      <c r="D1714" s="3"/>
      <c r="E1714" s="3"/>
      <c r="F1714" s="9"/>
      <c r="G1714" s="248" t="str">
        <f t="shared" si="130"/>
        <v/>
      </c>
      <c r="H1714" s="1" t="b">
        <f>IF(B1714="",FALSE,COUNTIF('従業員情報(給与以外)'!$A$4:$A$1000000,$B1714)=0)</f>
        <v>0</v>
      </c>
      <c r="I1714" s="9" t="b">
        <f t="shared" si="131"/>
        <v>1</v>
      </c>
      <c r="J1714" s="9" t="b">
        <f t="shared" si="132"/>
        <v>1</v>
      </c>
      <c r="K1714" s="9" t="b">
        <f t="shared" si="133"/>
        <v>1</v>
      </c>
      <c r="L1714" s="9" t="b">
        <f t="shared" si="134"/>
        <v>1</v>
      </c>
      <c r="M1714" s="1" t="b">
        <f>IF(OR(入力シート!$C$5&lt;&gt;入力リスト!$N$4,入力シート!$J$22&lt;&gt;入力リスト!$K$4),TRUE,IF($F$2=入力リスト!$Q$4,IF(F1714-INT(F1714)&lt;0.6,TRUE,FALSE),TRUE))</f>
        <v>1</v>
      </c>
      <c r="N1714" s="9" t="str">
        <f>IF(F1714="","",IF($F$2=入力リスト!$Q$4,ROUNDDOWN(INT(F1714)+ROUNDDOWN((F1714-INT(F1714))*100,0)/60,2),従業員の給与情報!F1714))</f>
        <v/>
      </c>
      <c r="O1714" s="8"/>
      <c r="P1714" s="8"/>
    </row>
    <row r="1715" spans="1:16">
      <c r="A1715" s="119"/>
      <c r="B1715" s="2"/>
      <c r="C1715" s="3"/>
      <c r="D1715" s="3"/>
      <c r="E1715" s="3"/>
      <c r="F1715" s="9"/>
      <c r="G1715" s="248" t="str">
        <f t="shared" si="130"/>
        <v/>
      </c>
      <c r="H1715" s="1" t="b">
        <f>IF(B1715="",FALSE,COUNTIF('従業員情報(給与以外)'!$A$4:$A$1000000,$B1715)=0)</f>
        <v>0</v>
      </c>
      <c r="I1715" s="9" t="b">
        <f t="shared" si="131"/>
        <v>1</v>
      </c>
      <c r="J1715" s="9" t="b">
        <f t="shared" si="132"/>
        <v>1</v>
      </c>
      <c r="K1715" s="9" t="b">
        <f t="shared" si="133"/>
        <v>1</v>
      </c>
      <c r="L1715" s="9" t="b">
        <f t="shared" si="134"/>
        <v>1</v>
      </c>
      <c r="M1715" s="1" t="b">
        <f>IF(OR(入力シート!$C$5&lt;&gt;入力リスト!$N$4,入力シート!$J$22&lt;&gt;入力リスト!$K$4),TRUE,IF($F$2=入力リスト!$Q$4,IF(F1715-INT(F1715)&lt;0.6,TRUE,FALSE),TRUE))</f>
        <v>1</v>
      </c>
      <c r="N1715" s="9" t="str">
        <f>IF(F1715="","",IF($F$2=入力リスト!$Q$4,ROUNDDOWN(INT(F1715)+ROUNDDOWN((F1715-INT(F1715))*100,0)/60,2),従業員の給与情報!F1715))</f>
        <v/>
      </c>
      <c r="O1715" s="8"/>
      <c r="P1715" s="8"/>
    </row>
    <row r="1716" spans="1:16">
      <c r="A1716" s="119"/>
      <c r="B1716" s="2"/>
      <c r="C1716" s="3"/>
      <c r="D1716" s="3"/>
      <c r="E1716" s="3"/>
      <c r="F1716" s="9"/>
      <c r="G1716" s="248" t="str">
        <f t="shared" si="130"/>
        <v/>
      </c>
      <c r="H1716" s="1" t="b">
        <f>IF(B1716="",FALSE,COUNTIF('従業員情報(給与以外)'!$A$4:$A$1000000,$B1716)=0)</f>
        <v>0</v>
      </c>
      <c r="I1716" s="9" t="b">
        <f t="shared" si="131"/>
        <v>1</v>
      </c>
      <c r="J1716" s="9" t="b">
        <f t="shared" si="132"/>
        <v>1</v>
      </c>
      <c r="K1716" s="9" t="b">
        <f t="shared" si="133"/>
        <v>1</v>
      </c>
      <c r="L1716" s="9" t="b">
        <f t="shared" si="134"/>
        <v>1</v>
      </c>
      <c r="M1716" s="1" t="b">
        <f>IF(OR(入力シート!$C$5&lt;&gt;入力リスト!$N$4,入力シート!$J$22&lt;&gt;入力リスト!$K$4),TRUE,IF($F$2=入力リスト!$Q$4,IF(F1716-INT(F1716)&lt;0.6,TRUE,FALSE),TRUE))</f>
        <v>1</v>
      </c>
      <c r="N1716" s="9" t="str">
        <f>IF(F1716="","",IF($F$2=入力リスト!$Q$4,ROUNDDOWN(INT(F1716)+ROUNDDOWN((F1716-INT(F1716))*100,0)/60,2),従業員の給与情報!F1716))</f>
        <v/>
      </c>
      <c r="O1716" s="8"/>
      <c r="P1716" s="8"/>
    </row>
    <row r="1717" spans="1:16">
      <c r="A1717" s="119"/>
      <c r="B1717" s="2"/>
      <c r="C1717" s="3"/>
      <c r="D1717" s="3"/>
      <c r="E1717" s="3"/>
      <c r="F1717" s="9"/>
      <c r="G1717" s="248" t="str">
        <f t="shared" si="130"/>
        <v/>
      </c>
      <c r="H1717" s="1" t="b">
        <f>IF(B1717="",FALSE,COUNTIF('従業員情報(給与以外)'!$A$4:$A$1000000,$B1717)=0)</f>
        <v>0</v>
      </c>
      <c r="I1717" s="9" t="b">
        <f t="shared" si="131"/>
        <v>1</v>
      </c>
      <c r="J1717" s="9" t="b">
        <f t="shared" si="132"/>
        <v>1</v>
      </c>
      <c r="K1717" s="9" t="b">
        <f t="shared" si="133"/>
        <v>1</v>
      </c>
      <c r="L1717" s="9" t="b">
        <f t="shared" si="134"/>
        <v>1</v>
      </c>
      <c r="M1717" s="1" t="b">
        <f>IF(OR(入力シート!$C$5&lt;&gt;入力リスト!$N$4,入力シート!$J$22&lt;&gt;入力リスト!$K$4),TRUE,IF($F$2=入力リスト!$Q$4,IF(F1717-INT(F1717)&lt;0.6,TRUE,FALSE),TRUE))</f>
        <v>1</v>
      </c>
      <c r="N1717" s="9" t="str">
        <f>IF(F1717="","",IF($F$2=入力リスト!$Q$4,ROUNDDOWN(INT(F1717)+ROUNDDOWN((F1717-INT(F1717))*100,0)/60,2),従業員の給与情報!F1717))</f>
        <v/>
      </c>
      <c r="O1717" s="8"/>
      <c r="P1717" s="8"/>
    </row>
    <row r="1718" spans="1:16">
      <c r="A1718" s="119"/>
      <c r="B1718" s="2"/>
      <c r="C1718" s="3"/>
      <c r="D1718" s="3"/>
      <c r="E1718" s="3"/>
      <c r="F1718" s="9"/>
      <c r="G1718" s="248" t="str">
        <f t="shared" si="130"/>
        <v/>
      </c>
      <c r="H1718" s="1" t="b">
        <f>IF(B1718="",FALSE,COUNTIF('従業員情報(給与以外)'!$A$4:$A$1000000,$B1718)=0)</f>
        <v>0</v>
      </c>
      <c r="I1718" s="9" t="b">
        <f t="shared" si="131"/>
        <v>1</v>
      </c>
      <c r="J1718" s="9" t="b">
        <f t="shared" si="132"/>
        <v>1</v>
      </c>
      <c r="K1718" s="9" t="b">
        <f t="shared" si="133"/>
        <v>1</v>
      </c>
      <c r="L1718" s="9" t="b">
        <f t="shared" si="134"/>
        <v>1</v>
      </c>
      <c r="M1718" s="1" t="b">
        <f>IF(OR(入力シート!$C$5&lt;&gt;入力リスト!$N$4,入力シート!$J$22&lt;&gt;入力リスト!$K$4),TRUE,IF($F$2=入力リスト!$Q$4,IF(F1718-INT(F1718)&lt;0.6,TRUE,FALSE),TRUE))</f>
        <v>1</v>
      </c>
      <c r="N1718" s="9" t="str">
        <f>IF(F1718="","",IF($F$2=入力リスト!$Q$4,ROUNDDOWN(INT(F1718)+ROUNDDOWN((F1718-INT(F1718))*100,0)/60,2),従業員の給与情報!F1718))</f>
        <v/>
      </c>
      <c r="O1718" s="8"/>
      <c r="P1718" s="8"/>
    </row>
    <row r="1719" spans="1:16">
      <c r="A1719" s="119"/>
      <c r="B1719" s="2"/>
      <c r="C1719" s="3"/>
      <c r="D1719" s="3"/>
      <c r="E1719" s="3"/>
      <c r="F1719" s="9"/>
      <c r="G1719" s="248" t="str">
        <f t="shared" si="130"/>
        <v/>
      </c>
      <c r="H1719" s="1" t="b">
        <f>IF(B1719="",FALSE,COUNTIF('従業員情報(給与以外)'!$A$4:$A$1000000,$B1719)=0)</f>
        <v>0</v>
      </c>
      <c r="I1719" s="9" t="b">
        <f t="shared" si="131"/>
        <v>1</v>
      </c>
      <c r="J1719" s="9" t="b">
        <f t="shared" si="132"/>
        <v>1</v>
      </c>
      <c r="K1719" s="9" t="b">
        <f t="shared" si="133"/>
        <v>1</v>
      </c>
      <c r="L1719" s="9" t="b">
        <f t="shared" si="134"/>
        <v>1</v>
      </c>
      <c r="M1719" s="1" t="b">
        <f>IF(OR(入力シート!$C$5&lt;&gt;入力リスト!$N$4,入力シート!$J$22&lt;&gt;入力リスト!$K$4),TRUE,IF($F$2=入力リスト!$Q$4,IF(F1719-INT(F1719)&lt;0.6,TRUE,FALSE),TRUE))</f>
        <v>1</v>
      </c>
      <c r="N1719" s="9" t="str">
        <f>IF(F1719="","",IF($F$2=入力リスト!$Q$4,ROUNDDOWN(INT(F1719)+ROUNDDOWN((F1719-INT(F1719))*100,0)/60,2),従業員の給与情報!F1719))</f>
        <v/>
      </c>
      <c r="O1719" s="8"/>
      <c r="P1719" s="8"/>
    </row>
    <row r="1720" spans="1:16">
      <c r="A1720" s="119"/>
      <c r="B1720" s="2"/>
      <c r="C1720" s="3"/>
      <c r="D1720" s="3"/>
      <c r="E1720" s="3"/>
      <c r="F1720" s="9"/>
      <c r="G1720" s="248" t="str">
        <f t="shared" si="130"/>
        <v/>
      </c>
      <c r="H1720" s="1" t="b">
        <f>IF(B1720="",FALSE,COUNTIF('従業員情報(給与以外)'!$A$4:$A$1000000,$B1720)=0)</f>
        <v>0</v>
      </c>
      <c r="I1720" s="9" t="b">
        <f t="shared" si="131"/>
        <v>1</v>
      </c>
      <c r="J1720" s="9" t="b">
        <f t="shared" si="132"/>
        <v>1</v>
      </c>
      <c r="K1720" s="9" t="b">
        <f t="shared" si="133"/>
        <v>1</v>
      </c>
      <c r="L1720" s="9" t="b">
        <f t="shared" si="134"/>
        <v>1</v>
      </c>
      <c r="M1720" s="1" t="b">
        <f>IF(OR(入力シート!$C$5&lt;&gt;入力リスト!$N$4,入力シート!$J$22&lt;&gt;入力リスト!$K$4),TRUE,IF($F$2=入力リスト!$Q$4,IF(F1720-INT(F1720)&lt;0.6,TRUE,FALSE),TRUE))</f>
        <v>1</v>
      </c>
      <c r="N1720" s="9" t="str">
        <f>IF(F1720="","",IF($F$2=入力リスト!$Q$4,ROUNDDOWN(INT(F1720)+ROUNDDOWN((F1720-INT(F1720))*100,0)/60,2),従業員の給与情報!F1720))</f>
        <v/>
      </c>
      <c r="O1720" s="8"/>
      <c r="P1720" s="8"/>
    </row>
    <row r="1721" spans="1:16">
      <c r="A1721" s="119"/>
      <c r="B1721" s="2"/>
      <c r="C1721" s="3"/>
      <c r="D1721" s="3"/>
      <c r="E1721" s="3"/>
      <c r="F1721" s="9"/>
      <c r="G1721" s="248" t="str">
        <f t="shared" si="130"/>
        <v/>
      </c>
      <c r="H1721" s="1" t="b">
        <f>IF(B1721="",FALSE,COUNTIF('従業員情報(給与以外)'!$A$4:$A$1000000,$B1721)=0)</f>
        <v>0</v>
      </c>
      <c r="I1721" s="9" t="b">
        <f t="shared" si="131"/>
        <v>1</v>
      </c>
      <c r="J1721" s="9" t="b">
        <f t="shared" si="132"/>
        <v>1</v>
      </c>
      <c r="K1721" s="9" t="b">
        <f t="shared" si="133"/>
        <v>1</v>
      </c>
      <c r="L1721" s="9" t="b">
        <f t="shared" si="134"/>
        <v>1</v>
      </c>
      <c r="M1721" s="1" t="b">
        <f>IF(OR(入力シート!$C$5&lt;&gt;入力リスト!$N$4,入力シート!$J$22&lt;&gt;入力リスト!$K$4),TRUE,IF($F$2=入力リスト!$Q$4,IF(F1721-INT(F1721)&lt;0.6,TRUE,FALSE),TRUE))</f>
        <v>1</v>
      </c>
      <c r="N1721" s="9" t="str">
        <f>IF(F1721="","",IF($F$2=入力リスト!$Q$4,ROUNDDOWN(INT(F1721)+ROUNDDOWN((F1721-INT(F1721))*100,0)/60,2),従業員の給与情報!F1721))</f>
        <v/>
      </c>
      <c r="O1721" s="8"/>
      <c r="P1721" s="8"/>
    </row>
    <row r="1722" spans="1:16">
      <c r="A1722" s="119"/>
      <c r="B1722" s="2"/>
      <c r="C1722" s="3"/>
      <c r="D1722" s="3"/>
      <c r="E1722" s="3"/>
      <c r="F1722" s="9"/>
      <c r="G1722" s="248" t="str">
        <f t="shared" si="130"/>
        <v/>
      </c>
      <c r="H1722" s="1" t="b">
        <f>IF(B1722="",FALSE,COUNTIF('従業員情報(給与以外)'!$A$4:$A$1000000,$B1722)=0)</f>
        <v>0</v>
      </c>
      <c r="I1722" s="9" t="b">
        <f t="shared" si="131"/>
        <v>1</v>
      </c>
      <c r="J1722" s="9" t="b">
        <f t="shared" si="132"/>
        <v>1</v>
      </c>
      <c r="K1722" s="9" t="b">
        <f t="shared" si="133"/>
        <v>1</v>
      </c>
      <c r="L1722" s="9" t="b">
        <f t="shared" si="134"/>
        <v>1</v>
      </c>
      <c r="M1722" s="1" t="b">
        <f>IF(OR(入力シート!$C$5&lt;&gt;入力リスト!$N$4,入力シート!$J$22&lt;&gt;入力リスト!$K$4),TRUE,IF($F$2=入力リスト!$Q$4,IF(F1722-INT(F1722)&lt;0.6,TRUE,FALSE),TRUE))</f>
        <v>1</v>
      </c>
      <c r="N1722" s="9" t="str">
        <f>IF(F1722="","",IF($F$2=入力リスト!$Q$4,ROUNDDOWN(INT(F1722)+ROUNDDOWN((F1722-INT(F1722))*100,0)/60,2),従業員の給与情報!F1722))</f>
        <v/>
      </c>
      <c r="O1722" s="8"/>
      <c r="P1722" s="8"/>
    </row>
    <row r="1723" spans="1:16">
      <c r="A1723" s="119"/>
      <c r="B1723" s="2"/>
      <c r="C1723" s="3"/>
      <c r="D1723" s="3"/>
      <c r="E1723" s="3"/>
      <c r="F1723" s="9"/>
      <c r="G1723" s="248" t="str">
        <f t="shared" si="130"/>
        <v/>
      </c>
      <c r="H1723" s="1" t="b">
        <f>IF(B1723="",FALSE,COUNTIF('従業員情報(給与以外)'!$A$4:$A$1000000,$B1723)=0)</f>
        <v>0</v>
      </c>
      <c r="I1723" s="9" t="b">
        <f t="shared" si="131"/>
        <v>1</v>
      </c>
      <c r="J1723" s="9" t="b">
        <f t="shared" si="132"/>
        <v>1</v>
      </c>
      <c r="K1723" s="9" t="b">
        <f t="shared" si="133"/>
        <v>1</v>
      </c>
      <c r="L1723" s="9" t="b">
        <f t="shared" si="134"/>
        <v>1</v>
      </c>
      <c r="M1723" s="1" t="b">
        <f>IF(OR(入力シート!$C$5&lt;&gt;入力リスト!$N$4,入力シート!$J$22&lt;&gt;入力リスト!$K$4),TRUE,IF($F$2=入力リスト!$Q$4,IF(F1723-INT(F1723)&lt;0.6,TRUE,FALSE),TRUE))</f>
        <v>1</v>
      </c>
      <c r="N1723" s="9" t="str">
        <f>IF(F1723="","",IF($F$2=入力リスト!$Q$4,ROUNDDOWN(INT(F1723)+ROUNDDOWN((F1723-INT(F1723))*100,0)/60,2),従業員の給与情報!F1723))</f>
        <v/>
      </c>
      <c r="O1723" s="8"/>
      <c r="P1723" s="8"/>
    </row>
    <row r="1724" spans="1:16">
      <c r="A1724" s="119"/>
      <c r="B1724" s="2"/>
      <c r="C1724" s="3"/>
      <c r="D1724" s="3"/>
      <c r="E1724" s="3"/>
      <c r="F1724" s="9"/>
      <c r="G1724" s="248" t="str">
        <f t="shared" si="130"/>
        <v/>
      </c>
      <c r="H1724" s="1" t="b">
        <f>IF(B1724="",FALSE,COUNTIF('従業員情報(給与以外)'!$A$4:$A$1000000,$B1724)=0)</f>
        <v>0</v>
      </c>
      <c r="I1724" s="9" t="b">
        <f t="shared" si="131"/>
        <v>1</v>
      </c>
      <c r="J1724" s="9" t="b">
        <f t="shared" si="132"/>
        <v>1</v>
      </c>
      <c r="K1724" s="9" t="b">
        <f t="shared" si="133"/>
        <v>1</v>
      </c>
      <c r="L1724" s="9" t="b">
        <f t="shared" si="134"/>
        <v>1</v>
      </c>
      <c r="M1724" s="1" t="b">
        <f>IF(OR(入力シート!$C$5&lt;&gt;入力リスト!$N$4,入力シート!$J$22&lt;&gt;入力リスト!$K$4),TRUE,IF($F$2=入力リスト!$Q$4,IF(F1724-INT(F1724)&lt;0.6,TRUE,FALSE),TRUE))</f>
        <v>1</v>
      </c>
      <c r="N1724" s="9" t="str">
        <f>IF(F1724="","",IF($F$2=入力リスト!$Q$4,ROUNDDOWN(INT(F1724)+ROUNDDOWN((F1724-INT(F1724))*100,0)/60,2),従業員の給与情報!F1724))</f>
        <v/>
      </c>
      <c r="O1724" s="8"/>
      <c r="P1724" s="8"/>
    </row>
    <row r="1725" spans="1:16">
      <c r="A1725" s="119"/>
      <c r="B1725" s="2"/>
      <c r="C1725" s="3"/>
      <c r="D1725" s="3"/>
      <c r="E1725" s="3"/>
      <c r="F1725" s="9"/>
      <c r="G1725" s="248" t="str">
        <f t="shared" si="130"/>
        <v/>
      </c>
      <c r="H1725" s="1" t="b">
        <f>IF(B1725="",FALSE,COUNTIF('従業員情報(給与以外)'!$A$4:$A$1000000,$B1725)=0)</f>
        <v>0</v>
      </c>
      <c r="I1725" s="9" t="b">
        <f t="shared" si="131"/>
        <v>1</v>
      </c>
      <c r="J1725" s="9" t="b">
        <f t="shared" si="132"/>
        <v>1</v>
      </c>
      <c r="K1725" s="9" t="b">
        <f t="shared" si="133"/>
        <v>1</v>
      </c>
      <c r="L1725" s="9" t="b">
        <f t="shared" si="134"/>
        <v>1</v>
      </c>
      <c r="M1725" s="1" t="b">
        <f>IF(OR(入力シート!$C$5&lt;&gt;入力リスト!$N$4,入力シート!$J$22&lt;&gt;入力リスト!$K$4),TRUE,IF($F$2=入力リスト!$Q$4,IF(F1725-INT(F1725)&lt;0.6,TRUE,FALSE),TRUE))</f>
        <v>1</v>
      </c>
      <c r="N1725" s="9" t="str">
        <f>IF(F1725="","",IF($F$2=入力リスト!$Q$4,ROUNDDOWN(INT(F1725)+ROUNDDOWN((F1725-INT(F1725))*100,0)/60,2),従業員の給与情報!F1725))</f>
        <v/>
      </c>
      <c r="O1725" s="8"/>
      <c r="P1725" s="8"/>
    </row>
    <row r="1726" spans="1:16">
      <c r="A1726" s="119"/>
      <c r="B1726" s="2"/>
      <c r="C1726" s="3"/>
      <c r="D1726" s="3"/>
      <c r="E1726" s="3"/>
      <c r="F1726" s="9"/>
      <c r="G1726" s="248" t="str">
        <f t="shared" si="130"/>
        <v/>
      </c>
      <c r="H1726" s="1" t="b">
        <f>IF(B1726="",FALSE,COUNTIF('従業員情報(給与以外)'!$A$4:$A$1000000,$B1726)=0)</f>
        <v>0</v>
      </c>
      <c r="I1726" s="9" t="b">
        <f t="shared" si="131"/>
        <v>1</v>
      </c>
      <c r="J1726" s="9" t="b">
        <f t="shared" si="132"/>
        <v>1</v>
      </c>
      <c r="K1726" s="9" t="b">
        <f t="shared" si="133"/>
        <v>1</v>
      </c>
      <c r="L1726" s="9" t="b">
        <f t="shared" si="134"/>
        <v>1</v>
      </c>
      <c r="M1726" s="1" t="b">
        <f>IF(OR(入力シート!$C$5&lt;&gt;入力リスト!$N$4,入力シート!$J$22&lt;&gt;入力リスト!$K$4),TRUE,IF($F$2=入力リスト!$Q$4,IF(F1726-INT(F1726)&lt;0.6,TRUE,FALSE),TRUE))</f>
        <v>1</v>
      </c>
      <c r="N1726" s="9" t="str">
        <f>IF(F1726="","",IF($F$2=入力リスト!$Q$4,ROUNDDOWN(INT(F1726)+ROUNDDOWN((F1726-INT(F1726))*100,0)/60,2),従業員の給与情報!F1726))</f>
        <v/>
      </c>
      <c r="O1726" s="8"/>
      <c r="P1726" s="8"/>
    </row>
    <row r="1727" spans="1:16">
      <c r="A1727" s="119"/>
      <c r="B1727" s="2"/>
      <c r="C1727" s="3"/>
      <c r="D1727" s="3"/>
      <c r="E1727" s="3"/>
      <c r="F1727" s="9"/>
      <c r="G1727" s="248" t="str">
        <f t="shared" si="130"/>
        <v/>
      </c>
      <c r="H1727" s="1" t="b">
        <f>IF(B1727="",FALSE,COUNTIF('従業員情報(給与以外)'!$A$4:$A$1000000,$B1727)=0)</f>
        <v>0</v>
      </c>
      <c r="I1727" s="9" t="b">
        <f t="shared" si="131"/>
        <v>1</v>
      </c>
      <c r="J1727" s="9" t="b">
        <f t="shared" si="132"/>
        <v>1</v>
      </c>
      <c r="K1727" s="9" t="b">
        <f t="shared" si="133"/>
        <v>1</v>
      </c>
      <c r="L1727" s="9" t="b">
        <f t="shared" si="134"/>
        <v>1</v>
      </c>
      <c r="M1727" s="1" t="b">
        <f>IF(OR(入力シート!$C$5&lt;&gt;入力リスト!$N$4,入力シート!$J$22&lt;&gt;入力リスト!$K$4),TRUE,IF($F$2=入力リスト!$Q$4,IF(F1727-INT(F1727)&lt;0.6,TRUE,FALSE),TRUE))</f>
        <v>1</v>
      </c>
      <c r="N1727" s="9" t="str">
        <f>IF(F1727="","",IF($F$2=入力リスト!$Q$4,ROUNDDOWN(INT(F1727)+ROUNDDOWN((F1727-INT(F1727))*100,0)/60,2),従業員の給与情報!F1727))</f>
        <v/>
      </c>
      <c r="O1727" s="8"/>
      <c r="P1727" s="8"/>
    </row>
    <row r="1728" spans="1:16">
      <c r="A1728" s="119"/>
      <c r="B1728" s="2"/>
      <c r="C1728" s="3"/>
      <c r="D1728" s="3"/>
      <c r="E1728" s="3"/>
      <c r="F1728" s="9"/>
      <c r="G1728" s="248" t="str">
        <f t="shared" si="130"/>
        <v/>
      </c>
      <c r="H1728" s="1" t="b">
        <f>IF(B1728="",FALSE,COUNTIF('従業員情報(給与以外)'!$A$4:$A$1000000,$B1728)=0)</f>
        <v>0</v>
      </c>
      <c r="I1728" s="9" t="b">
        <f t="shared" si="131"/>
        <v>1</v>
      </c>
      <c r="J1728" s="9" t="b">
        <f t="shared" si="132"/>
        <v>1</v>
      </c>
      <c r="K1728" s="9" t="b">
        <f t="shared" si="133"/>
        <v>1</v>
      </c>
      <c r="L1728" s="9" t="b">
        <f t="shared" si="134"/>
        <v>1</v>
      </c>
      <c r="M1728" s="1" t="b">
        <f>IF(OR(入力シート!$C$5&lt;&gt;入力リスト!$N$4,入力シート!$J$22&lt;&gt;入力リスト!$K$4),TRUE,IF($F$2=入力リスト!$Q$4,IF(F1728-INT(F1728)&lt;0.6,TRUE,FALSE),TRUE))</f>
        <v>1</v>
      </c>
      <c r="N1728" s="9" t="str">
        <f>IF(F1728="","",IF($F$2=入力リスト!$Q$4,ROUNDDOWN(INT(F1728)+ROUNDDOWN((F1728-INT(F1728))*100,0)/60,2),従業員の給与情報!F1728))</f>
        <v/>
      </c>
      <c r="O1728" s="8"/>
      <c r="P1728" s="8"/>
    </row>
    <row r="1729" spans="1:16">
      <c r="A1729" s="119"/>
      <c r="B1729" s="2"/>
      <c r="C1729" s="3"/>
      <c r="D1729" s="3"/>
      <c r="E1729" s="3"/>
      <c r="F1729" s="9"/>
      <c r="G1729" s="248" t="str">
        <f t="shared" si="130"/>
        <v/>
      </c>
      <c r="H1729" s="1" t="b">
        <f>IF(B1729="",FALSE,COUNTIF('従業員情報(給与以外)'!$A$4:$A$1000000,$B1729)=0)</f>
        <v>0</v>
      </c>
      <c r="I1729" s="9" t="b">
        <f t="shared" si="131"/>
        <v>1</v>
      </c>
      <c r="J1729" s="9" t="b">
        <f t="shared" si="132"/>
        <v>1</v>
      </c>
      <c r="K1729" s="9" t="b">
        <f t="shared" si="133"/>
        <v>1</v>
      </c>
      <c r="L1729" s="9" t="b">
        <f t="shared" si="134"/>
        <v>1</v>
      </c>
      <c r="M1729" s="1" t="b">
        <f>IF(OR(入力シート!$C$5&lt;&gt;入力リスト!$N$4,入力シート!$J$22&lt;&gt;入力リスト!$K$4),TRUE,IF($F$2=入力リスト!$Q$4,IF(F1729-INT(F1729)&lt;0.6,TRUE,FALSE),TRUE))</f>
        <v>1</v>
      </c>
      <c r="N1729" s="9" t="str">
        <f>IF(F1729="","",IF($F$2=入力リスト!$Q$4,ROUNDDOWN(INT(F1729)+ROUNDDOWN((F1729-INT(F1729))*100,0)/60,2),従業員の給与情報!F1729))</f>
        <v/>
      </c>
      <c r="O1729" s="8"/>
      <c r="P1729" s="8"/>
    </row>
    <row r="1730" spans="1:16">
      <c r="A1730" s="119"/>
      <c r="B1730" s="2"/>
      <c r="C1730" s="3"/>
      <c r="D1730" s="3"/>
      <c r="E1730" s="3"/>
      <c r="F1730" s="9"/>
      <c r="G1730" s="248" t="str">
        <f t="shared" si="130"/>
        <v/>
      </c>
      <c r="H1730" s="1" t="b">
        <f>IF(B1730="",FALSE,COUNTIF('従業員情報(給与以外)'!$A$4:$A$1000000,$B1730)=0)</f>
        <v>0</v>
      </c>
      <c r="I1730" s="9" t="b">
        <f t="shared" si="131"/>
        <v>1</v>
      </c>
      <c r="J1730" s="9" t="b">
        <f t="shared" si="132"/>
        <v>1</v>
      </c>
      <c r="K1730" s="9" t="b">
        <f t="shared" si="133"/>
        <v>1</v>
      </c>
      <c r="L1730" s="9" t="b">
        <f t="shared" si="134"/>
        <v>1</v>
      </c>
      <c r="M1730" s="1" t="b">
        <f>IF(OR(入力シート!$C$5&lt;&gt;入力リスト!$N$4,入力シート!$J$22&lt;&gt;入力リスト!$K$4),TRUE,IF($F$2=入力リスト!$Q$4,IF(F1730-INT(F1730)&lt;0.6,TRUE,FALSE),TRUE))</f>
        <v>1</v>
      </c>
      <c r="N1730" s="9" t="str">
        <f>IF(F1730="","",IF($F$2=入力リスト!$Q$4,ROUNDDOWN(INT(F1730)+ROUNDDOWN((F1730-INT(F1730))*100,0)/60,2),従業員の給与情報!F1730))</f>
        <v/>
      </c>
      <c r="O1730" s="8"/>
      <c r="P1730" s="8"/>
    </row>
    <row r="1731" spans="1:16">
      <c r="A1731" s="119"/>
      <c r="B1731" s="2"/>
      <c r="C1731" s="3"/>
      <c r="D1731" s="3"/>
      <c r="E1731" s="3"/>
      <c r="F1731" s="9"/>
      <c r="G1731" s="248" t="str">
        <f t="shared" si="130"/>
        <v/>
      </c>
      <c r="H1731" s="1" t="b">
        <f>IF(B1731="",FALSE,COUNTIF('従業員情報(給与以外)'!$A$4:$A$1000000,$B1731)=0)</f>
        <v>0</v>
      </c>
      <c r="I1731" s="9" t="b">
        <f t="shared" si="131"/>
        <v>1</v>
      </c>
      <c r="J1731" s="9" t="b">
        <f t="shared" si="132"/>
        <v>1</v>
      </c>
      <c r="K1731" s="9" t="b">
        <f t="shared" si="133"/>
        <v>1</v>
      </c>
      <c r="L1731" s="9" t="b">
        <f t="shared" si="134"/>
        <v>1</v>
      </c>
      <c r="M1731" s="1" t="b">
        <f>IF(OR(入力シート!$C$5&lt;&gt;入力リスト!$N$4,入力シート!$J$22&lt;&gt;入力リスト!$K$4),TRUE,IF($F$2=入力リスト!$Q$4,IF(F1731-INT(F1731)&lt;0.6,TRUE,FALSE),TRUE))</f>
        <v>1</v>
      </c>
      <c r="N1731" s="9" t="str">
        <f>IF(F1731="","",IF($F$2=入力リスト!$Q$4,ROUNDDOWN(INT(F1731)+ROUNDDOWN((F1731-INT(F1731))*100,0)/60,2),従業員の給与情報!F1731))</f>
        <v/>
      </c>
      <c r="O1731" s="8"/>
      <c r="P1731" s="8"/>
    </row>
    <row r="1732" spans="1:16">
      <c r="A1732" s="119"/>
      <c r="B1732" s="2"/>
      <c r="C1732" s="3"/>
      <c r="D1732" s="3"/>
      <c r="E1732" s="3"/>
      <c r="F1732" s="9"/>
      <c r="G1732" s="248" t="str">
        <f t="shared" si="130"/>
        <v/>
      </c>
      <c r="H1732" s="1" t="b">
        <f>IF(B1732="",FALSE,COUNTIF('従業員情報(給与以外)'!$A$4:$A$1000000,$B1732)=0)</f>
        <v>0</v>
      </c>
      <c r="I1732" s="9" t="b">
        <f t="shared" si="131"/>
        <v>1</v>
      </c>
      <c r="J1732" s="9" t="b">
        <f t="shared" si="132"/>
        <v>1</v>
      </c>
      <c r="K1732" s="9" t="b">
        <f t="shared" si="133"/>
        <v>1</v>
      </c>
      <c r="L1732" s="9" t="b">
        <f t="shared" si="134"/>
        <v>1</v>
      </c>
      <c r="M1732" s="1" t="b">
        <f>IF(OR(入力シート!$C$5&lt;&gt;入力リスト!$N$4,入力シート!$J$22&lt;&gt;入力リスト!$K$4),TRUE,IF($F$2=入力リスト!$Q$4,IF(F1732-INT(F1732)&lt;0.6,TRUE,FALSE),TRUE))</f>
        <v>1</v>
      </c>
      <c r="N1732" s="9" t="str">
        <f>IF(F1732="","",IF($F$2=入力リスト!$Q$4,ROUNDDOWN(INT(F1732)+ROUNDDOWN((F1732-INT(F1732))*100,0)/60,2),従業員の給与情報!F1732))</f>
        <v/>
      </c>
      <c r="O1732" s="8"/>
      <c r="P1732" s="8"/>
    </row>
    <row r="1733" spans="1:16">
      <c r="A1733" s="119"/>
      <c r="B1733" s="2"/>
      <c r="C1733" s="3"/>
      <c r="D1733" s="3"/>
      <c r="E1733" s="3"/>
      <c r="F1733" s="9"/>
      <c r="G1733" s="248" t="str">
        <f t="shared" ref="G1733:G1796" si="135">IF(AND($B1733="",OR(B1733&lt;&gt;"",C1733&lt;&gt;"",D1733&lt;&gt;"",E1733&lt;&gt;"",F1733&lt;&gt;"")),"従業員番号が空白です。",IF($H1733=TRUE,"この従業員番号は、シート［従業員情報（給与以外）］に存在しません。",IF(I1733=FALSE,"「毎月の固定給与額」","")&amp;IF(AND(I1733=FALSE,OR(J1733=FALSE,K1733=FALSE,L1733=FALSE)),",","")&amp;IF(J1733=FALSE,"「賞与額等」","")&amp;IF(AND(J1733=FALSE,OR(K1733=FALSE,L1733=FALSE)),",","")&amp;IF(K1733=FALSE,"「残業手当」","")&amp;IF(AND(K1733=FALSE,L1733=FALSE),",","")&amp;IF(L1733=FALSE,"「残業時間」","")&amp;IF(OR(I1733=FALSE,J1733=FALSE,K1733=FALSE,L1733=FALSE),"に数値以外が入力されています。","")&amp;IF(M1733,"","「残業時間」を分単位で入力した場合、小数点以下の値は0.6未満にしてください。")))</f>
        <v/>
      </c>
      <c r="H1733" s="1" t="b">
        <f>IF(B1733="",FALSE,COUNTIF('従業員情報(給与以外)'!$A$4:$A$1000000,$B1733)=0)</f>
        <v>0</v>
      </c>
      <c r="I1733" s="9" t="b">
        <f t="shared" ref="I1733:I1796" si="136">OR(C1733="",ISNUMBER(C1733))</f>
        <v>1</v>
      </c>
      <c r="J1733" s="9" t="b">
        <f t="shared" ref="J1733:J1796" si="137">OR(D1733="",ISNUMBER(D1733))</f>
        <v>1</v>
      </c>
      <c r="K1733" s="9" t="b">
        <f t="shared" ref="K1733:K1796" si="138">OR(E1733="",ISNUMBER(E1733))</f>
        <v>1</v>
      </c>
      <c r="L1733" s="9" t="b">
        <f t="shared" ref="L1733:L1796" si="139">OR(F1733="",ISNUMBER(F1733))</f>
        <v>1</v>
      </c>
      <c r="M1733" s="1" t="b">
        <f>IF(OR(入力シート!$C$5&lt;&gt;入力リスト!$N$4,入力シート!$J$22&lt;&gt;入力リスト!$K$4),TRUE,IF($F$2=入力リスト!$Q$4,IF(F1733-INT(F1733)&lt;0.6,TRUE,FALSE),TRUE))</f>
        <v>1</v>
      </c>
      <c r="N1733" s="9" t="str">
        <f>IF(F1733="","",IF($F$2=入力リスト!$Q$4,ROUNDDOWN(INT(F1733)+ROUNDDOWN((F1733-INT(F1733))*100,0)/60,2),従業員の給与情報!F1733))</f>
        <v/>
      </c>
      <c r="O1733" s="8"/>
      <c r="P1733" s="8"/>
    </row>
    <row r="1734" spans="1:16">
      <c r="A1734" s="119"/>
      <c r="B1734" s="2"/>
      <c r="C1734" s="3"/>
      <c r="D1734" s="3"/>
      <c r="E1734" s="3"/>
      <c r="F1734" s="9"/>
      <c r="G1734" s="248" t="str">
        <f t="shared" si="135"/>
        <v/>
      </c>
      <c r="H1734" s="1" t="b">
        <f>IF(B1734="",FALSE,COUNTIF('従業員情報(給与以外)'!$A$4:$A$1000000,$B1734)=0)</f>
        <v>0</v>
      </c>
      <c r="I1734" s="9" t="b">
        <f t="shared" si="136"/>
        <v>1</v>
      </c>
      <c r="J1734" s="9" t="b">
        <f t="shared" si="137"/>
        <v>1</v>
      </c>
      <c r="K1734" s="9" t="b">
        <f t="shared" si="138"/>
        <v>1</v>
      </c>
      <c r="L1734" s="9" t="b">
        <f t="shared" si="139"/>
        <v>1</v>
      </c>
      <c r="M1734" s="1" t="b">
        <f>IF(OR(入力シート!$C$5&lt;&gt;入力リスト!$N$4,入力シート!$J$22&lt;&gt;入力リスト!$K$4),TRUE,IF($F$2=入力リスト!$Q$4,IF(F1734-INT(F1734)&lt;0.6,TRUE,FALSE),TRUE))</f>
        <v>1</v>
      </c>
      <c r="N1734" s="9" t="str">
        <f>IF(F1734="","",IF($F$2=入力リスト!$Q$4,ROUNDDOWN(INT(F1734)+ROUNDDOWN((F1734-INT(F1734))*100,0)/60,2),従業員の給与情報!F1734))</f>
        <v/>
      </c>
      <c r="O1734" s="8"/>
      <c r="P1734" s="8"/>
    </row>
    <row r="1735" spans="1:16">
      <c r="A1735" s="119"/>
      <c r="B1735" s="2"/>
      <c r="C1735" s="3"/>
      <c r="D1735" s="3"/>
      <c r="E1735" s="3"/>
      <c r="F1735" s="9"/>
      <c r="G1735" s="248" t="str">
        <f t="shared" si="135"/>
        <v/>
      </c>
      <c r="H1735" s="1" t="b">
        <f>IF(B1735="",FALSE,COUNTIF('従業員情報(給与以外)'!$A$4:$A$1000000,$B1735)=0)</f>
        <v>0</v>
      </c>
      <c r="I1735" s="9" t="b">
        <f t="shared" si="136"/>
        <v>1</v>
      </c>
      <c r="J1735" s="9" t="b">
        <f t="shared" si="137"/>
        <v>1</v>
      </c>
      <c r="K1735" s="9" t="b">
        <f t="shared" si="138"/>
        <v>1</v>
      </c>
      <c r="L1735" s="9" t="b">
        <f t="shared" si="139"/>
        <v>1</v>
      </c>
      <c r="M1735" s="1" t="b">
        <f>IF(OR(入力シート!$C$5&lt;&gt;入力リスト!$N$4,入力シート!$J$22&lt;&gt;入力リスト!$K$4),TRUE,IF($F$2=入力リスト!$Q$4,IF(F1735-INT(F1735)&lt;0.6,TRUE,FALSE),TRUE))</f>
        <v>1</v>
      </c>
      <c r="N1735" s="9" t="str">
        <f>IF(F1735="","",IF($F$2=入力リスト!$Q$4,ROUNDDOWN(INT(F1735)+ROUNDDOWN((F1735-INT(F1735))*100,0)/60,2),従業員の給与情報!F1735))</f>
        <v/>
      </c>
      <c r="O1735" s="8"/>
      <c r="P1735" s="8"/>
    </row>
    <row r="1736" spans="1:16">
      <c r="A1736" s="119"/>
      <c r="B1736" s="2"/>
      <c r="C1736" s="3"/>
      <c r="D1736" s="3"/>
      <c r="E1736" s="3"/>
      <c r="F1736" s="9"/>
      <c r="G1736" s="248" t="str">
        <f t="shared" si="135"/>
        <v/>
      </c>
      <c r="H1736" s="1" t="b">
        <f>IF(B1736="",FALSE,COUNTIF('従業員情報(給与以外)'!$A$4:$A$1000000,$B1736)=0)</f>
        <v>0</v>
      </c>
      <c r="I1736" s="9" t="b">
        <f t="shared" si="136"/>
        <v>1</v>
      </c>
      <c r="J1736" s="9" t="b">
        <f t="shared" si="137"/>
        <v>1</v>
      </c>
      <c r="K1736" s="9" t="b">
        <f t="shared" si="138"/>
        <v>1</v>
      </c>
      <c r="L1736" s="9" t="b">
        <f t="shared" si="139"/>
        <v>1</v>
      </c>
      <c r="M1736" s="1" t="b">
        <f>IF(OR(入力シート!$C$5&lt;&gt;入力リスト!$N$4,入力シート!$J$22&lt;&gt;入力リスト!$K$4),TRUE,IF($F$2=入力リスト!$Q$4,IF(F1736-INT(F1736)&lt;0.6,TRUE,FALSE),TRUE))</f>
        <v>1</v>
      </c>
      <c r="N1736" s="9" t="str">
        <f>IF(F1736="","",IF($F$2=入力リスト!$Q$4,ROUNDDOWN(INT(F1736)+ROUNDDOWN((F1736-INT(F1736))*100,0)/60,2),従業員の給与情報!F1736))</f>
        <v/>
      </c>
      <c r="O1736" s="8"/>
      <c r="P1736" s="8"/>
    </row>
    <row r="1737" spans="1:16">
      <c r="A1737" s="119"/>
      <c r="B1737" s="2"/>
      <c r="C1737" s="3"/>
      <c r="D1737" s="3"/>
      <c r="E1737" s="3"/>
      <c r="F1737" s="9"/>
      <c r="G1737" s="248" t="str">
        <f t="shared" si="135"/>
        <v/>
      </c>
      <c r="H1737" s="1" t="b">
        <f>IF(B1737="",FALSE,COUNTIF('従業員情報(給与以外)'!$A$4:$A$1000000,$B1737)=0)</f>
        <v>0</v>
      </c>
      <c r="I1737" s="9" t="b">
        <f t="shared" si="136"/>
        <v>1</v>
      </c>
      <c r="J1737" s="9" t="b">
        <f t="shared" si="137"/>
        <v>1</v>
      </c>
      <c r="K1737" s="9" t="b">
        <f t="shared" si="138"/>
        <v>1</v>
      </c>
      <c r="L1737" s="9" t="b">
        <f t="shared" si="139"/>
        <v>1</v>
      </c>
      <c r="M1737" s="1" t="b">
        <f>IF(OR(入力シート!$C$5&lt;&gt;入力リスト!$N$4,入力シート!$J$22&lt;&gt;入力リスト!$K$4),TRUE,IF($F$2=入力リスト!$Q$4,IF(F1737-INT(F1737)&lt;0.6,TRUE,FALSE),TRUE))</f>
        <v>1</v>
      </c>
      <c r="N1737" s="9" t="str">
        <f>IF(F1737="","",IF($F$2=入力リスト!$Q$4,ROUNDDOWN(INT(F1737)+ROUNDDOWN((F1737-INT(F1737))*100,0)/60,2),従業員の給与情報!F1737))</f>
        <v/>
      </c>
      <c r="O1737" s="8"/>
      <c r="P1737" s="8"/>
    </row>
    <row r="1738" spans="1:16">
      <c r="A1738" s="119"/>
      <c r="B1738" s="2"/>
      <c r="C1738" s="3"/>
      <c r="D1738" s="3"/>
      <c r="E1738" s="3"/>
      <c r="F1738" s="9"/>
      <c r="G1738" s="248" t="str">
        <f t="shared" si="135"/>
        <v/>
      </c>
      <c r="H1738" s="1" t="b">
        <f>IF(B1738="",FALSE,COUNTIF('従業員情報(給与以外)'!$A$4:$A$1000000,$B1738)=0)</f>
        <v>0</v>
      </c>
      <c r="I1738" s="9" t="b">
        <f t="shared" si="136"/>
        <v>1</v>
      </c>
      <c r="J1738" s="9" t="b">
        <f t="shared" si="137"/>
        <v>1</v>
      </c>
      <c r="K1738" s="9" t="b">
        <f t="shared" si="138"/>
        <v>1</v>
      </c>
      <c r="L1738" s="9" t="b">
        <f t="shared" si="139"/>
        <v>1</v>
      </c>
      <c r="M1738" s="1" t="b">
        <f>IF(OR(入力シート!$C$5&lt;&gt;入力リスト!$N$4,入力シート!$J$22&lt;&gt;入力リスト!$K$4),TRUE,IF($F$2=入力リスト!$Q$4,IF(F1738-INT(F1738)&lt;0.6,TRUE,FALSE),TRUE))</f>
        <v>1</v>
      </c>
      <c r="N1738" s="9" t="str">
        <f>IF(F1738="","",IF($F$2=入力リスト!$Q$4,ROUNDDOWN(INT(F1738)+ROUNDDOWN((F1738-INT(F1738))*100,0)/60,2),従業員の給与情報!F1738))</f>
        <v/>
      </c>
      <c r="O1738" s="8"/>
      <c r="P1738" s="8"/>
    </row>
    <row r="1739" spans="1:16">
      <c r="A1739" s="119"/>
      <c r="B1739" s="2"/>
      <c r="C1739" s="3"/>
      <c r="D1739" s="3"/>
      <c r="E1739" s="3"/>
      <c r="F1739" s="9"/>
      <c r="G1739" s="248" t="str">
        <f t="shared" si="135"/>
        <v/>
      </c>
      <c r="H1739" s="1" t="b">
        <f>IF(B1739="",FALSE,COUNTIF('従業員情報(給与以外)'!$A$4:$A$1000000,$B1739)=0)</f>
        <v>0</v>
      </c>
      <c r="I1739" s="9" t="b">
        <f t="shared" si="136"/>
        <v>1</v>
      </c>
      <c r="J1739" s="9" t="b">
        <f t="shared" si="137"/>
        <v>1</v>
      </c>
      <c r="K1739" s="9" t="b">
        <f t="shared" si="138"/>
        <v>1</v>
      </c>
      <c r="L1739" s="9" t="b">
        <f t="shared" si="139"/>
        <v>1</v>
      </c>
      <c r="M1739" s="1" t="b">
        <f>IF(OR(入力シート!$C$5&lt;&gt;入力リスト!$N$4,入力シート!$J$22&lt;&gt;入力リスト!$K$4),TRUE,IF($F$2=入力リスト!$Q$4,IF(F1739-INT(F1739)&lt;0.6,TRUE,FALSE),TRUE))</f>
        <v>1</v>
      </c>
      <c r="N1739" s="9" t="str">
        <f>IF(F1739="","",IF($F$2=入力リスト!$Q$4,ROUNDDOWN(INT(F1739)+ROUNDDOWN((F1739-INT(F1739))*100,0)/60,2),従業員の給与情報!F1739))</f>
        <v/>
      </c>
      <c r="O1739" s="8"/>
      <c r="P1739" s="8"/>
    </row>
    <row r="1740" spans="1:16">
      <c r="A1740" s="119"/>
      <c r="B1740" s="2"/>
      <c r="C1740" s="3"/>
      <c r="D1740" s="3"/>
      <c r="E1740" s="3"/>
      <c r="F1740" s="9"/>
      <c r="G1740" s="248" t="str">
        <f t="shared" si="135"/>
        <v/>
      </c>
      <c r="H1740" s="1" t="b">
        <f>IF(B1740="",FALSE,COUNTIF('従業員情報(給与以外)'!$A$4:$A$1000000,$B1740)=0)</f>
        <v>0</v>
      </c>
      <c r="I1740" s="9" t="b">
        <f t="shared" si="136"/>
        <v>1</v>
      </c>
      <c r="J1740" s="9" t="b">
        <f t="shared" si="137"/>
        <v>1</v>
      </c>
      <c r="K1740" s="9" t="b">
        <f t="shared" si="138"/>
        <v>1</v>
      </c>
      <c r="L1740" s="9" t="b">
        <f t="shared" si="139"/>
        <v>1</v>
      </c>
      <c r="M1740" s="1" t="b">
        <f>IF(OR(入力シート!$C$5&lt;&gt;入力リスト!$N$4,入力シート!$J$22&lt;&gt;入力リスト!$K$4),TRUE,IF($F$2=入力リスト!$Q$4,IF(F1740-INT(F1740)&lt;0.6,TRUE,FALSE),TRUE))</f>
        <v>1</v>
      </c>
      <c r="N1740" s="9" t="str">
        <f>IF(F1740="","",IF($F$2=入力リスト!$Q$4,ROUNDDOWN(INT(F1740)+ROUNDDOWN((F1740-INT(F1740))*100,0)/60,2),従業員の給与情報!F1740))</f>
        <v/>
      </c>
      <c r="O1740" s="8"/>
      <c r="P1740" s="8"/>
    </row>
    <row r="1741" spans="1:16">
      <c r="A1741" s="119"/>
      <c r="B1741" s="2"/>
      <c r="C1741" s="3"/>
      <c r="D1741" s="3"/>
      <c r="E1741" s="3"/>
      <c r="F1741" s="9"/>
      <c r="G1741" s="248" t="str">
        <f t="shared" si="135"/>
        <v/>
      </c>
      <c r="H1741" s="1" t="b">
        <f>IF(B1741="",FALSE,COUNTIF('従業員情報(給与以外)'!$A$4:$A$1000000,$B1741)=0)</f>
        <v>0</v>
      </c>
      <c r="I1741" s="9" t="b">
        <f t="shared" si="136"/>
        <v>1</v>
      </c>
      <c r="J1741" s="9" t="b">
        <f t="shared" si="137"/>
        <v>1</v>
      </c>
      <c r="K1741" s="9" t="b">
        <f t="shared" si="138"/>
        <v>1</v>
      </c>
      <c r="L1741" s="9" t="b">
        <f t="shared" si="139"/>
        <v>1</v>
      </c>
      <c r="M1741" s="1" t="b">
        <f>IF(OR(入力シート!$C$5&lt;&gt;入力リスト!$N$4,入力シート!$J$22&lt;&gt;入力リスト!$K$4),TRUE,IF($F$2=入力リスト!$Q$4,IF(F1741-INT(F1741)&lt;0.6,TRUE,FALSE),TRUE))</f>
        <v>1</v>
      </c>
      <c r="N1741" s="9" t="str">
        <f>IF(F1741="","",IF($F$2=入力リスト!$Q$4,ROUNDDOWN(INT(F1741)+ROUNDDOWN((F1741-INT(F1741))*100,0)/60,2),従業員の給与情報!F1741))</f>
        <v/>
      </c>
      <c r="O1741" s="8"/>
      <c r="P1741" s="8"/>
    </row>
    <row r="1742" spans="1:16">
      <c r="A1742" s="119"/>
      <c r="B1742" s="2"/>
      <c r="C1742" s="3"/>
      <c r="D1742" s="3"/>
      <c r="E1742" s="3"/>
      <c r="F1742" s="9"/>
      <c r="G1742" s="248" t="str">
        <f t="shared" si="135"/>
        <v/>
      </c>
      <c r="H1742" s="1" t="b">
        <f>IF(B1742="",FALSE,COUNTIF('従業員情報(給与以外)'!$A$4:$A$1000000,$B1742)=0)</f>
        <v>0</v>
      </c>
      <c r="I1742" s="9" t="b">
        <f t="shared" si="136"/>
        <v>1</v>
      </c>
      <c r="J1742" s="9" t="b">
        <f t="shared" si="137"/>
        <v>1</v>
      </c>
      <c r="K1742" s="9" t="b">
        <f t="shared" si="138"/>
        <v>1</v>
      </c>
      <c r="L1742" s="9" t="b">
        <f t="shared" si="139"/>
        <v>1</v>
      </c>
      <c r="M1742" s="1" t="b">
        <f>IF(OR(入力シート!$C$5&lt;&gt;入力リスト!$N$4,入力シート!$J$22&lt;&gt;入力リスト!$K$4),TRUE,IF($F$2=入力リスト!$Q$4,IF(F1742-INT(F1742)&lt;0.6,TRUE,FALSE),TRUE))</f>
        <v>1</v>
      </c>
      <c r="N1742" s="9" t="str">
        <f>IF(F1742="","",IF($F$2=入力リスト!$Q$4,ROUNDDOWN(INT(F1742)+ROUNDDOWN((F1742-INT(F1742))*100,0)/60,2),従業員の給与情報!F1742))</f>
        <v/>
      </c>
      <c r="O1742" s="8"/>
      <c r="P1742" s="8"/>
    </row>
    <row r="1743" spans="1:16">
      <c r="A1743" s="119"/>
      <c r="B1743" s="2"/>
      <c r="C1743" s="3"/>
      <c r="D1743" s="3"/>
      <c r="E1743" s="3"/>
      <c r="F1743" s="9"/>
      <c r="G1743" s="248" t="str">
        <f t="shared" si="135"/>
        <v/>
      </c>
      <c r="H1743" s="1" t="b">
        <f>IF(B1743="",FALSE,COUNTIF('従業員情報(給与以外)'!$A$4:$A$1000000,$B1743)=0)</f>
        <v>0</v>
      </c>
      <c r="I1743" s="9" t="b">
        <f t="shared" si="136"/>
        <v>1</v>
      </c>
      <c r="J1743" s="9" t="b">
        <f t="shared" si="137"/>
        <v>1</v>
      </c>
      <c r="K1743" s="9" t="b">
        <f t="shared" si="138"/>
        <v>1</v>
      </c>
      <c r="L1743" s="9" t="b">
        <f t="shared" si="139"/>
        <v>1</v>
      </c>
      <c r="M1743" s="1" t="b">
        <f>IF(OR(入力シート!$C$5&lt;&gt;入力リスト!$N$4,入力シート!$J$22&lt;&gt;入力リスト!$K$4),TRUE,IF($F$2=入力リスト!$Q$4,IF(F1743-INT(F1743)&lt;0.6,TRUE,FALSE),TRUE))</f>
        <v>1</v>
      </c>
      <c r="N1743" s="9" t="str">
        <f>IF(F1743="","",IF($F$2=入力リスト!$Q$4,ROUNDDOWN(INT(F1743)+ROUNDDOWN((F1743-INT(F1743))*100,0)/60,2),従業員の給与情報!F1743))</f>
        <v/>
      </c>
      <c r="O1743" s="8"/>
      <c r="P1743" s="8"/>
    </row>
    <row r="1744" spans="1:16">
      <c r="A1744" s="119"/>
      <c r="B1744" s="2"/>
      <c r="C1744" s="3"/>
      <c r="D1744" s="3"/>
      <c r="E1744" s="3"/>
      <c r="F1744" s="9"/>
      <c r="G1744" s="248" t="str">
        <f t="shared" si="135"/>
        <v/>
      </c>
      <c r="H1744" s="1" t="b">
        <f>IF(B1744="",FALSE,COUNTIF('従業員情報(給与以外)'!$A$4:$A$1000000,$B1744)=0)</f>
        <v>0</v>
      </c>
      <c r="I1744" s="9" t="b">
        <f t="shared" si="136"/>
        <v>1</v>
      </c>
      <c r="J1744" s="9" t="b">
        <f t="shared" si="137"/>
        <v>1</v>
      </c>
      <c r="K1744" s="9" t="b">
        <f t="shared" si="138"/>
        <v>1</v>
      </c>
      <c r="L1744" s="9" t="b">
        <f t="shared" si="139"/>
        <v>1</v>
      </c>
      <c r="M1744" s="1" t="b">
        <f>IF(OR(入力シート!$C$5&lt;&gt;入力リスト!$N$4,入力シート!$J$22&lt;&gt;入力リスト!$K$4),TRUE,IF($F$2=入力リスト!$Q$4,IF(F1744-INT(F1744)&lt;0.6,TRUE,FALSE),TRUE))</f>
        <v>1</v>
      </c>
      <c r="N1744" s="9" t="str">
        <f>IF(F1744="","",IF($F$2=入力リスト!$Q$4,ROUNDDOWN(INT(F1744)+ROUNDDOWN((F1744-INT(F1744))*100,0)/60,2),従業員の給与情報!F1744))</f>
        <v/>
      </c>
      <c r="O1744" s="8"/>
      <c r="P1744" s="8"/>
    </row>
    <row r="1745" spans="1:16">
      <c r="A1745" s="119"/>
      <c r="B1745" s="2"/>
      <c r="C1745" s="3"/>
      <c r="D1745" s="3"/>
      <c r="E1745" s="3"/>
      <c r="F1745" s="9"/>
      <c r="G1745" s="248" t="str">
        <f t="shared" si="135"/>
        <v/>
      </c>
      <c r="H1745" s="1" t="b">
        <f>IF(B1745="",FALSE,COUNTIF('従業員情報(給与以外)'!$A$4:$A$1000000,$B1745)=0)</f>
        <v>0</v>
      </c>
      <c r="I1745" s="9" t="b">
        <f t="shared" si="136"/>
        <v>1</v>
      </c>
      <c r="J1745" s="9" t="b">
        <f t="shared" si="137"/>
        <v>1</v>
      </c>
      <c r="K1745" s="9" t="b">
        <f t="shared" si="138"/>
        <v>1</v>
      </c>
      <c r="L1745" s="9" t="b">
        <f t="shared" si="139"/>
        <v>1</v>
      </c>
      <c r="M1745" s="1" t="b">
        <f>IF(OR(入力シート!$C$5&lt;&gt;入力リスト!$N$4,入力シート!$J$22&lt;&gt;入力リスト!$K$4),TRUE,IF($F$2=入力リスト!$Q$4,IF(F1745-INT(F1745)&lt;0.6,TRUE,FALSE),TRUE))</f>
        <v>1</v>
      </c>
      <c r="N1745" s="9" t="str">
        <f>IF(F1745="","",IF($F$2=入力リスト!$Q$4,ROUNDDOWN(INT(F1745)+ROUNDDOWN((F1745-INT(F1745))*100,0)/60,2),従業員の給与情報!F1745))</f>
        <v/>
      </c>
      <c r="O1745" s="8"/>
      <c r="P1745" s="8"/>
    </row>
    <row r="1746" spans="1:16">
      <c r="A1746" s="119"/>
      <c r="B1746" s="2"/>
      <c r="C1746" s="3"/>
      <c r="D1746" s="3"/>
      <c r="E1746" s="3"/>
      <c r="F1746" s="9"/>
      <c r="G1746" s="248" t="str">
        <f t="shared" si="135"/>
        <v/>
      </c>
      <c r="H1746" s="1" t="b">
        <f>IF(B1746="",FALSE,COUNTIF('従業員情報(給与以外)'!$A$4:$A$1000000,$B1746)=0)</f>
        <v>0</v>
      </c>
      <c r="I1746" s="9" t="b">
        <f t="shared" si="136"/>
        <v>1</v>
      </c>
      <c r="J1746" s="9" t="b">
        <f t="shared" si="137"/>
        <v>1</v>
      </c>
      <c r="K1746" s="9" t="b">
        <f t="shared" si="138"/>
        <v>1</v>
      </c>
      <c r="L1746" s="9" t="b">
        <f t="shared" si="139"/>
        <v>1</v>
      </c>
      <c r="M1746" s="1" t="b">
        <f>IF(OR(入力シート!$C$5&lt;&gt;入力リスト!$N$4,入力シート!$J$22&lt;&gt;入力リスト!$K$4),TRUE,IF($F$2=入力リスト!$Q$4,IF(F1746-INT(F1746)&lt;0.6,TRUE,FALSE),TRUE))</f>
        <v>1</v>
      </c>
      <c r="N1746" s="9" t="str">
        <f>IF(F1746="","",IF($F$2=入力リスト!$Q$4,ROUNDDOWN(INT(F1746)+ROUNDDOWN((F1746-INT(F1746))*100,0)/60,2),従業員の給与情報!F1746))</f>
        <v/>
      </c>
      <c r="O1746" s="8"/>
      <c r="P1746" s="8"/>
    </row>
    <row r="1747" spans="1:16">
      <c r="A1747" s="119"/>
      <c r="B1747" s="2"/>
      <c r="C1747" s="3"/>
      <c r="D1747" s="3"/>
      <c r="E1747" s="3"/>
      <c r="F1747" s="9"/>
      <c r="G1747" s="248" t="str">
        <f t="shared" si="135"/>
        <v/>
      </c>
      <c r="H1747" s="1" t="b">
        <f>IF(B1747="",FALSE,COUNTIF('従業員情報(給与以外)'!$A$4:$A$1000000,$B1747)=0)</f>
        <v>0</v>
      </c>
      <c r="I1747" s="9" t="b">
        <f t="shared" si="136"/>
        <v>1</v>
      </c>
      <c r="J1747" s="9" t="b">
        <f t="shared" si="137"/>
        <v>1</v>
      </c>
      <c r="K1747" s="9" t="b">
        <f t="shared" si="138"/>
        <v>1</v>
      </c>
      <c r="L1747" s="9" t="b">
        <f t="shared" si="139"/>
        <v>1</v>
      </c>
      <c r="M1747" s="1" t="b">
        <f>IF(OR(入力シート!$C$5&lt;&gt;入力リスト!$N$4,入力シート!$J$22&lt;&gt;入力リスト!$K$4),TRUE,IF($F$2=入力リスト!$Q$4,IF(F1747-INT(F1747)&lt;0.6,TRUE,FALSE),TRUE))</f>
        <v>1</v>
      </c>
      <c r="N1747" s="9" t="str">
        <f>IF(F1747="","",IF($F$2=入力リスト!$Q$4,ROUNDDOWN(INT(F1747)+ROUNDDOWN((F1747-INT(F1747))*100,0)/60,2),従業員の給与情報!F1747))</f>
        <v/>
      </c>
      <c r="O1747" s="8"/>
      <c r="P1747" s="8"/>
    </row>
    <row r="1748" spans="1:16">
      <c r="A1748" s="119"/>
      <c r="B1748" s="2"/>
      <c r="C1748" s="3"/>
      <c r="D1748" s="3"/>
      <c r="E1748" s="3"/>
      <c r="F1748" s="9"/>
      <c r="G1748" s="248" t="str">
        <f t="shared" si="135"/>
        <v/>
      </c>
      <c r="H1748" s="1" t="b">
        <f>IF(B1748="",FALSE,COUNTIF('従業員情報(給与以外)'!$A$4:$A$1000000,$B1748)=0)</f>
        <v>0</v>
      </c>
      <c r="I1748" s="9" t="b">
        <f t="shared" si="136"/>
        <v>1</v>
      </c>
      <c r="J1748" s="9" t="b">
        <f t="shared" si="137"/>
        <v>1</v>
      </c>
      <c r="K1748" s="9" t="b">
        <f t="shared" si="138"/>
        <v>1</v>
      </c>
      <c r="L1748" s="9" t="b">
        <f t="shared" si="139"/>
        <v>1</v>
      </c>
      <c r="M1748" s="1" t="b">
        <f>IF(OR(入力シート!$C$5&lt;&gt;入力リスト!$N$4,入力シート!$J$22&lt;&gt;入力リスト!$K$4),TRUE,IF($F$2=入力リスト!$Q$4,IF(F1748-INT(F1748)&lt;0.6,TRUE,FALSE),TRUE))</f>
        <v>1</v>
      </c>
      <c r="N1748" s="9" t="str">
        <f>IF(F1748="","",IF($F$2=入力リスト!$Q$4,ROUNDDOWN(INT(F1748)+ROUNDDOWN((F1748-INT(F1748))*100,0)/60,2),従業員の給与情報!F1748))</f>
        <v/>
      </c>
      <c r="O1748" s="8"/>
      <c r="P1748" s="8"/>
    </row>
    <row r="1749" spans="1:16">
      <c r="A1749" s="119"/>
      <c r="B1749" s="2"/>
      <c r="C1749" s="3"/>
      <c r="D1749" s="3"/>
      <c r="E1749" s="3"/>
      <c r="F1749" s="9"/>
      <c r="G1749" s="248" t="str">
        <f t="shared" si="135"/>
        <v/>
      </c>
      <c r="H1749" s="1" t="b">
        <f>IF(B1749="",FALSE,COUNTIF('従業員情報(給与以外)'!$A$4:$A$1000000,$B1749)=0)</f>
        <v>0</v>
      </c>
      <c r="I1749" s="9" t="b">
        <f t="shared" si="136"/>
        <v>1</v>
      </c>
      <c r="J1749" s="9" t="b">
        <f t="shared" si="137"/>
        <v>1</v>
      </c>
      <c r="K1749" s="9" t="b">
        <f t="shared" si="138"/>
        <v>1</v>
      </c>
      <c r="L1749" s="9" t="b">
        <f t="shared" si="139"/>
        <v>1</v>
      </c>
      <c r="M1749" s="1" t="b">
        <f>IF(OR(入力シート!$C$5&lt;&gt;入力リスト!$N$4,入力シート!$J$22&lt;&gt;入力リスト!$K$4),TRUE,IF($F$2=入力リスト!$Q$4,IF(F1749-INT(F1749)&lt;0.6,TRUE,FALSE),TRUE))</f>
        <v>1</v>
      </c>
      <c r="N1749" s="9" t="str">
        <f>IF(F1749="","",IF($F$2=入力リスト!$Q$4,ROUNDDOWN(INT(F1749)+ROUNDDOWN((F1749-INT(F1749))*100,0)/60,2),従業員の給与情報!F1749))</f>
        <v/>
      </c>
      <c r="O1749" s="8"/>
      <c r="P1749" s="8"/>
    </row>
    <row r="1750" spans="1:16">
      <c r="A1750" s="119"/>
      <c r="B1750" s="2"/>
      <c r="C1750" s="3"/>
      <c r="D1750" s="3"/>
      <c r="E1750" s="3"/>
      <c r="F1750" s="9"/>
      <c r="G1750" s="248" t="str">
        <f t="shared" si="135"/>
        <v/>
      </c>
      <c r="H1750" s="1" t="b">
        <f>IF(B1750="",FALSE,COUNTIF('従業員情報(給与以外)'!$A$4:$A$1000000,$B1750)=0)</f>
        <v>0</v>
      </c>
      <c r="I1750" s="9" t="b">
        <f t="shared" si="136"/>
        <v>1</v>
      </c>
      <c r="J1750" s="9" t="b">
        <f t="shared" si="137"/>
        <v>1</v>
      </c>
      <c r="K1750" s="9" t="b">
        <f t="shared" si="138"/>
        <v>1</v>
      </c>
      <c r="L1750" s="9" t="b">
        <f t="shared" si="139"/>
        <v>1</v>
      </c>
      <c r="M1750" s="1" t="b">
        <f>IF(OR(入力シート!$C$5&lt;&gt;入力リスト!$N$4,入力シート!$J$22&lt;&gt;入力リスト!$K$4),TRUE,IF($F$2=入力リスト!$Q$4,IF(F1750-INT(F1750)&lt;0.6,TRUE,FALSE),TRUE))</f>
        <v>1</v>
      </c>
      <c r="N1750" s="9" t="str">
        <f>IF(F1750="","",IF($F$2=入力リスト!$Q$4,ROUNDDOWN(INT(F1750)+ROUNDDOWN((F1750-INT(F1750))*100,0)/60,2),従業員の給与情報!F1750))</f>
        <v/>
      </c>
      <c r="O1750" s="8"/>
      <c r="P1750" s="8"/>
    </row>
    <row r="1751" spans="1:16">
      <c r="A1751" s="119"/>
      <c r="B1751" s="2"/>
      <c r="C1751" s="3"/>
      <c r="D1751" s="3"/>
      <c r="E1751" s="3"/>
      <c r="F1751" s="9"/>
      <c r="G1751" s="248" t="str">
        <f t="shared" si="135"/>
        <v/>
      </c>
      <c r="H1751" s="1" t="b">
        <f>IF(B1751="",FALSE,COUNTIF('従業員情報(給与以外)'!$A$4:$A$1000000,$B1751)=0)</f>
        <v>0</v>
      </c>
      <c r="I1751" s="9" t="b">
        <f t="shared" si="136"/>
        <v>1</v>
      </c>
      <c r="J1751" s="9" t="b">
        <f t="shared" si="137"/>
        <v>1</v>
      </c>
      <c r="K1751" s="9" t="b">
        <f t="shared" si="138"/>
        <v>1</v>
      </c>
      <c r="L1751" s="9" t="b">
        <f t="shared" si="139"/>
        <v>1</v>
      </c>
      <c r="M1751" s="1" t="b">
        <f>IF(OR(入力シート!$C$5&lt;&gt;入力リスト!$N$4,入力シート!$J$22&lt;&gt;入力リスト!$K$4),TRUE,IF($F$2=入力リスト!$Q$4,IF(F1751-INT(F1751)&lt;0.6,TRUE,FALSE),TRUE))</f>
        <v>1</v>
      </c>
      <c r="N1751" s="9" t="str">
        <f>IF(F1751="","",IF($F$2=入力リスト!$Q$4,ROUNDDOWN(INT(F1751)+ROUNDDOWN((F1751-INT(F1751))*100,0)/60,2),従業員の給与情報!F1751))</f>
        <v/>
      </c>
      <c r="O1751" s="8"/>
      <c r="P1751" s="8"/>
    </row>
    <row r="1752" spans="1:16">
      <c r="A1752" s="119"/>
      <c r="B1752" s="2"/>
      <c r="C1752" s="3"/>
      <c r="D1752" s="3"/>
      <c r="E1752" s="3"/>
      <c r="F1752" s="9"/>
      <c r="G1752" s="248" t="str">
        <f t="shared" si="135"/>
        <v/>
      </c>
      <c r="H1752" s="1" t="b">
        <f>IF(B1752="",FALSE,COUNTIF('従業員情報(給与以外)'!$A$4:$A$1000000,$B1752)=0)</f>
        <v>0</v>
      </c>
      <c r="I1752" s="9" t="b">
        <f t="shared" si="136"/>
        <v>1</v>
      </c>
      <c r="J1752" s="9" t="b">
        <f t="shared" si="137"/>
        <v>1</v>
      </c>
      <c r="K1752" s="9" t="b">
        <f t="shared" si="138"/>
        <v>1</v>
      </c>
      <c r="L1752" s="9" t="b">
        <f t="shared" si="139"/>
        <v>1</v>
      </c>
      <c r="M1752" s="1" t="b">
        <f>IF(OR(入力シート!$C$5&lt;&gt;入力リスト!$N$4,入力シート!$J$22&lt;&gt;入力リスト!$K$4),TRUE,IF($F$2=入力リスト!$Q$4,IF(F1752-INT(F1752)&lt;0.6,TRUE,FALSE),TRUE))</f>
        <v>1</v>
      </c>
      <c r="N1752" s="9" t="str">
        <f>IF(F1752="","",IF($F$2=入力リスト!$Q$4,ROUNDDOWN(INT(F1752)+ROUNDDOWN((F1752-INT(F1752))*100,0)/60,2),従業員の給与情報!F1752))</f>
        <v/>
      </c>
      <c r="O1752" s="8"/>
      <c r="P1752" s="8"/>
    </row>
    <row r="1753" spans="1:16">
      <c r="A1753" s="119"/>
      <c r="B1753" s="2"/>
      <c r="C1753" s="3"/>
      <c r="D1753" s="3"/>
      <c r="E1753" s="3"/>
      <c r="F1753" s="9"/>
      <c r="G1753" s="248" t="str">
        <f t="shared" si="135"/>
        <v/>
      </c>
      <c r="H1753" s="1" t="b">
        <f>IF(B1753="",FALSE,COUNTIF('従業員情報(給与以外)'!$A$4:$A$1000000,$B1753)=0)</f>
        <v>0</v>
      </c>
      <c r="I1753" s="9" t="b">
        <f t="shared" si="136"/>
        <v>1</v>
      </c>
      <c r="J1753" s="9" t="b">
        <f t="shared" si="137"/>
        <v>1</v>
      </c>
      <c r="K1753" s="9" t="b">
        <f t="shared" si="138"/>
        <v>1</v>
      </c>
      <c r="L1753" s="9" t="b">
        <f t="shared" si="139"/>
        <v>1</v>
      </c>
      <c r="M1753" s="1" t="b">
        <f>IF(OR(入力シート!$C$5&lt;&gt;入力リスト!$N$4,入力シート!$J$22&lt;&gt;入力リスト!$K$4),TRUE,IF($F$2=入力リスト!$Q$4,IF(F1753-INT(F1753)&lt;0.6,TRUE,FALSE),TRUE))</f>
        <v>1</v>
      </c>
      <c r="N1753" s="9" t="str">
        <f>IF(F1753="","",IF($F$2=入力リスト!$Q$4,ROUNDDOWN(INT(F1753)+ROUNDDOWN((F1753-INT(F1753))*100,0)/60,2),従業員の給与情報!F1753))</f>
        <v/>
      </c>
      <c r="O1753" s="8"/>
      <c r="P1753" s="8"/>
    </row>
    <row r="1754" spans="1:16">
      <c r="A1754" s="119"/>
      <c r="B1754" s="2"/>
      <c r="C1754" s="3"/>
      <c r="D1754" s="3"/>
      <c r="E1754" s="3"/>
      <c r="F1754" s="9"/>
      <c r="G1754" s="248" t="str">
        <f t="shared" si="135"/>
        <v/>
      </c>
      <c r="H1754" s="1" t="b">
        <f>IF(B1754="",FALSE,COUNTIF('従業員情報(給与以外)'!$A$4:$A$1000000,$B1754)=0)</f>
        <v>0</v>
      </c>
      <c r="I1754" s="9" t="b">
        <f t="shared" si="136"/>
        <v>1</v>
      </c>
      <c r="J1754" s="9" t="b">
        <f t="shared" si="137"/>
        <v>1</v>
      </c>
      <c r="K1754" s="9" t="b">
        <f t="shared" si="138"/>
        <v>1</v>
      </c>
      <c r="L1754" s="9" t="b">
        <f t="shared" si="139"/>
        <v>1</v>
      </c>
      <c r="M1754" s="1" t="b">
        <f>IF(OR(入力シート!$C$5&lt;&gt;入力リスト!$N$4,入力シート!$J$22&lt;&gt;入力リスト!$K$4),TRUE,IF($F$2=入力リスト!$Q$4,IF(F1754-INT(F1754)&lt;0.6,TRUE,FALSE),TRUE))</f>
        <v>1</v>
      </c>
      <c r="N1754" s="9" t="str">
        <f>IF(F1754="","",IF($F$2=入力リスト!$Q$4,ROUNDDOWN(INT(F1754)+ROUNDDOWN((F1754-INT(F1754))*100,0)/60,2),従業員の給与情報!F1754))</f>
        <v/>
      </c>
      <c r="O1754" s="8"/>
      <c r="P1754" s="8"/>
    </row>
    <row r="1755" spans="1:16">
      <c r="A1755" s="119"/>
      <c r="B1755" s="2"/>
      <c r="C1755" s="3"/>
      <c r="D1755" s="3"/>
      <c r="E1755" s="3"/>
      <c r="F1755" s="9"/>
      <c r="G1755" s="248" t="str">
        <f t="shared" si="135"/>
        <v/>
      </c>
      <c r="H1755" s="1" t="b">
        <f>IF(B1755="",FALSE,COUNTIF('従業員情報(給与以外)'!$A$4:$A$1000000,$B1755)=0)</f>
        <v>0</v>
      </c>
      <c r="I1755" s="9" t="b">
        <f t="shared" si="136"/>
        <v>1</v>
      </c>
      <c r="J1755" s="9" t="b">
        <f t="shared" si="137"/>
        <v>1</v>
      </c>
      <c r="K1755" s="9" t="b">
        <f t="shared" si="138"/>
        <v>1</v>
      </c>
      <c r="L1755" s="9" t="b">
        <f t="shared" si="139"/>
        <v>1</v>
      </c>
      <c r="M1755" s="1" t="b">
        <f>IF(OR(入力シート!$C$5&lt;&gt;入力リスト!$N$4,入力シート!$J$22&lt;&gt;入力リスト!$K$4),TRUE,IF($F$2=入力リスト!$Q$4,IF(F1755-INT(F1755)&lt;0.6,TRUE,FALSE),TRUE))</f>
        <v>1</v>
      </c>
      <c r="N1755" s="9" t="str">
        <f>IF(F1755="","",IF($F$2=入力リスト!$Q$4,ROUNDDOWN(INT(F1755)+ROUNDDOWN((F1755-INT(F1755))*100,0)/60,2),従業員の給与情報!F1755))</f>
        <v/>
      </c>
      <c r="O1755" s="8"/>
      <c r="P1755" s="8"/>
    </row>
    <row r="1756" spans="1:16">
      <c r="A1756" s="119"/>
      <c r="B1756" s="2"/>
      <c r="C1756" s="3"/>
      <c r="D1756" s="3"/>
      <c r="E1756" s="3"/>
      <c r="F1756" s="9"/>
      <c r="G1756" s="248" t="str">
        <f t="shared" si="135"/>
        <v/>
      </c>
      <c r="H1756" s="1" t="b">
        <f>IF(B1756="",FALSE,COUNTIF('従業員情報(給与以外)'!$A$4:$A$1000000,$B1756)=0)</f>
        <v>0</v>
      </c>
      <c r="I1756" s="9" t="b">
        <f t="shared" si="136"/>
        <v>1</v>
      </c>
      <c r="J1756" s="9" t="b">
        <f t="shared" si="137"/>
        <v>1</v>
      </c>
      <c r="K1756" s="9" t="b">
        <f t="shared" si="138"/>
        <v>1</v>
      </c>
      <c r="L1756" s="9" t="b">
        <f t="shared" si="139"/>
        <v>1</v>
      </c>
      <c r="M1756" s="1" t="b">
        <f>IF(OR(入力シート!$C$5&lt;&gt;入力リスト!$N$4,入力シート!$J$22&lt;&gt;入力リスト!$K$4),TRUE,IF($F$2=入力リスト!$Q$4,IF(F1756-INT(F1756)&lt;0.6,TRUE,FALSE),TRUE))</f>
        <v>1</v>
      </c>
      <c r="N1756" s="9" t="str">
        <f>IF(F1756="","",IF($F$2=入力リスト!$Q$4,ROUNDDOWN(INT(F1756)+ROUNDDOWN((F1756-INT(F1756))*100,0)/60,2),従業員の給与情報!F1756))</f>
        <v/>
      </c>
      <c r="O1756" s="8"/>
      <c r="P1756" s="8"/>
    </row>
    <row r="1757" spans="1:16">
      <c r="A1757" s="119"/>
      <c r="B1757" s="2"/>
      <c r="C1757" s="3"/>
      <c r="D1757" s="3"/>
      <c r="E1757" s="3"/>
      <c r="F1757" s="9"/>
      <c r="G1757" s="248" t="str">
        <f t="shared" si="135"/>
        <v/>
      </c>
      <c r="H1757" s="1" t="b">
        <f>IF(B1757="",FALSE,COUNTIF('従業員情報(給与以外)'!$A$4:$A$1000000,$B1757)=0)</f>
        <v>0</v>
      </c>
      <c r="I1757" s="9" t="b">
        <f t="shared" si="136"/>
        <v>1</v>
      </c>
      <c r="J1757" s="9" t="b">
        <f t="shared" si="137"/>
        <v>1</v>
      </c>
      <c r="K1757" s="9" t="b">
        <f t="shared" si="138"/>
        <v>1</v>
      </c>
      <c r="L1757" s="9" t="b">
        <f t="shared" si="139"/>
        <v>1</v>
      </c>
      <c r="M1757" s="1" t="b">
        <f>IF(OR(入力シート!$C$5&lt;&gt;入力リスト!$N$4,入力シート!$J$22&lt;&gt;入力リスト!$K$4),TRUE,IF($F$2=入力リスト!$Q$4,IF(F1757-INT(F1757)&lt;0.6,TRUE,FALSE),TRUE))</f>
        <v>1</v>
      </c>
      <c r="N1757" s="9" t="str">
        <f>IF(F1757="","",IF($F$2=入力リスト!$Q$4,ROUNDDOWN(INT(F1757)+ROUNDDOWN((F1757-INT(F1757))*100,0)/60,2),従業員の給与情報!F1757))</f>
        <v/>
      </c>
      <c r="O1757" s="8"/>
      <c r="P1757" s="8"/>
    </row>
    <row r="1758" spans="1:16">
      <c r="A1758" s="119"/>
      <c r="B1758" s="2"/>
      <c r="C1758" s="3"/>
      <c r="D1758" s="3"/>
      <c r="E1758" s="3"/>
      <c r="F1758" s="9"/>
      <c r="G1758" s="248" t="str">
        <f t="shared" si="135"/>
        <v/>
      </c>
      <c r="H1758" s="1" t="b">
        <f>IF(B1758="",FALSE,COUNTIF('従業員情報(給与以外)'!$A$4:$A$1000000,$B1758)=0)</f>
        <v>0</v>
      </c>
      <c r="I1758" s="9" t="b">
        <f t="shared" si="136"/>
        <v>1</v>
      </c>
      <c r="J1758" s="9" t="b">
        <f t="shared" si="137"/>
        <v>1</v>
      </c>
      <c r="K1758" s="9" t="b">
        <f t="shared" si="138"/>
        <v>1</v>
      </c>
      <c r="L1758" s="9" t="b">
        <f t="shared" si="139"/>
        <v>1</v>
      </c>
      <c r="M1758" s="1" t="b">
        <f>IF(OR(入力シート!$C$5&lt;&gt;入力リスト!$N$4,入力シート!$J$22&lt;&gt;入力リスト!$K$4),TRUE,IF($F$2=入力リスト!$Q$4,IF(F1758-INT(F1758)&lt;0.6,TRUE,FALSE),TRUE))</f>
        <v>1</v>
      </c>
      <c r="N1758" s="9" t="str">
        <f>IF(F1758="","",IF($F$2=入力リスト!$Q$4,ROUNDDOWN(INT(F1758)+ROUNDDOWN((F1758-INT(F1758))*100,0)/60,2),従業員の給与情報!F1758))</f>
        <v/>
      </c>
      <c r="O1758" s="8"/>
      <c r="P1758" s="8"/>
    </row>
    <row r="1759" spans="1:16">
      <c r="A1759" s="119"/>
      <c r="B1759" s="2"/>
      <c r="C1759" s="3"/>
      <c r="D1759" s="3"/>
      <c r="E1759" s="3"/>
      <c r="F1759" s="9"/>
      <c r="G1759" s="248" t="str">
        <f t="shared" si="135"/>
        <v/>
      </c>
      <c r="H1759" s="1" t="b">
        <f>IF(B1759="",FALSE,COUNTIF('従業員情報(給与以外)'!$A$4:$A$1000000,$B1759)=0)</f>
        <v>0</v>
      </c>
      <c r="I1759" s="9" t="b">
        <f t="shared" si="136"/>
        <v>1</v>
      </c>
      <c r="J1759" s="9" t="b">
        <f t="shared" si="137"/>
        <v>1</v>
      </c>
      <c r="K1759" s="9" t="b">
        <f t="shared" si="138"/>
        <v>1</v>
      </c>
      <c r="L1759" s="9" t="b">
        <f t="shared" si="139"/>
        <v>1</v>
      </c>
      <c r="M1759" s="1" t="b">
        <f>IF(OR(入力シート!$C$5&lt;&gt;入力リスト!$N$4,入力シート!$J$22&lt;&gt;入力リスト!$K$4),TRUE,IF($F$2=入力リスト!$Q$4,IF(F1759-INT(F1759)&lt;0.6,TRUE,FALSE),TRUE))</f>
        <v>1</v>
      </c>
      <c r="N1759" s="9" t="str">
        <f>IF(F1759="","",IF($F$2=入力リスト!$Q$4,ROUNDDOWN(INT(F1759)+ROUNDDOWN((F1759-INT(F1759))*100,0)/60,2),従業員の給与情報!F1759))</f>
        <v/>
      </c>
      <c r="O1759" s="8"/>
      <c r="P1759" s="8"/>
    </row>
    <row r="1760" spans="1:16">
      <c r="A1760" s="119"/>
      <c r="B1760" s="2"/>
      <c r="C1760" s="3"/>
      <c r="D1760" s="3"/>
      <c r="E1760" s="3"/>
      <c r="F1760" s="9"/>
      <c r="G1760" s="248" t="str">
        <f t="shared" si="135"/>
        <v/>
      </c>
      <c r="H1760" s="1" t="b">
        <f>IF(B1760="",FALSE,COUNTIF('従業員情報(給与以外)'!$A$4:$A$1000000,$B1760)=0)</f>
        <v>0</v>
      </c>
      <c r="I1760" s="9" t="b">
        <f t="shared" si="136"/>
        <v>1</v>
      </c>
      <c r="J1760" s="9" t="b">
        <f t="shared" si="137"/>
        <v>1</v>
      </c>
      <c r="K1760" s="9" t="b">
        <f t="shared" si="138"/>
        <v>1</v>
      </c>
      <c r="L1760" s="9" t="b">
        <f t="shared" si="139"/>
        <v>1</v>
      </c>
      <c r="M1760" s="1" t="b">
        <f>IF(OR(入力シート!$C$5&lt;&gt;入力リスト!$N$4,入力シート!$J$22&lt;&gt;入力リスト!$K$4),TRUE,IF($F$2=入力リスト!$Q$4,IF(F1760-INT(F1760)&lt;0.6,TRUE,FALSE),TRUE))</f>
        <v>1</v>
      </c>
      <c r="N1760" s="9" t="str">
        <f>IF(F1760="","",IF($F$2=入力リスト!$Q$4,ROUNDDOWN(INT(F1760)+ROUNDDOWN((F1760-INT(F1760))*100,0)/60,2),従業員の給与情報!F1760))</f>
        <v/>
      </c>
      <c r="O1760" s="8"/>
      <c r="P1760" s="8"/>
    </row>
    <row r="1761" spans="1:16">
      <c r="A1761" s="119"/>
      <c r="B1761" s="2"/>
      <c r="C1761" s="3"/>
      <c r="D1761" s="3"/>
      <c r="E1761" s="3"/>
      <c r="F1761" s="9"/>
      <c r="G1761" s="248" t="str">
        <f t="shared" si="135"/>
        <v/>
      </c>
      <c r="H1761" s="1" t="b">
        <f>IF(B1761="",FALSE,COUNTIF('従業員情報(給与以外)'!$A$4:$A$1000000,$B1761)=0)</f>
        <v>0</v>
      </c>
      <c r="I1761" s="9" t="b">
        <f t="shared" si="136"/>
        <v>1</v>
      </c>
      <c r="J1761" s="9" t="b">
        <f t="shared" si="137"/>
        <v>1</v>
      </c>
      <c r="K1761" s="9" t="b">
        <f t="shared" si="138"/>
        <v>1</v>
      </c>
      <c r="L1761" s="9" t="b">
        <f t="shared" si="139"/>
        <v>1</v>
      </c>
      <c r="M1761" s="1" t="b">
        <f>IF(OR(入力シート!$C$5&lt;&gt;入力リスト!$N$4,入力シート!$J$22&lt;&gt;入力リスト!$K$4),TRUE,IF($F$2=入力リスト!$Q$4,IF(F1761-INT(F1761)&lt;0.6,TRUE,FALSE),TRUE))</f>
        <v>1</v>
      </c>
      <c r="N1761" s="9" t="str">
        <f>IF(F1761="","",IF($F$2=入力リスト!$Q$4,ROUNDDOWN(INT(F1761)+ROUNDDOWN((F1761-INT(F1761))*100,0)/60,2),従業員の給与情報!F1761))</f>
        <v/>
      </c>
      <c r="O1761" s="8"/>
      <c r="P1761" s="8"/>
    </row>
    <row r="1762" spans="1:16">
      <c r="A1762" s="119"/>
      <c r="B1762" s="2"/>
      <c r="C1762" s="3"/>
      <c r="D1762" s="3"/>
      <c r="E1762" s="3"/>
      <c r="F1762" s="9"/>
      <c r="G1762" s="248" t="str">
        <f t="shared" si="135"/>
        <v/>
      </c>
      <c r="H1762" s="1" t="b">
        <f>IF(B1762="",FALSE,COUNTIF('従業員情報(給与以外)'!$A$4:$A$1000000,$B1762)=0)</f>
        <v>0</v>
      </c>
      <c r="I1762" s="9" t="b">
        <f t="shared" si="136"/>
        <v>1</v>
      </c>
      <c r="J1762" s="9" t="b">
        <f t="shared" si="137"/>
        <v>1</v>
      </c>
      <c r="K1762" s="9" t="b">
        <f t="shared" si="138"/>
        <v>1</v>
      </c>
      <c r="L1762" s="9" t="b">
        <f t="shared" si="139"/>
        <v>1</v>
      </c>
      <c r="M1762" s="1" t="b">
        <f>IF(OR(入力シート!$C$5&lt;&gt;入力リスト!$N$4,入力シート!$J$22&lt;&gt;入力リスト!$K$4),TRUE,IF($F$2=入力リスト!$Q$4,IF(F1762-INT(F1762)&lt;0.6,TRUE,FALSE),TRUE))</f>
        <v>1</v>
      </c>
      <c r="N1762" s="9" t="str">
        <f>IF(F1762="","",IF($F$2=入力リスト!$Q$4,ROUNDDOWN(INT(F1762)+ROUNDDOWN((F1762-INT(F1762))*100,0)/60,2),従業員の給与情報!F1762))</f>
        <v/>
      </c>
      <c r="O1762" s="8"/>
      <c r="P1762" s="8"/>
    </row>
    <row r="1763" spans="1:16">
      <c r="A1763" s="119"/>
      <c r="B1763" s="2"/>
      <c r="C1763" s="3"/>
      <c r="D1763" s="3"/>
      <c r="E1763" s="3"/>
      <c r="F1763" s="9"/>
      <c r="G1763" s="248" t="str">
        <f t="shared" si="135"/>
        <v/>
      </c>
      <c r="H1763" s="1" t="b">
        <f>IF(B1763="",FALSE,COUNTIF('従業員情報(給与以外)'!$A$4:$A$1000000,$B1763)=0)</f>
        <v>0</v>
      </c>
      <c r="I1763" s="9" t="b">
        <f t="shared" si="136"/>
        <v>1</v>
      </c>
      <c r="J1763" s="9" t="b">
        <f t="shared" si="137"/>
        <v>1</v>
      </c>
      <c r="K1763" s="9" t="b">
        <f t="shared" si="138"/>
        <v>1</v>
      </c>
      <c r="L1763" s="9" t="b">
        <f t="shared" si="139"/>
        <v>1</v>
      </c>
      <c r="M1763" s="1" t="b">
        <f>IF(OR(入力シート!$C$5&lt;&gt;入力リスト!$N$4,入力シート!$J$22&lt;&gt;入力リスト!$K$4),TRUE,IF($F$2=入力リスト!$Q$4,IF(F1763-INT(F1763)&lt;0.6,TRUE,FALSE),TRUE))</f>
        <v>1</v>
      </c>
      <c r="N1763" s="9" t="str">
        <f>IF(F1763="","",IF($F$2=入力リスト!$Q$4,ROUNDDOWN(INT(F1763)+ROUNDDOWN((F1763-INT(F1763))*100,0)/60,2),従業員の給与情報!F1763))</f>
        <v/>
      </c>
      <c r="O1763" s="8"/>
      <c r="P1763" s="8"/>
    </row>
    <row r="1764" spans="1:16">
      <c r="A1764" s="119"/>
      <c r="B1764" s="2"/>
      <c r="C1764" s="3"/>
      <c r="D1764" s="3"/>
      <c r="E1764" s="3"/>
      <c r="F1764" s="9"/>
      <c r="G1764" s="248" t="str">
        <f t="shared" si="135"/>
        <v/>
      </c>
      <c r="H1764" s="1" t="b">
        <f>IF(B1764="",FALSE,COUNTIF('従業員情報(給与以外)'!$A$4:$A$1000000,$B1764)=0)</f>
        <v>0</v>
      </c>
      <c r="I1764" s="9" t="b">
        <f t="shared" si="136"/>
        <v>1</v>
      </c>
      <c r="J1764" s="9" t="b">
        <f t="shared" si="137"/>
        <v>1</v>
      </c>
      <c r="K1764" s="9" t="b">
        <f t="shared" si="138"/>
        <v>1</v>
      </c>
      <c r="L1764" s="9" t="b">
        <f t="shared" si="139"/>
        <v>1</v>
      </c>
      <c r="M1764" s="1" t="b">
        <f>IF(OR(入力シート!$C$5&lt;&gt;入力リスト!$N$4,入力シート!$J$22&lt;&gt;入力リスト!$K$4),TRUE,IF($F$2=入力リスト!$Q$4,IF(F1764-INT(F1764)&lt;0.6,TRUE,FALSE),TRUE))</f>
        <v>1</v>
      </c>
      <c r="N1764" s="9" t="str">
        <f>IF(F1764="","",IF($F$2=入力リスト!$Q$4,ROUNDDOWN(INT(F1764)+ROUNDDOWN((F1764-INT(F1764))*100,0)/60,2),従業員の給与情報!F1764))</f>
        <v/>
      </c>
      <c r="O1764" s="8"/>
      <c r="P1764" s="8"/>
    </row>
    <row r="1765" spans="1:16">
      <c r="A1765" s="119"/>
      <c r="B1765" s="2"/>
      <c r="C1765" s="3"/>
      <c r="D1765" s="3"/>
      <c r="E1765" s="3"/>
      <c r="F1765" s="9"/>
      <c r="G1765" s="248" t="str">
        <f t="shared" si="135"/>
        <v/>
      </c>
      <c r="H1765" s="1" t="b">
        <f>IF(B1765="",FALSE,COUNTIF('従業員情報(給与以外)'!$A$4:$A$1000000,$B1765)=0)</f>
        <v>0</v>
      </c>
      <c r="I1765" s="9" t="b">
        <f t="shared" si="136"/>
        <v>1</v>
      </c>
      <c r="J1765" s="9" t="b">
        <f t="shared" si="137"/>
        <v>1</v>
      </c>
      <c r="K1765" s="9" t="b">
        <f t="shared" si="138"/>
        <v>1</v>
      </c>
      <c r="L1765" s="9" t="b">
        <f t="shared" si="139"/>
        <v>1</v>
      </c>
      <c r="M1765" s="1" t="b">
        <f>IF(OR(入力シート!$C$5&lt;&gt;入力リスト!$N$4,入力シート!$J$22&lt;&gt;入力リスト!$K$4),TRUE,IF($F$2=入力リスト!$Q$4,IF(F1765-INT(F1765)&lt;0.6,TRUE,FALSE),TRUE))</f>
        <v>1</v>
      </c>
      <c r="N1765" s="9" t="str">
        <f>IF(F1765="","",IF($F$2=入力リスト!$Q$4,ROUNDDOWN(INT(F1765)+ROUNDDOWN((F1765-INT(F1765))*100,0)/60,2),従業員の給与情報!F1765))</f>
        <v/>
      </c>
      <c r="O1765" s="8"/>
      <c r="P1765" s="8"/>
    </row>
    <row r="1766" spans="1:16">
      <c r="A1766" s="119"/>
      <c r="B1766" s="2"/>
      <c r="C1766" s="3"/>
      <c r="D1766" s="3"/>
      <c r="E1766" s="3"/>
      <c r="F1766" s="9"/>
      <c r="G1766" s="248" t="str">
        <f t="shared" si="135"/>
        <v/>
      </c>
      <c r="H1766" s="1" t="b">
        <f>IF(B1766="",FALSE,COUNTIF('従業員情報(給与以外)'!$A$4:$A$1000000,$B1766)=0)</f>
        <v>0</v>
      </c>
      <c r="I1766" s="9" t="b">
        <f t="shared" si="136"/>
        <v>1</v>
      </c>
      <c r="J1766" s="9" t="b">
        <f t="shared" si="137"/>
        <v>1</v>
      </c>
      <c r="K1766" s="9" t="b">
        <f t="shared" si="138"/>
        <v>1</v>
      </c>
      <c r="L1766" s="9" t="b">
        <f t="shared" si="139"/>
        <v>1</v>
      </c>
      <c r="M1766" s="1" t="b">
        <f>IF(OR(入力シート!$C$5&lt;&gt;入力リスト!$N$4,入力シート!$J$22&lt;&gt;入力リスト!$K$4),TRUE,IF($F$2=入力リスト!$Q$4,IF(F1766-INT(F1766)&lt;0.6,TRUE,FALSE),TRUE))</f>
        <v>1</v>
      </c>
      <c r="N1766" s="9" t="str">
        <f>IF(F1766="","",IF($F$2=入力リスト!$Q$4,ROUNDDOWN(INT(F1766)+ROUNDDOWN((F1766-INT(F1766))*100,0)/60,2),従業員の給与情報!F1766))</f>
        <v/>
      </c>
      <c r="O1766" s="8"/>
      <c r="P1766" s="8"/>
    </row>
    <row r="1767" spans="1:16">
      <c r="A1767" s="119"/>
      <c r="B1767" s="2"/>
      <c r="C1767" s="3"/>
      <c r="D1767" s="3"/>
      <c r="E1767" s="3"/>
      <c r="F1767" s="9"/>
      <c r="G1767" s="248" t="str">
        <f t="shared" si="135"/>
        <v/>
      </c>
      <c r="H1767" s="1" t="b">
        <f>IF(B1767="",FALSE,COUNTIF('従業員情報(給与以外)'!$A$4:$A$1000000,$B1767)=0)</f>
        <v>0</v>
      </c>
      <c r="I1767" s="9" t="b">
        <f t="shared" si="136"/>
        <v>1</v>
      </c>
      <c r="J1767" s="9" t="b">
        <f t="shared" si="137"/>
        <v>1</v>
      </c>
      <c r="K1767" s="9" t="b">
        <f t="shared" si="138"/>
        <v>1</v>
      </c>
      <c r="L1767" s="9" t="b">
        <f t="shared" si="139"/>
        <v>1</v>
      </c>
      <c r="M1767" s="1" t="b">
        <f>IF(OR(入力シート!$C$5&lt;&gt;入力リスト!$N$4,入力シート!$J$22&lt;&gt;入力リスト!$K$4),TRUE,IF($F$2=入力リスト!$Q$4,IF(F1767-INT(F1767)&lt;0.6,TRUE,FALSE),TRUE))</f>
        <v>1</v>
      </c>
      <c r="N1767" s="9" t="str">
        <f>IF(F1767="","",IF($F$2=入力リスト!$Q$4,ROUNDDOWN(INT(F1767)+ROUNDDOWN((F1767-INT(F1767))*100,0)/60,2),従業員の給与情報!F1767))</f>
        <v/>
      </c>
      <c r="O1767" s="8"/>
      <c r="P1767" s="8"/>
    </row>
    <row r="1768" spans="1:16">
      <c r="A1768" s="119"/>
      <c r="B1768" s="2"/>
      <c r="C1768" s="3"/>
      <c r="D1768" s="3"/>
      <c r="E1768" s="3"/>
      <c r="F1768" s="9"/>
      <c r="G1768" s="248" t="str">
        <f t="shared" si="135"/>
        <v/>
      </c>
      <c r="H1768" s="1" t="b">
        <f>IF(B1768="",FALSE,COUNTIF('従業員情報(給与以外)'!$A$4:$A$1000000,$B1768)=0)</f>
        <v>0</v>
      </c>
      <c r="I1768" s="9" t="b">
        <f t="shared" si="136"/>
        <v>1</v>
      </c>
      <c r="J1768" s="9" t="b">
        <f t="shared" si="137"/>
        <v>1</v>
      </c>
      <c r="K1768" s="9" t="b">
        <f t="shared" si="138"/>
        <v>1</v>
      </c>
      <c r="L1768" s="9" t="b">
        <f t="shared" si="139"/>
        <v>1</v>
      </c>
      <c r="M1768" s="1" t="b">
        <f>IF(OR(入力シート!$C$5&lt;&gt;入力リスト!$N$4,入力シート!$J$22&lt;&gt;入力リスト!$K$4),TRUE,IF($F$2=入力リスト!$Q$4,IF(F1768-INT(F1768)&lt;0.6,TRUE,FALSE),TRUE))</f>
        <v>1</v>
      </c>
      <c r="N1768" s="9" t="str">
        <f>IF(F1768="","",IF($F$2=入力リスト!$Q$4,ROUNDDOWN(INT(F1768)+ROUNDDOWN((F1768-INT(F1768))*100,0)/60,2),従業員の給与情報!F1768))</f>
        <v/>
      </c>
      <c r="O1768" s="8"/>
      <c r="P1768" s="8"/>
    </row>
    <row r="1769" spans="1:16">
      <c r="A1769" s="119"/>
      <c r="B1769" s="2"/>
      <c r="C1769" s="3"/>
      <c r="D1769" s="3"/>
      <c r="E1769" s="3"/>
      <c r="F1769" s="9"/>
      <c r="G1769" s="248" t="str">
        <f t="shared" si="135"/>
        <v/>
      </c>
      <c r="H1769" s="1" t="b">
        <f>IF(B1769="",FALSE,COUNTIF('従業員情報(給与以外)'!$A$4:$A$1000000,$B1769)=0)</f>
        <v>0</v>
      </c>
      <c r="I1769" s="9" t="b">
        <f t="shared" si="136"/>
        <v>1</v>
      </c>
      <c r="J1769" s="9" t="b">
        <f t="shared" si="137"/>
        <v>1</v>
      </c>
      <c r="K1769" s="9" t="b">
        <f t="shared" si="138"/>
        <v>1</v>
      </c>
      <c r="L1769" s="9" t="b">
        <f t="shared" si="139"/>
        <v>1</v>
      </c>
      <c r="M1769" s="1" t="b">
        <f>IF(OR(入力シート!$C$5&lt;&gt;入力リスト!$N$4,入力シート!$J$22&lt;&gt;入力リスト!$K$4),TRUE,IF($F$2=入力リスト!$Q$4,IF(F1769-INT(F1769)&lt;0.6,TRUE,FALSE),TRUE))</f>
        <v>1</v>
      </c>
      <c r="N1769" s="9" t="str">
        <f>IF(F1769="","",IF($F$2=入力リスト!$Q$4,ROUNDDOWN(INT(F1769)+ROUNDDOWN((F1769-INT(F1769))*100,0)/60,2),従業員の給与情報!F1769))</f>
        <v/>
      </c>
      <c r="O1769" s="8"/>
      <c r="P1769" s="8"/>
    </row>
    <row r="1770" spans="1:16">
      <c r="A1770" s="119"/>
      <c r="B1770" s="2"/>
      <c r="C1770" s="3"/>
      <c r="D1770" s="3"/>
      <c r="E1770" s="3"/>
      <c r="F1770" s="9"/>
      <c r="G1770" s="248" t="str">
        <f t="shared" si="135"/>
        <v/>
      </c>
      <c r="H1770" s="1" t="b">
        <f>IF(B1770="",FALSE,COUNTIF('従業員情報(給与以外)'!$A$4:$A$1000000,$B1770)=0)</f>
        <v>0</v>
      </c>
      <c r="I1770" s="9" t="b">
        <f t="shared" si="136"/>
        <v>1</v>
      </c>
      <c r="J1770" s="9" t="b">
        <f t="shared" si="137"/>
        <v>1</v>
      </c>
      <c r="K1770" s="9" t="b">
        <f t="shared" si="138"/>
        <v>1</v>
      </c>
      <c r="L1770" s="9" t="b">
        <f t="shared" si="139"/>
        <v>1</v>
      </c>
      <c r="M1770" s="1" t="b">
        <f>IF(OR(入力シート!$C$5&lt;&gt;入力リスト!$N$4,入力シート!$J$22&lt;&gt;入力リスト!$K$4),TRUE,IF($F$2=入力リスト!$Q$4,IF(F1770-INT(F1770)&lt;0.6,TRUE,FALSE),TRUE))</f>
        <v>1</v>
      </c>
      <c r="N1770" s="9" t="str">
        <f>IF(F1770="","",IF($F$2=入力リスト!$Q$4,ROUNDDOWN(INT(F1770)+ROUNDDOWN((F1770-INT(F1770))*100,0)/60,2),従業員の給与情報!F1770))</f>
        <v/>
      </c>
      <c r="O1770" s="8"/>
      <c r="P1770" s="8"/>
    </row>
    <row r="1771" spans="1:16">
      <c r="A1771" s="119"/>
      <c r="B1771" s="2"/>
      <c r="C1771" s="3"/>
      <c r="D1771" s="3"/>
      <c r="E1771" s="3"/>
      <c r="F1771" s="9"/>
      <c r="G1771" s="248" t="str">
        <f t="shared" si="135"/>
        <v/>
      </c>
      <c r="H1771" s="1" t="b">
        <f>IF(B1771="",FALSE,COUNTIF('従業員情報(給与以外)'!$A$4:$A$1000000,$B1771)=0)</f>
        <v>0</v>
      </c>
      <c r="I1771" s="9" t="b">
        <f t="shared" si="136"/>
        <v>1</v>
      </c>
      <c r="J1771" s="9" t="b">
        <f t="shared" si="137"/>
        <v>1</v>
      </c>
      <c r="K1771" s="9" t="b">
        <f t="shared" si="138"/>
        <v>1</v>
      </c>
      <c r="L1771" s="9" t="b">
        <f t="shared" si="139"/>
        <v>1</v>
      </c>
      <c r="M1771" s="1" t="b">
        <f>IF(OR(入力シート!$C$5&lt;&gt;入力リスト!$N$4,入力シート!$J$22&lt;&gt;入力リスト!$K$4),TRUE,IF($F$2=入力リスト!$Q$4,IF(F1771-INT(F1771)&lt;0.6,TRUE,FALSE),TRUE))</f>
        <v>1</v>
      </c>
      <c r="N1771" s="9" t="str">
        <f>IF(F1771="","",IF($F$2=入力リスト!$Q$4,ROUNDDOWN(INT(F1771)+ROUNDDOWN((F1771-INT(F1771))*100,0)/60,2),従業員の給与情報!F1771))</f>
        <v/>
      </c>
      <c r="O1771" s="8"/>
      <c r="P1771" s="8"/>
    </row>
    <row r="1772" spans="1:16">
      <c r="A1772" s="119"/>
      <c r="B1772" s="2"/>
      <c r="C1772" s="3"/>
      <c r="D1772" s="3"/>
      <c r="E1772" s="3"/>
      <c r="F1772" s="9"/>
      <c r="G1772" s="248" t="str">
        <f t="shared" si="135"/>
        <v/>
      </c>
      <c r="H1772" s="1" t="b">
        <f>IF(B1772="",FALSE,COUNTIF('従業員情報(給与以外)'!$A$4:$A$1000000,$B1772)=0)</f>
        <v>0</v>
      </c>
      <c r="I1772" s="9" t="b">
        <f t="shared" si="136"/>
        <v>1</v>
      </c>
      <c r="J1772" s="9" t="b">
        <f t="shared" si="137"/>
        <v>1</v>
      </c>
      <c r="K1772" s="9" t="b">
        <f t="shared" si="138"/>
        <v>1</v>
      </c>
      <c r="L1772" s="9" t="b">
        <f t="shared" si="139"/>
        <v>1</v>
      </c>
      <c r="M1772" s="1" t="b">
        <f>IF(OR(入力シート!$C$5&lt;&gt;入力リスト!$N$4,入力シート!$J$22&lt;&gt;入力リスト!$K$4),TRUE,IF($F$2=入力リスト!$Q$4,IF(F1772-INT(F1772)&lt;0.6,TRUE,FALSE),TRUE))</f>
        <v>1</v>
      </c>
      <c r="N1772" s="9" t="str">
        <f>IF(F1772="","",IF($F$2=入力リスト!$Q$4,ROUNDDOWN(INT(F1772)+ROUNDDOWN((F1772-INT(F1772))*100,0)/60,2),従業員の給与情報!F1772))</f>
        <v/>
      </c>
      <c r="O1772" s="8"/>
      <c r="P1772" s="8"/>
    </row>
    <row r="1773" spans="1:16">
      <c r="A1773" s="119"/>
      <c r="B1773" s="2"/>
      <c r="C1773" s="3"/>
      <c r="D1773" s="3"/>
      <c r="E1773" s="3"/>
      <c r="F1773" s="9"/>
      <c r="G1773" s="248" t="str">
        <f t="shared" si="135"/>
        <v/>
      </c>
      <c r="H1773" s="1" t="b">
        <f>IF(B1773="",FALSE,COUNTIF('従業員情報(給与以外)'!$A$4:$A$1000000,$B1773)=0)</f>
        <v>0</v>
      </c>
      <c r="I1773" s="9" t="b">
        <f t="shared" si="136"/>
        <v>1</v>
      </c>
      <c r="J1773" s="9" t="b">
        <f t="shared" si="137"/>
        <v>1</v>
      </c>
      <c r="K1773" s="9" t="b">
        <f t="shared" si="138"/>
        <v>1</v>
      </c>
      <c r="L1773" s="9" t="b">
        <f t="shared" si="139"/>
        <v>1</v>
      </c>
      <c r="M1773" s="1" t="b">
        <f>IF(OR(入力シート!$C$5&lt;&gt;入力リスト!$N$4,入力シート!$J$22&lt;&gt;入力リスト!$K$4),TRUE,IF($F$2=入力リスト!$Q$4,IF(F1773-INT(F1773)&lt;0.6,TRUE,FALSE),TRUE))</f>
        <v>1</v>
      </c>
      <c r="N1773" s="9" t="str">
        <f>IF(F1773="","",IF($F$2=入力リスト!$Q$4,ROUNDDOWN(INT(F1773)+ROUNDDOWN((F1773-INT(F1773))*100,0)/60,2),従業員の給与情報!F1773))</f>
        <v/>
      </c>
      <c r="O1773" s="8"/>
      <c r="P1773" s="8"/>
    </row>
    <row r="1774" spans="1:16">
      <c r="A1774" s="119"/>
      <c r="B1774" s="2"/>
      <c r="C1774" s="3"/>
      <c r="D1774" s="3"/>
      <c r="E1774" s="3"/>
      <c r="F1774" s="9"/>
      <c r="G1774" s="248" t="str">
        <f t="shared" si="135"/>
        <v/>
      </c>
      <c r="H1774" s="1" t="b">
        <f>IF(B1774="",FALSE,COUNTIF('従業員情報(給与以外)'!$A$4:$A$1000000,$B1774)=0)</f>
        <v>0</v>
      </c>
      <c r="I1774" s="9" t="b">
        <f t="shared" si="136"/>
        <v>1</v>
      </c>
      <c r="J1774" s="9" t="b">
        <f t="shared" si="137"/>
        <v>1</v>
      </c>
      <c r="K1774" s="9" t="b">
        <f t="shared" si="138"/>
        <v>1</v>
      </c>
      <c r="L1774" s="9" t="b">
        <f t="shared" si="139"/>
        <v>1</v>
      </c>
      <c r="M1774" s="1" t="b">
        <f>IF(OR(入力シート!$C$5&lt;&gt;入力リスト!$N$4,入力シート!$J$22&lt;&gt;入力リスト!$K$4),TRUE,IF($F$2=入力リスト!$Q$4,IF(F1774-INT(F1774)&lt;0.6,TRUE,FALSE),TRUE))</f>
        <v>1</v>
      </c>
      <c r="N1774" s="9" t="str">
        <f>IF(F1774="","",IF($F$2=入力リスト!$Q$4,ROUNDDOWN(INT(F1774)+ROUNDDOWN((F1774-INT(F1774))*100,0)/60,2),従業員の給与情報!F1774))</f>
        <v/>
      </c>
      <c r="O1774" s="8"/>
      <c r="P1774" s="8"/>
    </row>
    <row r="1775" spans="1:16">
      <c r="A1775" s="119"/>
      <c r="B1775" s="2"/>
      <c r="C1775" s="3"/>
      <c r="D1775" s="3"/>
      <c r="E1775" s="3"/>
      <c r="F1775" s="9"/>
      <c r="G1775" s="248" t="str">
        <f t="shared" si="135"/>
        <v/>
      </c>
      <c r="H1775" s="1" t="b">
        <f>IF(B1775="",FALSE,COUNTIF('従業員情報(給与以外)'!$A$4:$A$1000000,$B1775)=0)</f>
        <v>0</v>
      </c>
      <c r="I1775" s="9" t="b">
        <f t="shared" si="136"/>
        <v>1</v>
      </c>
      <c r="J1775" s="9" t="b">
        <f t="shared" si="137"/>
        <v>1</v>
      </c>
      <c r="K1775" s="9" t="b">
        <f t="shared" si="138"/>
        <v>1</v>
      </c>
      <c r="L1775" s="9" t="b">
        <f t="shared" si="139"/>
        <v>1</v>
      </c>
      <c r="M1775" s="1" t="b">
        <f>IF(OR(入力シート!$C$5&lt;&gt;入力リスト!$N$4,入力シート!$J$22&lt;&gt;入力リスト!$K$4),TRUE,IF($F$2=入力リスト!$Q$4,IF(F1775-INT(F1775)&lt;0.6,TRUE,FALSE),TRUE))</f>
        <v>1</v>
      </c>
      <c r="N1775" s="9" t="str">
        <f>IF(F1775="","",IF($F$2=入力リスト!$Q$4,ROUNDDOWN(INT(F1775)+ROUNDDOWN((F1775-INT(F1775))*100,0)/60,2),従業員の給与情報!F1775))</f>
        <v/>
      </c>
      <c r="O1775" s="8"/>
      <c r="P1775" s="8"/>
    </row>
    <row r="1776" spans="1:16">
      <c r="A1776" s="119"/>
      <c r="B1776" s="2"/>
      <c r="C1776" s="3"/>
      <c r="D1776" s="3"/>
      <c r="E1776" s="3"/>
      <c r="F1776" s="9"/>
      <c r="G1776" s="248" t="str">
        <f t="shared" si="135"/>
        <v/>
      </c>
      <c r="H1776" s="1" t="b">
        <f>IF(B1776="",FALSE,COUNTIF('従業員情報(給与以外)'!$A$4:$A$1000000,$B1776)=0)</f>
        <v>0</v>
      </c>
      <c r="I1776" s="9" t="b">
        <f t="shared" si="136"/>
        <v>1</v>
      </c>
      <c r="J1776" s="9" t="b">
        <f t="shared" si="137"/>
        <v>1</v>
      </c>
      <c r="K1776" s="9" t="b">
        <f t="shared" si="138"/>
        <v>1</v>
      </c>
      <c r="L1776" s="9" t="b">
        <f t="shared" si="139"/>
        <v>1</v>
      </c>
      <c r="M1776" s="1" t="b">
        <f>IF(OR(入力シート!$C$5&lt;&gt;入力リスト!$N$4,入力シート!$J$22&lt;&gt;入力リスト!$K$4),TRUE,IF($F$2=入力リスト!$Q$4,IF(F1776-INT(F1776)&lt;0.6,TRUE,FALSE),TRUE))</f>
        <v>1</v>
      </c>
      <c r="N1776" s="9" t="str">
        <f>IF(F1776="","",IF($F$2=入力リスト!$Q$4,ROUNDDOWN(INT(F1776)+ROUNDDOWN((F1776-INT(F1776))*100,0)/60,2),従業員の給与情報!F1776))</f>
        <v/>
      </c>
      <c r="O1776" s="8"/>
      <c r="P1776" s="8"/>
    </row>
    <row r="1777" spans="1:16">
      <c r="A1777" s="119"/>
      <c r="B1777" s="2"/>
      <c r="C1777" s="3"/>
      <c r="D1777" s="3"/>
      <c r="E1777" s="3"/>
      <c r="F1777" s="9"/>
      <c r="G1777" s="248" t="str">
        <f t="shared" si="135"/>
        <v/>
      </c>
      <c r="H1777" s="1" t="b">
        <f>IF(B1777="",FALSE,COUNTIF('従業員情報(給与以外)'!$A$4:$A$1000000,$B1777)=0)</f>
        <v>0</v>
      </c>
      <c r="I1777" s="9" t="b">
        <f t="shared" si="136"/>
        <v>1</v>
      </c>
      <c r="J1777" s="9" t="b">
        <f t="shared" si="137"/>
        <v>1</v>
      </c>
      <c r="K1777" s="9" t="b">
        <f t="shared" si="138"/>
        <v>1</v>
      </c>
      <c r="L1777" s="9" t="b">
        <f t="shared" si="139"/>
        <v>1</v>
      </c>
      <c r="M1777" s="1" t="b">
        <f>IF(OR(入力シート!$C$5&lt;&gt;入力リスト!$N$4,入力シート!$J$22&lt;&gt;入力リスト!$K$4),TRUE,IF($F$2=入力リスト!$Q$4,IF(F1777-INT(F1777)&lt;0.6,TRUE,FALSE),TRUE))</f>
        <v>1</v>
      </c>
      <c r="N1777" s="9" t="str">
        <f>IF(F1777="","",IF($F$2=入力リスト!$Q$4,ROUNDDOWN(INT(F1777)+ROUNDDOWN((F1777-INT(F1777))*100,0)/60,2),従業員の給与情報!F1777))</f>
        <v/>
      </c>
      <c r="O1777" s="8"/>
      <c r="P1777" s="8"/>
    </row>
    <row r="1778" spans="1:16">
      <c r="A1778" s="119"/>
      <c r="B1778" s="2"/>
      <c r="C1778" s="3"/>
      <c r="D1778" s="3"/>
      <c r="E1778" s="3"/>
      <c r="F1778" s="9"/>
      <c r="G1778" s="248" t="str">
        <f t="shared" si="135"/>
        <v/>
      </c>
      <c r="H1778" s="1" t="b">
        <f>IF(B1778="",FALSE,COUNTIF('従業員情報(給与以外)'!$A$4:$A$1000000,$B1778)=0)</f>
        <v>0</v>
      </c>
      <c r="I1778" s="9" t="b">
        <f t="shared" si="136"/>
        <v>1</v>
      </c>
      <c r="J1778" s="9" t="b">
        <f t="shared" si="137"/>
        <v>1</v>
      </c>
      <c r="K1778" s="9" t="b">
        <f t="shared" si="138"/>
        <v>1</v>
      </c>
      <c r="L1778" s="9" t="b">
        <f t="shared" si="139"/>
        <v>1</v>
      </c>
      <c r="M1778" s="1" t="b">
        <f>IF(OR(入力シート!$C$5&lt;&gt;入力リスト!$N$4,入力シート!$J$22&lt;&gt;入力リスト!$K$4),TRUE,IF($F$2=入力リスト!$Q$4,IF(F1778-INT(F1778)&lt;0.6,TRUE,FALSE),TRUE))</f>
        <v>1</v>
      </c>
      <c r="N1778" s="9" t="str">
        <f>IF(F1778="","",IF($F$2=入力リスト!$Q$4,ROUNDDOWN(INT(F1778)+ROUNDDOWN((F1778-INT(F1778))*100,0)/60,2),従業員の給与情報!F1778))</f>
        <v/>
      </c>
      <c r="O1778" s="8"/>
      <c r="P1778" s="8"/>
    </row>
    <row r="1779" spans="1:16">
      <c r="A1779" s="119"/>
      <c r="B1779" s="2"/>
      <c r="C1779" s="3"/>
      <c r="D1779" s="3"/>
      <c r="E1779" s="3"/>
      <c r="F1779" s="9"/>
      <c r="G1779" s="248" t="str">
        <f t="shared" si="135"/>
        <v/>
      </c>
      <c r="H1779" s="1" t="b">
        <f>IF(B1779="",FALSE,COUNTIF('従業員情報(給与以外)'!$A$4:$A$1000000,$B1779)=0)</f>
        <v>0</v>
      </c>
      <c r="I1779" s="9" t="b">
        <f t="shared" si="136"/>
        <v>1</v>
      </c>
      <c r="J1779" s="9" t="b">
        <f t="shared" si="137"/>
        <v>1</v>
      </c>
      <c r="K1779" s="9" t="b">
        <f t="shared" si="138"/>
        <v>1</v>
      </c>
      <c r="L1779" s="9" t="b">
        <f t="shared" si="139"/>
        <v>1</v>
      </c>
      <c r="M1779" s="1" t="b">
        <f>IF(OR(入力シート!$C$5&lt;&gt;入力リスト!$N$4,入力シート!$J$22&lt;&gt;入力リスト!$K$4),TRUE,IF($F$2=入力リスト!$Q$4,IF(F1779-INT(F1779)&lt;0.6,TRUE,FALSE),TRUE))</f>
        <v>1</v>
      </c>
      <c r="N1779" s="9" t="str">
        <f>IF(F1779="","",IF($F$2=入力リスト!$Q$4,ROUNDDOWN(INT(F1779)+ROUNDDOWN((F1779-INT(F1779))*100,0)/60,2),従業員の給与情報!F1779))</f>
        <v/>
      </c>
      <c r="O1779" s="8"/>
      <c r="P1779" s="8"/>
    </row>
    <row r="1780" spans="1:16">
      <c r="A1780" s="119"/>
      <c r="B1780" s="2"/>
      <c r="C1780" s="3"/>
      <c r="D1780" s="3"/>
      <c r="E1780" s="3"/>
      <c r="F1780" s="9"/>
      <c r="G1780" s="248" t="str">
        <f t="shared" si="135"/>
        <v/>
      </c>
      <c r="H1780" s="1" t="b">
        <f>IF(B1780="",FALSE,COUNTIF('従業員情報(給与以外)'!$A$4:$A$1000000,$B1780)=0)</f>
        <v>0</v>
      </c>
      <c r="I1780" s="9" t="b">
        <f t="shared" si="136"/>
        <v>1</v>
      </c>
      <c r="J1780" s="9" t="b">
        <f t="shared" si="137"/>
        <v>1</v>
      </c>
      <c r="K1780" s="9" t="b">
        <f t="shared" si="138"/>
        <v>1</v>
      </c>
      <c r="L1780" s="9" t="b">
        <f t="shared" si="139"/>
        <v>1</v>
      </c>
      <c r="M1780" s="1" t="b">
        <f>IF(OR(入力シート!$C$5&lt;&gt;入力リスト!$N$4,入力シート!$J$22&lt;&gt;入力リスト!$K$4),TRUE,IF($F$2=入力リスト!$Q$4,IF(F1780-INT(F1780)&lt;0.6,TRUE,FALSE),TRUE))</f>
        <v>1</v>
      </c>
      <c r="N1780" s="9" t="str">
        <f>IF(F1780="","",IF($F$2=入力リスト!$Q$4,ROUNDDOWN(INT(F1780)+ROUNDDOWN((F1780-INT(F1780))*100,0)/60,2),従業員の給与情報!F1780))</f>
        <v/>
      </c>
      <c r="O1780" s="8"/>
      <c r="P1780" s="8"/>
    </row>
    <row r="1781" spans="1:16">
      <c r="A1781" s="119"/>
      <c r="B1781" s="2"/>
      <c r="C1781" s="3"/>
      <c r="D1781" s="3"/>
      <c r="E1781" s="3"/>
      <c r="F1781" s="9"/>
      <c r="G1781" s="248" t="str">
        <f t="shared" si="135"/>
        <v/>
      </c>
      <c r="H1781" s="1" t="b">
        <f>IF(B1781="",FALSE,COUNTIF('従業員情報(給与以外)'!$A$4:$A$1000000,$B1781)=0)</f>
        <v>0</v>
      </c>
      <c r="I1781" s="9" t="b">
        <f t="shared" si="136"/>
        <v>1</v>
      </c>
      <c r="J1781" s="9" t="b">
        <f t="shared" si="137"/>
        <v>1</v>
      </c>
      <c r="K1781" s="9" t="b">
        <f t="shared" si="138"/>
        <v>1</v>
      </c>
      <c r="L1781" s="9" t="b">
        <f t="shared" si="139"/>
        <v>1</v>
      </c>
      <c r="M1781" s="1" t="b">
        <f>IF(OR(入力シート!$C$5&lt;&gt;入力リスト!$N$4,入力シート!$J$22&lt;&gt;入力リスト!$K$4),TRUE,IF($F$2=入力リスト!$Q$4,IF(F1781-INT(F1781)&lt;0.6,TRUE,FALSE),TRUE))</f>
        <v>1</v>
      </c>
      <c r="N1781" s="9" t="str">
        <f>IF(F1781="","",IF($F$2=入力リスト!$Q$4,ROUNDDOWN(INT(F1781)+ROUNDDOWN((F1781-INT(F1781))*100,0)/60,2),従業員の給与情報!F1781))</f>
        <v/>
      </c>
      <c r="O1781" s="8"/>
      <c r="P1781" s="8"/>
    </row>
    <row r="1782" spans="1:16">
      <c r="A1782" s="119"/>
      <c r="B1782" s="2"/>
      <c r="C1782" s="3"/>
      <c r="D1782" s="3"/>
      <c r="E1782" s="3"/>
      <c r="F1782" s="9"/>
      <c r="G1782" s="248" t="str">
        <f t="shared" si="135"/>
        <v/>
      </c>
      <c r="H1782" s="1" t="b">
        <f>IF(B1782="",FALSE,COUNTIF('従業員情報(給与以外)'!$A$4:$A$1000000,$B1782)=0)</f>
        <v>0</v>
      </c>
      <c r="I1782" s="9" t="b">
        <f t="shared" si="136"/>
        <v>1</v>
      </c>
      <c r="J1782" s="9" t="b">
        <f t="shared" si="137"/>
        <v>1</v>
      </c>
      <c r="K1782" s="9" t="b">
        <f t="shared" si="138"/>
        <v>1</v>
      </c>
      <c r="L1782" s="9" t="b">
        <f t="shared" si="139"/>
        <v>1</v>
      </c>
      <c r="M1782" s="1" t="b">
        <f>IF(OR(入力シート!$C$5&lt;&gt;入力リスト!$N$4,入力シート!$J$22&lt;&gt;入力リスト!$K$4),TRUE,IF($F$2=入力リスト!$Q$4,IF(F1782-INT(F1782)&lt;0.6,TRUE,FALSE),TRUE))</f>
        <v>1</v>
      </c>
      <c r="N1782" s="9" t="str">
        <f>IF(F1782="","",IF($F$2=入力リスト!$Q$4,ROUNDDOWN(INT(F1782)+ROUNDDOWN((F1782-INT(F1782))*100,0)/60,2),従業員の給与情報!F1782))</f>
        <v/>
      </c>
      <c r="O1782" s="8"/>
      <c r="P1782" s="8"/>
    </row>
    <row r="1783" spans="1:16">
      <c r="A1783" s="119"/>
      <c r="B1783" s="2"/>
      <c r="C1783" s="3"/>
      <c r="D1783" s="3"/>
      <c r="E1783" s="3"/>
      <c r="F1783" s="9"/>
      <c r="G1783" s="248" t="str">
        <f t="shared" si="135"/>
        <v/>
      </c>
      <c r="H1783" s="1" t="b">
        <f>IF(B1783="",FALSE,COUNTIF('従業員情報(給与以外)'!$A$4:$A$1000000,$B1783)=0)</f>
        <v>0</v>
      </c>
      <c r="I1783" s="9" t="b">
        <f t="shared" si="136"/>
        <v>1</v>
      </c>
      <c r="J1783" s="9" t="b">
        <f t="shared" si="137"/>
        <v>1</v>
      </c>
      <c r="K1783" s="9" t="b">
        <f t="shared" si="138"/>
        <v>1</v>
      </c>
      <c r="L1783" s="9" t="b">
        <f t="shared" si="139"/>
        <v>1</v>
      </c>
      <c r="M1783" s="1" t="b">
        <f>IF(OR(入力シート!$C$5&lt;&gt;入力リスト!$N$4,入力シート!$J$22&lt;&gt;入力リスト!$K$4),TRUE,IF($F$2=入力リスト!$Q$4,IF(F1783-INT(F1783)&lt;0.6,TRUE,FALSE),TRUE))</f>
        <v>1</v>
      </c>
      <c r="N1783" s="9" t="str">
        <f>IF(F1783="","",IF($F$2=入力リスト!$Q$4,ROUNDDOWN(INT(F1783)+ROUNDDOWN((F1783-INT(F1783))*100,0)/60,2),従業員の給与情報!F1783))</f>
        <v/>
      </c>
      <c r="O1783" s="8"/>
      <c r="P1783" s="8"/>
    </row>
    <row r="1784" spans="1:16">
      <c r="A1784" s="119"/>
      <c r="B1784" s="2"/>
      <c r="C1784" s="3"/>
      <c r="D1784" s="3"/>
      <c r="E1784" s="3"/>
      <c r="F1784" s="9"/>
      <c r="G1784" s="248" t="str">
        <f t="shared" si="135"/>
        <v/>
      </c>
      <c r="H1784" s="1" t="b">
        <f>IF(B1784="",FALSE,COUNTIF('従業員情報(給与以外)'!$A$4:$A$1000000,$B1784)=0)</f>
        <v>0</v>
      </c>
      <c r="I1784" s="9" t="b">
        <f t="shared" si="136"/>
        <v>1</v>
      </c>
      <c r="J1784" s="9" t="b">
        <f t="shared" si="137"/>
        <v>1</v>
      </c>
      <c r="K1784" s="9" t="b">
        <f t="shared" si="138"/>
        <v>1</v>
      </c>
      <c r="L1784" s="9" t="b">
        <f t="shared" si="139"/>
        <v>1</v>
      </c>
      <c r="M1784" s="1" t="b">
        <f>IF(OR(入力シート!$C$5&lt;&gt;入力リスト!$N$4,入力シート!$J$22&lt;&gt;入力リスト!$K$4),TRUE,IF($F$2=入力リスト!$Q$4,IF(F1784-INT(F1784)&lt;0.6,TRUE,FALSE),TRUE))</f>
        <v>1</v>
      </c>
      <c r="N1784" s="9" t="str">
        <f>IF(F1784="","",IF($F$2=入力リスト!$Q$4,ROUNDDOWN(INT(F1784)+ROUNDDOWN((F1784-INT(F1784))*100,0)/60,2),従業員の給与情報!F1784))</f>
        <v/>
      </c>
      <c r="O1784" s="8"/>
      <c r="P1784" s="8"/>
    </row>
    <row r="1785" spans="1:16">
      <c r="A1785" s="119"/>
      <c r="B1785" s="2"/>
      <c r="C1785" s="3"/>
      <c r="D1785" s="3"/>
      <c r="E1785" s="3"/>
      <c r="F1785" s="9"/>
      <c r="G1785" s="248" t="str">
        <f t="shared" si="135"/>
        <v/>
      </c>
      <c r="H1785" s="1" t="b">
        <f>IF(B1785="",FALSE,COUNTIF('従業員情報(給与以外)'!$A$4:$A$1000000,$B1785)=0)</f>
        <v>0</v>
      </c>
      <c r="I1785" s="9" t="b">
        <f t="shared" si="136"/>
        <v>1</v>
      </c>
      <c r="J1785" s="9" t="b">
        <f t="shared" si="137"/>
        <v>1</v>
      </c>
      <c r="K1785" s="9" t="b">
        <f t="shared" si="138"/>
        <v>1</v>
      </c>
      <c r="L1785" s="9" t="b">
        <f t="shared" si="139"/>
        <v>1</v>
      </c>
      <c r="M1785" s="1" t="b">
        <f>IF(OR(入力シート!$C$5&lt;&gt;入力リスト!$N$4,入力シート!$J$22&lt;&gt;入力リスト!$K$4),TRUE,IF($F$2=入力リスト!$Q$4,IF(F1785-INT(F1785)&lt;0.6,TRUE,FALSE),TRUE))</f>
        <v>1</v>
      </c>
      <c r="N1785" s="9" t="str">
        <f>IF(F1785="","",IF($F$2=入力リスト!$Q$4,ROUNDDOWN(INT(F1785)+ROUNDDOWN((F1785-INT(F1785))*100,0)/60,2),従業員の給与情報!F1785))</f>
        <v/>
      </c>
      <c r="O1785" s="8"/>
      <c r="P1785" s="8"/>
    </row>
    <row r="1786" spans="1:16">
      <c r="A1786" s="119"/>
      <c r="B1786" s="2"/>
      <c r="C1786" s="3"/>
      <c r="D1786" s="3"/>
      <c r="E1786" s="3"/>
      <c r="F1786" s="9"/>
      <c r="G1786" s="248" t="str">
        <f t="shared" si="135"/>
        <v/>
      </c>
      <c r="H1786" s="1" t="b">
        <f>IF(B1786="",FALSE,COUNTIF('従業員情報(給与以外)'!$A$4:$A$1000000,$B1786)=0)</f>
        <v>0</v>
      </c>
      <c r="I1786" s="9" t="b">
        <f t="shared" si="136"/>
        <v>1</v>
      </c>
      <c r="J1786" s="9" t="b">
        <f t="shared" si="137"/>
        <v>1</v>
      </c>
      <c r="K1786" s="9" t="b">
        <f t="shared" si="138"/>
        <v>1</v>
      </c>
      <c r="L1786" s="9" t="b">
        <f t="shared" si="139"/>
        <v>1</v>
      </c>
      <c r="M1786" s="1" t="b">
        <f>IF(OR(入力シート!$C$5&lt;&gt;入力リスト!$N$4,入力シート!$J$22&lt;&gt;入力リスト!$K$4),TRUE,IF($F$2=入力リスト!$Q$4,IF(F1786-INT(F1786)&lt;0.6,TRUE,FALSE),TRUE))</f>
        <v>1</v>
      </c>
      <c r="N1786" s="9" t="str">
        <f>IF(F1786="","",IF($F$2=入力リスト!$Q$4,ROUNDDOWN(INT(F1786)+ROUNDDOWN((F1786-INT(F1786))*100,0)/60,2),従業員の給与情報!F1786))</f>
        <v/>
      </c>
      <c r="O1786" s="8"/>
      <c r="P1786" s="8"/>
    </row>
    <row r="1787" spans="1:16">
      <c r="A1787" s="119"/>
      <c r="B1787" s="2"/>
      <c r="C1787" s="3"/>
      <c r="D1787" s="3"/>
      <c r="E1787" s="3"/>
      <c r="F1787" s="9"/>
      <c r="G1787" s="248" t="str">
        <f t="shared" si="135"/>
        <v/>
      </c>
      <c r="H1787" s="1" t="b">
        <f>IF(B1787="",FALSE,COUNTIF('従業員情報(給与以外)'!$A$4:$A$1000000,$B1787)=0)</f>
        <v>0</v>
      </c>
      <c r="I1787" s="9" t="b">
        <f t="shared" si="136"/>
        <v>1</v>
      </c>
      <c r="J1787" s="9" t="b">
        <f t="shared" si="137"/>
        <v>1</v>
      </c>
      <c r="K1787" s="9" t="b">
        <f t="shared" si="138"/>
        <v>1</v>
      </c>
      <c r="L1787" s="9" t="b">
        <f t="shared" si="139"/>
        <v>1</v>
      </c>
      <c r="M1787" s="1" t="b">
        <f>IF(OR(入力シート!$C$5&lt;&gt;入力リスト!$N$4,入力シート!$J$22&lt;&gt;入力リスト!$K$4),TRUE,IF($F$2=入力リスト!$Q$4,IF(F1787-INT(F1787)&lt;0.6,TRUE,FALSE),TRUE))</f>
        <v>1</v>
      </c>
      <c r="N1787" s="9" t="str">
        <f>IF(F1787="","",IF($F$2=入力リスト!$Q$4,ROUNDDOWN(INT(F1787)+ROUNDDOWN((F1787-INT(F1787))*100,0)/60,2),従業員の給与情報!F1787))</f>
        <v/>
      </c>
      <c r="O1787" s="8"/>
      <c r="P1787" s="8"/>
    </row>
    <row r="1788" spans="1:16">
      <c r="A1788" s="119"/>
      <c r="B1788" s="2"/>
      <c r="C1788" s="3"/>
      <c r="D1788" s="3"/>
      <c r="E1788" s="3"/>
      <c r="F1788" s="9"/>
      <c r="G1788" s="248" t="str">
        <f t="shared" si="135"/>
        <v/>
      </c>
      <c r="H1788" s="1" t="b">
        <f>IF(B1788="",FALSE,COUNTIF('従業員情報(給与以外)'!$A$4:$A$1000000,$B1788)=0)</f>
        <v>0</v>
      </c>
      <c r="I1788" s="9" t="b">
        <f t="shared" si="136"/>
        <v>1</v>
      </c>
      <c r="J1788" s="9" t="b">
        <f t="shared" si="137"/>
        <v>1</v>
      </c>
      <c r="K1788" s="9" t="b">
        <f t="shared" si="138"/>
        <v>1</v>
      </c>
      <c r="L1788" s="9" t="b">
        <f t="shared" si="139"/>
        <v>1</v>
      </c>
      <c r="M1788" s="1" t="b">
        <f>IF(OR(入力シート!$C$5&lt;&gt;入力リスト!$N$4,入力シート!$J$22&lt;&gt;入力リスト!$K$4),TRUE,IF($F$2=入力リスト!$Q$4,IF(F1788-INT(F1788)&lt;0.6,TRUE,FALSE),TRUE))</f>
        <v>1</v>
      </c>
      <c r="N1788" s="9" t="str">
        <f>IF(F1788="","",IF($F$2=入力リスト!$Q$4,ROUNDDOWN(INT(F1788)+ROUNDDOWN((F1788-INT(F1788))*100,0)/60,2),従業員の給与情報!F1788))</f>
        <v/>
      </c>
      <c r="O1788" s="8"/>
      <c r="P1788" s="8"/>
    </row>
    <row r="1789" spans="1:16">
      <c r="A1789" s="119"/>
      <c r="B1789" s="2"/>
      <c r="C1789" s="3"/>
      <c r="D1789" s="3"/>
      <c r="E1789" s="3"/>
      <c r="F1789" s="9"/>
      <c r="G1789" s="248" t="str">
        <f t="shared" si="135"/>
        <v/>
      </c>
      <c r="H1789" s="1" t="b">
        <f>IF(B1789="",FALSE,COUNTIF('従業員情報(給与以外)'!$A$4:$A$1000000,$B1789)=0)</f>
        <v>0</v>
      </c>
      <c r="I1789" s="9" t="b">
        <f t="shared" si="136"/>
        <v>1</v>
      </c>
      <c r="J1789" s="9" t="b">
        <f t="shared" si="137"/>
        <v>1</v>
      </c>
      <c r="K1789" s="9" t="b">
        <f t="shared" si="138"/>
        <v>1</v>
      </c>
      <c r="L1789" s="9" t="b">
        <f t="shared" si="139"/>
        <v>1</v>
      </c>
      <c r="M1789" s="1" t="b">
        <f>IF(OR(入力シート!$C$5&lt;&gt;入力リスト!$N$4,入力シート!$J$22&lt;&gt;入力リスト!$K$4),TRUE,IF($F$2=入力リスト!$Q$4,IF(F1789-INT(F1789)&lt;0.6,TRUE,FALSE),TRUE))</f>
        <v>1</v>
      </c>
      <c r="N1789" s="9" t="str">
        <f>IF(F1789="","",IF($F$2=入力リスト!$Q$4,ROUNDDOWN(INT(F1789)+ROUNDDOWN((F1789-INT(F1789))*100,0)/60,2),従業員の給与情報!F1789))</f>
        <v/>
      </c>
      <c r="O1789" s="8"/>
      <c r="P1789" s="8"/>
    </row>
    <row r="1790" spans="1:16">
      <c r="A1790" s="119"/>
      <c r="B1790" s="2"/>
      <c r="C1790" s="3"/>
      <c r="D1790" s="3"/>
      <c r="E1790" s="3"/>
      <c r="F1790" s="9"/>
      <c r="G1790" s="248" t="str">
        <f t="shared" si="135"/>
        <v/>
      </c>
      <c r="H1790" s="1" t="b">
        <f>IF(B1790="",FALSE,COUNTIF('従業員情報(給与以外)'!$A$4:$A$1000000,$B1790)=0)</f>
        <v>0</v>
      </c>
      <c r="I1790" s="9" t="b">
        <f t="shared" si="136"/>
        <v>1</v>
      </c>
      <c r="J1790" s="9" t="b">
        <f t="shared" si="137"/>
        <v>1</v>
      </c>
      <c r="K1790" s="9" t="b">
        <f t="shared" si="138"/>
        <v>1</v>
      </c>
      <c r="L1790" s="9" t="b">
        <f t="shared" si="139"/>
        <v>1</v>
      </c>
      <c r="M1790" s="1" t="b">
        <f>IF(OR(入力シート!$C$5&lt;&gt;入力リスト!$N$4,入力シート!$J$22&lt;&gt;入力リスト!$K$4),TRUE,IF($F$2=入力リスト!$Q$4,IF(F1790-INT(F1790)&lt;0.6,TRUE,FALSE),TRUE))</f>
        <v>1</v>
      </c>
      <c r="N1790" s="9" t="str">
        <f>IF(F1790="","",IF($F$2=入力リスト!$Q$4,ROUNDDOWN(INT(F1790)+ROUNDDOWN((F1790-INT(F1790))*100,0)/60,2),従業員の給与情報!F1790))</f>
        <v/>
      </c>
      <c r="O1790" s="8"/>
      <c r="P1790" s="8"/>
    </row>
    <row r="1791" spans="1:16">
      <c r="A1791" s="119"/>
      <c r="B1791" s="2"/>
      <c r="C1791" s="3"/>
      <c r="D1791" s="3"/>
      <c r="E1791" s="3"/>
      <c r="F1791" s="9"/>
      <c r="G1791" s="248" t="str">
        <f t="shared" si="135"/>
        <v/>
      </c>
      <c r="H1791" s="1" t="b">
        <f>IF(B1791="",FALSE,COUNTIF('従業員情報(給与以外)'!$A$4:$A$1000000,$B1791)=0)</f>
        <v>0</v>
      </c>
      <c r="I1791" s="9" t="b">
        <f t="shared" si="136"/>
        <v>1</v>
      </c>
      <c r="J1791" s="9" t="b">
        <f t="shared" si="137"/>
        <v>1</v>
      </c>
      <c r="K1791" s="9" t="b">
        <f t="shared" si="138"/>
        <v>1</v>
      </c>
      <c r="L1791" s="9" t="b">
        <f t="shared" si="139"/>
        <v>1</v>
      </c>
      <c r="M1791" s="1" t="b">
        <f>IF(OR(入力シート!$C$5&lt;&gt;入力リスト!$N$4,入力シート!$J$22&lt;&gt;入力リスト!$K$4),TRUE,IF($F$2=入力リスト!$Q$4,IF(F1791-INT(F1791)&lt;0.6,TRUE,FALSE),TRUE))</f>
        <v>1</v>
      </c>
      <c r="N1791" s="9" t="str">
        <f>IF(F1791="","",IF($F$2=入力リスト!$Q$4,ROUNDDOWN(INT(F1791)+ROUNDDOWN((F1791-INT(F1791))*100,0)/60,2),従業員の給与情報!F1791))</f>
        <v/>
      </c>
      <c r="O1791" s="8"/>
      <c r="P1791" s="8"/>
    </row>
    <row r="1792" spans="1:16">
      <c r="A1792" s="119"/>
      <c r="B1792" s="2"/>
      <c r="C1792" s="3"/>
      <c r="D1792" s="3"/>
      <c r="E1792" s="3"/>
      <c r="F1792" s="9"/>
      <c r="G1792" s="248" t="str">
        <f t="shared" si="135"/>
        <v/>
      </c>
      <c r="H1792" s="1" t="b">
        <f>IF(B1792="",FALSE,COUNTIF('従業員情報(給与以外)'!$A$4:$A$1000000,$B1792)=0)</f>
        <v>0</v>
      </c>
      <c r="I1792" s="9" t="b">
        <f t="shared" si="136"/>
        <v>1</v>
      </c>
      <c r="J1792" s="9" t="b">
        <f t="shared" si="137"/>
        <v>1</v>
      </c>
      <c r="K1792" s="9" t="b">
        <f t="shared" si="138"/>
        <v>1</v>
      </c>
      <c r="L1792" s="9" t="b">
        <f t="shared" si="139"/>
        <v>1</v>
      </c>
      <c r="M1792" s="1" t="b">
        <f>IF(OR(入力シート!$C$5&lt;&gt;入力リスト!$N$4,入力シート!$J$22&lt;&gt;入力リスト!$K$4),TRUE,IF($F$2=入力リスト!$Q$4,IF(F1792-INT(F1792)&lt;0.6,TRUE,FALSE),TRUE))</f>
        <v>1</v>
      </c>
      <c r="N1792" s="9" t="str">
        <f>IF(F1792="","",IF($F$2=入力リスト!$Q$4,ROUNDDOWN(INT(F1792)+ROUNDDOWN((F1792-INT(F1792))*100,0)/60,2),従業員の給与情報!F1792))</f>
        <v/>
      </c>
      <c r="O1792" s="8"/>
      <c r="P1792" s="8"/>
    </row>
    <row r="1793" spans="1:16">
      <c r="A1793" s="119"/>
      <c r="B1793" s="2"/>
      <c r="C1793" s="3"/>
      <c r="D1793" s="3"/>
      <c r="E1793" s="3"/>
      <c r="F1793" s="9"/>
      <c r="G1793" s="248" t="str">
        <f t="shared" si="135"/>
        <v/>
      </c>
      <c r="H1793" s="1" t="b">
        <f>IF(B1793="",FALSE,COUNTIF('従業員情報(給与以外)'!$A$4:$A$1000000,$B1793)=0)</f>
        <v>0</v>
      </c>
      <c r="I1793" s="9" t="b">
        <f t="shared" si="136"/>
        <v>1</v>
      </c>
      <c r="J1793" s="9" t="b">
        <f t="shared" si="137"/>
        <v>1</v>
      </c>
      <c r="K1793" s="9" t="b">
        <f t="shared" si="138"/>
        <v>1</v>
      </c>
      <c r="L1793" s="9" t="b">
        <f t="shared" si="139"/>
        <v>1</v>
      </c>
      <c r="M1793" s="1" t="b">
        <f>IF(OR(入力シート!$C$5&lt;&gt;入力リスト!$N$4,入力シート!$J$22&lt;&gt;入力リスト!$K$4),TRUE,IF($F$2=入力リスト!$Q$4,IF(F1793-INT(F1793)&lt;0.6,TRUE,FALSE),TRUE))</f>
        <v>1</v>
      </c>
      <c r="N1793" s="9" t="str">
        <f>IF(F1793="","",IF($F$2=入力リスト!$Q$4,ROUNDDOWN(INT(F1793)+ROUNDDOWN((F1793-INT(F1793))*100,0)/60,2),従業員の給与情報!F1793))</f>
        <v/>
      </c>
      <c r="O1793" s="8"/>
      <c r="P1793" s="8"/>
    </row>
    <row r="1794" spans="1:16">
      <c r="A1794" s="119"/>
      <c r="B1794" s="2"/>
      <c r="C1794" s="3"/>
      <c r="D1794" s="3"/>
      <c r="E1794" s="3"/>
      <c r="F1794" s="9"/>
      <c r="G1794" s="248" t="str">
        <f t="shared" si="135"/>
        <v/>
      </c>
      <c r="H1794" s="1" t="b">
        <f>IF(B1794="",FALSE,COUNTIF('従業員情報(給与以外)'!$A$4:$A$1000000,$B1794)=0)</f>
        <v>0</v>
      </c>
      <c r="I1794" s="9" t="b">
        <f t="shared" si="136"/>
        <v>1</v>
      </c>
      <c r="J1794" s="9" t="b">
        <f t="shared" si="137"/>
        <v>1</v>
      </c>
      <c r="K1794" s="9" t="b">
        <f t="shared" si="138"/>
        <v>1</v>
      </c>
      <c r="L1794" s="9" t="b">
        <f t="shared" si="139"/>
        <v>1</v>
      </c>
      <c r="M1794" s="1" t="b">
        <f>IF(OR(入力シート!$C$5&lt;&gt;入力リスト!$N$4,入力シート!$J$22&lt;&gt;入力リスト!$K$4),TRUE,IF($F$2=入力リスト!$Q$4,IF(F1794-INT(F1794)&lt;0.6,TRUE,FALSE),TRUE))</f>
        <v>1</v>
      </c>
      <c r="N1794" s="9" t="str">
        <f>IF(F1794="","",IF($F$2=入力リスト!$Q$4,ROUNDDOWN(INT(F1794)+ROUNDDOWN((F1794-INT(F1794))*100,0)/60,2),従業員の給与情報!F1794))</f>
        <v/>
      </c>
      <c r="O1794" s="8"/>
      <c r="P1794" s="8"/>
    </row>
    <row r="1795" spans="1:16">
      <c r="A1795" s="119"/>
      <c r="B1795" s="2"/>
      <c r="C1795" s="3"/>
      <c r="D1795" s="3"/>
      <c r="E1795" s="3"/>
      <c r="F1795" s="9"/>
      <c r="G1795" s="248" t="str">
        <f t="shared" si="135"/>
        <v/>
      </c>
      <c r="H1795" s="1" t="b">
        <f>IF(B1795="",FALSE,COUNTIF('従業員情報(給与以外)'!$A$4:$A$1000000,$B1795)=0)</f>
        <v>0</v>
      </c>
      <c r="I1795" s="9" t="b">
        <f t="shared" si="136"/>
        <v>1</v>
      </c>
      <c r="J1795" s="9" t="b">
        <f t="shared" si="137"/>
        <v>1</v>
      </c>
      <c r="K1795" s="9" t="b">
        <f t="shared" si="138"/>
        <v>1</v>
      </c>
      <c r="L1795" s="9" t="b">
        <f t="shared" si="139"/>
        <v>1</v>
      </c>
      <c r="M1795" s="1" t="b">
        <f>IF(OR(入力シート!$C$5&lt;&gt;入力リスト!$N$4,入力シート!$J$22&lt;&gt;入力リスト!$K$4),TRUE,IF($F$2=入力リスト!$Q$4,IF(F1795-INT(F1795)&lt;0.6,TRUE,FALSE),TRUE))</f>
        <v>1</v>
      </c>
      <c r="N1795" s="9" t="str">
        <f>IF(F1795="","",IF($F$2=入力リスト!$Q$4,ROUNDDOWN(INT(F1795)+ROUNDDOWN((F1795-INT(F1795))*100,0)/60,2),従業員の給与情報!F1795))</f>
        <v/>
      </c>
      <c r="O1795" s="8"/>
      <c r="P1795" s="8"/>
    </row>
    <row r="1796" spans="1:16">
      <c r="A1796" s="119"/>
      <c r="B1796" s="2"/>
      <c r="C1796" s="3"/>
      <c r="D1796" s="3"/>
      <c r="E1796" s="3"/>
      <c r="F1796" s="9"/>
      <c r="G1796" s="248" t="str">
        <f t="shared" si="135"/>
        <v/>
      </c>
      <c r="H1796" s="1" t="b">
        <f>IF(B1796="",FALSE,COUNTIF('従業員情報(給与以外)'!$A$4:$A$1000000,$B1796)=0)</f>
        <v>0</v>
      </c>
      <c r="I1796" s="9" t="b">
        <f t="shared" si="136"/>
        <v>1</v>
      </c>
      <c r="J1796" s="9" t="b">
        <f t="shared" si="137"/>
        <v>1</v>
      </c>
      <c r="K1796" s="9" t="b">
        <f t="shared" si="138"/>
        <v>1</v>
      </c>
      <c r="L1796" s="9" t="b">
        <f t="shared" si="139"/>
        <v>1</v>
      </c>
      <c r="M1796" s="1" t="b">
        <f>IF(OR(入力シート!$C$5&lt;&gt;入力リスト!$N$4,入力シート!$J$22&lt;&gt;入力リスト!$K$4),TRUE,IF($F$2=入力リスト!$Q$4,IF(F1796-INT(F1796)&lt;0.6,TRUE,FALSE),TRUE))</f>
        <v>1</v>
      </c>
      <c r="N1796" s="9" t="str">
        <f>IF(F1796="","",IF($F$2=入力リスト!$Q$4,ROUNDDOWN(INT(F1796)+ROUNDDOWN((F1796-INT(F1796))*100,0)/60,2),従業員の給与情報!F1796))</f>
        <v/>
      </c>
      <c r="O1796" s="8"/>
      <c r="P1796" s="8"/>
    </row>
    <row r="1797" spans="1:16">
      <c r="A1797" s="119"/>
      <c r="B1797" s="2"/>
      <c r="C1797" s="3"/>
      <c r="D1797" s="3"/>
      <c r="E1797" s="3"/>
      <c r="F1797" s="9"/>
      <c r="G1797" s="248" t="str">
        <f t="shared" ref="G1797:G1860" si="140">IF(AND($B1797="",OR(B1797&lt;&gt;"",C1797&lt;&gt;"",D1797&lt;&gt;"",E1797&lt;&gt;"",F1797&lt;&gt;"")),"従業員番号が空白です。",IF($H1797=TRUE,"この従業員番号は、シート［従業員情報（給与以外）］に存在しません。",IF(I1797=FALSE,"「毎月の固定給与額」","")&amp;IF(AND(I1797=FALSE,OR(J1797=FALSE,K1797=FALSE,L1797=FALSE)),",","")&amp;IF(J1797=FALSE,"「賞与額等」","")&amp;IF(AND(J1797=FALSE,OR(K1797=FALSE,L1797=FALSE)),",","")&amp;IF(K1797=FALSE,"「残業手当」","")&amp;IF(AND(K1797=FALSE,L1797=FALSE),",","")&amp;IF(L1797=FALSE,"「残業時間」","")&amp;IF(OR(I1797=FALSE,J1797=FALSE,K1797=FALSE,L1797=FALSE),"に数値以外が入力されています。","")&amp;IF(M1797,"","「残業時間」を分単位で入力した場合、小数点以下の値は0.6未満にしてください。")))</f>
        <v/>
      </c>
      <c r="H1797" s="1" t="b">
        <f>IF(B1797="",FALSE,COUNTIF('従業員情報(給与以外)'!$A$4:$A$1000000,$B1797)=0)</f>
        <v>0</v>
      </c>
      <c r="I1797" s="9" t="b">
        <f t="shared" ref="I1797:I1860" si="141">OR(C1797="",ISNUMBER(C1797))</f>
        <v>1</v>
      </c>
      <c r="J1797" s="9" t="b">
        <f t="shared" ref="J1797:J1860" si="142">OR(D1797="",ISNUMBER(D1797))</f>
        <v>1</v>
      </c>
      <c r="K1797" s="9" t="b">
        <f t="shared" ref="K1797:K1860" si="143">OR(E1797="",ISNUMBER(E1797))</f>
        <v>1</v>
      </c>
      <c r="L1797" s="9" t="b">
        <f t="shared" ref="L1797:L1860" si="144">OR(F1797="",ISNUMBER(F1797))</f>
        <v>1</v>
      </c>
      <c r="M1797" s="1" t="b">
        <f>IF(OR(入力シート!$C$5&lt;&gt;入力リスト!$N$4,入力シート!$J$22&lt;&gt;入力リスト!$K$4),TRUE,IF($F$2=入力リスト!$Q$4,IF(F1797-INT(F1797)&lt;0.6,TRUE,FALSE),TRUE))</f>
        <v>1</v>
      </c>
      <c r="N1797" s="9" t="str">
        <f>IF(F1797="","",IF($F$2=入力リスト!$Q$4,ROUNDDOWN(INT(F1797)+ROUNDDOWN((F1797-INT(F1797))*100,0)/60,2),従業員の給与情報!F1797))</f>
        <v/>
      </c>
      <c r="O1797" s="8"/>
      <c r="P1797" s="8"/>
    </row>
    <row r="1798" spans="1:16">
      <c r="A1798" s="119"/>
      <c r="B1798" s="2"/>
      <c r="C1798" s="3"/>
      <c r="D1798" s="3"/>
      <c r="E1798" s="3"/>
      <c r="F1798" s="9"/>
      <c r="G1798" s="248" t="str">
        <f t="shared" si="140"/>
        <v/>
      </c>
      <c r="H1798" s="1" t="b">
        <f>IF(B1798="",FALSE,COUNTIF('従業員情報(給与以外)'!$A$4:$A$1000000,$B1798)=0)</f>
        <v>0</v>
      </c>
      <c r="I1798" s="9" t="b">
        <f t="shared" si="141"/>
        <v>1</v>
      </c>
      <c r="J1798" s="9" t="b">
        <f t="shared" si="142"/>
        <v>1</v>
      </c>
      <c r="K1798" s="9" t="b">
        <f t="shared" si="143"/>
        <v>1</v>
      </c>
      <c r="L1798" s="9" t="b">
        <f t="shared" si="144"/>
        <v>1</v>
      </c>
      <c r="M1798" s="1" t="b">
        <f>IF(OR(入力シート!$C$5&lt;&gt;入力リスト!$N$4,入力シート!$J$22&lt;&gt;入力リスト!$K$4),TRUE,IF($F$2=入力リスト!$Q$4,IF(F1798-INT(F1798)&lt;0.6,TRUE,FALSE),TRUE))</f>
        <v>1</v>
      </c>
      <c r="N1798" s="9" t="str">
        <f>IF(F1798="","",IF($F$2=入力リスト!$Q$4,ROUNDDOWN(INT(F1798)+ROUNDDOWN((F1798-INT(F1798))*100,0)/60,2),従業員の給与情報!F1798))</f>
        <v/>
      </c>
      <c r="O1798" s="8"/>
      <c r="P1798" s="8"/>
    </row>
    <row r="1799" spans="1:16">
      <c r="A1799" s="119"/>
      <c r="B1799" s="2"/>
      <c r="C1799" s="3"/>
      <c r="D1799" s="3"/>
      <c r="E1799" s="3"/>
      <c r="F1799" s="9"/>
      <c r="G1799" s="248" t="str">
        <f t="shared" si="140"/>
        <v/>
      </c>
      <c r="H1799" s="1" t="b">
        <f>IF(B1799="",FALSE,COUNTIF('従業員情報(給与以外)'!$A$4:$A$1000000,$B1799)=0)</f>
        <v>0</v>
      </c>
      <c r="I1799" s="9" t="b">
        <f t="shared" si="141"/>
        <v>1</v>
      </c>
      <c r="J1799" s="9" t="b">
        <f t="shared" si="142"/>
        <v>1</v>
      </c>
      <c r="K1799" s="9" t="b">
        <f t="shared" si="143"/>
        <v>1</v>
      </c>
      <c r="L1799" s="9" t="b">
        <f t="shared" si="144"/>
        <v>1</v>
      </c>
      <c r="M1799" s="1" t="b">
        <f>IF(OR(入力シート!$C$5&lt;&gt;入力リスト!$N$4,入力シート!$J$22&lt;&gt;入力リスト!$K$4),TRUE,IF($F$2=入力リスト!$Q$4,IF(F1799-INT(F1799)&lt;0.6,TRUE,FALSE),TRUE))</f>
        <v>1</v>
      </c>
      <c r="N1799" s="9" t="str">
        <f>IF(F1799="","",IF($F$2=入力リスト!$Q$4,ROUNDDOWN(INT(F1799)+ROUNDDOWN((F1799-INT(F1799))*100,0)/60,2),従業員の給与情報!F1799))</f>
        <v/>
      </c>
      <c r="O1799" s="8"/>
      <c r="P1799" s="8"/>
    </row>
    <row r="1800" spans="1:16">
      <c r="A1800" s="119"/>
      <c r="B1800" s="2"/>
      <c r="C1800" s="3"/>
      <c r="D1800" s="3"/>
      <c r="E1800" s="3"/>
      <c r="F1800" s="9"/>
      <c r="G1800" s="248" t="str">
        <f t="shared" si="140"/>
        <v/>
      </c>
      <c r="H1800" s="1" t="b">
        <f>IF(B1800="",FALSE,COUNTIF('従業員情報(給与以外)'!$A$4:$A$1000000,$B1800)=0)</f>
        <v>0</v>
      </c>
      <c r="I1800" s="9" t="b">
        <f t="shared" si="141"/>
        <v>1</v>
      </c>
      <c r="J1800" s="9" t="b">
        <f t="shared" si="142"/>
        <v>1</v>
      </c>
      <c r="K1800" s="9" t="b">
        <f t="shared" si="143"/>
        <v>1</v>
      </c>
      <c r="L1800" s="9" t="b">
        <f t="shared" si="144"/>
        <v>1</v>
      </c>
      <c r="M1800" s="1" t="b">
        <f>IF(OR(入力シート!$C$5&lt;&gt;入力リスト!$N$4,入力シート!$J$22&lt;&gt;入力リスト!$K$4),TRUE,IF($F$2=入力リスト!$Q$4,IF(F1800-INT(F1800)&lt;0.6,TRUE,FALSE),TRUE))</f>
        <v>1</v>
      </c>
      <c r="N1800" s="9" t="str">
        <f>IF(F1800="","",IF($F$2=入力リスト!$Q$4,ROUNDDOWN(INT(F1800)+ROUNDDOWN((F1800-INT(F1800))*100,0)/60,2),従業員の給与情報!F1800))</f>
        <v/>
      </c>
      <c r="O1800" s="8"/>
      <c r="P1800" s="8"/>
    </row>
    <row r="1801" spans="1:16">
      <c r="A1801" s="119"/>
      <c r="B1801" s="2"/>
      <c r="C1801" s="3"/>
      <c r="D1801" s="3"/>
      <c r="E1801" s="3"/>
      <c r="F1801" s="9"/>
      <c r="G1801" s="248" t="str">
        <f t="shared" si="140"/>
        <v/>
      </c>
      <c r="H1801" s="1" t="b">
        <f>IF(B1801="",FALSE,COUNTIF('従業員情報(給与以外)'!$A$4:$A$1000000,$B1801)=0)</f>
        <v>0</v>
      </c>
      <c r="I1801" s="9" t="b">
        <f t="shared" si="141"/>
        <v>1</v>
      </c>
      <c r="J1801" s="9" t="b">
        <f t="shared" si="142"/>
        <v>1</v>
      </c>
      <c r="K1801" s="9" t="b">
        <f t="shared" si="143"/>
        <v>1</v>
      </c>
      <c r="L1801" s="9" t="b">
        <f t="shared" si="144"/>
        <v>1</v>
      </c>
      <c r="M1801" s="1" t="b">
        <f>IF(OR(入力シート!$C$5&lt;&gt;入力リスト!$N$4,入力シート!$J$22&lt;&gt;入力リスト!$K$4),TRUE,IF($F$2=入力リスト!$Q$4,IF(F1801-INT(F1801)&lt;0.6,TRUE,FALSE),TRUE))</f>
        <v>1</v>
      </c>
      <c r="N1801" s="9" t="str">
        <f>IF(F1801="","",IF($F$2=入力リスト!$Q$4,ROUNDDOWN(INT(F1801)+ROUNDDOWN((F1801-INT(F1801))*100,0)/60,2),従業員の給与情報!F1801))</f>
        <v/>
      </c>
      <c r="O1801" s="8"/>
      <c r="P1801" s="8"/>
    </row>
    <row r="1802" spans="1:16">
      <c r="A1802" s="119"/>
      <c r="B1802" s="2"/>
      <c r="C1802" s="3"/>
      <c r="D1802" s="3"/>
      <c r="E1802" s="3"/>
      <c r="F1802" s="9"/>
      <c r="G1802" s="248" t="str">
        <f t="shared" si="140"/>
        <v/>
      </c>
      <c r="H1802" s="1" t="b">
        <f>IF(B1802="",FALSE,COUNTIF('従業員情報(給与以外)'!$A$4:$A$1000000,$B1802)=0)</f>
        <v>0</v>
      </c>
      <c r="I1802" s="9" t="b">
        <f t="shared" si="141"/>
        <v>1</v>
      </c>
      <c r="J1802" s="9" t="b">
        <f t="shared" si="142"/>
        <v>1</v>
      </c>
      <c r="K1802" s="9" t="b">
        <f t="shared" si="143"/>
        <v>1</v>
      </c>
      <c r="L1802" s="9" t="b">
        <f t="shared" si="144"/>
        <v>1</v>
      </c>
      <c r="M1802" s="1" t="b">
        <f>IF(OR(入力シート!$C$5&lt;&gt;入力リスト!$N$4,入力シート!$J$22&lt;&gt;入力リスト!$K$4),TRUE,IF($F$2=入力リスト!$Q$4,IF(F1802-INT(F1802)&lt;0.6,TRUE,FALSE),TRUE))</f>
        <v>1</v>
      </c>
      <c r="N1802" s="9" t="str">
        <f>IF(F1802="","",IF($F$2=入力リスト!$Q$4,ROUNDDOWN(INT(F1802)+ROUNDDOWN((F1802-INT(F1802))*100,0)/60,2),従業員の給与情報!F1802))</f>
        <v/>
      </c>
      <c r="O1802" s="8"/>
      <c r="P1802" s="8"/>
    </row>
    <row r="1803" spans="1:16">
      <c r="A1803" s="119"/>
      <c r="B1803" s="2"/>
      <c r="C1803" s="3"/>
      <c r="D1803" s="3"/>
      <c r="E1803" s="3"/>
      <c r="F1803" s="9"/>
      <c r="G1803" s="248" t="str">
        <f t="shared" si="140"/>
        <v/>
      </c>
      <c r="H1803" s="1" t="b">
        <f>IF(B1803="",FALSE,COUNTIF('従業員情報(給与以外)'!$A$4:$A$1000000,$B1803)=0)</f>
        <v>0</v>
      </c>
      <c r="I1803" s="9" t="b">
        <f t="shared" si="141"/>
        <v>1</v>
      </c>
      <c r="J1803" s="9" t="b">
        <f t="shared" si="142"/>
        <v>1</v>
      </c>
      <c r="K1803" s="9" t="b">
        <f t="shared" si="143"/>
        <v>1</v>
      </c>
      <c r="L1803" s="9" t="b">
        <f t="shared" si="144"/>
        <v>1</v>
      </c>
      <c r="M1803" s="1" t="b">
        <f>IF(OR(入力シート!$C$5&lt;&gt;入力リスト!$N$4,入力シート!$J$22&lt;&gt;入力リスト!$K$4),TRUE,IF($F$2=入力リスト!$Q$4,IF(F1803-INT(F1803)&lt;0.6,TRUE,FALSE),TRUE))</f>
        <v>1</v>
      </c>
      <c r="N1803" s="9" t="str">
        <f>IF(F1803="","",IF($F$2=入力リスト!$Q$4,ROUNDDOWN(INT(F1803)+ROUNDDOWN((F1803-INT(F1803))*100,0)/60,2),従業員の給与情報!F1803))</f>
        <v/>
      </c>
      <c r="O1803" s="8"/>
      <c r="P1803" s="8"/>
    </row>
    <row r="1804" spans="1:16">
      <c r="A1804" s="119"/>
      <c r="B1804" s="2"/>
      <c r="C1804" s="3"/>
      <c r="D1804" s="3"/>
      <c r="E1804" s="3"/>
      <c r="F1804" s="9"/>
      <c r="G1804" s="248" t="str">
        <f t="shared" si="140"/>
        <v/>
      </c>
      <c r="H1804" s="1" t="b">
        <f>IF(B1804="",FALSE,COUNTIF('従業員情報(給与以外)'!$A$4:$A$1000000,$B1804)=0)</f>
        <v>0</v>
      </c>
      <c r="I1804" s="9" t="b">
        <f t="shared" si="141"/>
        <v>1</v>
      </c>
      <c r="J1804" s="9" t="b">
        <f t="shared" si="142"/>
        <v>1</v>
      </c>
      <c r="K1804" s="9" t="b">
        <f t="shared" si="143"/>
        <v>1</v>
      </c>
      <c r="L1804" s="9" t="b">
        <f t="shared" si="144"/>
        <v>1</v>
      </c>
      <c r="M1804" s="1" t="b">
        <f>IF(OR(入力シート!$C$5&lt;&gt;入力リスト!$N$4,入力シート!$J$22&lt;&gt;入力リスト!$K$4),TRUE,IF($F$2=入力リスト!$Q$4,IF(F1804-INT(F1804)&lt;0.6,TRUE,FALSE),TRUE))</f>
        <v>1</v>
      </c>
      <c r="N1804" s="9" t="str">
        <f>IF(F1804="","",IF($F$2=入力リスト!$Q$4,ROUNDDOWN(INT(F1804)+ROUNDDOWN((F1804-INT(F1804))*100,0)/60,2),従業員の給与情報!F1804))</f>
        <v/>
      </c>
      <c r="O1804" s="8"/>
      <c r="P1804" s="8"/>
    </row>
    <row r="1805" spans="1:16">
      <c r="A1805" s="119"/>
      <c r="B1805" s="2"/>
      <c r="C1805" s="3"/>
      <c r="D1805" s="3"/>
      <c r="E1805" s="3"/>
      <c r="F1805" s="9"/>
      <c r="G1805" s="248" t="str">
        <f t="shared" si="140"/>
        <v/>
      </c>
      <c r="H1805" s="1" t="b">
        <f>IF(B1805="",FALSE,COUNTIF('従業員情報(給与以外)'!$A$4:$A$1000000,$B1805)=0)</f>
        <v>0</v>
      </c>
      <c r="I1805" s="9" t="b">
        <f t="shared" si="141"/>
        <v>1</v>
      </c>
      <c r="J1805" s="9" t="b">
        <f t="shared" si="142"/>
        <v>1</v>
      </c>
      <c r="K1805" s="9" t="b">
        <f t="shared" si="143"/>
        <v>1</v>
      </c>
      <c r="L1805" s="9" t="b">
        <f t="shared" si="144"/>
        <v>1</v>
      </c>
      <c r="M1805" s="1" t="b">
        <f>IF(OR(入力シート!$C$5&lt;&gt;入力リスト!$N$4,入力シート!$J$22&lt;&gt;入力リスト!$K$4),TRUE,IF($F$2=入力リスト!$Q$4,IF(F1805-INT(F1805)&lt;0.6,TRUE,FALSE),TRUE))</f>
        <v>1</v>
      </c>
      <c r="N1805" s="9" t="str">
        <f>IF(F1805="","",IF($F$2=入力リスト!$Q$4,ROUNDDOWN(INT(F1805)+ROUNDDOWN((F1805-INT(F1805))*100,0)/60,2),従業員の給与情報!F1805))</f>
        <v/>
      </c>
      <c r="O1805" s="8"/>
      <c r="P1805" s="8"/>
    </row>
    <row r="1806" spans="1:16">
      <c r="A1806" s="119"/>
      <c r="B1806" s="2"/>
      <c r="C1806" s="3"/>
      <c r="D1806" s="3"/>
      <c r="E1806" s="3"/>
      <c r="F1806" s="9"/>
      <c r="G1806" s="248" t="str">
        <f t="shared" si="140"/>
        <v/>
      </c>
      <c r="H1806" s="1" t="b">
        <f>IF(B1806="",FALSE,COUNTIF('従業員情報(給与以外)'!$A$4:$A$1000000,$B1806)=0)</f>
        <v>0</v>
      </c>
      <c r="I1806" s="9" t="b">
        <f t="shared" si="141"/>
        <v>1</v>
      </c>
      <c r="J1806" s="9" t="b">
        <f t="shared" si="142"/>
        <v>1</v>
      </c>
      <c r="K1806" s="9" t="b">
        <f t="shared" si="143"/>
        <v>1</v>
      </c>
      <c r="L1806" s="9" t="b">
        <f t="shared" si="144"/>
        <v>1</v>
      </c>
      <c r="M1806" s="1" t="b">
        <f>IF(OR(入力シート!$C$5&lt;&gt;入力リスト!$N$4,入力シート!$J$22&lt;&gt;入力リスト!$K$4),TRUE,IF($F$2=入力リスト!$Q$4,IF(F1806-INT(F1806)&lt;0.6,TRUE,FALSE),TRUE))</f>
        <v>1</v>
      </c>
      <c r="N1806" s="9" t="str">
        <f>IF(F1806="","",IF($F$2=入力リスト!$Q$4,ROUNDDOWN(INT(F1806)+ROUNDDOWN((F1806-INT(F1806))*100,0)/60,2),従業員の給与情報!F1806))</f>
        <v/>
      </c>
      <c r="O1806" s="8"/>
      <c r="P1806" s="8"/>
    </row>
    <row r="1807" spans="1:16">
      <c r="A1807" s="119"/>
      <c r="B1807" s="2"/>
      <c r="C1807" s="3"/>
      <c r="D1807" s="3"/>
      <c r="E1807" s="3"/>
      <c r="F1807" s="9"/>
      <c r="G1807" s="248" t="str">
        <f t="shared" si="140"/>
        <v/>
      </c>
      <c r="H1807" s="1" t="b">
        <f>IF(B1807="",FALSE,COUNTIF('従業員情報(給与以外)'!$A$4:$A$1000000,$B1807)=0)</f>
        <v>0</v>
      </c>
      <c r="I1807" s="9" t="b">
        <f t="shared" si="141"/>
        <v>1</v>
      </c>
      <c r="J1807" s="9" t="b">
        <f t="shared" si="142"/>
        <v>1</v>
      </c>
      <c r="K1807" s="9" t="b">
        <f t="shared" si="143"/>
        <v>1</v>
      </c>
      <c r="L1807" s="9" t="b">
        <f t="shared" si="144"/>
        <v>1</v>
      </c>
      <c r="M1807" s="1" t="b">
        <f>IF(OR(入力シート!$C$5&lt;&gt;入力リスト!$N$4,入力シート!$J$22&lt;&gt;入力リスト!$K$4),TRUE,IF($F$2=入力リスト!$Q$4,IF(F1807-INT(F1807)&lt;0.6,TRUE,FALSE),TRUE))</f>
        <v>1</v>
      </c>
      <c r="N1807" s="9" t="str">
        <f>IF(F1807="","",IF($F$2=入力リスト!$Q$4,ROUNDDOWN(INT(F1807)+ROUNDDOWN((F1807-INT(F1807))*100,0)/60,2),従業員の給与情報!F1807))</f>
        <v/>
      </c>
      <c r="O1807" s="8"/>
      <c r="P1807" s="8"/>
    </row>
    <row r="1808" spans="1:16">
      <c r="A1808" s="119"/>
      <c r="B1808" s="2"/>
      <c r="C1808" s="3"/>
      <c r="D1808" s="3"/>
      <c r="E1808" s="3"/>
      <c r="F1808" s="9"/>
      <c r="G1808" s="248" t="str">
        <f t="shared" si="140"/>
        <v/>
      </c>
      <c r="H1808" s="1" t="b">
        <f>IF(B1808="",FALSE,COUNTIF('従業員情報(給与以外)'!$A$4:$A$1000000,$B1808)=0)</f>
        <v>0</v>
      </c>
      <c r="I1808" s="9" t="b">
        <f t="shared" si="141"/>
        <v>1</v>
      </c>
      <c r="J1808" s="9" t="b">
        <f t="shared" si="142"/>
        <v>1</v>
      </c>
      <c r="K1808" s="9" t="b">
        <f t="shared" si="143"/>
        <v>1</v>
      </c>
      <c r="L1808" s="9" t="b">
        <f t="shared" si="144"/>
        <v>1</v>
      </c>
      <c r="M1808" s="1" t="b">
        <f>IF(OR(入力シート!$C$5&lt;&gt;入力リスト!$N$4,入力シート!$J$22&lt;&gt;入力リスト!$K$4),TRUE,IF($F$2=入力リスト!$Q$4,IF(F1808-INT(F1808)&lt;0.6,TRUE,FALSE),TRUE))</f>
        <v>1</v>
      </c>
      <c r="N1808" s="9" t="str">
        <f>IF(F1808="","",IF($F$2=入力リスト!$Q$4,ROUNDDOWN(INT(F1808)+ROUNDDOWN((F1808-INT(F1808))*100,0)/60,2),従業員の給与情報!F1808))</f>
        <v/>
      </c>
      <c r="O1808" s="8"/>
      <c r="P1808" s="8"/>
    </row>
    <row r="1809" spans="1:16">
      <c r="A1809" s="119"/>
      <c r="B1809" s="2"/>
      <c r="C1809" s="3"/>
      <c r="D1809" s="3"/>
      <c r="E1809" s="3"/>
      <c r="F1809" s="9"/>
      <c r="G1809" s="248" t="str">
        <f t="shared" si="140"/>
        <v/>
      </c>
      <c r="H1809" s="1" t="b">
        <f>IF(B1809="",FALSE,COUNTIF('従業員情報(給与以外)'!$A$4:$A$1000000,$B1809)=0)</f>
        <v>0</v>
      </c>
      <c r="I1809" s="9" t="b">
        <f t="shared" si="141"/>
        <v>1</v>
      </c>
      <c r="J1809" s="9" t="b">
        <f t="shared" si="142"/>
        <v>1</v>
      </c>
      <c r="K1809" s="9" t="b">
        <f t="shared" si="143"/>
        <v>1</v>
      </c>
      <c r="L1809" s="9" t="b">
        <f t="shared" si="144"/>
        <v>1</v>
      </c>
      <c r="M1809" s="1" t="b">
        <f>IF(OR(入力シート!$C$5&lt;&gt;入力リスト!$N$4,入力シート!$J$22&lt;&gt;入力リスト!$K$4),TRUE,IF($F$2=入力リスト!$Q$4,IF(F1809-INT(F1809)&lt;0.6,TRUE,FALSE),TRUE))</f>
        <v>1</v>
      </c>
      <c r="N1809" s="9" t="str">
        <f>IF(F1809="","",IF($F$2=入力リスト!$Q$4,ROUNDDOWN(INT(F1809)+ROUNDDOWN((F1809-INT(F1809))*100,0)/60,2),従業員の給与情報!F1809))</f>
        <v/>
      </c>
      <c r="O1809" s="8"/>
      <c r="P1809" s="8"/>
    </row>
    <row r="1810" spans="1:16">
      <c r="A1810" s="119"/>
      <c r="B1810" s="2"/>
      <c r="C1810" s="3"/>
      <c r="D1810" s="3"/>
      <c r="E1810" s="3"/>
      <c r="F1810" s="9"/>
      <c r="G1810" s="248" t="str">
        <f t="shared" si="140"/>
        <v/>
      </c>
      <c r="H1810" s="1" t="b">
        <f>IF(B1810="",FALSE,COUNTIF('従業員情報(給与以外)'!$A$4:$A$1000000,$B1810)=0)</f>
        <v>0</v>
      </c>
      <c r="I1810" s="9" t="b">
        <f t="shared" si="141"/>
        <v>1</v>
      </c>
      <c r="J1810" s="9" t="b">
        <f t="shared" si="142"/>
        <v>1</v>
      </c>
      <c r="K1810" s="9" t="b">
        <f t="shared" si="143"/>
        <v>1</v>
      </c>
      <c r="L1810" s="9" t="b">
        <f t="shared" si="144"/>
        <v>1</v>
      </c>
      <c r="M1810" s="1" t="b">
        <f>IF(OR(入力シート!$C$5&lt;&gt;入力リスト!$N$4,入力シート!$J$22&lt;&gt;入力リスト!$K$4),TRUE,IF($F$2=入力リスト!$Q$4,IF(F1810-INT(F1810)&lt;0.6,TRUE,FALSE),TRUE))</f>
        <v>1</v>
      </c>
      <c r="N1810" s="9" t="str">
        <f>IF(F1810="","",IF($F$2=入力リスト!$Q$4,ROUNDDOWN(INT(F1810)+ROUNDDOWN((F1810-INT(F1810))*100,0)/60,2),従業員の給与情報!F1810))</f>
        <v/>
      </c>
      <c r="O1810" s="8"/>
      <c r="P1810" s="8"/>
    </row>
    <row r="1811" spans="1:16">
      <c r="A1811" s="119"/>
      <c r="B1811" s="2"/>
      <c r="C1811" s="3"/>
      <c r="D1811" s="3"/>
      <c r="E1811" s="3"/>
      <c r="F1811" s="9"/>
      <c r="G1811" s="248" t="str">
        <f t="shared" si="140"/>
        <v/>
      </c>
      <c r="H1811" s="1" t="b">
        <f>IF(B1811="",FALSE,COUNTIF('従業員情報(給与以外)'!$A$4:$A$1000000,$B1811)=0)</f>
        <v>0</v>
      </c>
      <c r="I1811" s="9" t="b">
        <f t="shared" si="141"/>
        <v>1</v>
      </c>
      <c r="J1811" s="9" t="b">
        <f t="shared" si="142"/>
        <v>1</v>
      </c>
      <c r="K1811" s="9" t="b">
        <f t="shared" si="143"/>
        <v>1</v>
      </c>
      <c r="L1811" s="9" t="b">
        <f t="shared" si="144"/>
        <v>1</v>
      </c>
      <c r="M1811" s="1" t="b">
        <f>IF(OR(入力シート!$C$5&lt;&gt;入力リスト!$N$4,入力シート!$J$22&lt;&gt;入力リスト!$K$4),TRUE,IF($F$2=入力リスト!$Q$4,IF(F1811-INT(F1811)&lt;0.6,TRUE,FALSE),TRUE))</f>
        <v>1</v>
      </c>
      <c r="N1811" s="9" t="str">
        <f>IF(F1811="","",IF($F$2=入力リスト!$Q$4,ROUNDDOWN(INT(F1811)+ROUNDDOWN((F1811-INT(F1811))*100,0)/60,2),従業員の給与情報!F1811))</f>
        <v/>
      </c>
      <c r="O1811" s="8"/>
      <c r="P1811" s="8"/>
    </row>
    <row r="1812" spans="1:16">
      <c r="A1812" s="119"/>
      <c r="B1812" s="2"/>
      <c r="C1812" s="3"/>
      <c r="D1812" s="3"/>
      <c r="E1812" s="3"/>
      <c r="F1812" s="9"/>
      <c r="G1812" s="248" t="str">
        <f t="shared" si="140"/>
        <v/>
      </c>
      <c r="H1812" s="1" t="b">
        <f>IF(B1812="",FALSE,COUNTIF('従業員情報(給与以外)'!$A$4:$A$1000000,$B1812)=0)</f>
        <v>0</v>
      </c>
      <c r="I1812" s="9" t="b">
        <f t="shared" si="141"/>
        <v>1</v>
      </c>
      <c r="J1812" s="9" t="b">
        <f t="shared" si="142"/>
        <v>1</v>
      </c>
      <c r="K1812" s="9" t="b">
        <f t="shared" si="143"/>
        <v>1</v>
      </c>
      <c r="L1812" s="9" t="b">
        <f t="shared" si="144"/>
        <v>1</v>
      </c>
      <c r="M1812" s="1" t="b">
        <f>IF(OR(入力シート!$C$5&lt;&gt;入力リスト!$N$4,入力シート!$J$22&lt;&gt;入力リスト!$K$4),TRUE,IF($F$2=入力リスト!$Q$4,IF(F1812-INT(F1812)&lt;0.6,TRUE,FALSE),TRUE))</f>
        <v>1</v>
      </c>
      <c r="N1812" s="9" t="str">
        <f>IF(F1812="","",IF($F$2=入力リスト!$Q$4,ROUNDDOWN(INT(F1812)+ROUNDDOWN((F1812-INT(F1812))*100,0)/60,2),従業員の給与情報!F1812))</f>
        <v/>
      </c>
      <c r="O1812" s="8"/>
      <c r="P1812" s="8"/>
    </row>
    <row r="1813" spans="1:16">
      <c r="A1813" s="119"/>
      <c r="B1813" s="2"/>
      <c r="C1813" s="3"/>
      <c r="D1813" s="3"/>
      <c r="E1813" s="3"/>
      <c r="F1813" s="9"/>
      <c r="G1813" s="248" t="str">
        <f t="shared" si="140"/>
        <v/>
      </c>
      <c r="H1813" s="1" t="b">
        <f>IF(B1813="",FALSE,COUNTIF('従業員情報(給与以外)'!$A$4:$A$1000000,$B1813)=0)</f>
        <v>0</v>
      </c>
      <c r="I1813" s="9" t="b">
        <f t="shared" si="141"/>
        <v>1</v>
      </c>
      <c r="J1813" s="9" t="b">
        <f t="shared" si="142"/>
        <v>1</v>
      </c>
      <c r="K1813" s="9" t="b">
        <f t="shared" si="143"/>
        <v>1</v>
      </c>
      <c r="L1813" s="9" t="b">
        <f t="shared" si="144"/>
        <v>1</v>
      </c>
      <c r="M1813" s="1" t="b">
        <f>IF(OR(入力シート!$C$5&lt;&gt;入力リスト!$N$4,入力シート!$J$22&lt;&gt;入力リスト!$K$4),TRUE,IF($F$2=入力リスト!$Q$4,IF(F1813-INT(F1813)&lt;0.6,TRUE,FALSE),TRUE))</f>
        <v>1</v>
      </c>
      <c r="N1813" s="9" t="str">
        <f>IF(F1813="","",IF($F$2=入力リスト!$Q$4,ROUNDDOWN(INT(F1813)+ROUNDDOWN((F1813-INT(F1813))*100,0)/60,2),従業員の給与情報!F1813))</f>
        <v/>
      </c>
      <c r="O1813" s="8"/>
      <c r="P1813" s="8"/>
    </row>
    <row r="1814" spans="1:16">
      <c r="A1814" s="119"/>
      <c r="B1814" s="2"/>
      <c r="C1814" s="3"/>
      <c r="D1814" s="3"/>
      <c r="E1814" s="3"/>
      <c r="F1814" s="9"/>
      <c r="G1814" s="248" t="str">
        <f t="shared" si="140"/>
        <v/>
      </c>
      <c r="H1814" s="1" t="b">
        <f>IF(B1814="",FALSE,COUNTIF('従業員情報(給与以外)'!$A$4:$A$1000000,$B1814)=0)</f>
        <v>0</v>
      </c>
      <c r="I1814" s="9" t="b">
        <f t="shared" si="141"/>
        <v>1</v>
      </c>
      <c r="J1814" s="9" t="b">
        <f t="shared" si="142"/>
        <v>1</v>
      </c>
      <c r="K1814" s="9" t="b">
        <f t="shared" si="143"/>
        <v>1</v>
      </c>
      <c r="L1814" s="9" t="b">
        <f t="shared" si="144"/>
        <v>1</v>
      </c>
      <c r="M1814" s="1" t="b">
        <f>IF(OR(入力シート!$C$5&lt;&gt;入力リスト!$N$4,入力シート!$J$22&lt;&gt;入力リスト!$K$4),TRUE,IF($F$2=入力リスト!$Q$4,IF(F1814-INT(F1814)&lt;0.6,TRUE,FALSE),TRUE))</f>
        <v>1</v>
      </c>
      <c r="N1814" s="9" t="str">
        <f>IF(F1814="","",IF($F$2=入力リスト!$Q$4,ROUNDDOWN(INT(F1814)+ROUNDDOWN((F1814-INT(F1814))*100,0)/60,2),従業員の給与情報!F1814))</f>
        <v/>
      </c>
      <c r="O1814" s="8"/>
      <c r="P1814" s="8"/>
    </row>
    <row r="1815" spans="1:16">
      <c r="A1815" s="119"/>
      <c r="B1815" s="2"/>
      <c r="C1815" s="3"/>
      <c r="D1815" s="3"/>
      <c r="E1815" s="3"/>
      <c r="F1815" s="9"/>
      <c r="G1815" s="248" t="str">
        <f t="shared" si="140"/>
        <v/>
      </c>
      <c r="H1815" s="1" t="b">
        <f>IF(B1815="",FALSE,COUNTIF('従業員情報(給与以外)'!$A$4:$A$1000000,$B1815)=0)</f>
        <v>0</v>
      </c>
      <c r="I1815" s="9" t="b">
        <f t="shared" si="141"/>
        <v>1</v>
      </c>
      <c r="J1815" s="9" t="b">
        <f t="shared" si="142"/>
        <v>1</v>
      </c>
      <c r="K1815" s="9" t="b">
        <f t="shared" si="143"/>
        <v>1</v>
      </c>
      <c r="L1815" s="9" t="b">
        <f t="shared" si="144"/>
        <v>1</v>
      </c>
      <c r="M1815" s="1" t="b">
        <f>IF(OR(入力シート!$C$5&lt;&gt;入力リスト!$N$4,入力シート!$J$22&lt;&gt;入力リスト!$K$4),TRUE,IF($F$2=入力リスト!$Q$4,IF(F1815-INT(F1815)&lt;0.6,TRUE,FALSE),TRUE))</f>
        <v>1</v>
      </c>
      <c r="N1815" s="9" t="str">
        <f>IF(F1815="","",IF($F$2=入力リスト!$Q$4,ROUNDDOWN(INT(F1815)+ROUNDDOWN((F1815-INT(F1815))*100,0)/60,2),従業員の給与情報!F1815))</f>
        <v/>
      </c>
      <c r="O1815" s="8"/>
      <c r="P1815" s="8"/>
    </row>
    <row r="1816" spans="1:16">
      <c r="A1816" s="119"/>
      <c r="B1816" s="2"/>
      <c r="C1816" s="3"/>
      <c r="D1816" s="3"/>
      <c r="E1816" s="3"/>
      <c r="F1816" s="9"/>
      <c r="G1816" s="248" t="str">
        <f t="shared" si="140"/>
        <v/>
      </c>
      <c r="H1816" s="1" t="b">
        <f>IF(B1816="",FALSE,COUNTIF('従業員情報(給与以外)'!$A$4:$A$1000000,$B1816)=0)</f>
        <v>0</v>
      </c>
      <c r="I1816" s="9" t="b">
        <f t="shared" si="141"/>
        <v>1</v>
      </c>
      <c r="J1816" s="9" t="b">
        <f t="shared" si="142"/>
        <v>1</v>
      </c>
      <c r="K1816" s="9" t="b">
        <f t="shared" si="143"/>
        <v>1</v>
      </c>
      <c r="L1816" s="9" t="b">
        <f t="shared" si="144"/>
        <v>1</v>
      </c>
      <c r="M1816" s="1" t="b">
        <f>IF(OR(入力シート!$C$5&lt;&gt;入力リスト!$N$4,入力シート!$J$22&lt;&gt;入力リスト!$K$4),TRUE,IF($F$2=入力リスト!$Q$4,IF(F1816-INT(F1816)&lt;0.6,TRUE,FALSE),TRUE))</f>
        <v>1</v>
      </c>
      <c r="N1816" s="9" t="str">
        <f>IF(F1816="","",IF($F$2=入力リスト!$Q$4,ROUNDDOWN(INT(F1816)+ROUNDDOWN((F1816-INT(F1816))*100,0)/60,2),従業員の給与情報!F1816))</f>
        <v/>
      </c>
      <c r="O1816" s="8"/>
      <c r="P1816" s="8"/>
    </row>
    <row r="1817" spans="1:16">
      <c r="A1817" s="119"/>
      <c r="B1817" s="2"/>
      <c r="C1817" s="3"/>
      <c r="D1817" s="3"/>
      <c r="E1817" s="3"/>
      <c r="F1817" s="9"/>
      <c r="G1817" s="248" t="str">
        <f t="shared" si="140"/>
        <v/>
      </c>
      <c r="H1817" s="1" t="b">
        <f>IF(B1817="",FALSE,COUNTIF('従業員情報(給与以外)'!$A$4:$A$1000000,$B1817)=0)</f>
        <v>0</v>
      </c>
      <c r="I1817" s="9" t="b">
        <f t="shared" si="141"/>
        <v>1</v>
      </c>
      <c r="J1817" s="9" t="b">
        <f t="shared" si="142"/>
        <v>1</v>
      </c>
      <c r="K1817" s="9" t="b">
        <f t="shared" si="143"/>
        <v>1</v>
      </c>
      <c r="L1817" s="9" t="b">
        <f t="shared" si="144"/>
        <v>1</v>
      </c>
      <c r="M1817" s="1" t="b">
        <f>IF(OR(入力シート!$C$5&lt;&gt;入力リスト!$N$4,入力シート!$J$22&lt;&gt;入力リスト!$K$4),TRUE,IF($F$2=入力リスト!$Q$4,IF(F1817-INT(F1817)&lt;0.6,TRUE,FALSE),TRUE))</f>
        <v>1</v>
      </c>
      <c r="N1817" s="9" t="str">
        <f>IF(F1817="","",IF($F$2=入力リスト!$Q$4,ROUNDDOWN(INT(F1817)+ROUNDDOWN((F1817-INT(F1817))*100,0)/60,2),従業員の給与情報!F1817))</f>
        <v/>
      </c>
      <c r="O1817" s="8"/>
      <c r="P1817" s="8"/>
    </row>
    <row r="1818" spans="1:16">
      <c r="A1818" s="119"/>
      <c r="B1818" s="2"/>
      <c r="C1818" s="3"/>
      <c r="D1818" s="3"/>
      <c r="E1818" s="3"/>
      <c r="F1818" s="9"/>
      <c r="G1818" s="248" t="str">
        <f t="shared" si="140"/>
        <v/>
      </c>
      <c r="H1818" s="1" t="b">
        <f>IF(B1818="",FALSE,COUNTIF('従業員情報(給与以外)'!$A$4:$A$1000000,$B1818)=0)</f>
        <v>0</v>
      </c>
      <c r="I1818" s="9" t="b">
        <f t="shared" si="141"/>
        <v>1</v>
      </c>
      <c r="J1818" s="9" t="b">
        <f t="shared" si="142"/>
        <v>1</v>
      </c>
      <c r="K1818" s="9" t="b">
        <f t="shared" si="143"/>
        <v>1</v>
      </c>
      <c r="L1818" s="9" t="b">
        <f t="shared" si="144"/>
        <v>1</v>
      </c>
      <c r="M1818" s="1" t="b">
        <f>IF(OR(入力シート!$C$5&lt;&gt;入力リスト!$N$4,入力シート!$J$22&lt;&gt;入力リスト!$K$4),TRUE,IF($F$2=入力リスト!$Q$4,IF(F1818-INT(F1818)&lt;0.6,TRUE,FALSE),TRUE))</f>
        <v>1</v>
      </c>
      <c r="N1818" s="9" t="str">
        <f>IF(F1818="","",IF($F$2=入力リスト!$Q$4,ROUNDDOWN(INT(F1818)+ROUNDDOWN((F1818-INT(F1818))*100,0)/60,2),従業員の給与情報!F1818))</f>
        <v/>
      </c>
      <c r="O1818" s="8"/>
      <c r="P1818" s="8"/>
    </row>
    <row r="1819" spans="1:16">
      <c r="A1819" s="119"/>
      <c r="B1819" s="2"/>
      <c r="C1819" s="3"/>
      <c r="D1819" s="3"/>
      <c r="E1819" s="3"/>
      <c r="F1819" s="9"/>
      <c r="G1819" s="248" t="str">
        <f t="shared" si="140"/>
        <v/>
      </c>
      <c r="H1819" s="1" t="b">
        <f>IF(B1819="",FALSE,COUNTIF('従業員情報(給与以外)'!$A$4:$A$1000000,$B1819)=0)</f>
        <v>0</v>
      </c>
      <c r="I1819" s="9" t="b">
        <f t="shared" si="141"/>
        <v>1</v>
      </c>
      <c r="J1819" s="9" t="b">
        <f t="shared" si="142"/>
        <v>1</v>
      </c>
      <c r="K1819" s="9" t="b">
        <f t="shared" si="143"/>
        <v>1</v>
      </c>
      <c r="L1819" s="9" t="b">
        <f t="shared" si="144"/>
        <v>1</v>
      </c>
      <c r="M1819" s="1" t="b">
        <f>IF(OR(入力シート!$C$5&lt;&gt;入力リスト!$N$4,入力シート!$J$22&lt;&gt;入力リスト!$K$4),TRUE,IF($F$2=入力リスト!$Q$4,IF(F1819-INT(F1819)&lt;0.6,TRUE,FALSE),TRUE))</f>
        <v>1</v>
      </c>
      <c r="N1819" s="9" t="str">
        <f>IF(F1819="","",IF($F$2=入力リスト!$Q$4,ROUNDDOWN(INT(F1819)+ROUNDDOWN((F1819-INT(F1819))*100,0)/60,2),従業員の給与情報!F1819))</f>
        <v/>
      </c>
      <c r="O1819" s="8"/>
      <c r="P1819" s="8"/>
    </row>
    <row r="1820" spans="1:16">
      <c r="A1820" s="119"/>
      <c r="B1820" s="2"/>
      <c r="C1820" s="3"/>
      <c r="D1820" s="3"/>
      <c r="E1820" s="3"/>
      <c r="F1820" s="9"/>
      <c r="G1820" s="248" t="str">
        <f t="shared" si="140"/>
        <v/>
      </c>
      <c r="H1820" s="1" t="b">
        <f>IF(B1820="",FALSE,COUNTIF('従業員情報(給与以外)'!$A$4:$A$1000000,$B1820)=0)</f>
        <v>0</v>
      </c>
      <c r="I1820" s="9" t="b">
        <f t="shared" si="141"/>
        <v>1</v>
      </c>
      <c r="J1820" s="9" t="b">
        <f t="shared" si="142"/>
        <v>1</v>
      </c>
      <c r="K1820" s="9" t="b">
        <f t="shared" si="143"/>
        <v>1</v>
      </c>
      <c r="L1820" s="9" t="b">
        <f t="shared" si="144"/>
        <v>1</v>
      </c>
      <c r="M1820" s="1" t="b">
        <f>IF(OR(入力シート!$C$5&lt;&gt;入力リスト!$N$4,入力シート!$J$22&lt;&gt;入力リスト!$K$4),TRUE,IF($F$2=入力リスト!$Q$4,IF(F1820-INT(F1820)&lt;0.6,TRUE,FALSE),TRUE))</f>
        <v>1</v>
      </c>
      <c r="N1820" s="9" t="str">
        <f>IF(F1820="","",IF($F$2=入力リスト!$Q$4,ROUNDDOWN(INT(F1820)+ROUNDDOWN((F1820-INT(F1820))*100,0)/60,2),従業員の給与情報!F1820))</f>
        <v/>
      </c>
      <c r="O1820" s="8"/>
      <c r="P1820" s="8"/>
    </row>
    <row r="1821" spans="1:16">
      <c r="A1821" s="119"/>
      <c r="B1821" s="2"/>
      <c r="C1821" s="3"/>
      <c r="D1821" s="3"/>
      <c r="E1821" s="3"/>
      <c r="F1821" s="9"/>
      <c r="G1821" s="248" t="str">
        <f t="shared" si="140"/>
        <v/>
      </c>
      <c r="H1821" s="1" t="b">
        <f>IF(B1821="",FALSE,COUNTIF('従業員情報(給与以外)'!$A$4:$A$1000000,$B1821)=0)</f>
        <v>0</v>
      </c>
      <c r="I1821" s="9" t="b">
        <f t="shared" si="141"/>
        <v>1</v>
      </c>
      <c r="J1821" s="9" t="b">
        <f t="shared" si="142"/>
        <v>1</v>
      </c>
      <c r="K1821" s="9" t="b">
        <f t="shared" si="143"/>
        <v>1</v>
      </c>
      <c r="L1821" s="9" t="b">
        <f t="shared" si="144"/>
        <v>1</v>
      </c>
      <c r="M1821" s="1" t="b">
        <f>IF(OR(入力シート!$C$5&lt;&gt;入力リスト!$N$4,入力シート!$J$22&lt;&gt;入力リスト!$K$4),TRUE,IF($F$2=入力リスト!$Q$4,IF(F1821-INT(F1821)&lt;0.6,TRUE,FALSE),TRUE))</f>
        <v>1</v>
      </c>
      <c r="N1821" s="9" t="str">
        <f>IF(F1821="","",IF($F$2=入力リスト!$Q$4,ROUNDDOWN(INT(F1821)+ROUNDDOWN((F1821-INT(F1821))*100,0)/60,2),従業員の給与情報!F1821))</f>
        <v/>
      </c>
      <c r="O1821" s="8"/>
      <c r="P1821" s="8"/>
    </row>
    <row r="1822" spans="1:16">
      <c r="A1822" s="119"/>
      <c r="B1822" s="2"/>
      <c r="C1822" s="3"/>
      <c r="D1822" s="3"/>
      <c r="E1822" s="3"/>
      <c r="F1822" s="9"/>
      <c r="G1822" s="248" t="str">
        <f t="shared" si="140"/>
        <v/>
      </c>
      <c r="H1822" s="1" t="b">
        <f>IF(B1822="",FALSE,COUNTIF('従業員情報(給与以外)'!$A$4:$A$1000000,$B1822)=0)</f>
        <v>0</v>
      </c>
      <c r="I1822" s="9" t="b">
        <f t="shared" si="141"/>
        <v>1</v>
      </c>
      <c r="J1822" s="9" t="b">
        <f t="shared" si="142"/>
        <v>1</v>
      </c>
      <c r="K1822" s="9" t="b">
        <f t="shared" si="143"/>
        <v>1</v>
      </c>
      <c r="L1822" s="9" t="b">
        <f t="shared" si="144"/>
        <v>1</v>
      </c>
      <c r="M1822" s="1" t="b">
        <f>IF(OR(入力シート!$C$5&lt;&gt;入力リスト!$N$4,入力シート!$J$22&lt;&gt;入力リスト!$K$4),TRUE,IF($F$2=入力リスト!$Q$4,IF(F1822-INT(F1822)&lt;0.6,TRUE,FALSE),TRUE))</f>
        <v>1</v>
      </c>
      <c r="N1822" s="9" t="str">
        <f>IF(F1822="","",IF($F$2=入力リスト!$Q$4,ROUNDDOWN(INT(F1822)+ROUNDDOWN((F1822-INT(F1822))*100,0)/60,2),従業員の給与情報!F1822))</f>
        <v/>
      </c>
      <c r="O1822" s="8"/>
      <c r="P1822" s="8"/>
    </row>
    <row r="1823" spans="1:16">
      <c r="A1823" s="119"/>
      <c r="B1823" s="2"/>
      <c r="C1823" s="3"/>
      <c r="D1823" s="3"/>
      <c r="E1823" s="3"/>
      <c r="F1823" s="9"/>
      <c r="G1823" s="248" t="str">
        <f t="shared" si="140"/>
        <v/>
      </c>
      <c r="H1823" s="1" t="b">
        <f>IF(B1823="",FALSE,COUNTIF('従業員情報(給与以外)'!$A$4:$A$1000000,$B1823)=0)</f>
        <v>0</v>
      </c>
      <c r="I1823" s="9" t="b">
        <f t="shared" si="141"/>
        <v>1</v>
      </c>
      <c r="J1823" s="9" t="b">
        <f t="shared" si="142"/>
        <v>1</v>
      </c>
      <c r="K1823" s="9" t="b">
        <f t="shared" si="143"/>
        <v>1</v>
      </c>
      <c r="L1823" s="9" t="b">
        <f t="shared" si="144"/>
        <v>1</v>
      </c>
      <c r="M1823" s="1" t="b">
        <f>IF(OR(入力シート!$C$5&lt;&gt;入力リスト!$N$4,入力シート!$J$22&lt;&gt;入力リスト!$K$4),TRUE,IF($F$2=入力リスト!$Q$4,IF(F1823-INT(F1823)&lt;0.6,TRUE,FALSE),TRUE))</f>
        <v>1</v>
      </c>
      <c r="N1823" s="9" t="str">
        <f>IF(F1823="","",IF($F$2=入力リスト!$Q$4,ROUNDDOWN(INT(F1823)+ROUNDDOWN((F1823-INT(F1823))*100,0)/60,2),従業員の給与情報!F1823))</f>
        <v/>
      </c>
      <c r="O1823" s="8"/>
      <c r="P1823" s="8"/>
    </row>
    <row r="1824" spans="1:16">
      <c r="A1824" s="119"/>
      <c r="B1824" s="2"/>
      <c r="C1824" s="3"/>
      <c r="D1824" s="3"/>
      <c r="E1824" s="3"/>
      <c r="F1824" s="9"/>
      <c r="G1824" s="248" t="str">
        <f t="shared" si="140"/>
        <v/>
      </c>
      <c r="H1824" s="1" t="b">
        <f>IF(B1824="",FALSE,COUNTIF('従業員情報(給与以外)'!$A$4:$A$1000000,$B1824)=0)</f>
        <v>0</v>
      </c>
      <c r="I1824" s="9" t="b">
        <f t="shared" si="141"/>
        <v>1</v>
      </c>
      <c r="J1824" s="9" t="b">
        <f t="shared" si="142"/>
        <v>1</v>
      </c>
      <c r="K1824" s="9" t="b">
        <f t="shared" si="143"/>
        <v>1</v>
      </c>
      <c r="L1824" s="9" t="b">
        <f t="shared" si="144"/>
        <v>1</v>
      </c>
      <c r="M1824" s="1" t="b">
        <f>IF(OR(入力シート!$C$5&lt;&gt;入力リスト!$N$4,入力シート!$J$22&lt;&gt;入力リスト!$K$4),TRUE,IF($F$2=入力リスト!$Q$4,IF(F1824-INT(F1824)&lt;0.6,TRUE,FALSE),TRUE))</f>
        <v>1</v>
      </c>
      <c r="N1824" s="9" t="str">
        <f>IF(F1824="","",IF($F$2=入力リスト!$Q$4,ROUNDDOWN(INT(F1824)+ROUNDDOWN((F1824-INT(F1824))*100,0)/60,2),従業員の給与情報!F1824))</f>
        <v/>
      </c>
      <c r="O1824" s="8"/>
      <c r="P1824" s="8"/>
    </row>
    <row r="1825" spans="1:16">
      <c r="A1825" s="119"/>
      <c r="B1825" s="2"/>
      <c r="C1825" s="3"/>
      <c r="D1825" s="3"/>
      <c r="E1825" s="3"/>
      <c r="F1825" s="9"/>
      <c r="G1825" s="248" t="str">
        <f t="shared" si="140"/>
        <v/>
      </c>
      <c r="H1825" s="1" t="b">
        <f>IF(B1825="",FALSE,COUNTIF('従業員情報(給与以外)'!$A$4:$A$1000000,$B1825)=0)</f>
        <v>0</v>
      </c>
      <c r="I1825" s="9" t="b">
        <f t="shared" si="141"/>
        <v>1</v>
      </c>
      <c r="J1825" s="9" t="b">
        <f t="shared" si="142"/>
        <v>1</v>
      </c>
      <c r="K1825" s="9" t="b">
        <f t="shared" si="143"/>
        <v>1</v>
      </c>
      <c r="L1825" s="9" t="b">
        <f t="shared" si="144"/>
        <v>1</v>
      </c>
      <c r="M1825" s="1" t="b">
        <f>IF(OR(入力シート!$C$5&lt;&gt;入力リスト!$N$4,入力シート!$J$22&lt;&gt;入力リスト!$K$4),TRUE,IF($F$2=入力リスト!$Q$4,IF(F1825-INT(F1825)&lt;0.6,TRUE,FALSE),TRUE))</f>
        <v>1</v>
      </c>
      <c r="N1825" s="9" t="str">
        <f>IF(F1825="","",IF($F$2=入力リスト!$Q$4,ROUNDDOWN(INT(F1825)+ROUNDDOWN((F1825-INT(F1825))*100,0)/60,2),従業員の給与情報!F1825))</f>
        <v/>
      </c>
      <c r="O1825" s="8"/>
      <c r="P1825" s="8"/>
    </row>
    <row r="1826" spans="1:16">
      <c r="A1826" s="119"/>
      <c r="B1826" s="2"/>
      <c r="C1826" s="3"/>
      <c r="D1826" s="3"/>
      <c r="E1826" s="3"/>
      <c r="F1826" s="9"/>
      <c r="G1826" s="248" t="str">
        <f t="shared" si="140"/>
        <v/>
      </c>
      <c r="H1826" s="1" t="b">
        <f>IF(B1826="",FALSE,COUNTIF('従業員情報(給与以外)'!$A$4:$A$1000000,$B1826)=0)</f>
        <v>0</v>
      </c>
      <c r="I1826" s="9" t="b">
        <f t="shared" si="141"/>
        <v>1</v>
      </c>
      <c r="J1826" s="9" t="b">
        <f t="shared" si="142"/>
        <v>1</v>
      </c>
      <c r="K1826" s="9" t="b">
        <f t="shared" si="143"/>
        <v>1</v>
      </c>
      <c r="L1826" s="9" t="b">
        <f t="shared" si="144"/>
        <v>1</v>
      </c>
      <c r="M1826" s="1" t="b">
        <f>IF(OR(入力シート!$C$5&lt;&gt;入力リスト!$N$4,入力シート!$J$22&lt;&gt;入力リスト!$K$4),TRUE,IF($F$2=入力リスト!$Q$4,IF(F1826-INT(F1826)&lt;0.6,TRUE,FALSE),TRUE))</f>
        <v>1</v>
      </c>
      <c r="N1826" s="9" t="str">
        <f>IF(F1826="","",IF($F$2=入力リスト!$Q$4,ROUNDDOWN(INT(F1826)+ROUNDDOWN((F1826-INT(F1826))*100,0)/60,2),従業員の給与情報!F1826))</f>
        <v/>
      </c>
      <c r="O1826" s="8"/>
      <c r="P1826" s="8"/>
    </row>
    <row r="1827" spans="1:16">
      <c r="A1827" s="119"/>
      <c r="B1827" s="2"/>
      <c r="C1827" s="3"/>
      <c r="D1827" s="3"/>
      <c r="E1827" s="3"/>
      <c r="F1827" s="9"/>
      <c r="G1827" s="248" t="str">
        <f t="shared" si="140"/>
        <v/>
      </c>
      <c r="H1827" s="1" t="b">
        <f>IF(B1827="",FALSE,COUNTIF('従業員情報(給与以外)'!$A$4:$A$1000000,$B1827)=0)</f>
        <v>0</v>
      </c>
      <c r="I1827" s="9" t="b">
        <f t="shared" si="141"/>
        <v>1</v>
      </c>
      <c r="J1827" s="9" t="b">
        <f t="shared" si="142"/>
        <v>1</v>
      </c>
      <c r="K1827" s="9" t="b">
        <f t="shared" si="143"/>
        <v>1</v>
      </c>
      <c r="L1827" s="9" t="b">
        <f t="shared" si="144"/>
        <v>1</v>
      </c>
      <c r="M1827" s="1" t="b">
        <f>IF(OR(入力シート!$C$5&lt;&gt;入力リスト!$N$4,入力シート!$J$22&lt;&gt;入力リスト!$K$4),TRUE,IF($F$2=入力リスト!$Q$4,IF(F1827-INT(F1827)&lt;0.6,TRUE,FALSE),TRUE))</f>
        <v>1</v>
      </c>
      <c r="N1827" s="9" t="str">
        <f>IF(F1827="","",IF($F$2=入力リスト!$Q$4,ROUNDDOWN(INT(F1827)+ROUNDDOWN((F1827-INT(F1827))*100,0)/60,2),従業員の給与情報!F1827))</f>
        <v/>
      </c>
      <c r="O1827" s="8"/>
      <c r="P1827" s="8"/>
    </row>
    <row r="1828" spans="1:16">
      <c r="A1828" s="119"/>
      <c r="B1828" s="2"/>
      <c r="C1828" s="3"/>
      <c r="D1828" s="3"/>
      <c r="E1828" s="3"/>
      <c r="F1828" s="9"/>
      <c r="G1828" s="248" t="str">
        <f t="shared" si="140"/>
        <v/>
      </c>
      <c r="H1828" s="1" t="b">
        <f>IF(B1828="",FALSE,COUNTIF('従業員情報(給与以外)'!$A$4:$A$1000000,$B1828)=0)</f>
        <v>0</v>
      </c>
      <c r="I1828" s="9" t="b">
        <f t="shared" si="141"/>
        <v>1</v>
      </c>
      <c r="J1828" s="9" t="b">
        <f t="shared" si="142"/>
        <v>1</v>
      </c>
      <c r="K1828" s="9" t="b">
        <f t="shared" si="143"/>
        <v>1</v>
      </c>
      <c r="L1828" s="9" t="b">
        <f t="shared" si="144"/>
        <v>1</v>
      </c>
      <c r="M1828" s="1" t="b">
        <f>IF(OR(入力シート!$C$5&lt;&gt;入力リスト!$N$4,入力シート!$J$22&lt;&gt;入力リスト!$K$4),TRUE,IF($F$2=入力リスト!$Q$4,IF(F1828-INT(F1828)&lt;0.6,TRUE,FALSE),TRUE))</f>
        <v>1</v>
      </c>
      <c r="N1828" s="9" t="str">
        <f>IF(F1828="","",IF($F$2=入力リスト!$Q$4,ROUNDDOWN(INT(F1828)+ROUNDDOWN((F1828-INT(F1828))*100,0)/60,2),従業員の給与情報!F1828))</f>
        <v/>
      </c>
      <c r="O1828" s="8"/>
      <c r="P1828" s="8"/>
    </row>
    <row r="1829" spans="1:16">
      <c r="A1829" s="119"/>
      <c r="B1829" s="2"/>
      <c r="C1829" s="3"/>
      <c r="D1829" s="3"/>
      <c r="E1829" s="3"/>
      <c r="F1829" s="9"/>
      <c r="G1829" s="248" t="str">
        <f t="shared" si="140"/>
        <v/>
      </c>
      <c r="H1829" s="1" t="b">
        <f>IF(B1829="",FALSE,COUNTIF('従業員情報(給与以外)'!$A$4:$A$1000000,$B1829)=0)</f>
        <v>0</v>
      </c>
      <c r="I1829" s="9" t="b">
        <f t="shared" si="141"/>
        <v>1</v>
      </c>
      <c r="J1829" s="9" t="b">
        <f t="shared" si="142"/>
        <v>1</v>
      </c>
      <c r="K1829" s="9" t="b">
        <f t="shared" si="143"/>
        <v>1</v>
      </c>
      <c r="L1829" s="9" t="b">
        <f t="shared" si="144"/>
        <v>1</v>
      </c>
      <c r="M1829" s="1" t="b">
        <f>IF(OR(入力シート!$C$5&lt;&gt;入力リスト!$N$4,入力シート!$J$22&lt;&gt;入力リスト!$K$4),TRUE,IF($F$2=入力リスト!$Q$4,IF(F1829-INT(F1829)&lt;0.6,TRUE,FALSE),TRUE))</f>
        <v>1</v>
      </c>
      <c r="N1829" s="9" t="str">
        <f>IF(F1829="","",IF($F$2=入力リスト!$Q$4,ROUNDDOWN(INT(F1829)+ROUNDDOWN((F1829-INT(F1829))*100,0)/60,2),従業員の給与情報!F1829))</f>
        <v/>
      </c>
      <c r="O1829" s="8"/>
      <c r="P1829" s="8"/>
    </row>
    <row r="1830" spans="1:16">
      <c r="A1830" s="119"/>
      <c r="B1830" s="2"/>
      <c r="C1830" s="3"/>
      <c r="D1830" s="3"/>
      <c r="E1830" s="3"/>
      <c r="F1830" s="9"/>
      <c r="G1830" s="248" t="str">
        <f t="shared" si="140"/>
        <v/>
      </c>
      <c r="H1830" s="1" t="b">
        <f>IF(B1830="",FALSE,COUNTIF('従業員情報(給与以外)'!$A$4:$A$1000000,$B1830)=0)</f>
        <v>0</v>
      </c>
      <c r="I1830" s="9" t="b">
        <f t="shared" si="141"/>
        <v>1</v>
      </c>
      <c r="J1830" s="9" t="b">
        <f t="shared" si="142"/>
        <v>1</v>
      </c>
      <c r="K1830" s="9" t="b">
        <f t="shared" si="143"/>
        <v>1</v>
      </c>
      <c r="L1830" s="9" t="b">
        <f t="shared" si="144"/>
        <v>1</v>
      </c>
      <c r="M1830" s="1" t="b">
        <f>IF(OR(入力シート!$C$5&lt;&gt;入力リスト!$N$4,入力シート!$J$22&lt;&gt;入力リスト!$K$4),TRUE,IF($F$2=入力リスト!$Q$4,IF(F1830-INT(F1830)&lt;0.6,TRUE,FALSE),TRUE))</f>
        <v>1</v>
      </c>
      <c r="N1830" s="9" t="str">
        <f>IF(F1830="","",IF($F$2=入力リスト!$Q$4,ROUNDDOWN(INT(F1830)+ROUNDDOWN((F1830-INT(F1830))*100,0)/60,2),従業員の給与情報!F1830))</f>
        <v/>
      </c>
      <c r="O1830" s="8"/>
      <c r="P1830" s="8"/>
    </row>
    <row r="1831" spans="1:16">
      <c r="A1831" s="119"/>
      <c r="B1831" s="2"/>
      <c r="C1831" s="3"/>
      <c r="D1831" s="3"/>
      <c r="E1831" s="3"/>
      <c r="F1831" s="9"/>
      <c r="G1831" s="248" t="str">
        <f t="shared" si="140"/>
        <v/>
      </c>
      <c r="H1831" s="1" t="b">
        <f>IF(B1831="",FALSE,COUNTIF('従業員情報(給与以外)'!$A$4:$A$1000000,$B1831)=0)</f>
        <v>0</v>
      </c>
      <c r="I1831" s="9" t="b">
        <f t="shared" si="141"/>
        <v>1</v>
      </c>
      <c r="J1831" s="9" t="b">
        <f t="shared" si="142"/>
        <v>1</v>
      </c>
      <c r="K1831" s="9" t="b">
        <f t="shared" si="143"/>
        <v>1</v>
      </c>
      <c r="L1831" s="9" t="b">
        <f t="shared" si="144"/>
        <v>1</v>
      </c>
      <c r="M1831" s="1" t="b">
        <f>IF(OR(入力シート!$C$5&lt;&gt;入力リスト!$N$4,入力シート!$J$22&lt;&gt;入力リスト!$K$4),TRUE,IF($F$2=入力リスト!$Q$4,IF(F1831-INT(F1831)&lt;0.6,TRUE,FALSE),TRUE))</f>
        <v>1</v>
      </c>
      <c r="N1831" s="9" t="str">
        <f>IF(F1831="","",IF($F$2=入力リスト!$Q$4,ROUNDDOWN(INT(F1831)+ROUNDDOWN((F1831-INT(F1831))*100,0)/60,2),従業員の給与情報!F1831))</f>
        <v/>
      </c>
      <c r="O1831" s="8"/>
      <c r="P1831" s="8"/>
    </row>
    <row r="1832" spans="1:16">
      <c r="A1832" s="119"/>
      <c r="B1832" s="2"/>
      <c r="C1832" s="3"/>
      <c r="D1832" s="3"/>
      <c r="E1832" s="3"/>
      <c r="F1832" s="9"/>
      <c r="G1832" s="248" t="str">
        <f t="shared" si="140"/>
        <v/>
      </c>
      <c r="H1832" s="1" t="b">
        <f>IF(B1832="",FALSE,COUNTIF('従業員情報(給与以外)'!$A$4:$A$1000000,$B1832)=0)</f>
        <v>0</v>
      </c>
      <c r="I1832" s="9" t="b">
        <f t="shared" si="141"/>
        <v>1</v>
      </c>
      <c r="J1832" s="9" t="b">
        <f t="shared" si="142"/>
        <v>1</v>
      </c>
      <c r="K1832" s="9" t="b">
        <f t="shared" si="143"/>
        <v>1</v>
      </c>
      <c r="L1832" s="9" t="b">
        <f t="shared" si="144"/>
        <v>1</v>
      </c>
      <c r="M1832" s="1" t="b">
        <f>IF(OR(入力シート!$C$5&lt;&gt;入力リスト!$N$4,入力シート!$J$22&lt;&gt;入力リスト!$K$4),TRUE,IF($F$2=入力リスト!$Q$4,IF(F1832-INT(F1832)&lt;0.6,TRUE,FALSE),TRUE))</f>
        <v>1</v>
      </c>
      <c r="N1832" s="9" t="str">
        <f>IF(F1832="","",IF($F$2=入力リスト!$Q$4,ROUNDDOWN(INT(F1832)+ROUNDDOWN((F1832-INT(F1832))*100,0)/60,2),従業員の給与情報!F1832))</f>
        <v/>
      </c>
      <c r="O1832" s="8"/>
      <c r="P1832" s="8"/>
    </row>
    <row r="1833" spans="1:16">
      <c r="A1833" s="119"/>
      <c r="B1833" s="2"/>
      <c r="C1833" s="3"/>
      <c r="D1833" s="3"/>
      <c r="E1833" s="3"/>
      <c r="F1833" s="9"/>
      <c r="G1833" s="248" t="str">
        <f t="shared" si="140"/>
        <v/>
      </c>
      <c r="H1833" s="1" t="b">
        <f>IF(B1833="",FALSE,COUNTIF('従業員情報(給与以外)'!$A$4:$A$1000000,$B1833)=0)</f>
        <v>0</v>
      </c>
      <c r="I1833" s="9" t="b">
        <f t="shared" si="141"/>
        <v>1</v>
      </c>
      <c r="J1833" s="9" t="b">
        <f t="shared" si="142"/>
        <v>1</v>
      </c>
      <c r="K1833" s="9" t="b">
        <f t="shared" si="143"/>
        <v>1</v>
      </c>
      <c r="L1833" s="9" t="b">
        <f t="shared" si="144"/>
        <v>1</v>
      </c>
      <c r="M1833" s="1" t="b">
        <f>IF(OR(入力シート!$C$5&lt;&gt;入力リスト!$N$4,入力シート!$J$22&lt;&gt;入力リスト!$K$4),TRUE,IF($F$2=入力リスト!$Q$4,IF(F1833-INT(F1833)&lt;0.6,TRUE,FALSE),TRUE))</f>
        <v>1</v>
      </c>
      <c r="N1833" s="9" t="str">
        <f>IF(F1833="","",IF($F$2=入力リスト!$Q$4,ROUNDDOWN(INT(F1833)+ROUNDDOWN((F1833-INT(F1833))*100,0)/60,2),従業員の給与情報!F1833))</f>
        <v/>
      </c>
      <c r="O1833" s="8"/>
      <c r="P1833" s="8"/>
    </row>
    <row r="1834" spans="1:16">
      <c r="A1834" s="119"/>
      <c r="B1834" s="2"/>
      <c r="C1834" s="3"/>
      <c r="D1834" s="3"/>
      <c r="E1834" s="3"/>
      <c r="F1834" s="9"/>
      <c r="G1834" s="248" t="str">
        <f t="shared" si="140"/>
        <v/>
      </c>
      <c r="H1834" s="1" t="b">
        <f>IF(B1834="",FALSE,COUNTIF('従業員情報(給与以外)'!$A$4:$A$1000000,$B1834)=0)</f>
        <v>0</v>
      </c>
      <c r="I1834" s="9" t="b">
        <f t="shared" si="141"/>
        <v>1</v>
      </c>
      <c r="J1834" s="9" t="b">
        <f t="shared" si="142"/>
        <v>1</v>
      </c>
      <c r="K1834" s="9" t="b">
        <f t="shared" si="143"/>
        <v>1</v>
      </c>
      <c r="L1834" s="9" t="b">
        <f t="shared" si="144"/>
        <v>1</v>
      </c>
      <c r="M1834" s="1" t="b">
        <f>IF(OR(入力シート!$C$5&lt;&gt;入力リスト!$N$4,入力シート!$J$22&lt;&gt;入力リスト!$K$4),TRUE,IF($F$2=入力リスト!$Q$4,IF(F1834-INT(F1834)&lt;0.6,TRUE,FALSE),TRUE))</f>
        <v>1</v>
      </c>
      <c r="N1834" s="9" t="str">
        <f>IF(F1834="","",IF($F$2=入力リスト!$Q$4,ROUNDDOWN(INT(F1834)+ROUNDDOWN((F1834-INT(F1834))*100,0)/60,2),従業員の給与情報!F1834))</f>
        <v/>
      </c>
      <c r="O1834" s="8"/>
      <c r="P1834" s="8"/>
    </row>
    <row r="1835" spans="1:16">
      <c r="A1835" s="119"/>
      <c r="B1835" s="2"/>
      <c r="C1835" s="3"/>
      <c r="D1835" s="3"/>
      <c r="E1835" s="3"/>
      <c r="F1835" s="9"/>
      <c r="G1835" s="248" t="str">
        <f t="shared" si="140"/>
        <v/>
      </c>
      <c r="H1835" s="1" t="b">
        <f>IF(B1835="",FALSE,COUNTIF('従業員情報(給与以外)'!$A$4:$A$1000000,$B1835)=0)</f>
        <v>0</v>
      </c>
      <c r="I1835" s="9" t="b">
        <f t="shared" si="141"/>
        <v>1</v>
      </c>
      <c r="J1835" s="9" t="b">
        <f t="shared" si="142"/>
        <v>1</v>
      </c>
      <c r="K1835" s="9" t="b">
        <f t="shared" si="143"/>
        <v>1</v>
      </c>
      <c r="L1835" s="9" t="b">
        <f t="shared" si="144"/>
        <v>1</v>
      </c>
      <c r="M1835" s="1" t="b">
        <f>IF(OR(入力シート!$C$5&lt;&gt;入力リスト!$N$4,入力シート!$J$22&lt;&gt;入力リスト!$K$4),TRUE,IF($F$2=入力リスト!$Q$4,IF(F1835-INT(F1835)&lt;0.6,TRUE,FALSE),TRUE))</f>
        <v>1</v>
      </c>
      <c r="N1835" s="9" t="str">
        <f>IF(F1835="","",IF($F$2=入力リスト!$Q$4,ROUNDDOWN(INT(F1835)+ROUNDDOWN((F1835-INT(F1835))*100,0)/60,2),従業員の給与情報!F1835))</f>
        <v/>
      </c>
      <c r="O1835" s="8"/>
      <c r="P1835" s="8"/>
    </row>
    <row r="1836" spans="1:16">
      <c r="A1836" s="119"/>
      <c r="B1836" s="2"/>
      <c r="C1836" s="3"/>
      <c r="D1836" s="3"/>
      <c r="E1836" s="3"/>
      <c r="F1836" s="9"/>
      <c r="G1836" s="248" t="str">
        <f t="shared" si="140"/>
        <v/>
      </c>
      <c r="H1836" s="1" t="b">
        <f>IF(B1836="",FALSE,COUNTIF('従業員情報(給与以外)'!$A$4:$A$1000000,$B1836)=0)</f>
        <v>0</v>
      </c>
      <c r="I1836" s="9" t="b">
        <f t="shared" si="141"/>
        <v>1</v>
      </c>
      <c r="J1836" s="9" t="b">
        <f t="shared" si="142"/>
        <v>1</v>
      </c>
      <c r="K1836" s="9" t="b">
        <f t="shared" si="143"/>
        <v>1</v>
      </c>
      <c r="L1836" s="9" t="b">
        <f t="shared" si="144"/>
        <v>1</v>
      </c>
      <c r="M1836" s="1" t="b">
        <f>IF(OR(入力シート!$C$5&lt;&gt;入力リスト!$N$4,入力シート!$J$22&lt;&gt;入力リスト!$K$4),TRUE,IF($F$2=入力リスト!$Q$4,IF(F1836-INT(F1836)&lt;0.6,TRUE,FALSE),TRUE))</f>
        <v>1</v>
      </c>
      <c r="N1836" s="9" t="str">
        <f>IF(F1836="","",IF($F$2=入力リスト!$Q$4,ROUNDDOWN(INT(F1836)+ROUNDDOWN((F1836-INT(F1836))*100,0)/60,2),従業員の給与情報!F1836))</f>
        <v/>
      </c>
      <c r="O1836" s="8"/>
      <c r="P1836" s="8"/>
    </row>
    <row r="1837" spans="1:16">
      <c r="A1837" s="119"/>
      <c r="B1837" s="2"/>
      <c r="C1837" s="3"/>
      <c r="D1837" s="3"/>
      <c r="E1837" s="3"/>
      <c r="F1837" s="9"/>
      <c r="G1837" s="248" t="str">
        <f t="shared" si="140"/>
        <v/>
      </c>
      <c r="H1837" s="1" t="b">
        <f>IF(B1837="",FALSE,COUNTIF('従業員情報(給与以外)'!$A$4:$A$1000000,$B1837)=0)</f>
        <v>0</v>
      </c>
      <c r="I1837" s="9" t="b">
        <f t="shared" si="141"/>
        <v>1</v>
      </c>
      <c r="J1837" s="9" t="b">
        <f t="shared" si="142"/>
        <v>1</v>
      </c>
      <c r="K1837" s="9" t="b">
        <f t="shared" si="143"/>
        <v>1</v>
      </c>
      <c r="L1837" s="9" t="b">
        <f t="shared" si="144"/>
        <v>1</v>
      </c>
      <c r="M1837" s="1" t="b">
        <f>IF(OR(入力シート!$C$5&lt;&gt;入力リスト!$N$4,入力シート!$J$22&lt;&gt;入力リスト!$K$4),TRUE,IF($F$2=入力リスト!$Q$4,IF(F1837-INT(F1837)&lt;0.6,TRUE,FALSE),TRUE))</f>
        <v>1</v>
      </c>
      <c r="N1837" s="9" t="str">
        <f>IF(F1837="","",IF($F$2=入力リスト!$Q$4,ROUNDDOWN(INT(F1837)+ROUNDDOWN((F1837-INT(F1837))*100,0)/60,2),従業員の給与情報!F1837))</f>
        <v/>
      </c>
      <c r="O1837" s="8"/>
      <c r="P1837" s="8"/>
    </row>
    <row r="1838" spans="1:16">
      <c r="A1838" s="119"/>
      <c r="B1838" s="2"/>
      <c r="C1838" s="3"/>
      <c r="D1838" s="3"/>
      <c r="E1838" s="3"/>
      <c r="F1838" s="9"/>
      <c r="G1838" s="248" t="str">
        <f t="shared" si="140"/>
        <v/>
      </c>
      <c r="H1838" s="1" t="b">
        <f>IF(B1838="",FALSE,COUNTIF('従業員情報(給与以外)'!$A$4:$A$1000000,$B1838)=0)</f>
        <v>0</v>
      </c>
      <c r="I1838" s="9" t="b">
        <f t="shared" si="141"/>
        <v>1</v>
      </c>
      <c r="J1838" s="9" t="b">
        <f t="shared" si="142"/>
        <v>1</v>
      </c>
      <c r="K1838" s="9" t="b">
        <f t="shared" si="143"/>
        <v>1</v>
      </c>
      <c r="L1838" s="9" t="b">
        <f t="shared" si="144"/>
        <v>1</v>
      </c>
      <c r="M1838" s="1" t="b">
        <f>IF(OR(入力シート!$C$5&lt;&gt;入力リスト!$N$4,入力シート!$J$22&lt;&gt;入力リスト!$K$4),TRUE,IF($F$2=入力リスト!$Q$4,IF(F1838-INT(F1838)&lt;0.6,TRUE,FALSE),TRUE))</f>
        <v>1</v>
      </c>
      <c r="N1838" s="9" t="str">
        <f>IF(F1838="","",IF($F$2=入力リスト!$Q$4,ROUNDDOWN(INT(F1838)+ROUNDDOWN((F1838-INT(F1838))*100,0)/60,2),従業員の給与情報!F1838))</f>
        <v/>
      </c>
      <c r="O1838" s="8"/>
      <c r="P1838" s="8"/>
    </row>
    <row r="1839" spans="1:16">
      <c r="A1839" s="119"/>
      <c r="B1839" s="2"/>
      <c r="C1839" s="3"/>
      <c r="D1839" s="3"/>
      <c r="E1839" s="3"/>
      <c r="F1839" s="9"/>
      <c r="G1839" s="248" t="str">
        <f t="shared" si="140"/>
        <v/>
      </c>
      <c r="H1839" s="1" t="b">
        <f>IF(B1839="",FALSE,COUNTIF('従業員情報(給与以外)'!$A$4:$A$1000000,$B1839)=0)</f>
        <v>0</v>
      </c>
      <c r="I1839" s="9" t="b">
        <f t="shared" si="141"/>
        <v>1</v>
      </c>
      <c r="J1839" s="9" t="b">
        <f t="shared" si="142"/>
        <v>1</v>
      </c>
      <c r="K1839" s="9" t="b">
        <f t="shared" si="143"/>
        <v>1</v>
      </c>
      <c r="L1839" s="9" t="b">
        <f t="shared" si="144"/>
        <v>1</v>
      </c>
      <c r="M1839" s="1" t="b">
        <f>IF(OR(入力シート!$C$5&lt;&gt;入力リスト!$N$4,入力シート!$J$22&lt;&gt;入力リスト!$K$4),TRUE,IF($F$2=入力リスト!$Q$4,IF(F1839-INT(F1839)&lt;0.6,TRUE,FALSE),TRUE))</f>
        <v>1</v>
      </c>
      <c r="N1839" s="9" t="str">
        <f>IF(F1839="","",IF($F$2=入力リスト!$Q$4,ROUNDDOWN(INT(F1839)+ROUNDDOWN((F1839-INT(F1839))*100,0)/60,2),従業員の給与情報!F1839))</f>
        <v/>
      </c>
      <c r="O1839" s="8"/>
      <c r="P1839" s="8"/>
    </row>
    <row r="1840" spans="1:16">
      <c r="A1840" s="119"/>
      <c r="B1840" s="2"/>
      <c r="C1840" s="3"/>
      <c r="D1840" s="3"/>
      <c r="E1840" s="3"/>
      <c r="F1840" s="9"/>
      <c r="G1840" s="248" t="str">
        <f t="shared" si="140"/>
        <v/>
      </c>
      <c r="H1840" s="1" t="b">
        <f>IF(B1840="",FALSE,COUNTIF('従業員情報(給与以外)'!$A$4:$A$1000000,$B1840)=0)</f>
        <v>0</v>
      </c>
      <c r="I1840" s="9" t="b">
        <f t="shared" si="141"/>
        <v>1</v>
      </c>
      <c r="J1840" s="9" t="b">
        <f t="shared" si="142"/>
        <v>1</v>
      </c>
      <c r="K1840" s="9" t="b">
        <f t="shared" si="143"/>
        <v>1</v>
      </c>
      <c r="L1840" s="9" t="b">
        <f t="shared" si="144"/>
        <v>1</v>
      </c>
      <c r="M1840" s="1" t="b">
        <f>IF(OR(入力シート!$C$5&lt;&gt;入力リスト!$N$4,入力シート!$J$22&lt;&gt;入力リスト!$K$4),TRUE,IF($F$2=入力リスト!$Q$4,IF(F1840-INT(F1840)&lt;0.6,TRUE,FALSE),TRUE))</f>
        <v>1</v>
      </c>
      <c r="N1840" s="9" t="str">
        <f>IF(F1840="","",IF($F$2=入力リスト!$Q$4,ROUNDDOWN(INT(F1840)+ROUNDDOWN((F1840-INT(F1840))*100,0)/60,2),従業員の給与情報!F1840))</f>
        <v/>
      </c>
      <c r="O1840" s="8"/>
      <c r="P1840" s="8"/>
    </row>
    <row r="1841" spans="1:16">
      <c r="A1841" s="119"/>
      <c r="B1841" s="2"/>
      <c r="C1841" s="3"/>
      <c r="D1841" s="3"/>
      <c r="E1841" s="3"/>
      <c r="F1841" s="9"/>
      <c r="G1841" s="248" t="str">
        <f t="shared" si="140"/>
        <v/>
      </c>
      <c r="H1841" s="1" t="b">
        <f>IF(B1841="",FALSE,COUNTIF('従業員情報(給与以外)'!$A$4:$A$1000000,$B1841)=0)</f>
        <v>0</v>
      </c>
      <c r="I1841" s="9" t="b">
        <f t="shared" si="141"/>
        <v>1</v>
      </c>
      <c r="J1841" s="9" t="b">
        <f t="shared" si="142"/>
        <v>1</v>
      </c>
      <c r="K1841" s="9" t="b">
        <f t="shared" si="143"/>
        <v>1</v>
      </c>
      <c r="L1841" s="9" t="b">
        <f t="shared" si="144"/>
        <v>1</v>
      </c>
      <c r="M1841" s="1" t="b">
        <f>IF(OR(入力シート!$C$5&lt;&gt;入力リスト!$N$4,入力シート!$J$22&lt;&gt;入力リスト!$K$4),TRUE,IF($F$2=入力リスト!$Q$4,IF(F1841-INT(F1841)&lt;0.6,TRUE,FALSE),TRUE))</f>
        <v>1</v>
      </c>
      <c r="N1841" s="9" t="str">
        <f>IF(F1841="","",IF($F$2=入力リスト!$Q$4,ROUNDDOWN(INT(F1841)+ROUNDDOWN((F1841-INT(F1841))*100,0)/60,2),従業員の給与情報!F1841))</f>
        <v/>
      </c>
      <c r="O1841" s="8"/>
      <c r="P1841" s="8"/>
    </row>
    <row r="1842" spans="1:16">
      <c r="A1842" s="119"/>
      <c r="B1842" s="2"/>
      <c r="C1842" s="3"/>
      <c r="D1842" s="3"/>
      <c r="E1842" s="3"/>
      <c r="F1842" s="9"/>
      <c r="G1842" s="248" t="str">
        <f t="shared" si="140"/>
        <v/>
      </c>
      <c r="H1842" s="1" t="b">
        <f>IF(B1842="",FALSE,COUNTIF('従業員情報(給与以外)'!$A$4:$A$1000000,$B1842)=0)</f>
        <v>0</v>
      </c>
      <c r="I1842" s="9" t="b">
        <f t="shared" si="141"/>
        <v>1</v>
      </c>
      <c r="J1842" s="9" t="b">
        <f t="shared" si="142"/>
        <v>1</v>
      </c>
      <c r="K1842" s="9" t="b">
        <f t="shared" si="143"/>
        <v>1</v>
      </c>
      <c r="L1842" s="9" t="b">
        <f t="shared" si="144"/>
        <v>1</v>
      </c>
      <c r="M1842" s="1" t="b">
        <f>IF(OR(入力シート!$C$5&lt;&gt;入力リスト!$N$4,入力シート!$J$22&lt;&gt;入力リスト!$K$4),TRUE,IF($F$2=入力リスト!$Q$4,IF(F1842-INT(F1842)&lt;0.6,TRUE,FALSE),TRUE))</f>
        <v>1</v>
      </c>
      <c r="N1842" s="9" t="str">
        <f>IF(F1842="","",IF($F$2=入力リスト!$Q$4,ROUNDDOWN(INT(F1842)+ROUNDDOWN((F1842-INT(F1842))*100,0)/60,2),従業員の給与情報!F1842))</f>
        <v/>
      </c>
      <c r="O1842" s="8"/>
      <c r="P1842" s="8"/>
    </row>
    <row r="1843" spans="1:16">
      <c r="A1843" s="119"/>
      <c r="B1843" s="2"/>
      <c r="C1843" s="3"/>
      <c r="D1843" s="3"/>
      <c r="E1843" s="3"/>
      <c r="F1843" s="9"/>
      <c r="G1843" s="248" t="str">
        <f t="shared" si="140"/>
        <v/>
      </c>
      <c r="H1843" s="1" t="b">
        <f>IF(B1843="",FALSE,COUNTIF('従業員情報(給与以外)'!$A$4:$A$1000000,$B1843)=0)</f>
        <v>0</v>
      </c>
      <c r="I1843" s="9" t="b">
        <f t="shared" si="141"/>
        <v>1</v>
      </c>
      <c r="J1843" s="9" t="b">
        <f t="shared" si="142"/>
        <v>1</v>
      </c>
      <c r="K1843" s="9" t="b">
        <f t="shared" si="143"/>
        <v>1</v>
      </c>
      <c r="L1843" s="9" t="b">
        <f t="shared" si="144"/>
        <v>1</v>
      </c>
      <c r="M1843" s="1" t="b">
        <f>IF(OR(入力シート!$C$5&lt;&gt;入力リスト!$N$4,入力シート!$J$22&lt;&gt;入力リスト!$K$4),TRUE,IF($F$2=入力リスト!$Q$4,IF(F1843-INT(F1843)&lt;0.6,TRUE,FALSE),TRUE))</f>
        <v>1</v>
      </c>
      <c r="N1843" s="9" t="str">
        <f>IF(F1843="","",IF($F$2=入力リスト!$Q$4,ROUNDDOWN(INT(F1843)+ROUNDDOWN((F1843-INT(F1843))*100,0)/60,2),従業員の給与情報!F1843))</f>
        <v/>
      </c>
      <c r="O1843" s="8"/>
      <c r="P1843" s="8"/>
    </row>
    <row r="1844" spans="1:16">
      <c r="A1844" s="119"/>
      <c r="B1844" s="2"/>
      <c r="C1844" s="3"/>
      <c r="D1844" s="3"/>
      <c r="E1844" s="3"/>
      <c r="F1844" s="9"/>
      <c r="G1844" s="248" t="str">
        <f t="shared" si="140"/>
        <v/>
      </c>
      <c r="H1844" s="1" t="b">
        <f>IF(B1844="",FALSE,COUNTIF('従業員情報(給与以外)'!$A$4:$A$1000000,$B1844)=0)</f>
        <v>0</v>
      </c>
      <c r="I1844" s="9" t="b">
        <f t="shared" si="141"/>
        <v>1</v>
      </c>
      <c r="J1844" s="9" t="b">
        <f t="shared" si="142"/>
        <v>1</v>
      </c>
      <c r="K1844" s="9" t="b">
        <f t="shared" si="143"/>
        <v>1</v>
      </c>
      <c r="L1844" s="9" t="b">
        <f t="shared" si="144"/>
        <v>1</v>
      </c>
      <c r="M1844" s="1" t="b">
        <f>IF(OR(入力シート!$C$5&lt;&gt;入力リスト!$N$4,入力シート!$J$22&lt;&gt;入力リスト!$K$4),TRUE,IF($F$2=入力リスト!$Q$4,IF(F1844-INT(F1844)&lt;0.6,TRUE,FALSE),TRUE))</f>
        <v>1</v>
      </c>
      <c r="N1844" s="9" t="str">
        <f>IF(F1844="","",IF($F$2=入力リスト!$Q$4,ROUNDDOWN(INT(F1844)+ROUNDDOWN((F1844-INT(F1844))*100,0)/60,2),従業員の給与情報!F1844))</f>
        <v/>
      </c>
      <c r="O1844" s="8"/>
      <c r="P1844" s="8"/>
    </row>
    <row r="1845" spans="1:16">
      <c r="A1845" s="119"/>
      <c r="B1845" s="2"/>
      <c r="C1845" s="3"/>
      <c r="D1845" s="3"/>
      <c r="E1845" s="3"/>
      <c r="F1845" s="9"/>
      <c r="G1845" s="248" t="str">
        <f t="shared" si="140"/>
        <v/>
      </c>
      <c r="H1845" s="1" t="b">
        <f>IF(B1845="",FALSE,COUNTIF('従業員情報(給与以外)'!$A$4:$A$1000000,$B1845)=0)</f>
        <v>0</v>
      </c>
      <c r="I1845" s="9" t="b">
        <f t="shared" si="141"/>
        <v>1</v>
      </c>
      <c r="J1845" s="9" t="b">
        <f t="shared" si="142"/>
        <v>1</v>
      </c>
      <c r="K1845" s="9" t="b">
        <f t="shared" si="143"/>
        <v>1</v>
      </c>
      <c r="L1845" s="9" t="b">
        <f t="shared" si="144"/>
        <v>1</v>
      </c>
      <c r="M1845" s="1" t="b">
        <f>IF(OR(入力シート!$C$5&lt;&gt;入力リスト!$N$4,入力シート!$J$22&lt;&gt;入力リスト!$K$4),TRUE,IF($F$2=入力リスト!$Q$4,IF(F1845-INT(F1845)&lt;0.6,TRUE,FALSE),TRUE))</f>
        <v>1</v>
      </c>
      <c r="N1845" s="9" t="str">
        <f>IF(F1845="","",IF($F$2=入力リスト!$Q$4,ROUNDDOWN(INT(F1845)+ROUNDDOWN((F1845-INT(F1845))*100,0)/60,2),従業員の給与情報!F1845))</f>
        <v/>
      </c>
      <c r="O1845" s="8"/>
      <c r="P1845" s="8"/>
    </row>
    <row r="1846" spans="1:16">
      <c r="A1846" s="119"/>
      <c r="B1846" s="2"/>
      <c r="C1846" s="3"/>
      <c r="D1846" s="3"/>
      <c r="E1846" s="3"/>
      <c r="F1846" s="9"/>
      <c r="G1846" s="248" t="str">
        <f t="shared" si="140"/>
        <v/>
      </c>
      <c r="H1846" s="1" t="b">
        <f>IF(B1846="",FALSE,COUNTIF('従業員情報(給与以外)'!$A$4:$A$1000000,$B1846)=0)</f>
        <v>0</v>
      </c>
      <c r="I1846" s="9" t="b">
        <f t="shared" si="141"/>
        <v>1</v>
      </c>
      <c r="J1846" s="9" t="b">
        <f t="shared" si="142"/>
        <v>1</v>
      </c>
      <c r="K1846" s="9" t="b">
        <f t="shared" si="143"/>
        <v>1</v>
      </c>
      <c r="L1846" s="9" t="b">
        <f t="shared" si="144"/>
        <v>1</v>
      </c>
      <c r="M1846" s="1" t="b">
        <f>IF(OR(入力シート!$C$5&lt;&gt;入力リスト!$N$4,入力シート!$J$22&lt;&gt;入力リスト!$K$4),TRUE,IF($F$2=入力リスト!$Q$4,IF(F1846-INT(F1846)&lt;0.6,TRUE,FALSE),TRUE))</f>
        <v>1</v>
      </c>
      <c r="N1846" s="9" t="str">
        <f>IF(F1846="","",IF($F$2=入力リスト!$Q$4,ROUNDDOWN(INT(F1846)+ROUNDDOWN((F1846-INT(F1846))*100,0)/60,2),従業員の給与情報!F1846))</f>
        <v/>
      </c>
      <c r="O1846" s="8"/>
      <c r="P1846" s="8"/>
    </row>
    <row r="1847" spans="1:16">
      <c r="A1847" s="119"/>
      <c r="B1847" s="2"/>
      <c r="C1847" s="3"/>
      <c r="D1847" s="3"/>
      <c r="E1847" s="3"/>
      <c r="F1847" s="9"/>
      <c r="G1847" s="248" t="str">
        <f t="shared" si="140"/>
        <v/>
      </c>
      <c r="H1847" s="1" t="b">
        <f>IF(B1847="",FALSE,COUNTIF('従業員情報(給与以外)'!$A$4:$A$1000000,$B1847)=0)</f>
        <v>0</v>
      </c>
      <c r="I1847" s="9" t="b">
        <f t="shared" si="141"/>
        <v>1</v>
      </c>
      <c r="J1847" s="9" t="b">
        <f t="shared" si="142"/>
        <v>1</v>
      </c>
      <c r="K1847" s="9" t="b">
        <f t="shared" si="143"/>
        <v>1</v>
      </c>
      <c r="L1847" s="9" t="b">
        <f t="shared" si="144"/>
        <v>1</v>
      </c>
      <c r="M1847" s="1" t="b">
        <f>IF(OR(入力シート!$C$5&lt;&gt;入力リスト!$N$4,入力シート!$J$22&lt;&gt;入力リスト!$K$4),TRUE,IF($F$2=入力リスト!$Q$4,IF(F1847-INT(F1847)&lt;0.6,TRUE,FALSE),TRUE))</f>
        <v>1</v>
      </c>
      <c r="N1847" s="9" t="str">
        <f>IF(F1847="","",IF($F$2=入力リスト!$Q$4,ROUNDDOWN(INT(F1847)+ROUNDDOWN((F1847-INT(F1847))*100,0)/60,2),従業員の給与情報!F1847))</f>
        <v/>
      </c>
      <c r="O1847" s="8"/>
      <c r="P1847" s="8"/>
    </row>
    <row r="1848" spans="1:16">
      <c r="A1848" s="119"/>
      <c r="B1848" s="2"/>
      <c r="C1848" s="3"/>
      <c r="D1848" s="3"/>
      <c r="E1848" s="3"/>
      <c r="F1848" s="9"/>
      <c r="G1848" s="248" t="str">
        <f t="shared" si="140"/>
        <v/>
      </c>
      <c r="H1848" s="1" t="b">
        <f>IF(B1848="",FALSE,COUNTIF('従業員情報(給与以外)'!$A$4:$A$1000000,$B1848)=0)</f>
        <v>0</v>
      </c>
      <c r="I1848" s="9" t="b">
        <f t="shared" si="141"/>
        <v>1</v>
      </c>
      <c r="J1848" s="9" t="b">
        <f t="shared" si="142"/>
        <v>1</v>
      </c>
      <c r="K1848" s="9" t="b">
        <f t="shared" si="143"/>
        <v>1</v>
      </c>
      <c r="L1848" s="9" t="b">
        <f t="shared" si="144"/>
        <v>1</v>
      </c>
      <c r="M1848" s="1" t="b">
        <f>IF(OR(入力シート!$C$5&lt;&gt;入力リスト!$N$4,入力シート!$J$22&lt;&gt;入力リスト!$K$4),TRUE,IF($F$2=入力リスト!$Q$4,IF(F1848-INT(F1848)&lt;0.6,TRUE,FALSE),TRUE))</f>
        <v>1</v>
      </c>
      <c r="N1848" s="9" t="str">
        <f>IF(F1848="","",IF($F$2=入力リスト!$Q$4,ROUNDDOWN(INT(F1848)+ROUNDDOWN((F1848-INT(F1848))*100,0)/60,2),従業員の給与情報!F1848))</f>
        <v/>
      </c>
      <c r="O1848" s="8"/>
      <c r="P1848" s="8"/>
    </row>
    <row r="1849" spans="1:16">
      <c r="A1849" s="119"/>
      <c r="B1849" s="2"/>
      <c r="C1849" s="3"/>
      <c r="D1849" s="3"/>
      <c r="E1849" s="3"/>
      <c r="F1849" s="9"/>
      <c r="G1849" s="248" t="str">
        <f t="shared" si="140"/>
        <v/>
      </c>
      <c r="H1849" s="1" t="b">
        <f>IF(B1849="",FALSE,COUNTIF('従業員情報(給与以外)'!$A$4:$A$1000000,$B1849)=0)</f>
        <v>0</v>
      </c>
      <c r="I1849" s="9" t="b">
        <f t="shared" si="141"/>
        <v>1</v>
      </c>
      <c r="J1849" s="9" t="b">
        <f t="shared" si="142"/>
        <v>1</v>
      </c>
      <c r="K1849" s="9" t="b">
        <f t="shared" si="143"/>
        <v>1</v>
      </c>
      <c r="L1849" s="9" t="b">
        <f t="shared" si="144"/>
        <v>1</v>
      </c>
      <c r="M1849" s="1" t="b">
        <f>IF(OR(入力シート!$C$5&lt;&gt;入力リスト!$N$4,入力シート!$J$22&lt;&gt;入力リスト!$K$4),TRUE,IF($F$2=入力リスト!$Q$4,IF(F1849-INT(F1849)&lt;0.6,TRUE,FALSE),TRUE))</f>
        <v>1</v>
      </c>
      <c r="N1849" s="9" t="str">
        <f>IF(F1849="","",IF($F$2=入力リスト!$Q$4,ROUNDDOWN(INT(F1849)+ROUNDDOWN((F1849-INT(F1849))*100,0)/60,2),従業員の給与情報!F1849))</f>
        <v/>
      </c>
      <c r="O1849" s="8"/>
      <c r="P1849" s="8"/>
    </row>
    <row r="1850" spans="1:16">
      <c r="A1850" s="119"/>
      <c r="B1850" s="2"/>
      <c r="C1850" s="3"/>
      <c r="D1850" s="3"/>
      <c r="E1850" s="3"/>
      <c r="F1850" s="9"/>
      <c r="G1850" s="248" t="str">
        <f t="shared" si="140"/>
        <v/>
      </c>
      <c r="H1850" s="1" t="b">
        <f>IF(B1850="",FALSE,COUNTIF('従業員情報(給与以外)'!$A$4:$A$1000000,$B1850)=0)</f>
        <v>0</v>
      </c>
      <c r="I1850" s="9" t="b">
        <f t="shared" si="141"/>
        <v>1</v>
      </c>
      <c r="J1850" s="9" t="b">
        <f t="shared" si="142"/>
        <v>1</v>
      </c>
      <c r="K1850" s="9" t="b">
        <f t="shared" si="143"/>
        <v>1</v>
      </c>
      <c r="L1850" s="9" t="b">
        <f t="shared" si="144"/>
        <v>1</v>
      </c>
      <c r="M1850" s="1" t="b">
        <f>IF(OR(入力シート!$C$5&lt;&gt;入力リスト!$N$4,入力シート!$J$22&lt;&gt;入力リスト!$K$4),TRUE,IF($F$2=入力リスト!$Q$4,IF(F1850-INT(F1850)&lt;0.6,TRUE,FALSE),TRUE))</f>
        <v>1</v>
      </c>
      <c r="N1850" s="9" t="str">
        <f>IF(F1850="","",IF($F$2=入力リスト!$Q$4,ROUNDDOWN(INT(F1850)+ROUNDDOWN((F1850-INT(F1850))*100,0)/60,2),従業員の給与情報!F1850))</f>
        <v/>
      </c>
      <c r="O1850" s="8"/>
      <c r="P1850" s="8"/>
    </row>
    <row r="1851" spans="1:16">
      <c r="A1851" s="119"/>
      <c r="B1851" s="2"/>
      <c r="C1851" s="3"/>
      <c r="D1851" s="3"/>
      <c r="E1851" s="3"/>
      <c r="F1851" s="9"/>
      <c r="G1851" s="248" t="str">
        <f t="shared" si="140"/>
        <v/>
      </c>
      <c r="H1851" s="1" t="b">
        <f>IF(B1851="",FALSE,COUNTIF('従業員情報(給与以外)'!$A$4:$A$1000000,$B1851)=0)</f>
        <v>0</v>
      </c>
      <c r="I1851" s="9" t="b">
        <f t="shared" si="141"/>
        <v>1</v>
      </c>
      <c r="J1851" s="9" t="b">
        <f t="shared" si="142"/>
        <v>1</v>
      </c>
      <c r="K1851" s="9" t="b">
        <f t="shared" si="143"/>
        <v>1</v>
      </c>
      <c r="L1851" s="9" t="b">
        <f t="shared" si="144"/>
        <v>1</v>
      </c>
      <c r="M1851" s="1" t="b">
        <f>IF(OR(入力シート!$C$5&lt;&gt;入力リスト!$N$4,入力シート!$J$22&lt;&gt;入力リスト!$K$4),TRUE,IF($F$2=入力リスト!$Q$4,IF(F1851-INT(F1851)&lt;0.6,TRUE,FALSE),TRUE))</f>
        <v>1</v>
      </c>
      <c r="N1851" s="9" t="str">
        <f>IF(F1851="","",IF($F$2=入力リスト!$Q$4,ROUNDDOWN(INT(F1851)+ROUNDDOWN((F1851-INT(F1851))*100,0)/60,2),従業員の給与情報!F1851))</f>
        <v/>
      </c>
      <c r="O1851" s="8"/>
      <c r="P1851" s="8"/>
    </row>
    <row r="1852" spans="1:16">
      <c r="A1852" s="119"/>
      <c r="B1852" s="2"/>
      <c r="C1852" s="3"/>
      <c r="D1852" s="3"/>
      <c r="E1852" s="3"/>
      <c r="F1852" s="9"/>
      <c r="G1852" s="248" t="str">
        <f t="shared" si="140"/>
        <v/>
      </c>
      <c r="H1852" s="1" t="b">
        <f>IF(B1852="",FALSE,COUNTIF('従業員情報(給与以外)'!$A$4:$A$1000000,$B1852)=0)</f>
        <v>0</v>
      </c>
      <c r="I1852" s="9" t="b">
        <f t="shared" si="141"/>
        <v>1</v>
      </c>
      <c r="J1852" s="9" t="b">
        <f t="shared" si="142"/>
        <v>1</v>
      </c>
      <c r="K1852" s="9" t="b">
        <f t="shared" si="143"/>
        <v>1</v>
      </c>
      <c r="L1852" s="9" t="b">
        <f t="shared" si="144"/>
        <v>1</v>
      </c>
      <c r="M1852" s="1" t="b">
        <f>IF(OR(入力シート!$C$5&lt;&gt;入力リスト!$N$4,入力シート!$J$22&lt;&gt;入力リスト!$K$4),TRUE,IF($F$2=入力リスト!$Q$4,IF(F1852-INT(F1852)&lt;0.6,TRUE,FALSE),TRUE))</f>
        <v>1</v>
      </c>
      <c r="N1852" s="9" t="str">
        <f>IF(F1852="","",IF($F$2=入力リスト!$Q$4,ROUNDDOWN(INT(F1852)+ROUNDDOWN((F1852-INT(F1852))*100,0)/60,2),従業員の給与情報!F1852))</f>
        <v/>
      </c>
      <c r="O1852" s="8"/>
      <c r="P1852" s="8"/>
    </row>
    <row r="1853" spans="1:16">
      <c r="A1853" s="119"/>
      <c r="B1853" s="2"/>
      <c r="C1853" s="3"/>
      <c r="D1853" s="3"/>
      <c r="E1853" s="3"/>
      <c r="F1853" s="9"/>
      <c r="G1853" s="248" t="str">
        <f t="shared" si="140"/>
        <v/>
      </c>
      <c r="H1853" s="1" t="b">
        <f>IF(B1853="",FALSE,COUNTIF('従業員情報(給与以外)'!$A$4:$A$1000000,$B1853)=0)</f>
        <v>0</v>
      </c>
      <c r="I1853" s="9" t="b">
        <f t="shared" si="141"/>
        <v>1</v>
      </c>
      <c r="J1853" s="9" t="b">
        <f t="shared" si="142"/>
        <v>1</v>
      </c>
      <c r="K1853" s="9" t="b">
        <f t="shared" si="143"/>
        <v>1</v>
      </c>
      <c r="L1853" s="9" t="b">
        <f t="shared" si="144"/>
        <v>1</v>
      </c>
      <c r="M1853" s="1" t="b">
        <f>IF(OR(入力シート!$C$5&lt;&gt;入力リスト!$N$4,入力シート!$J$22&lt;&gt;入力リスト!$K$4),TRUE,IF($F$2=入力リスト!$Q$4,IF(F1853-INT(F1853)&lt;0.6,TRUE,FALSE),TRUE))</f>
        <v>1</v>
      </c>
      <c r="N1853" s="9" t="str">
        <f>IF(F1853="","",IF($F$2=入力リスト!$Q$4,ROUNDDOWN(INT(F1853)+ROUNDDOWN((F1853-INT(F1853))*100,0)/60,2),従業員の給与情報!F1853))</f>
        <v/>
      </c>
      <c r="O1853" s="8"/>
      <c r="P1853" s="8"/>
    </row>
    <row r="1854" spans="1:16">
      <c r="A1854" s="119"/>
      <c r="B1854" s="2"/>
      <c r="C1854" s="3"/>
      <c r="D1854" s="3"/>
      <c r="E1854" s="3"/>
      <c r="F1854" s="9"/>
      <c r="G1854" s="248" t="str">
        <f t="shared" si="140"/>
        <v/>
      </c>
      <c r="H1854" s="1" t="b">
        <f>IF(B1854="",FALSE,COUNTIF('従業員情報(給与以外)'!$A$4:$A$1000000,$B1854)=0)</f>
        <v>0</v>
      </c>
      <c r="I1854" s="9" t="b">
        <f t="shared" si="141"/>
        <v>1</v>
      </c>
      <c r="J1854" s="9" t="b">
        <f t="shared" si="142"/>
        <v>1</v>
      </c>
      <c r="K1854" s="9" t="b">
        <f t="shared" si="143"/>
        <v>1</v>
      </c>
      <c r="L1854" s="9" t="b">
        <f t="shared" si="144"/>
        <v>1</v>
      </c>
      <c r="M1854" s="1" t="b">
        <f>IF(OR(入力シート!$C$5&lt;&gt;入力リスト!$N$4,入力シート!$J$22&lt;&gt;入力リスト!$K$4),TRUE,IF($F$2=入力リスト!$Q$4,IF(F1854-INT(F1854)&lt;0.6,TRUE,FALSE),TRUE))</f>
        <v>1</v>
      </c>
      <c r="N1854" s="9" t="str">
        <f>IF(F1854="","",IF($F$2=入力リスト!$Q$4,ROUNDDOWN(INT(F1854)+ROUNDDOWN((F1854-INT(F1854))*100,0)/60,2),従業員の給与情報!F1854))</f>
        <v/>
      </c>
      <c r="O1854" s="8"/>
      <c r="P1854" s="8"/>
    </row>
    <row r="1855" spans="1:16">
      <c r="A1855" s="119"/>
      <c r="B1855" s="2"/>
      <c r="C1855" s="3"/>
      <c r="D1855" s="3"/>
      <c r="E1855" s="3"/>
      <c r="F1855" s="9"/>
      <c r="G1855" s="248" t="str">
        <f t="shared" si="140"/>
        <v/>
      </c>
      <c r="H1855" s="1" t="b">
        <f>IF(B1855="",FALSE,COUNTIF('従業員情報(給与以外)'!$A$4:$A$1000000,$B1855)=0)</f>
        <v>0</v>
      </c>
      <c r="I1855" s="9" t="b">
        <f t="shared" si="141"/>
        <v>1</v>
      </c>
      <c r="J1855" s="9" t="b">
        <f t="shared" si="142"/>
        <v>1</v>
      </c>
      <c r="K1855" s="9" t="b">
        <f t="shared" si="143"/>
        <v>1</v>
      </c>
      <c r="L1855" s="9" t="b">
        <f t="shared" si="144"/>
        <v>1</v>
      </c>
      <c r="M1855" s="1" t="b">
        <f>IF(OR(入力シート!$C$5&lt;&gt;入力リスト!$N$4,入力シート!$J$22&lt;&gt;入力リスト!$K$4),TRUE,IF($F$2=入力リスト!$Q$4,IF(F1855-INT(F1855)&lt;0.6,TRUE,FALSE),TRUE))</f>
        <v>1</v>
      </c>
      <c r="N1855" s="9" t="str">
        <f>IF(F1855="","",IF($F$2=入力リスト!$Q$4,ROUNDDOWN(INT(F1855)+ROUNDDOWN((F1855-INT(F1855))*100,0)/60,2),従業員の給与情報!F1855))</f>
        <v/>
      </c>
      <c r="O1855" s="8"/>
      <c r="P1855" s="8"/>
    </row>
    <row r="1856" spans="1:16">
      <c r="A1856" s="119"/>
      <c r="B1856" s="2"/>
      <c r="C1856" s="3"/>
      <c r="D1856" s="3"/>
      <c r="E1856" s="3"/>
      <c r="F1856" s="9"/>
      <c r="G1856" s="248" t="str">
        <f t="shared" si="140"/>
        <v/>
      </c>
      <c r="H1856" s="1" t="b">
        <f>IF(B1856="",FALSE,COUNTIF('従業員情報(給与以外)'!$A$4:$A$1000000,$B1856)=0)</f>
        <v>0</v>
      </c>
      <c r="I1856" s="9" t="b">
        <f t="shared" si="141"/>
        <v>1</v>
      </c>
      <c r="J1856" s="9" t="b">
        <f t="shared" si="142"/>
        <v>1</v>
      </c>
      <c r="K1856" s="9" t="b">
        <f t="shared" si="143"/>
        <v>1</v>
      </c>
      <c r="L1856" s="9" t="b">
        <f t="shared" si="144"/>
        <v>1</v>
      </c>
      <c r="M1856" s="1" t="b">
        <f>IF(OR(入力シート!$C$5&lt;&gt;入力リスト!$N$4,入力シート!$J$22&lt;&gt;入力リスト!$K$4),TRUE,IF($F$2=入力リスト!$Q$4,IF(F1856-INT(F1856)&lt;0.6,TRUE,FALSE),TRUE))</f>
        <v>1</v>
      </c>
      <c r="N1856" s="9" t="str">
        <f>IF(F1856="","",IF($F$2=入力リスト!$Q$4,ROUNDDOWN(INT(F1856)+ROUNDDOWN((F1856-INT(F1856))*100,0)/60,2),従業員の給与情報!F1856))</f>
        <v/>
      </c>
      <c r="O1856" s="8"/>
      <c r="P1856" s="8"/>
    </row>
    <row r="1857" spans="1:16">
      <c r="A1857" s="119"/>
      <c r="B1857" s="2"/>
      <c r="C1857" s="3"/>
      <c r="D1857" s="3"/>
      <c r="E1857" s="3"/>
      <c r="F1857" s="9"/>
      <c r="G1857" s="248" t="str">
        <f t="shared" si="140"/>
        <v/>
      </c>
      <c r="H1857" s="1" t="b">
        <f>IF(B1857="",FALSE,COUNTIF('従業員情報(給与以外)'!$A$4:$A$1000000,$B1857)=0)</f>
        <v>0</v>
      </c>
      <c r="I1857" s="9" t="b">
        <f t="shared" si="141"/>
        <v>1</v>
      </c>
      <c r="J1857" s="9" t="b">
        <f t="shared" si="142"/>
        <v>1</v>
      </c>
      <c r="K1857" s="9" t="b">
        <f t="shared" si="143"/>
        <v>1</v>
      </c>
      <c r="L1857" s="9" t="b">
        <f t="shared" si="144"/>
        <v>1</v>
      </c>
      <c r="M1857" s="1" t="b">
        <f>IF(OR(入力シート!$C$5&lt;&gt;入力リスト!$N$4,入力シート!$J$22&lt;&gt;入力リスト!$K$4),TRUE,IF($F$2=入力リスト!$Q$4,IF(F1857-INT(F1857)&lt;0.6,TRUE,FALSE),TRUE))</f>
        <v>1</v>
      </c>
      <c r="N1857" s="9" t="str">
        <f>IF(F1857="","",IF($F$2=入力リスト!$Q$4,ROUNDDOWN(INT(F1857)+ROUNDDOWN((F1857-INT(F1857))*100,0)/60,2),従業員の給与情報!F1857))</f>
        <v/>
      </c>
      <c r="O1857" s="8"/>
      <c r="P1857" s="8"/>
    </row>
    <row r="1858" spans="1:16">
      <c r="A1858" s="119"/>
      <c r="B1858" s="2"/>
      <c r="C1858" s="3"/>
      <c r="D1858" s="3"/>
      <c r="E1858" s="3"/>
      <c r="F1858" s="9"/>
      <c r="G1858" s="248" t="str">
        <f t="shared" si="140"/>
        <v/>
      </c>
      <c r="H1858" s="1" t="b">
        <f>IF(B1858="",FALSE,COUNTIF('従業員情報(給与以外)'!$A$4:$A$1000000,$B1858)=0)</f>
        <v>0</v>
      </c>
      <c r="I1858" s="9" t="b">
        <f t="shared" si="141"/>
        <v>1</v>
      </c>
      <c r="J1858" s="9" t="b">
        <f t="shared" si="142"/>
        <v>1</v>
      </c>
      <c r="K1858" s="9" t="b">
        <f t="shared" si="143"/>
        <v>1</v>
      </c>
      <c r="L1858" s="9" t="b">
        <f t="shared" si="144"/>
        <v>1</v>
      </c>
      <c r="M1858" s="1" t="b">
        <f>IF(OR(入力シート!$C$5&lt;&gt;入力リスト!$N$4,入力シート!$J$22&lt;&gt;入力リスト!$K$4),TRUE,IF($F$2=入力リスト!$Q$4,IF(F1858-INT(F1858)&lt;0.6,TRUE,FALSE),TRUE))</f>
        <v>1</v>
      </c>
      <c r="N1858" s="9" t="str">
        <f>IF(F1858="","",IF($F$2=入力リスト!$Q$4,ROUNDDOWN(INT(F1858)+ROUNDDOWN((F1858-INT(F1858))*100,0)/60,2),従業員の給与情報!F1858))</f>
        <v/>
      </c>
      <c r="O1858" s="8"/>
      <c r="P1858" s="8"/>
    </row>
    <row r="1859" spans="1:16">
      <c r="A1859" s="119"/>
      <c r="B1859" s="2"/>
      <c r="C1859" s="3"/>
      <c r="D1859" s="3"/>
      <c r="E1859" s="3"/>
      <c r="F1859" s="9"/>
      <c r="G1859" s="248" t="str">
        <f t="shared" si="140"/>
        <v/>
      </c>
      <c r="H1859" s="1" t="b">
        <f>IF(B1859="",FALSE,COUNTIF('従業員情報(給与以外)'!$A$4:$A$1000000,$B1859)=0)</f>
        <v>0</v>
      </c>
      <c r="I1859" s="9" t="b">
        <f t="shared" si="141"/>
        <v>1</v>
      </c>
      <c r="J1859" s="9" t="b">
        <f t="shared" si="142"/>
        <v>1</v>
      </c>
      <c r="K1859" s="9" t="b">
        <f t="shared" si="143"/>
        <v>1</v>
      </c>
      <c r="L1859" s="9" t="b">
        <f t="shared" si="144"/>
        <v>1</v>
      </c>
      <c r="M1859" s="1" t="b">
        <f>IF(OR(入力シート!$C$5&lt;&gt;入力リスト!$N$4,入力シート!$J$22&lt;&gt;入力リスト!$K$4),TRUE,IF($F$2=入力リスト!$Q$4,IF(F1859-INT(F1859)&lt;0.6,TRUE,FALSE),TRUE))</f>
        <v>1</v>
      </c>
      <c r="N1859" s="9" t="str">
        <f>IF(F1859="","",IF($F$2=入力リスト!$Q$4,ROUNDDOWN(INT(F1859)+ROUNDDOWN((F1859-INT(F1859))*100,0)/60,2),従業員の給与情報!F1859))</f>
        <v/>
      </c>
      <c r="O1859" s="8"/>
      <c r="P1859" s="8"/>
    </row>
    <row r="1860" spans="1:16">
      <c r="A1860" s="119"/>
      <c r="B1860" s="2"/>
      <c r="C1860" s="3"/>
      <c r="D1860" s="3"/>
      <c r="E1860" s="3"/>
      <c r="F1860" s="9"/>
      <c r="G1860" s="248" t="str">
        <f t="shared" si="140"/>
        <v/>
      </c>
      <c r="H1860" s="1" t="b">
        <f>IF(B1860="",FALSE,COUNTIF('従業員情報(給与以外)'!$A$4:$A$1000000,$B1860)=0)</f>
        <v>0</v>
      </c>
      <c r="I1860" s="9" t="b">
        <f t="shared" si="141"/>
        <v>1</v>
      </c>
      <c r="J1860" s="9" t="b">
        <f t="shared" si="142"/>
        <v>1</v>
      </c>
      <c r="K1860" s="9" t="b">
        <f t="shared" si="143"/>
        <v>1</v>
      </c>
      <c r="L1860" s="9" t="b">
        <f t="shared" si="144"/>
        <v>1</v>
      </c>
      <c r="M1860" s="1" t="b">
        <f>IF(OR(入力シート!$C$5&lt;&gt;入力リスト!$N$4,入力シート!$J$22&lt;&gt;入力リスト!$K$4),TRUE,IF($F$2=入力リスト!$Q$4,IF(F1860-INT(F1860)&lt;0.6,TRUE,FALSE),TRUE))</f>
        <v>1</v>
      </c>
      <c r="N1860" s="9" t="str">
        <f>IF(F1860="","",IF($F$2=入力リスト!$Q$4,ROUNDDOWN(INT(F1860)+ROUNDDOWN((F1860-INT(F1860))*100,0)/60,2),従業員の給与情報!F1860))</f>
        <v/>
      </c>
      <c r="O1860" s="8"/>
      <c r="P1860" s="8"/>
    </row>
    <row r="1861" spans="1:16">
      <c r="A1861" s="119"/>
      <c r="B1861" s="2"/>
      <c r="C1861" s="3"/>
      <c r="D1861" s="3"/>
      <c r="E1861" s="3"/>
      <c r="F1861" s="9"/>
      <c r="G1861" s="248" t="str">
        <f t="shared" ref="G1861:G1924" si="145">IF(AND($B1861="",OR(B1861&lt;&gt;"",C1861&lt;&gt;"",D1861&lt;&gt;"",E1861&lt;&gt;"",F1861&lt;&gt;"")),"従業員番号が空白です。",IF($H1861=TRUE,"この従業員番号は、シート［従業員情報（給与以外）］に存在しません。",IF(I1861=FALSE,"「毎月の固定給与額」","")&amp;IF(AND(I1861=FALSE,OR(J1861=FALSE,K1861=FALSE,L1861=FALSE)),",","")&amp;IF(J1861=FALSE,"「賞与額等」","")&amp;IF(AND(J1861=FALSE,OR(K1861=FALSE,L1861=FALSE)),",","")&amp;IF(K1861=FALSE,"「残業手当」","")&amp;IF(AND(K1861=FALSE,L1861=FALSE),",","")&amp;IF(L1861=FALSE,"「残業時間」","")&amp;IF(OR(I1861=FALSE,J1861=FALSE,K1861=FALSE,L1861=FALSE),"に数値以外が入力されています。","")&amp;IF(M1861,"","「残業時間」を分単位で入力した場合、小数点以下の値は0.6未満にしてください。")))</f>
        <v/>
      </c>
      <c r="H1861" s="1" t="b">
        <f>IF(B1861="",FALSE,COUNTIF('従業員情報(給与以外)'!$A$4:$A$1000000,$B1861)=0)</f>
        <v>0</v>
      </c>
      <c r="I1861" s="9" t="b">
        <f t="shared" ref="I1861:I1924" si="146">OR(C1861="",ISNUMBER(C1861))</f>
        <v>1</v>
      </c>
      <c r="J1861" s="9" t="b">
        <f t="shared" ref="J1861:J1924" si="147">OR(D1861="",ISNUMBER(D1861))</f>
        <v>1</v>
      </c>
      <c r="K1861" s="9" t="b">
        <f t="shared" ref="K1861:K1924" si="148">OR(E1861="",ISNUMBER(E1861))</f>
        <v>1</v>
      </c>
      <c r="L1861" s="9" t="b">
        <f t="shared" ref="L1861:L1924" si="149">OR(F1861="",ISNUMBER(F1861))</f>
        <v>1</v>
      </c>
      <c r="M1861" s="1" t="b">
        <f>IF(OR(入力シート!$C$5&lt;&gt;入力リスト!$N$4,入力シート!$J$22&lt;&gt;入力リスト!$K$4),TRUE,IF($F$2=入力リスト!$Q$4,IF(F1861-INT(F1861)&lt;0.6,TRUE,FALSE),TRUE))</f>
        <v>1</v>
      </c>
      <c r="N1861" s="9" t="str">
        <f>IF(F1861="","",IF($F$2=入力リスト!$Q$4,ROUNDDOWN(INT(F1861)+ROUNDDOWN((F1861-INT(F1861))*100,0)/60,2),従業員の給与情報!F1861))</f>
        <v/>
      </c>
      <c r="O1861" s="8"/>
      <c r="P1861" s="8"/>
    </row>
    <row r="1862" spans="1:16">
      <c r="A1862" s="119"/>
      <c r="B1862" s="2"/>
      <c r="C1862" s="3"/>
      <c r="D1862" s="3"/>
      <c r="E1862" s="3"/>
      <c r="F1862" s="9"/>
      <c r="G1862" s="248" t="str">
        <f t="shared" si="145"/>
        <v/>
      </c>
      <c r="H1862" s="1" t="b">
        <f>IF(B1862="",FALSE,COUNTIF('従業員情報(給与以外)'!$A$4:$A$1000000,$B1862)=0)</f>
        <v>0</v>
      </c>
      <c r="I1862" s="9" t="b">
        <f t="shared" si="146"/>
        <v>1</v>
      </c>
      <c r="J1862" s="9" t="b">
        <f t="shared" si="147"/>
        <v>1</v>
      </c>
      <c r="K1862" s="9" t="b">
        <f t="shared" si="148"/>
        <v>1</v>
      </c>
      <c r="L1862" s="9" t="b">
        <f t="shared" si="149"/>
        <v>1</v>
      </c>
      <c r="M1862" s="1" t="b">
        <f>IF(OR(入力シート!$C$5&lt;&gt;入力リスト!$N$4,入力シート!$J$22&lt;&gt;入力リスト!$K$4),TRUE,IF($F$2=入力リスト!$Q$4,IF(F1862-INT(F1862)&lt;0.6,TRUE,FALSE),TRUE))</f>
        <v>1</v>
      </c>
      <c r="N1862" s="9" t="str">
        <f>IF(F1862="","",IF($F$2=入力リスト!$Q$4,ROUNDDOWN(INT(F1862)+ROUNDDOWN((F1862-INT(F1862))*100,0)/60,2),従業員の給与情報!F1862))</f>
        <v/>
      </c>
      <c r="O1862" s="8"/>
      <c r="P1862" s="8"/>
    </row>
    <row r="1863" spans="1:16">
      <c r="A1863" s="119"/>
      <c r="B1863" s="2"/>
      <c r="C1863" s="3"/>
      <c r="D1863" s="3"/>
      <c r="E1863" s="3"/>
      <c r="F1863" s="9"/>
      <c r="G1863" s="248" t="str">
        <f t="shared" si="145"/>
        <v/>
      </c>
      <c r="H1863" s="1" t="b">
        <f>IF(B1863="",FALSE,COUNTIF('従業員情報(給与以外)'!$A$4:$A$1000000,$B1863)=0)</f>
        <v>0</v>
      </c>
      <c r="I1863" s="9" t="b">
        <f t="shared" si="146"/>
        <v>1</v>
      </c>
      <c r="J1863" s="9" t="b">
        <f t="shared" si="147"/>
        <v>1</v>
      </c>
      <c r="K1863" s="9" t="b">
        <f t="shared" si="148"/>
        <v>1</v>
      </c>
      <c r="L1863" s="9" t="b">
        <f t="shared" si="149"/>
        <v>1</v>
      </c>
      <c r="M1863" s="1" t="b">
        <f>IF(OR(入力シート!$C$5&lt;&gt;入力リスト!$N$4,入力シート!$J$22&lt;&gt;入力リスト!$K$4),TRUE,IF($F$2=入力リスト!$Q$4,IF(F1863-INT(F1863)&lt;0.6,TRUE,FALSE),TRUE))</f>
        <v>1</v>
      </c>
      <c r="N1863" s="9" t="str">
        <f>IF(F1863="","",IF($F$2=入力リスト!$Q$4,ROUNDDOWN(INT(F1863)+ROUNDDOWN((F1863-INT(F1863))*100,0)/60,2),従業員の給与情報!F1863))</f>
        <v/>
      </c>
      <c r="O1863" s="8"/>
      <c r="P1863" s="8"/>
    </row>
    <row r="1864" spans="1:16">
      <c r="A1864" s="119"/>
      <c r="B1864" s="2"/>
      <c r="C1864" s="3"/>
      <c r="D1864" s="3"/>
      <c r="E1864" s="3"/>
      <c r="F1864" s="9"/>
      <c r="G1864" s="248" t="str">
        <f t="shared" si="145"/>
        <v/>
      </c>
      <c r="H1864" s="1" t="b">
        <f>IF(B1864="",FALSE,COUNTIF('従業員情報(給与以外)'!$A$4:$A$1000000,$B1864)=0)</f>
        <v>0</v>
      </c>
      <c r="I1864" s="9" t="b">
        <f t="shared" si="146"/>
        <v>1</v>
      </c>
      <c r="J1864" s="9" t="b">
        <f t="shared" si="147"/>
        <v>1</v>
      </c>
      <c r="K1864" s="9" t="b">
        <f t="shared" si="148"/>
        <v>1</v>
      </c>
      <c r="L1864" s="9" t="b">
        <f t="shared" si="149"/>
        <v>1</v>
      </c>
      <c r="M1864" s="1" t="b">
        <f>IF(OR(入力シート!$C$5&lt;&gt;入力リスト!$N$4,入力シート!$J$22&lt;&gt;入力リスト!$K$4),TRUE,IF($F$2=入力リスト!$Q$4,IF(F1864-INT(F1864)&lt;0.6,TRUE,FALSE),TRUE))</f>
        <v>1</v>
      </c>
      <c r="N1864" s="9" t="str">
        <f>IF(F1864="","",IF($F$2=入力リスト!$Q$4,ROUNDDOWN(INT(F1864)+ROUNDDOWN((F1864-INT(F1864))*100,0)/60,2),従業員の給与情報!F1864))</f>
        <v/>
      </c>
      <c r="O1864" s="8"/>
      <c r="P1864" s="8"/>
    </row>
    <row r="1865" spans="1:16">
      <c r="A1865" s="119"/>
      <c r="B1865" s="2"/>
      <c r="C1865" s="3"/>
      <c r="D1865" s="3"/>
      <c r="E1865" s="3"/>
      <c r="F1865" s="9"/>
      <c r="G1865" s="248" t="str">
        <f t="shared" si="145"/>
        <v/>
      </c>
      <c r="H1865" s="1" t="b">
        <f>IF(B1865="",FALSE,COUNTIF('従業員情報(給与以外)'!$A$4:$A$1000000,$B1865)=0)</f>
        <v>0</v>
      </c>
      <c r="I1865" s="9" t="b">
        <f t="shared" si="146"/>
        <v>1</v>
      </c>
      <c r="J1865" s="9" t="b">
        <f t="shared" si="147"/>
        <v>1</v>
      </c>
      <c r="K1865" s="9" t="b">
        <f t="shared" si="148"/>
        <v>1</v>
      </c>
      <c r="L1865" s="9" t="b">
        <f t="shared" si="149"/>
        <v>1</v>
      </c>
      <c r="M1865" s="1" t="b">
        <f>IF(OR(入力シート!$C$5&lt;&gt;入力リスト!$N$4,入力シート!$J$22&lt;&gt;入力リスト!$K$4),TRUE,IF($F$2=入力リスト!$Q$4,IF(F1865-INT(F1865)&lt;0.6,TRUE,FALSE),TRUE))</f>
        <v>1</v>
      </c>
      <c r="N1865" s="9" t="str">
        <f>IF(F1865="","",IF($F$2=入力リスト!$Q$4,ROUNDDOWN(INT(F1865)+ROUNDDOWN((F1865-INT(F1865))*100,0)/60,2),従業員の給与情報!F1865))</f>
        <v/>
      </c>
      <c r="O1865" s="8"/>
      <c r="P1865" s="8"/>
    </row>
    <row r="1866" spans="1:16">
      <c r="A1866" s="119"/>
      <c r="B1866" s="2"/>
      <c r="C1866" s="3"/>
      <c r="D1866" s="3"/>
      <c r="E1866" s="3"/>
      <c r="F1866" s="9"/>
      <c r="G1866" s="248" t="str">
        <f t="shared" si="145"/>
        <v/>
      </c>
      <c r="H1866" s="1" t="b">
        <f>IF(B1866="",FALSE,COUNTIF('従業員情報(給与以外)'!$A$4:$A$1000000,$B1866)=0)</f>
        <v>0</v>
      </c>
      <c r="I1866" s="9" t="b">
        <f t="shared" si="146"/>
        <v>1</v>
      </c>
      <c r="J1866" s="9" t="b">
        <f t="shared" si="147"/>
        <v>1</v>
      </c>
      <c r="K1866" s="9" t="b">
        <f t="shared" si="148"/>
        <v>1</v>
      </c>
      <c r="L1866" s="9" t="b">
        <f t="shared" si="149"/>
        <v>1</v>
      </c>
      <c r="M1866" s="1" t="b">
        <f>IF(OR(入力シート!$C$5&lt;&gt;入力リスト!$N$4,入力シート!$J$22&lt;&gt;入力リスト!$K$4),TRUE,IF($F$2=入力リスト!$Q$4,IF(F1866-INT(F1866)&lt;0.6,TRUE,FALSE),TRUE))</f>
        <v>1</v>
      </c>
      <c r="N1866" s="9" t="str">
        <f>IF(F1866="","",IF($F$2=入力リスト!$Q$4,ROUNDDOWN(INT(F1866)+ROUNDDOWN((F1866-INT(F1866))*100,0)/60,2),従業員の給与情報!F1866))</f>
        <v/>
      </c>
      <c r="O1866" s="8"/>
      <c r="P1866" s="8"/>
    </row>
    <row r="1867" spans="1:16">
      <c r="A1867" s="119"/>
      <c r="B1867" s="2"/>
      <c r="C1867" s="3"/>
      <c r="D1867" s="3"/>
      <c r="E1867" s="3"/>
      <c r="F1867" s="9"/>
      <c r="G1867" s="248" t="str">
        <f t="shared" si="145"/>
        <v/>
      </c>
      <c r="H1867" s="1" t="b">
        <f>IF(B1867="",FALSE,COUNTIF('従業員情報(給与以外)'!$A$4:$A$1000000,$B1867)=0)</f>
        <v>0</v>
      </c>
      <c r="I1867" s="9" t="b">
        <f t="shared" si="146"/>
        <v>1</v>
      </c>
      <c r="J1867" s="9" t="b">
        <f t="shared" si="147"/>
        <v>1</v>
      </c>
      <c r="K1867" s="9" t="b">
        <f t="shared" si="148"/>
        <v>1</v>
      </c>
      <c r="L1867" s="9" t="b">
        <f t="shared" si="149"/>
        <v>1</v>
      </c>
      <c r="M1867" s="1" t="b">
        <f>IF(OR(入力シート!$C$5&lt;&gt;入力リスト!$N$4,入力シート!$J$22&lt;&gt;入力リスト!$K$4),TRUE,IF($F$2=入力リスト!$Q$4,IF(F1867-INT(F1867)&lt;0.6,TRUE,FALSE),TRUE))</f>
        <v>1</v>
      </c>
      <c r="N1867" s="9" t="str">
        <f>IF(F1867="","",IF($F$2=入力リスト!$Q$4,ROUNDDOWN(INT(F1867)+ROUNDDOWN((F1867-INT(F1867))*100,0)/60,2),従業員の給与情報!F1867))</f>
        <v/>
      </c>
      <c r="O1867" s="8"/>
      <c r="P1867" s="8"/>
    </row>
    <row r="1868" spans="1:16">
      <c r="A1868" s="119"/>
      <c r="B1868" s="2"/>
      <c r="C1868" s="3"/>
      <c r="D1868" s="3"/>
      <c r="E1868" s="3"/>
      <c r="F1868" s="9"/>
      <c r="G1868" s="248" t="str">
        <f t="shared" si="145"/>
        <v/>
      </c>
      <c r="H1868" s="1" t="b">
        <f>IF(B1868="",FALSE,COUNTIF('従業員情報(給与以外)'!$A$4:$A$1000000,$B1868)=0)</f>
        <v>0</v>
      </c>
      <c r="I1868" s="9" t="b">
        <f t="shared" si="146"/>
        <v>1</v>
      </c>
      <c r="J1868" s="9" t="b">
        <f t="shared" si="147"/>
        <v>1</v>
      </c>
      <c r="K1868" s="9" t="b">
        <f t="shared" si="148"/>
        <v>1</v>
      </c>
      <c r="L1868" s="9" t="b">
        <f t="shared" si="149"/>
        <v>1</v>
      </c>
      <c r="M1868" s="1" t="b">
        <f>IF(OR(入力シート!$C$5&lt;&gt;入力リスト!$N$4,入力シート!$J$22&lt;&gt;入力リスト!$K$4),TRUE,IF($F$2=入力リスト!$Q$4,IF(F1868-INT(F1868)&lt;0.6,TRUE,FALSE),TRUE))</f>
        <v>1</v>
      </c>
      <c r="N1868" s="9" t="str">
        <f>IF(F1868="","",IF($F$2=入力リスト!$Q$4,ROUNDDOWN(INT(F1868)+ROUNDDOWN((F1868-INT(F1868))*100,0)/60,2),従業員の給与情報!F1868))</f>
        <v/>
      </c>
      <c r="O1868" s="8"/>
      <c r="P1868" s="8"/>
    </row>
    <row r="1869" spans="1:16">
      <c r="A1869" s="119"/>
      <c r="B1869" s="2"/>
      <c r="C1869" s="3"/>
      <c r="D1869" s="3"/>
      <c r="E1869" s="3"/>
      <c r="F1869" s="9"/>
      <c r="G1869" s="248" t="str">
        <f t="shared" si="145"/>
        <v/>
      </c>
      <c r="H1869" s="1" t="b">
        <f>IF(B1869="",FALSE,COUNTIF('従業員情報(給与以外)'!$A$4:$A$1000000,$B1869)=0)</f>
        <v>0</v>
      </c>
      <c r="I1869" s="9" t="b">
        <f t="shared" si="146"/>
        <v>1</v>
      </c>
      <c r="J1869" s="9" t="b">
        <f t="shared" si="147"/>
        <v>1</v>
      </c>
      <c r="K1869" s="9" t="b">
        <f t="shared" si="148"/>
        <v>1</v>
      </c>
      <c r="L1869" s="9" t="b">
        <f t="shared" si="149"/>
        <v>1</v>
      </c>
      <c r="M1869" s="1" t="b">
        <f>IF(OR(入力シート!$C$5&lt;&gt;入力リスト!$N$4,入力シート!$J$22&lt;&gt;入力リスト!$K$4),TRUE,IF($F$2=入力リスト!$Q$4,IF(F1869-INT(F1869)&lt;0.6,TRUE,FALSE),TRUE))</f>
        <v>1</v>
      </c>
      <c r="N1869" s="9" t="str">
        <f>IF(F1869="","",IF($F$2=入力リスト!$Q$4,ROUNDDOWN(INT(F1869)+ROUNDDOWN((F1869-INT(F1869))*100,0)/60,2),従業員の給与情報!F1869))</f>
        <v/>
      </c>
      <c r="O1869" s="8"/>
      <c r="P1869" s="8"/>
    </row>
    <row r="1870" spans="1:16">
      <c r="A1870" s="119"/>
      <c r="B1870" s="2"/>
      <c r="C1870" s="3"/>
      <c r="D1870" s="3"/>
      <c r="E1870" s="3"/>
      <c r="F1870" s="9"/>
      <c r="G1870" s="248" t="str">
        <f t="shared" si="145"/>
        <v/>
      </c>
      <c r="H1870" s="1" t="b">
        <f>IF(B1870="",FALSE,COUNTIF('従業員情報(給与以外)'!$A$4:$A$1000000,$B1870)=0)</f>
        <v>0</v>
      </c>
      <c r="I1870" s="9" t="b">
        <f t="shared" si="146"/>
        <v>1</v>
      </c>
      <c r="J1870" s="9" t="b">
        <f t="shared" si="147"/>
        <v>1</v>
      </c>
      <c r="K1870" s="9" t="b">
        <f t="shared" si="148"/>
        <v>1</v>
      </c>
      <c r="L1870" s="9" t="b">
        <f t="shared" si="149"/>
        <v>1</v>
      </c>
      <c r="M1870" s="1" t="b">
        <f>IF(OR(入力シート!$C$5&lt;&gt;入力リスト!$N$4,入力シート!$J$22&lt;&gt;入力リスト!$K$4),TRUE,IF($F$2=入力リスト!$Q$4,IF(F1870-INT(F1870)&lt;0.6,TRUE,FALSE),TRUE))</f>
        <v>1</v>
      </c>
      <c r="N1870" s="9" t="str">
        <f>IF(F1870="","",IF($F$2=入力リスト!$Q$4,ROUNDDOWN(INT(F1870)+ROUNDDOWN((F1870-INT(F1870))*100,0)/60,2),従業員の給与情報!F1870))</f>
        <v/>
      </c>
      <c r="O1870" s="8"/>
      <c r="P1870" s="8"/>
    </row>
    <row r="1871" spans="1:16">
      <c r="A1871" s="119"/>
      <c r="B1871" s="2"/>
      <c r="C1871" s="3"/>
      <c r="D1871" s="3"/>
      <c r="E1871" s="3"/>
      <c r="F1871" s="9"/>
      <c r="G1871" s="248" t="str">
        <f t="shared" si="145"/>
        <v/>
      </c>
      <c r="H1871" s="1" t="b">
        <f>IF(B1871="",FALSE,COUNTIF('従業員情報(給与以外)'!$A$4:$A$1000000,$B1871)=0)</f>
        <v>0</v>
      </c>
      <c r="I1871" s="9" t="b">
        <f t="shared" si="146"/>
        <v>1</v>
      </c>
      <c r="J1871" s="9" t="b">
        <f t="shared" si="147"/>
        <v>1</v>
      </c>
      <c r="K1871" s="9" t="b">
        <f t="shared" si="148"/>
        <v>1</v>
      </c>
      <c r="L1871" s="9" t="b">
        <f t="shared" si="149"/>
        <v>1</v>
      </c>
      <c r="M1871" s="1" t="b">
        <f>IF(OR(入力シート!$C$5&lt;&gt;入力リスト!$N$4,入力シート!$J$22&lt;&gt;入力リスト!$K$4),TRUE,IF($F$2=入力リスト!$Q$4,IF(F1871-INT(F1871)&lt;0.6,TRUE,FALSE),TRUE))</f>
        <v>1</v>
      </c>
      <c r="N1871" s="9" t="str">
        <f>IF(F1871="","",IF($F$2=入力リスト!$Q$4,ROUNDDOWN(INT(F1871)+ROUNDDOWN((F1871-INT(F1871))*100,0)/60,2),従業員の給与情報!F1871))</f>
        <v/>
      </c>
      <c r="O1871" s="8"/>
      <c r="P1871" s="8"/>
    </row>
    <row r="1872" spans="1:16">
      <c r="A1872" s="119"/>
      <c r="B1872" s="2"/>
      <c r="C1872" s="3"/>
      <c r="D1872" s="3"/>
      <c r="E1872" s="3"/>
      <c r="F1872" s="9"/>
      <c r="G1872" s="248" t="str">
        <f t="shared" si="145"/>
        <v/>
      </c>
      <c r="H1872" s="1" t="b">
        <f>IF(B1872="",FALSE,COUNTIF('従業員情報(給与以外)'!$A$4:$A$1000000,$B1872)=0)</f>
        <v>0</v>
      </c>
      <c r="I1872" s="9" t="b">
        <f t="shared" si="146"/>
        <v>1</v>
      </c>
      <c r="J1872" s="9" t="b">
        <f t="shared" si="147"/>
        <v>1</v>
      </c>
      <c r="K1872" s="9" t="b">
        <f t="shared" si="148"/>
        <v>1</v>
      </c>
      <c r="L1872" s="9" t="b">
        <f t="shared" si="149"/>
        <v>1</v>
      </c>
      <c r="M1872" s="1" t="b">
        <f>IF(OR(入力シート!$C$5&lt;&gt;入力リスト!$N$4,入力シート!$J$22&lt;&gt;入力リスト!$K$4),TRUE,IF($F$2=入力リスト!$Q$4,IF(F1872-INT(F1872)&lt;0.6,TRUE,FALSE),TRUE))</f>
        <v>1</v>
      </c>
      <c r="N1872" s="9" t="str">
        <f>IF(F1872="","",IF($F$2=入力リスト!$Q$4,ROUNDDOWN(INT(F1872)+ROUNDDOWN((F1872-INT(F1872))*100,0)/60,2),従業員の給与情報!F1872))</f>
        <v/>
      </c>
      <c r="O1872" s="8"/>
      <c r="P1872" s="8"/>
    </row>
    <row r="1873" spans="1:16">
      <c r="A1873" s="119"/>
      <c r="B1873" s="2"/>
      <c r="C1873" s="3"/>
      <c r="D1873" s="3"/>
      <c r="E1873" s="3"/>
      <c r="F1873" s="9"/>
      <c r="G1873" s="248" t="str">
        <f t="shared" si="145"/>
        <v/>
      </c>
      <c r="H1873" s="1" t="b">
        <f>IF(B1873="",FALSE,COUNTIF('従業員情報(給与以外)'!$A$4:$A$1000000,$B1873)=0)</f>
        <v>0</v>
      </c>
      <c r="I1873" s="9" t="b">
        <f t="shared" si="146"/>
        <v>1</v>
      </c>
      <c r="J1873" s="9" t="b">
        <f t="shared" si="147"/>
        <v>1</v>
      </c>
      <c r="K1873" s="9" t="b">
        <f t="shared" si="148"/>
        <v>1</v>
      </c>
      <c r="L1873" s="9" t="b">
        <f t="shared" si="149"/>
        <v>1</v>
      </c>
      <c r="M1873" s="1" t="b">
        <f>IF(OR(入力シート!$C$5&lt;&gt;入力リスト!$N$4,入力シート!$J$22&lt;&gt;入力リスト!$K$4),TRUE,IF($F$2=入力リスト!$Q$4,IF(F1873-INT(F1873)&lt;0.6,TRUE,FALSE),TRUE))</f>
        <v>1</v>
      </c>
      <c r="N1873" s="9" t="str">
        <f>IF(F1873="","",IF($F$2=入力リスト!$Q$4,ROUNDDOWN(INT(F1873)+ROUNDDOWN((F1873-INT(F1873))*100,0)/60,2),従業員の給与情報!F1873))</f>
        <v/>
      </c>
      <c r="O1873" s="8"/>
      <c r="P1873" s="8"/>
    </row>
    <row r="1874" spans="1:16">
      <c r="A1874" s="119"/>
      <c r="B1874" s="2"/>
      <c r="C1874" s="3"/>
      <c r="D1874" s="3"/>
      <c r="E1874" s="3"/>
      <c r="F1874" s="9"/>
      <c r="G1874" s="248" t="str">
        <f t="shared" si="145"/>
        <v/>
      </c>
      <c r="H1874" s="1" t="b">
        <f>IF(B1874="",FALSE,COUNTIF('従業員情報(給与以外)'!$A$4:$A$1000000,$B1874)=0)</f>
        <v>0</v>
      </c>
      <c r="I1874" s="9" t="b">
        <f t="shared" si="146"/>
        <v>1</v>
      </c>
      <c r="J1874" s="9" t="b">
        <f t="shared" si="147"/>
        <v>1</v>
      </c>
      <c r="K1874" s="9" t="b">
        <f t="shared" si="148"/>
        <v>1</v>
      </c>
      <c r="L1874" s="9" t="b">
        <f t="shared" si="149"/>
        <v>1</v>
      </c>
      <c r="M1874" s="1" t="b">
        <f>IF(OR(入力シート!$C$5&lt;&gt;入力リスト!$N$4,入力シート!$J$22&lt;&gt;入力リスト!$K$4),TRUE,IF($F$2=入力リスト!$Q$4,IF(F1874-INT(F1874)&lt;0.6,TRUE,FALSE),TRUE))</f>
        <v>1</v>
      </c>
      <c r="N1874" s="9" t="str">
        <f>IF(F1874="","",IF($F$2=入力リスト!$Q$4,ROUNDDOWN(INT(F1874)+ROUNDDOWN((F1874-INT(F1874))*100,0)/60,2),従業員の給与情報!F1874))</f>
        <v/>
      </c>
      <c r="O1874" s="8"/>
      <c r="P1874" s="8"/>
    </row>
    <row r="1875" spans="1:16">
      <c r="A1875" s="119"/>
      <c r="B1875" s="2"/>
      <c r="C1875" s="3"/>
      <c r="D1875" s="3"/>
      <c r="E1875" s="3"/>
      <c r="F1875" s="9"/>
      <c r="G1875" s="248" t="str">
        <f t="shared" si="145"/>
        <v/>
      </c>
      <c r="H1875" s="1" t="b">
        <f>IF(B1875="",FALSE,COUNTIF('従業員情報(給与以外)'!$A$4:$A$1000000,$B1875)=0)</f>
        <v>0</v>
      </c>
      <c r="I1875" s="9" t="b">
        <f t="shared" si="146"/>
        <v>1</v>
      </c>
      <c r="J1875" s="9" t="b">
        <f t="shared" si="147"/>
        <v>1</v>
      </c>
      <c r="K1875" s="9" t="b">
        <f t="shared" si="148"/>
        <v>1</v>
      </c>
      <c r="L1875" s="9" t="b">
        <f t="shared" si="149"/>
        <v>1</v>
      </c>
      <c r="M1875" s="1" t="b">
        <f>IF(OR(入力シート!$C$5&lt;&gt;入力リスト!$N$4,入力シート!$J$22&lt;&gt;入力リスト!$K$4),TRUE,IF($F$2=入力リスト!$Q$4,IF(F1875-INT(F1875)&lt;0.6,TRUE,FALSE),TRUE))</f>
        <v>1</v>
      </c>
      <c r="N1875" s="9" t="str">
        <f>IF(F1875="","",IF($F$2=入力リスト!$Q$4,ROUNDDOWN(INT(F1875)+ROUNDDOWN((F1875-INT(F1875))*100,0)/60,2),従業員の給与情報!F1875))</f>
        <v/>
      </c>
      <c r="O1875" s="8"/>
      <c r="P1875" s="8"/>
    </row>
    <row r="1876" spans="1:16">
      <c r="A1876" s="119"/>
      <c r="B1876" s="2"/>
      <c r="C1876" s="3"/>
      <c r="D1876" s="3"/>
      <c r="E1876" s="3"/>
      <c r="F1876" s="9"/>
      <c r="G1876" s="248" t="str">
        <f t="shared" si="145"/>
        <v/>
      </c>
      <c r="H1876" s="1" t="b">
        <f>IF(B1876="",FALSE,COUNTIF('従業員情報(給与以外)'!$A$4:$A$1000000,$B1876)=0)</f>
        <v>0</v>
      </c>
      <c r="I1876" s="9" t="b">
        <f t="shared" si="146"/>
        <v>1</v>
      </c>
      <c r="J1876" s="9" t="b">
        <f t="shared" si="147"/>
        <v>1</v>
      </c>
      <c r="K1876" s="9" t="b">
        <f t="shared" si="148"/>
        <v>1</v>
      </c>
      <c r="L1876" s="9" t="b">
        <f t="shared" si="149"/>
        <v>1</v>
      </c>
      <c r="M1876" s="1" t="b">
        <f>IF(OR(入力シート!$C$5&lt;&gt;入力リスト!$N$4,入力シート!$J$22&lt;&gt;入力リスト!$K$4),TRUE,IF($F$2=入力リスト!$Q$4,IF(F1876-INT(F1876)&lt;0.6,TRUE,FALSE),TRUE))</f>
        <v>1</v>
      </c>
      <c r="N1876" s="9" t="str">
        <f>IF(F1876="","",IF($F$2=入力リスト!$Q$4,ROUNDDOWN(INT(F1876)+ROUNDDOWN((F1876-INT(F1876))*100,0)/60,2),従業員の給与情報!F1876))</f>
        <v/>
      </c>
      <c r="O1876" s="8"/>
      <c r="P1876" s="8"/>
    </row>
    <row r="1877" spans="1:16">
      <c r="A1877" s="119"/>
      <c r="B1877" s="2"/>
      <c r="C1877" s="3"/>
      <c r="D1877" s="3"/>
      <c r="E1877" s="3"/>
      <c r="F1877" s="9"/>
      <c r="G1877" s="248" t="str">
        <f t="shared" si="145"/>
        <v/>
      </c>
      <c r="H1877" s="1" t="b">
        <f>IF(B1877="",FALSE,COUNTIF('従業員情報(給与以外)'!$A$4:$A$1000000,$B1877)=0)</f>
        <v>0</v>
      </c>
      <c r="I1877" s="9" t="b">
        <f t="shared" si="146"/>
        <v>1</v>
      </c>
      <c r="J1877" s="9" t="b">
        <f t="shared" si="147"/>
        <v>1</v>
      </c>
      <c r="K1877" s="9" t="b">
        <f t="shared" si="148"/>
        <v>1</v>
      </c>
      <c r="L1877" s="9" t="b">
        <f t="shared" si="149"/>
        <v>1</v>
      </c>
      <c r="M1877" s="1" t="b">
        <f>IF(OR(入力シート!$C$5&lt;&gt;入力リスト!$N$4,入力シート!$J$22&lt;&gt;入力リスト!$K$4),TRUE,IF($F$2=入力リスト!$Q$4,IF(F1877-INT(F1877)&lt;0.6,TRUE,FALSE),TRUE))</f>
        <v>1</v>
      </c>
      <c r="N1877" s="9" t="str">
        <f>IF(F1877="","",IF($F$2=入力リスト!$Q$4,ROUNDDOWN(INT(F1877)+ROUNDDOWN((F1877-INT(F1877))*100,0)/60,2),従業員の給与情報!F1877))</f>
        <v/>
      </c>
      <c r="O1877" s="8"/>
      <c r="P1877" s="8"/>
    </row>
    <row r="1878" spans="1:16">
      <c r="A1878" s="119"/>
      <c r="B1878" s="2"/>
      <c r="C1878" s="3"/>
      <c r="D1878" s="3"/>
      <c r="E1878" s="3"/>
      <c r="F1878" s="9"/>
      <c r="G1878" s="248" t="str">
        <f t="shared" si="145"/>
        <v/>
      </c>
      <c r="H1878" s="1" t="b">
        <f>IF(B1878="",FALSE,COUNTIF('従業員情報(給与以外)'!$A$4:$A$1000000,$B1878)=0)</f>
        <v>0</v>
      </c>
      <c r="I1878" s="9" t="b">
        <f t="shared" si="146"/>
        <v>1</v>
      </c>
      <c r="J1878" s="9" t="b">
        <f t="shared" si="147"/>
        <v>1</v>
      </c>
      <c r="K1878" s="9" t="b">
        <f t="shared" si="148"/>
        <v>1</v>
      </c>
      <c r="L1878" s="9" t="b">
        <f t="shared" si="149"/>
        <v>1</v>
      </c>
      <c r="M1878" s="1" t="b">
        <f>IF(OR(入力シート!$C$5&lt;&gt;入力リスト!$N$4,入力シート!$J$22&lt;&gt;入力リスト!$K$4),TRUE,IF($F$2=入力リスト!$Q$4,IF(F1878-INT(F1878)&lt;0.6,TRUE,FALSE),TRUE))</f>
        <v>1</v>
      </c>
      <c r="N1878" s="9" t="str">
        <f>IF(F1878="","",IF($F$2=入力リスト!$Q$4,ROUNDDOWN(INT(F1878)+ROUNDDOWN((F1878-INT(F1878))*100,0)/60,2),従業員の給与情報!F1878))</f>
        <v/>
      </c>
      <c r="O1878" s="8"/>
      <c r="P1878" s="8"/>
    </row>
    <row r="1879" spans="1:16">
      <c r="A1879" s="119"/>
      <c r="B1879" s="2"/>
      <c r="C1879" s="3"/>
      <c r="D1879" s="3"/>
      <c r="E1879" s="3"/>
      <c r="F1879" s="9"/>
      <c r="G1879" s="248" t="str">
        <f t="shared" si="145"/>
        <v/>
      </c>
      <c r="H1879" s="1" t="b">
        <f>IF(B1879="",FALSE,COUNTIF('従業員情報(給与以外)'!$A$4:$A$1000000,$B1879)=0)</f>
        <v>0</v>
      </c>
      <c r="I1879" s="9" t="b">
        <f t="shared" si="146"/>
        <v>1</v>
      </c>
      <c r="J1879" s="9" t="b">
        <f t="shared" si="147"/>
        <v>1</v>
      </c>
      <c r="K1879" s="9" t="b">
        <f t="shared" si="148"/>
        <v>1</v>
      </c>
      <c r="L1879" s="9" t="b">
        <f t="shared" si="149"/>
        <v>1</v>
      </c>
      <c r="M1879" s="1" t="b">
        <f>IF(OR(入力シート!$C$5&lt;&gt;入力リスト!$N$4,入力シート!$J$22&lt;&gt;入力リスト!$K$4),TRUE,IF($F$2=入力リスト!$Q$4,IF(F1879-INT(F1879)&lt;0.6,TRUE,FALSE),TRUE))</f>
        <v>1</v>
      </c>
      <c r="N1879" s="9" t="str">
        <f>IF(F1879="","",IF($F$2=入力リスト!$Q$4,ROUNDDOWN(INT(F1879)+ROUNDDOWN((F1879-INT(F1879))*100,0)/60,2),従業員の給与情報!F1879))</f>
        <v/>
      </c>
      <c r="O1879" s="8"/>
      <c r="P1879" s="8"/>
    </row>
    <row r="1880" spans="1:16">
      <c r="A1880" s="119"/>
      <c r="B1880" s="2"/>
      <c r="C1880" s="3"/>
      <c r="D1880" s="3"/>
      <c r="E1880" s="3"/>
      <c r="F1880" s="9"/>
      <c r="G1880" s="248" t="str">
        <f t="shared" si="145"/>
        <v/>
      </c>
      <c r="H1880" s="1" t="b">
        <f>IF(B1880="",FALSE,COUNTIF('従業員情報(給与以外)'!$A$4:$A$1000000,$B1880)=0)</f>
        <v>0</v>
      </c>
      <c r="I1880" s="9" t="b">
        <f t="shared" si="146"/>
        <v>1</v>
      </c>
      <c r="J1880" s="9" t="b">
        <f t="shared" si="147"/>
        <v>1</v>
      </c>
      <c r="K1880" s="9" t="b">
        <f t="shared" si="148"/>
        <v>1</v>
      </c>
      <c r="L1880" s="9" t="b">
        <f t="shared" si="149"/>
        <v>1</v>
      </c>
      <c r="M1880" s="1" t="b">
        <f>IF(OR(入力シート!$C$5&lt;&gt;入力リスト!$N$4,入力シート!$J$22&lt;&gt;入力リスト!$K$4),TRUE,IF($F$2=入力リスト!$Q$4,IF(F1880-INT(F1880)&lt;0.6,TRUE,FALSE),TRUE))</f>
        <v>1</v>
      </c>
      <c r="N1880" s="9" t="str">
        <f>IF(F1880="","",IF($F$2=入力リスト!$Q$4,ROUNDDOWN(INT(F1880)+ROUNDDOWN((F1880-INT(F1880))*100,0)/60,2),従業員の給与情報!F1880))</f>
        <v/>
      </c>
      <c r="O1880" s="8"/>
      <c r="P1880" s="8"/>
    </row>
    <row r="1881" spans="1:16">
      <c r="A1881" s="119"/>
      <c r="B1881" s="2"/>
      <c r="C1881" s="3"/>
      <c r="D1881" s="3"/>
      <c r="E1881" s="3"/>
      <c r="F1881" s="9"/>
      <c r="G1881" s="248" t="str">
        <f t="shared" si="145"/>
        <v/>
      </c>
      <c r="H1881" s="1" t="b">
        <f>IF(B1881="",FALSE,COUNTIF('従業員情報(給与以外)'!$A$4:$A$1000000,$B1881)=0)</f>
        <v>0</v>
      </c>
      <c r="I1881" s="9" t="b">
        <f t="shared" si="146"/>
        <v>1</v>
      </c>
      <c r="J1881" s="9" t="b">
        <f t="shared" si="147"/>
        <v>1</v>
      </c>
      <c r="K1881" s="9" t="b">
        <f t="shared" si="148"/>
        <v>1</v>
      </c>
      <c r="L1881" s="9" t="b">
        <f t="shared" si="149"/>
        <v>1</v>
      </c>
      <c r="M1881" s="1" t="b">
        <f>IF(OR(入力シート!$C$5&lt;&gt;入力リスト!$N$4,入力シート!$J$22&lt;&gt;入力リスト!$K$4),TRUE,IF($F$2=入力リスト!$Q$4,IF(F1881-INT(F1881)&lt;0.6,TRUE,FALSE),TRUE))</f>
        <v>1</v>
      </c>
      <c r="N1881" s="9" t="str">
        <f>IF(F1881="","",IF($F$2=入力リスト!$Q$4,ROUNDDOWN(INT(F1881)+ROUNDDOWN((F1881-INT(F1881))*100,0)/60,2),従業員の給与情報!F1881))</f>
        <v/>
      </c>
      <c r="O1881" s="8"/>
      <c r="P1881" s="8"/>
    </row>
    <row r="1882" spans="1:16">
      <c r="A1882" s="119"/>
      <c r="B1882" s="2"/>
      <c r="C1882" s="3"/>
      <c r="D1882" s="3"/>
      <c r="E1882" s="3"/>
      <c r="F1882" s="9"/>
      <c r="G1882" s="248" t="str">
        <f t="shared" si="145"/>
        <v/>
      </c>
      <c r="H1882" s="1" t="b">
        <f>IF(B1882="",FALSE,COUNTIF('従業員情報(給与以外)'!$A$4:$A$1000000,$B1882)=0)</f>
        <v>0</v>
      </c>
      <c r="I1882" s="9" t="b">
        <f t="shared" si="146"/>
        <v>1</v>
      </c>
      <c r="J1882" s="9" t="b">
        <f t="shared" si="147"/>
        <v>1</v>
      </c>
      <c r="K1882" s="9" t="b">
        <f t="shared" si="148"/>
        <v>1</v>
      </c>
      <c r="L1882" s="9" t="b">
        <f t="shared" si="149"/>
        <v>1</v>
      </c>
      <c r="M1882" s="1" t="b">
        <f>IF(OR(入力シート!$C$5&lt;&gt;入力リスト!$N$4,入力シート!$J$22&lt;&gt;入力リスト!$K$4),TRUE,IF($F$2=入力リスト!$Q$4,IF(F1882-INT(F1882)&lt;0.6,TRUE,FALSE),TRUE))</f>
        <v>1</v>
      </c>
      <c r="N1882" s="9" t="str">
        <f>IF(F1882="","",IF($F$2=入力リスト!$Q$4,ROUNDDOWN(INT(F1882)+ROUNDDOWN((F1882-INT(F1882))*100,0)/60,2),従業員の給与情報!F1882))</f>
        <v/>
      </c>
      <c r="O1882" s="8"/>
      <c r="P1882" s="8"/>
    </row>
    <row r="1883" spans="1:16">
      <c r="A1883" s="119"/>
      <c r="B1883" s="2"/>
      <c r="C1883" s="3"/>
      <c r="D1883" s="3"/>
      <c r="E1883" s="3"/>
      <c r="F1883" s="9"/>
      <c r="G1883" s="248" t="str">
        <f t="shared" si="145"/>
        <v/>
      </c>
      <c r="H1883" s="1" t="b">
        <f>IF(B1883="",FALSE,COUNTIF('従業員情報(給与以外)'!$A$4:$A$1000000,$B1883)=0)</f>
        <v>0</v>
      </c>
      <c r="I1883" s="9" t="b">
        <f t="shared" si="146"/>
        <v>1</v>
      </c>
      <c r="J1883" s="9" t="b">
        <f t="shared" si="147"/>
        <v>1</v>
      </c>
      <c r="K1883" s="9" t="b">
        <f t="shared" si="148"/>
        <v>1</v>
      </c>
      <c r="L1883" s="9" t="b">
        <f t="shared" si="149"/>
        <v>1</v>
      </c>
      <c r="M1883" s="1" t="b">
        <f>IF(OR(入力シート!$C$5&lt;&gt;入力リスト!$N$4,入力シート!$J$22&lt;&gt;入力リスト!$K$4),TRUE,IF($F$2=入力リスト!$Q$4,IF(F1883-INT(F1883)&lt;0.6,TRUE,FALSE),TRUE))</f>
        <v>1</v>
      </c>
      <c r="N1883" s="9" t="str">
        <f>IF(F1883="","",IF($F$2=入力リスト!$Q$4,ROUNDDOWN(INT(F1883)+ROUNDDOWN((F1883-INT(F1883))*100,0)/60,2),従業員の給与情報!F1883))</f>
        <v/>
      </c>
      <c r="O1883" s="8"/>
      <c r="P1883" s="8"/>
    </row>
    <row r="1884" spans="1:16">
      <c r="A1884" s="119"/>
      <c r="B1884" s="2"/>
      <c r="C1884" s="3"/>
      <c r="D1884" s="3"/>
      <c r="E1884" s="3"/>
      <c r="F1884" s="9"/>
      <c r="G1884" s="248" t="str">
        <f t="shared" si="145"/>
        <v/>
      </c>
      <c r="H1884" s="1" t="b">
        <f>IF(B1884="",FALSE,COUNTIF('従業員情報(給与以外)'!$A$4:$A$1000000,$B1884)=0)</f>
        <v>0</v>
      </c>
      <c r="I1884" s="9" t="b">
        <f t="shared" si="146"/>
        <v>1</v>
      </c>
      <c r="J1884" s="9" t="b">
        <f t="shared" si="147"/>
        <v>1</v>
      </c>
      <c r="K1884" s="9" t="b">
        <f t="shared" si="148"/>
        <v>1</v>
      </c>
      <c r="L1884" s="9" t="b">
        <f t="shared" si="149"/>
        <v>1</v>
      </c>
      <c r="M1884" s="1" t="b">
        <f>IF(OR(入力シート!$C$5&lt;&gt;入力リスト!$N$4,入力シート!$J$22&lt;&gt;入力リスト!$K$4),TRUE,IF($F$2=入力リスト!$Q$4,IF(F1884-INT(F1884)&lt;0.6,TRUE,FALSE),TRUE))</f>
        <v>1</v>
      </c>
      <c r="N1884" s="9" t="str">
        <f>IF(F1884="","",IF($F$2=入力リスト!$Q$4,ROUNDDOWN(INT(F1884)+ROUNDDOWN((F1884-INT(F1884))*100,0)/60,2),従業員の給与情報!F1884))</f>
        <v/>
      </c>
      <c r="O1884" s="8"/>
      <c r="P1884" s="8"/>
    </row>
    <row r="1885" spans="1:16">
      <c r="A1885" s="119"/>
      <c r="B1885" s="2"/>
      <c r="C1885" s="3"/>
      <c r="D1885" s="3"/>
      <c r="E1885" s="3"/>
      <c r="F1885" s="9"/>
      <c r="G1885" s="248" t="str">
        <f t="shared" si="145"/>
        <v/>
      </c>
      <c r="H1885" s="1" t="b">
        <f>IF(B1885="",FALSE,COUNTIF('従業員情報(給与以外)'!$A$4:$A$1000000,$B1885)=0)</f>
        <v>0</v>
      </c>
      <c r="I1885" s="9" t="b">
        <f t="shared" si="146"/>
        <v>1</v>
      </c>
      <c r="J1885" s="9" t="b">
        <f t="shared" si="147"/>
        <v>1</v>
      </c>
      <c r="K1885" s="9" t="b">
        <f t="shared" si="148"/>
        <v>1</v>
      </c>
      <c r="L1885" s="9" t="b">
        <f t="shared" si="149"/>
        <v>1</v>
      </c>
      <c r="M1885" s="1" t="b">
        <f>IF(OR(入力シート!$C$5&lt;&gt;入力リスト!$N$4,入力シート!$J$22&lt;&gt;入力リスト!$K$4),TRUE,IF($F$2=入力リスト!$Q$4,IF(F1885-INT(F1885)&lt;0.6,TRUE,FALSE),TRUE))</f>
        <v>1</v>
      </c>
      <c r="N1885" s="9" t="str">
        <f>IF(F1885="","",IF($F$2=入力リスト!$Q$4,ROUNDDOWN(INT(F1885)+ROUNDDOWN((F1885-INT(F1885))*100,0)/60,2),従業員の給与情報!F1885))</f>
        <v/>
      </c>
      <c r="O1885" s="8"/>
      <c r="P1885" s="8"/>
    </row>
    <row r="1886" spans="1:16">
      <c r="A1886" s="119"/>
      <c r="B1886" s="2"/>
      <c r="C1886" s="3"/>
      <c r="D1886" s="3"/>
      <c r="E1886" s="3"/>
      <c r="F1886" s="9"/>
      <c r="G1886" s="248" t="str">
        <f t="shared" si="145"/>
        <v/>
      </c>
      <c r="H1886" s="1" t="b">
        <f>IF(B1886="",FALSE,COUNTIF('従業員情報(給与以外)'!$A$4:$A$1000000,$B1886)=0)</f>
        <v>0</v>
      </c>
      <c r="I1886" s="9" t="b">
        <f t="shared" si="146"/>
        <v>1</v>
      </c>
      <c r="J1886" s="9" t="b">
        <f t="shared" si="147"/>
        <v>1</v>
      </c>
      <c r="K1886" s="9" t="b">
        <f t="shared" si="148"/>
        <v>1</v>
      </c>
      <c r="L1886" s="9" t="b">
        <f t="shared" si="149"/>
        <v>1</v>
      </c>
      <c r="M1886" s="1" t="b">
        <f>IF(OR(入力シート!$C$5&lt;&gt;入力リスト!$N$4,入力シート!$J$22&lt;&gt;入力リスト!$K$4),TRUE,IF($F$2=入力リスト!$Q$4,IF(F1886-INT(F1886)&lt;0.6,TRUE,FALSE),TRUE))</f>
        <v>1</v>
      </c>
      <c r="N1886" s="9" t="str">
        <f>IF(F1886="","",IF($F$2=入力リスト!$Q$4,ROUNDDOWN(INT(F1886)+ROUNDDOWN((F1886-INT(F1886))*100,0)/60,2),従業員の給与情報!F1886))</f>
        <v/>
      </c>
      <c r="O1886" s="8"/>
      <c r="P1886" s="8"/>
    </row>
    <row r="1887" spans="1:16">
      <c r="A1887" s="119"/>
      <c r="B1887" s="2"/>
      <c r="C1887" s="3"/>
      <c r="D1887" s="3"/>
      <c r="E1887" s="3"/>
      <c r="F1887" s="9"/>
      <c r="G1887" s="248" t="str">
        <f t="shared" si="145"/>
        <v/>
      </c>
      <c r="H1887" s="1" t="b">
        <f>IF(B1887="",FALSE,COUNTIF('従業員情報(給与以外)'!$A$4:$A$1000000,$B1887)=0)</f>
        <v>0</v>
      </c>
      <c r="I1887" s="9" t="b">
        <f t="shared" si="146"/>
        <v>1</v>
      </c>
      <c r="J1887" s="9" t="b">
        <f t="shared" si="147"/>
        <v>1</v>
      </c>
      <c r="K1887" s="9" t="b">
        <f t="shared" si="148"/>
        <v>1</v>
      </c>
      <c r="L1887" s="9" t="b">
        <f t="shared" si="149"/>
        <v>1</v>
      </c>
      <c r="M1887" s="1" t="b">
        <f>IF(OR(入力シート!$C$5&lt;&gt;入力リスト!$N$4,入力シート!$J$22&lt;&gt;入力リスト!$K$4),TRUE,IF($F$2=入力リスト!$Q$4,IF(F1887-INT(F1887)&lt;0.6,TRUE,FALSE),TRUE))</f>
        <v>1</v>
      </c>
      <c r="N1887" s="9" t="str">
        <f>IF(F1887="","",IF($F$2=入力リスト!$Q$4,ROUNDDOWN(INT(F1887)+ROUNDDOWN((F1887-INT(F1887))*100,0)/60,2),従業員の給与情報!F1887))</f>
        <v/>
      </c>
      <c r="O1887" s="8"/>
      <c r="P1887" s="8"/>
    </row>
    <row r="1888" spans="1:16">
      <c r="A1888" s="119"/>
      <c r="B1888" s="2"/>
      <c r="C1888" s="3"/>
      <c r="D1888" s="3"/>
      <c r="E1888" s="3"/>
      <c r="F1888" s="9"/>
      <c r="G1888" s="248" t="str">
        <f t="shared" si="145"/>
        <v/>
      </c>
      <c r="H1888" s="1" t="b">
        <f>IF(B1888="",FALSE,COUNTIF('従業員情報(給与以外)'!$A$4:$A$1000000,$B1888)=0)</f>
        <v>0</v>
      </c>
      <c r="I1888" s="9" t="b">
        <f t="shared" si="146"/>
        <v>1</v>
      </c>
      <c r="J1888" s="9" t="b">
        <f t="shared" si="147"/>
        <v>1</v>
      </c>
      <c r="K1888" s="9" t="b">
        <f t="shared" si="148"/>
        <v>1</v>
      </c>
      <c r="L1888" s="9" t="b">
        <f t="shared" si="149"/>
        <v>1</v>
      </c>
      <c r="M1888" s="1" t="b">
        <f>IF(OR(入力シート!$C$5&lt;&gt;入力リスト!$N$4,入力シート!$J$22&lt;&gt;入力リスト!$K$4),TRUE,IF($F$2=入力リスト!$Q$4,IF(F1888-INT(F1888)&lt;0.6,TRUE,FALSE),TRUE))</f>
        <v>1</v>
      </c>
      <c r="N1888" s="9" t="str">
        <f>IF(F1888="","",IF($F$2=入力リスト!$Q$4,ROUNDDOWN(INT(F1888)+ROUNDDOWN((F1888-INT(F1888))*100,0)/60,2),従業員の給与情報!F1888))</f>
        <v/>
      </c>
      <c r="O1888" s="8"/>
      <c r="P1888" s="8"/>
    </row>
    <row r="1889" spans="1:16">
      <c r="A1889" s="119"/>
      <c r="B1889" s="2"/>
      <c r="C1889" s="3"/>
      <c r="D1889" s="3"/>
      <c r="E1889" s="3"/>
      <c r="F1889" s="9"/>
      <c r="G1889" s="248" t="str">
        <f t="shared" si="145"/>
        <v/>
      </c>
      <c r="H1889" s="1" t="b">
        <f>IF(B1889="",FALSE,COUNTIF('従業員情報(給与以外)'!$A$4:$A$1000000,$B1889)=0)</f>
        <v>0</v>
      </c>
      <c r="I1889" s="9" t="b">
        <f t="shared" si="146"/>
        <v>1</v>
      </c>
      <c r="J1889" s="9" t="b">
        <f t="shared" si="147"/>
        <v>1</v>
      </c>
      <c r="K1889" s="9" t="b">
        <f t="shared" si="148"/>
        <v>1</v>
      </c>
      <c r="L1889" s="9" t="b">
        <f t="shared" si="149"/>
        <v>1</v>
      </c>
      <c r="M1889" s="1" t="b">
        <f>IF(OR(入力シート!$C$5&lt;&gt;入力リスト!$N$4,入力シート!$J$22&lt;&gt;入力リスト!$K$4),TRUE,IF($F$2=入力リスト!$Q$4,IF(F1889-INT(F1889)&lt;0.6,TRUE,FALSE),TRUE))</f>
        <v>1</v>
      </c>
      <c r="N1889" s="9" t="str">
        <f>IF(F1889="","",IF($F$2=入力リスト!$Q$4,ROUNDDOWN(INT(F1889)+ROUNDDOWN((F1889-INT(F1889))*100,0)/60,2),従業員の給与情報!F1889))</f>
        <v/>
      </c>
      <c r="O1889" s="8"/>
      <c r="P1889" s="8"/>
    </row>
    <row r="1890" spans="1:16">
      <c r="A1890" s="119"/>
      <c r="B1890" s="2"/>
      <c r="C1890" s="3"/>
      <c r="D1890" s="3"/>
      <c r="E1890" s="3"/>
      <c r="F1890" s="9"/>
      <c r="G1890" s="248" t="str">
        <f t="shared" si="145"/>
        <v/>
      </c>
      <c r="H1890" s="1" t="b">
        <f>IF(B1890="",FALSE,COUNTIF('従業員情報(給与以外)'!$A$4:$A$1000000,$B1890)=0)</f>
        <v>0</v>
      </c>
      <c r="I1890" s="9" t="b">
        <f t="shared" si="146"/>
        <v>1</v>
      </c>
      <c r="J1890" s="9" t="b">
        <f t="shared" si="147"/>
        <v>1</v>
      </c>
      <c r="K1890" s="9" t="b">
        <f t="shared" si="148"/>
        <v>1</v>
      </c>
      <c r="L1890" s="9" t="b">
        <f t="shared" si="149"/>
        <v>1</v>
      </c>
      <c r="M1890" s="1" t="b">
        <f>IF(OR(入力シート!$C$5&lt;&gt;入力リスト!$N$4,入力シート!$J$22&lt;&gt;入力リスト!$K$4),TRUE,IF($F$2=入力リスト!$Q$4,IF(F1890-INT(F1890)&lt;0.6,TRUE,FALSE),TRUE))</f>
        <v>1</v>
      </c>
      <c r="N1890" s="9" t="str">
        <f>IF(F1890="","",IF($F$2=入力リスト!$Q$4,ROUNDDOWN(INT(F1890)+ROUNDDOWN((F1890-INT(F1890))*100,0)/60,2),従業員の給与情報!F1890))</f>
        <v/>
      </c>
      <c r="O1890" s="8"/>
      <c r="P1890" s="8"/>
    </row>
    <row r="1891" spans="1:16">
      <c r="A1891" s="119"/>
      <c r="B1891" s="2"/>
      <c r="C1891" s="3"/>
      <c r="D1891" s="3"/>
      <c r="E1891" s="3"/>
      <c r="F1891" s="9"/>
      <c r="G1891" s="248" t="str">
        <f t="shared" si="145"/>
        <v/>
      </c>
      <c r="H1891" s="1" t="b">
        <f>IF(B1891="",FALSE,COUNTIF('従業員情報(給与以外)'!$A$4:$A$1000000,$B1891)=0)</f>
        <v>0</v>
      </c>
      <c r="I1891" s="9" t="b">
        <f t="shared" si="146"/>
        <v>1</v>
      </c>
      <c r="J1891" s="9" t="b">
        <f t="shared" si="147"/>
        <v>1</v>
      </c>
      <c r="K1891" s="9" t="b">
        <f t="shared" si="148"/>
        <v>1</v>
      </c>
      <c r="L1891" s="9" t="b">
        <f t="shared" si="149"/>
        <v>1</v>
      </c>
      <c r="M1891" s="1" t="b">
        <f>IF(OR(入力シート!$C$5&lt;&gt;入力リスト!$N$4,入力シート!$J$22&lt;&gt;入力リスト!$K$4),TRUE,IF($F$2=入力リスト!$Q$4,IF(F1891-INT(F1891)&lt;0.6,TRUE,FALSE),TRUE))</f>
        <v>1</v>
      </c>
      <c r="N1891" s="9" t="str">
        <f>IF(F1891="","",IF($F$2=入力リスト!$Q$4,ROUNDDOWN(INT(F1891)+ROUNDDOWN((F1891-INT(F1891))*100,0)/60,2),従業員の給与情報!F1891))</f>
        <v/>
      </c>
      <c r="O1891" s="8"/>
      <c r="P1891" s="8"/>
    </row>
    <row r="1892" spans="1:16">
      <c r="A1892" s="119"/>
      <c r="B1892" s="2"/>
      <c r="C1892" s="3"/>
      <c r="D1892" s="3"/>
      <c r="E1892" s="3"/>
      <c r="F1892" s="9"/>
      <c r="G1892" s="248" t="str">
        <f t="shared" si="145"/>
        <v/>
      </c>
      <c r="H1892" s="1" t="b">
        <f>IF(B1892="",FALSE,COUNTIF('従業員情報(給与以外)'!$A$4:$A$1000000,$B1892)=0)</f>
        <v>0</v>
      </c>
      <c r="I1892" s="9" t="b">
        <f t="shared" si="146"/>
        <v>1</v>
      </c>
      <c r="J1892" s="9" t="b">
        <f t="shared" si="147"/>
        <v>1</v>
      </c>
      <c r="K1892" s="9" t="b">
        <f t="shared" si="148"/>
        <v>1</v>
      </c>
      <c r="L1892" s="9" t="b">
        <f t="shared" si="149"/>
        <v>1</v>
      </c>
      <c r="M1892" s="1" t="b">
        <f>IF(OR(入力シート!$C$5&lt;&gt;入力リスト!$N$4,入力シート!$J$22&lt;&gt;入力リスト!$K$4),TRUE,IF($F$2=入力リスト!$Q$4,IF(F1892-INT(F1892)&lt;0.6,TRUE,FALSE),TRUE))</f>
        <v>1</v>
      </c>
      <c r="N1892" s="9" t="str">
        <f>IF(F1892="","",IF($F$2=入力リスト!$Q$4,ROUNDDOWN(INT(F1892)+ROUNDDOWN((F1892-INT(F1892))*100,0)/60,2),従業員の給与情報!F1892))</f>
        <v/>
      </c>
      <c r="O1892" s="8"/>
      <c r="P1892" s="8"/>
    </row>
    <row r="1893" spans="1:16">
      <c r="A1893" s="119"/>
      <c r="B1893" s="2"/>
      <c r="C1893" s="3"/>
      <c r="D1893" s="3"/>
      <c r="E1893" s="3"/>
      <c r="F1893" s="9"/>
      <c r="G1893" s="248" t="str">
        <f t="shared" si="145"/>
        <v/>
      </c>
      <c r="H1893" s="1" t="b">
        <f>IF(B1893="",FALSE,COUNTIF('従業員情報(給与以外)'!$A$4:$A$1000000,$B1893)=0)</f>
        <v>0</v>
      </c>
      <c r="I1893" s="9" t="b">
        <f t="shared" si="146"/>
        <v>1</v>
      </c>
      <c r="J1893" s="9" t="b">
        <f t="shared" si="147"/>
        <v>1</v>
      </c>
      <c r="K1893" s="9" t="b">
        <f t="shared" si="148"/>
        <v>1</v>
      </c>
      <c r="L1893" s="9" t="b">
        <f t="shared" si="149"/>
        <v>1</v>
      </c>
      <c r="M1893" s="1" t="b">
        <f>IF(OR(入力シート!$C$5&lt;&gt;入力リスト!$N$4,入力シート!$J$22&lt;&gt;入力リスト!$K$4),TRUE,IF($F$2=入力リスト!$Q$4,IF(F1893-INT(F1893)&lt;0.6,TRUE,FALSE),TRUE))</f>
        <v>1</v>
      </c>
      <c r="N1893" s="9" t="str">
        <f>IF(F1893="","",IF($F$2=入力リスト!$Q$4,ROUNDDOWN(INT(F1893)+ROUNDDOWN((F1893-INT(F1893))*100,0)/60,2),従業員の給与情報!F1893))</f>
        <v/>
      </c>
      <c r="O1893" s="8"/>
      <c r="P1893" s="8"/>
    </row>
    <row r="1894" spans="1:16">
      <c r="A1894" s="119"/>
      <c r="B1894" s="2"/>
      <c r="C1894" s="3"/>
      <c r="D1894" s="3"/>
      <c r="E1894" s="3"/>
      <c r="F1894" s="9"/>
      <c r="G1894" s="248" t="str">
        <f t="shared" si="145"/>
        <v/>
      </c>
      <c r="H1894" s="1" t="b">
        <f>IF(B1894="",FALSE,COUNTIF('従業員情報(給与以外)'!$A$4:$A$1000000,$B1894)=0)</f>
        <v>0</v>
      </c>
      <c r="I1894" s="9" t="b">
        <f t="shared" si="146"/>
        <v>1</v>
      </c>
      <c r="J1894" s="9" t="b">
        <f t="shared" si="147"/>
        <v>1</v>
      </c>
      <c r="K1894" s="9" t="b">
        <f t="shared" si="148"/>
        <v>1</v>
      </c>
      <c r="L1894" s="9" t="b">
        <f t="shared" si="149"/>
        <v>1</v>
      </c>
      <c r="M1894" s="1" t="b">
        <f>IF(OR(入力シート!$C$5&lt;&gt;入力リスト!$N$4,入力シート!$J$22&lt;&gt;入力リスト!$K$4),TRUE,IF($F$2=入力リスト!$Q$4,IF(F1894-INT(F1894)&lt;0.6,TRUE,FALSE),TRUE))</f>
        <v>1</v>
      </c>
      <c r="N1894" s="9" t="str">
        <f>IF(F1894="","",IF($F$2=入力リスト!$Q$4,ROUNDDOWN(INT(F1894)+ROUNDDOWN((F1894-INT(F1894))*100,0)/60,2),従業員の給与情報!F1894))</f>
        <v/>
      </c>
      <c r="O1894" s="8"/>
      <c r="P1894" s="8"/>
    </row>
    <row r="1895" spans="1:16">
      <c r="A1895" s="119"/>
      <c r="B1895" s="2"/>
      <c r="C1895" s="3"/>
      <c r="D1895" s="3"/>
      <c r="E1895" s="3"/>
      <c r="F1895" s="9"/>
      <c r="G1895" s="248" t="str">
        <f t="shared" si="145"/>
        <v/>
      </c>
      <c r="H1895" s="1" t="b">
        <f>IF(B1895="",FALSE,COUNTIF('従業員情報(給与以外)'!$A$4:$A$1000000,$B1895)=0)</f>
        <v>0</v>
      </c>
      <c r="I1895" s="9" t="b">
        <f t="shared" si="146"/>
        <v>1</v>
      </c>
      <c r="J1895" s="9" t="b">
        <f t="shared" si="147"/>
        <v>1</v>
      </c>
      <c r="K1895" s="9" t="b">
        <f t="shared" si="148"/>
        <v>1</v>
      </c>
      <c r="L1895" s="9" t="b">
        <f t="shared" si="149"/>
        <v>1</v>
      </c>
      <c r="M1895" s="1" t="b">
        <f>IF(OR(入力シート!$C$5&lt;&gt;入力リスト!$N$4,入力シート!$J$22&lt;&gt;入力リスト!$K$4),TRUE,IF($F$2=入力リスト!$Q$4,IF(F1895-INT(F1895)&lt;0.6,TRUE,FALSE),TRUE))</f>
        <v>1</v>
      </c>
      <c r="N1895" s="9" t="str">
        <f>IF(F1895="","",IF($F$2=入力リスト!$Q$4,ROUNDDOWN(INT(F1895)+ROUNDDOWN((F1895-INT(F1895))*100,0)/60,2),従業員の給与情報!F1895))</f>
        <v/>
      </c>
      <c r="O1895" s="8"/>
      <c r="P1895" s="8"/>
    </row>
    <row r="1896" spans="1:16">
      <c r="A1896" s="119"/>
      <c r="B1896" s="2"/>
      <c r="C1896" s="3"/>
      <c r="D1896" s="3"/>
      <c r="E1896" s="3"/>
      <c r="F1896" s="9"/>
      <c r="G1896" s="248" t="str">
        <f t="shared" si="145"/>
        <v/>
      </c>
      <c r="H1896" s="1" t="b">
        <f>IF(B1896="",FALSE,COUNTIF('従業員情報(給与以外)'!$A$4:$A$1000000,$B1896)=0)</f>
        <v>0</v>
      </c>
      <c r="I1896" s="9" t="b">
        <f t="shared" si="146"/>
        <v>1</v>
      </c>
      <c r="J1896" s="9" t="b">
        <f t="shared" si="147"/>
        <v>1</v>
      </c>
      <c r="K1896" s="9" t="b">
        <f t="shared" si="148"/>
        <v>1</v>
      </c>
      <c r="L1896" s="9" t="b">
        <f t="shared" si="149"/>
        <v>1</v>
      </c>
      <c r="M1896" s="1" t="b">
        <f>IF(OR(入力シート!$C$5&lt;&gt;入力リスト!$N$4,入力シート!$J$22&lt;&gt;入力リスト!$K$4),TRUE,IF($F$2=入力リスト!$Q$4,IF(F1896-INT(F1896)&lt;0.6,TRUE,FALSE),TRUE))</f>
        <v>1</v>
      </c>
      <c r="N1896" s="9" t="str">
        <f>IF(F1896="","",IF($F$2=入力リスト!$Q$4,ROUNDDOWN(INT(F1896)+ROUNDDOWN((F1896-INT(F1896))*100,0)/60,2),従業員の給与情報!F1896))</f>
        <v/>
      </c>
      <c r="O1896" s="8"/>
      <c r="P1896" s="8"/>
    </row>
    <row r="1897" spans="1:16">
      <c r="A1897" s="119"/>
      <c r="B1897" s="2"/>
      <c r="C1897" s="3"/>
      <c r="D1897" s="3"/>
      <c r="E1897" s="3"/>
      <c r="F1897" s="9"/>
      <c r="G1897" s="248" t="str">
        <f t="shared" si="145"/>
        <v/>
      </c>
      <c r="H1897" s="1" t="b">
        <f>IF(B1897="",FALSE,COUNTIF('従業員情報(給与以外)'!$A$4:$A$1000000,$B1897)=0)</f>
        <v>0</v>
      </c>
      <c r="I1897" s="9" t="b">
        <f t="shared" si="146"/>
        <v>1</v>
      </c>
      <c r="J1897" s="9" t="b">
        <f t="shared" si="147"/>
        <v>1</v>
      </c>
      <c r="K1897" s="9" t="b">
        <f t="shared" si="148"/>
        <v>1</v>
      </c>
      <c r="L1897" s="9" t="b">
        <f t="shared" si="149"/>
        <v>1</v>
      </c>
      <c r="M1897" s="1" t="b">
        <f>IF(OR(入力シート!$C$5&lt;&gt;入力リスト!$N$4,入力シート!$J$22&lt;&gt;入力リスト!$K$4),TRUE,IF($F$2=入力リスト!$Q$4,IF(F1897-INT(F1897)&lt;0.6,TRUE,FALSE),TRUE))</f>
        <v>1</v>
      </c>
      <c r="N1897" s="9" t="str">
        <f>IF(F1897="","",IF($F$2=入力リスト!$Q$4,ROUNDDOWN(INT(F1897)+ROUNDDOWN((F1897-INT(F1897))*100,0)/60,2),従業員の給与情報!F1897))</f>
        <v/>
      </c>
      <c r="O1897" s="8"/>
      <c r="P1897" s="8"/>
    </row>
    <row r="1898" spans="1:16">
      <c r="A1898" s="119"/>
      <c r="B1898" s="2"/>
      <c r="C1898" s="3"/>
      <c r="D1898" s="3"/>
      <c r="E1898" s="3"/>
      <c r="F1898" s="9"/>
      <c r="G1898" s="248" t="str">
        <f t="shared" si="145"/>
        <v/>
      </c>
      <c r="H1898" s="1" t="b">
        <f>IF(B1898="",FALSE,COUNTIF('従業員情報(給与以外)'!$A$4:$A$1000000,$B1898)=0)</f>
        <v>0</v>
      </c>
      <c r="I1898" s="9" t="b">
        <f t="shared" si="146"/>
        <v>1</v>
      </c>
      <c r="J1898" s="9" t="b">
        <f t="shared" si="147"/>
        <v>1</v>
      </c>
      <c r="K1898" s="9" t="b">
        <f t="shared" si="148"/>
        <v>1</v>
      </c>
      <c r="L1898" s="9" t="b">
        <f t="shared" si="149"/>
        <v>1</v>
      </c>
      <c r="M1898" s="1" t="b">
        <f>IF(OR(入力シート!$C$5&lt;&gt;入力リスト!$N$4,入力シート!$J$22&lt;&gt;入力リスト!$K$4),TRUE,IF($F$2=入力リスト!$Q$4,IF(F1898-INT(F1898)&lt;0.6,TRUE,FALSE),TRUE))</f>
        <v>1</v>
      </c>
      <c r="N1898" s="9" t="str">
        <f>IF(F1898="","",IF($F$2=入力リスト!$Q$4,ROUNDDOWN(INT(F1898)+ROUNDDOWN((F1898-INT(F1898))*100,0)/60,2),従業員の給与情報!F1898))</f>
        <v/>
      </c>
      <c r="O1898" s="8"/>
      <c r="P1898" s="8"/>
    </row>
    <row r="1899" spans="1:16">
      <c r="A1899" s="119"/>
      <c r="B1899" s="2"/>
      <c r="C1899" s="3"/>
      <c r="D1899" s="3"/>
      <c r="E1899" s="3"/>
      <c r="F1899" s="9"/>
      <c r="G1899" s="248" t="str">
        <f t="shared" si="145"/>
        <v/>
      </c>
      <c r="H1899" s="1" t="b">
        <f>IF(B1899="",FALSE,COUNTIF('従業員情報(給与以外)'!$A$4:$A$1000000,$B1899)=0)</f>
        <v>0</v>
      </c>
      <c r="I1899" s="9" t="b">
        <f t="shared" si="146"/>
        <v>1</v>
      </c>
      <c r="J1899" s="9" t="b">
        <f t="shared" si="147"/>
        <v>1</v>
      </c>
      <c r="K1899" s="9" t="b">
        <f t="shared" si="148"/>
        <v>1</v>
      </c>
      <c r="L1899" s="9" t="b">
        <f t="shared" si="149"/>
        <v>1</v>
      </c>
      <c r="M1899" s="1" t="b">
        <f>IF(OR(入力シート!$C$5&lt;&gt;入力リスト!$N$4,入力シート!$J$22&lt;&gt;入力リスト!$K$4),TRUE,IF($F$2=入力リスト!$Q$4,IF(F1899-INT(F1899)&lt;0.6,TRUE,FALSE),TRUE))</f>
        <v>1</v>
      </c>
      <c r="N1899" s="9" t="str">
        <f>IF(F1899="","",IF($F$2=入力リスト!$Q$4,ROUNDDOWN(INT(F1899)+ROUNDDOWN((F1899-INT(F1899))*100,0)/60,2),従業員の給与情報!F1899))</f>
        <v/>
      </c>
      <c r="O1899" s="8"/>
      <c r="P1899" s="8"/>
    </row>
    <row r="1900" spans="1:16">
      <c r="A1900" s="119"/>
      <c r="B1900" s="2"/>
      <c r="C1900" s="3"/>
      <c r="D1900" s="3"/>
      <c r="E1900" s="3"/>
      <c r="F1900" s="9"/>
      <c r="G1900" s="248" t="str">
        <f t="shared" si="145"/>
        <v/>
      </c>
      <c r="H1900" s="1" t="b">
        <f>IF(B1900="",FALSE,COUNTIF('従業員情報(給与以外)'!$A$4:$A$1000000,$B1900)=0)</f>
        <v>0</v>
      </c>
      <c r="I1900" s="9" t="b">
        <f t="shared" si="146"/>
        <v>1</v>
      </c>
      <c r="J1900" s="9" t="b">
        <f t="shared" si="147"/>
        <v>1</v>
      </c>
      <c r="K1900" s="9" t="b">
        <f t="shared" si="148"/>
        <v>1</v>
      </c>
      <c r="L1900" s="9" t="b">
        <f t="shared" si="149"/>
        <v>1</v>
      </c>
      <c r="M1900" s="1" t="b">
        <f>IF(OR(入力シート!$C$5&lt;&gt;入力リスト!$N$4,入力シート!$J$22&lt;&gt;入力リスト!$K$4),TRUE,IF($F$2=入力リスト!$Q$4,IF(F1900-INT(F1900)&lt;0.6,TRUE,FALSE),TRUE))</f>
        <v>1</v>
      </c>
      <c r="N1900" s="9" t="str">
        <f>IF(F1900="","",IF($F$2=入力リスト!$Q$4,ROUNDDOWN(INT(F1900)+ROUNDDOWN((F1900-INT(F1900))*100,0)/60,2),従業員の給与情報!F1900))</f>
        <v/>
      </c>
      <c r="O1900" s="8"/>
      <c r="P1900" s="8"/>
    </row>
    <row r="1901" spans="1:16">
      <c r="A1901" s="119"/>
      <c r="B1901" s="2"/>
      <c r="C1901" s="3"/>
      <c r="D1901" s="3"/>
      <c r="E1901" s="3"/>
      <c r="F1901" s="9"/>
      <c r="G1901" s="248" t="str">
        <f t="shared" si="145"/>
        <v/>
      </c>
      <c r="H1901" s="1" t="b">
        <f>IF(B1901="",FALSE,COUNTIF('従業員情報(給与以外)'!$A$4:$A$1000000,$B1901)=0)</f>
        <v>0</v>
      </c>
      <c r="I1901" s="9" t="b">
        <f t="shared" si="146"/>
        <v>1</v>
      </c>
      <c r="J1901" s="9" t="b">
        <f t="shared" si="147"/>
        <v>1</v>
      </c>
      <c r="K1901" s="9" t="b">
        <f t="shared" si="148"/>
        <v>1</v>
      </c>
      <c r="L1901" s="9" t="b">
        <f t="shared" si="149"/>
        <v>1</v>
      </c>
      <c r="M1901" s="1" t="b">
        <f>IF(OR(入力シート!$C$5&lt;&gt;入力リスト!$N$4,入力シート!$J$22&lt;&gt;入力リスト!$K$4),TRUE,IF($F$2=入力リスト!$Q$4,IF(F1901-INT(F1901)&lt;0.6,TRUE,FALSE),TRUE))</f>
        <v>1</v>
      </c>
      <c r="N1901" s="9" t="str">
        <f>IF(F1901="","",IF($F$2=入力リスト!$Q$4,ROUNDDOWN(INT(F1901)+ROUNDDOWN((F1901-INT(F1901))*100,0)/60,2),従業員の給与情報!F1901))</f>
        <v/>
      </c>
      <c r="O1901" s="8"/>
      <c r="P1901" s="8"/>
    </row>
    <row r="1902" spans="1:16">
      <c r="A1902" s="119"/>
      <c r="B1902" s="2"/>
      <c r="C1902" s="3"/>
      <c r="D1902" s="3"/>
      <c r="E1902" s="3"/>
      <c r="F1902" s="9"/>
      <c r="G1902" s="248" t="str">
        <f t="shared" si="145"/>
        <v/>
      </c>
      <c r="H1902" s="1" t="b">
        <f>IF(B1902="",FALSE,COUNTIF('従業員情報(給与以外)'!$A$4:$A$1000000,$B1902)=0)</f>
        <v>0</v>
      </c>
      <c r="I1902" s="9" t="b">
        <f t="shared" si="146"/>
        <v>1</v>
      </c>
      <c r="J1902" s="9" t="b">
        <f t="shared" si="147"/>
        <v>1</v>
      </c>
      <c r="K1902" s="9" t="b">
        <f t="shared" si="148"/>
        <v>1</v>
      </c>
      <c r="L1902" s="9" t="b">
        <f t="shared" si="149"/>
        <v>1</v>
      </c>
      <c r="M1902" s="1" t="b">
        <f>IF(OR(入力シート!$C$5&lt;&gt;入力リスト!$N$4,入力シート!$J$22&lt;&gt;入力リスト!$K$4),TRUE,IF($F$2=入力リスト!$Q$4,IF(F1902-INT(F1902)&lt;0.6,TRUE,FALSE),TRUE))</f>
        <v>1</v>
      </c>
      <c r="N1902" s="9" t="str">
        <f>IF(F1902="","",IF($F$2=入力リスト!$Q$4,ROUNDDOWN(INT(F1902)+ROUNDDOWN((F1902-INT(F1902))*100,0)/60,2),従業員の給与情報!F1902))</f>
        <v/>
      </c>
      <c r="O1902" s="8"/>
      <c r="P1902" s="8"/>
    </row>
    <row r="1903" spans="1:16">
      <c r="A1903" s="119"/>
      <c r="B1903" s="2"/>
      <c r="C1903" s="3"/>
      <c r="D1903" s="3"/>
      <c r="E1903" s="3"/>
      <c r="F1903" s="9"/>
      <c r="G1903" s="248" t="str">
        <f t="shared" si="145"/>
        <v/>
      </c>
      <c r="H1903" s="1" t="b">
        <f>IF(B1903="",FALSE,COUNTIF('従業員情報(給与以外)'!$A$4:$A$1000000,$B1903)=0)</f>
        <v>0</v>
      </c>
      <c r="I1903" s="9" t="b">
        <f t="shared" si="146"/>
        <v>1</v>
      </c>
      <c r="J1903" s="9" t="b">
        <f t="shared" si="147"/>
        <v>1</v>
      </c>
      <c r="K1903" s="9" t="b">
        <f t="shared" si="148"/>
        <v>1</v>
      </c>
      <c r="L1903" s="9" t="b">
        <f t="shared" si="149"/>
        <v>1</v>
      </c>
      <c r="M1903" s="1" t="b">
        <f>IF(OR(入力シート!$C$5&lt;&gt;入力リスト!$N$4,入力シート!$J$22&lt;&gt;入力リスト!$K$4),TRUE,IF($F$2=入力リスト!$Q$4,IF(F1903-INT(F1903)&lt;0.6,TRUE,FALSE),TRUE))</f>
        <v>1</v>
      </c>
      <c r="N1903" s="9" t="str">
        <f>IF(F1903="","",IF($F$2=入力リスト!$Q$4,ROUNDDOWN(INT(F1903)+ROUNDDOWN((F1903-INT(F1903))*100,0)/60,2),従業員の給与情報!F1903))</f>
        <v/>
      </c>
      <c r="O1903" s="8"/>
      <c r="P1903" s="8"/>
    </row>
    <row r="1904" spans="1:16">
      <c r="A1904" s="119"/>
      <c r="B1904" s="2"/>
      <c r="C1904" s="3"/>
      <c r="D1904" s="3"/>
      <c r="E1904" s="3"/>
      <c r="F1904" s="9"/>
      <c r="G1904" s="248" t="str">
        <f t="shared" si="145"/>
        <v/>
      </c>
      <c r="H1904" s="1" t="b">
        <f>IF(B1904="",FALSE,COUNTIF('従業員情報(給与以外)'!$A$4:$A$1000000,$B1904)=0)</f>
        <v>0</v>
      </c>
      <c r="I1904" s="9" t="b">
        <f t="shared" si="146"/>
        <v>1</v>
      </c>
      <c r="J1904" s="9" t="b">
        <f t="shared" si="147"/>
        <v>1</v>
      </c>
      <c r="K1904" s="9" t="b">
        <f t="shared" si="148"/>
        <v>1</v>
      </c>
      <c r="L1904" s="9" t="b">
        <f t="shared" si="149"/>
        <v>1</v>
      </c>
      <c r="M1904" s="1" t="b">
        <f>IF(OR(入力シート!$C$5&lt;&gt;入力リスト!$N$4,入力シート!$J$22&lt;&gt;入力リスト!$K$4),TRUE,IF($F$2=入力リスト!$Q$4,IF(F1904-INT(F1904)&lt;0.6,TRUE,FALSE),TRUE))</f>
        <v>1</v>
      </c>
      <c r="N1904" s="9" t="str">
        <f>IF(F1904="","",IF($F$2=入力リスト!$Q$4,ROUNDDOWN(INT(F1904)+ROUNDDOWN((F1904-INT(F1904))*100,0)/60,2),従業員の給与情報!F1904))</f>
        <v/>
      </c>
      <c r="O1904" s="8"/>
      <c r="P1904" s="8"/>
    </row>
    <row r="1905" spans="1:16">
      <c r="A1905" s="119"/>
      <c r="B1905" s="2"/>
      <c r="C1905" s="3"/>
      <c r="D1905" s="3"/>
      <c r="E1905" s="3"/>
      <c r="F1905" s="9"/>
      <c r="G1905" s="248" t="str">
        <f t="shared" si="145"/>
        <v/>
      </c>
      <c r="H1905" s="1" t="b">
        <f>IF(B1905="",FALSE,COUNTIF('従業員情報(給与以外)'!$A$4:$A$1000000,$B1905)=0)</f>
        <v>0</v>
      </c>
      <c r="I1905" s="9" t="b">
        <f t="shared" si="146"/>
        <v>1</v>
      </c>
      <c r="J1905" s="9" t="b">
        <f t="shared" si="147"/>
        <v>1</v>
      </c>
      <c r="K1905" s="9" t="b">
        <f t="shared" si="148"/>
        <v>1</v>
      </c>
      <c r="L1905" s="9" t="b">
        <f t="shared" si="149"/>
        <v>1</v>
      </c>
      <c r="M1905" s="1" t="b">
        <f>IF(OR(入力シート!$C$5&lt;&gt;入力リスト!$N$4,入力シート!$J$22&lt;&gt;入力リスト!$K$4),TRUE,IF($F$2=入力リスト!$Q$4,IF(F1905-INT(F1905)&lt;0.6,TRUE,FALSE),TRUE))</f>
        <v>1</v>
      </c>
      <c r="N1905" s="9" t="str">
        <f>IF(F1905="","",IF($F$2=入力リスト!$Q$4,ROUNDDOWN(INT(F1905)+ROUNDDOWN((F1905-INT(F1905))*100,0)/60,2),従業員の給与情報!F1905))</f>
        <v/>
      </c>
      <c r="O1905" s="8"/>
      <c r="P1905" s="8"/>
    </row>
    <row r="1906" spans="1:16">
      <c r="A1906" s="119"/>
      <c r="B1906" s="2"/>
      <c r="C1906" s="3"/>
      <c r="D1906" s="3"/>
      <c r="E1906" s="3"/>
      <c r="F1906" s="9"/>
      <c r="G1906" s="248" t="str">
        <f t="shared" si="145"/>
        <v/>
      </c>
      <c r="H1906" s="1" t="b">
        <f>IF(B1906="",FALSE,COUNTIF('従業員情報(給与以外)'!$A$4:$A$1000000,$B1906)=0)</f>
        <v>0</v>
      </c>
      <c r="I1906" s="9" t="b">
        <f t="shared" si="146"/>
        <v>1</v>
      </c>
      <c r="J1906" s="9" t="b">
        <f t="shared" si="147"/>
        <v>1</v>
      </c>
      <c r="K1906" s="9" t="b">
        <f t="shared" si="148"/>
        <v>1</v>
      </c>
      <c r="L1906" s="9" t="b">
        <f t="shared" si="149"/>
        <v>1</v>
      </c>
      <c r="M1906" s="1" t="b">
        <f>IF(OR(入力シート!$C$5&lt;&gt;入力リスト!$N$4,入力シート!$J$22&lt;&gt;入力リスト!$K$4),TRUE,IF($F$2=入力リスト!$Q$4,IF(F1906-INT(F1906)&lt;0.6,TRUE,FALSE),TRUE))</f>
        <v>1</v>
      </c>
      <c r="N1906" s="9" t="str">
        <f>IF(F1906="","",IF($F$2=入力リスト!$Q$4,ROUNDDOWN(INT(F1906)+ROUNDDOWN((F1906-INT(F1906))*100,0)/60,2),従業員の給与情報!F1906))</f>
        <v/>
      </c>
      <c r="O1906" s="8"/>
      <c r="P1906" s="8"/>
    </row>
    <row r="1907" spans="1:16">
      <c r="A1907" s="119"/>
      <c r="B1907" s="2"/>
      <c r="C1907" s="3"/>
      <c r="D1907" s="3"/>
      <c r="E1907" s="3"/>
      <c r="F1907" s="9"/>
      <c r="G1907" s="248" t="str">
        <f t="shared" si="145"/>
        <v/>
      </c>
      <c r="H1907" s="1" t="b">
        <f>IF(B1907="",FALSE,COUNTIF('従業員情報(給与以外)'!$A$4:$A$1000000,$B1907)=0)</f>
        <v>0</v>
      </c>
      <c r="I1907" s="9" t="b">
        <f t="shared" si="146"/>
        <v>1</v>
      </c>
      <c r="J1907" s="9" t="b">
        <f t="shared" si="147"/>
        <v>1</v>
      </c>
      <c r="K1907" s="9" t="b">
        <f t="shared" si="148"/>
        <v>1</v>
      </c>
      <c r="L1907" s="9" t="b">
        <f t="shared" si="149"/>
        <v>1</v>
      </c>
      <c r="M1907" s="1" t="b">
        <f>IF(OR(入力シート!$C$5&lt;&gt;入力リスト!$N$4,入力シート!$J$22&lt;&gt;入力リスト!$K$4),TRUE,IF($F$2=入力リスト!$Q$4,IF(F1907-INT(F1907)&lt;0.6,TRUE,FALSE),TRUE))</f>
        <v>1</v>
      </c>
      <c r="N1907" s="9" t="str">
        <f>IF(F1907="","",IF($F$2=入力リスト!$Q$4,ROUNDDOWN(INT(F1907)+ROUNDDOWN((F1907-INT(F1907))*100,0)/60,2),従業員の給与情報!F1907))</f>
        <v/>
      </c>
      <c r="O1907" s="8"/>
      <c r="P1907" s="8"/>
    </row>
    <row r="1908" spans="1:16">
      <c r="A1908" s="119"/>
      <c r="B1908" s="2"/>
      <c r="C1908" s="3"/>
      <c r="D1908" s="3"/>
      <c r="E1908" s="3"/>
      <c r="F1908" s="9"/>
      <c r="G1908" s="248" t="str">
        <f t="shared" si="145"/>
        <v/>
      </c>
      <c r="H1908" s="1" t="b">
        <f>IF(B1908="",FALSE,COUNTIF('従業員情報(給与以外)'!$A$4:$A$1000000,$B1908)=0)</f>
        <v>0</v>
      </c>
      <c r="I1908" s="9" t="b">
        <f t="shared" si="146"/>
        <v>1</v>
      </c>
      <c r="J1908" s="9" t="b">
        <f t="shared" si="147"/>
        <v>1</v>
      </c>
      <c r="K1908" s="9" t="b">
        <f t="shared" si="148"/>
        <v>1</v>
      </c>
      <c r="L1908" s="9" t="b">
        <f t="shared" si="149"/>
        <v>1</v>
      </c>
      <c r="M1908" s="1" t="b">
        <f>IF(OR(入力シート!$C$5&lt;&gt;入力リスト!$N$4,入力シート!$J$22&lt;&gt;入力リスト!$K$4),TRUE,IF($F$2=入力リスト!$Q$4,IF(F1908-INT(F1908)&lt;0.6,TRUE,FALSE),TRUE))</f>
        <v>1</v>
      </c>
      <c r="N1908" s="9" t="str">
        <f>IF(F1908="","",IF($F$2=入力リスト!$Q$4,ROUNDDOWN(INT(F1908)+ROUNDDOWN((F1908-INT(F1908))*100,0)/60,2),従業員の給与情報!F1908))</f>
        <v/>
      </c>
      <c r="O1908" s="8"/>
      <c r="P1908" s="8"/>
    </row>
    <row r="1909" spans="1:16">
      <c r="A1909" s="119"/>
      <c r="B1909" s="2"/>
      <c r="C1909" s="3"/>
      <c r="D1909" s="3"/>
      <c r="E1909" s="3"/>
      <c r="F1909" s="9"/>
      <c r="G1909" s="248" t="str">
        <f t="shared" si="145"/>
        <v/>
      </c>
      <c r="H1909" s="1" t="b">
        <f>IF(B1909="",FALSE,COUNTIF('従業員情報(給与以外)'!$A$4:$A$1000000,$B1909)=0)</f>
        <v>0</v>
      </c>
      <c r="I1909" s="9" t="b">
        <f t="shared" si="146"/>
        <v>1</v>
      </c>
      <c r="J1909" s="9" t="b">
        <f t="shared" si="147"/>
        <v>1</v>
      </c>
      <c r="K1909" s="9" t="b">
        <f t="shared" si="148"/>
        <v>1</v>
      </c>
      <c r="L1909" s="9" t="b">
        <f t="shared" si="149"/>
        <v>1</v>
      </c>
      <c r="M1909" s="1" t="b">
        <f>IF(OR(入力シート!$C$5&lt;&gt;入力リスト!$N$4,入力シート!$J$22&lt;&gt;入力リスト!$K$4),TRUE,IF($F$2=入力リスト!$Q$4,IF(F1909-INT(F1909)&lt;0.6,TRUE,FALSE),TRUE))</f>
        <v>1</v>
      </c>
      <c r="N1909" s="9" t="str">
        <f>IF(F1909="","",IF($F$2=入力リスト!$Q$4,ROUNDDOWN(INT(F1909)+ROUNDDOWN((F1909-INT(F1909))*100,0)/60,2),従業員の給与情報!F1909))</f>
        <v/>
      </c>
      <c r="O1909" s="8"/>
      <c r="P1909" s="8"/>
    </row>
    <row r="1910" spans="1:16">
      <c r="A1910" s="119"/>
      <c r="B1910" s="2"/>
      <c r="C1910" s="3"/>
      <c r="D1910" s="3"/>
      <c r="E1910" s="3"/>
      <c r="F1910" s="9"/>
      <c r="G1910" s="248" t="str">
        <f t="shared" si="145"/>
        <v/>
      </c>
      <c r="H1910" s="1" t="b">
        <f>IF(B1910="",FALSE,COUNTIF('従業員情報(給与以外)'!$A$4:$A$1000000,$B1910)=0)</f>
        <v>0</v>
      </c>
      <c r="I1910" s="9" t="b">
        <f t="shared" si="146"/>
        <v>1</v>
      </c>
      <c r="J1910" s="9" t="b">
        <f t="shared" si="147"/>
        <v>1</v>
      </c>
      <c r="K1910" s="9" t="b">
        <f t="shared" si="148"/>
        <v>1</v>
      </c>
      <c r="L1910" s="9" t="b">
        <f t="shared" si="149"/>
        <v>1</v>
      </c>
      <c r="M1910" s="1" t="b">
        <f>IF(OR(入力シート!$C$5&lt;&gt;入力リスト!$N$4,入力シート!$J$22&lt;&gt;入力リスト!$K$4),TRUE,IF($F$2=入力リスト!$Q$4,IF(F1910-INT(F1910)&lt;0.6,TRUE,FALSE),TRUE))</f>
        <v>1</v>
      </c>
      <c r="N1910" s="9" t="str">
        <f>IF(F1910="","",IF($F$2=入力リスト!$Q$4,ROUNDDOWN(INT(F1910)+ROUNDDOWN((F1910-INT(F1910))*100,0)/60,2),従業員の給与情報!F1910))</f>
        <v/>
      </c>
      <c r="O1910" s="8"/>
      <c r="P1910" s="8"/>
    </row>
    <row r="1911" spans="1:16">
      <c r="A1911" s="119"/>
      <c r="B1911" s="2"/>
      <c r="C1911" s="3"/>
      <c r="D1911" s="3"/>
      <c r="E1911" s="3"/>
      <c r="F1911" s="9"/>
      <c r="G1911" s="248" t="str">
        <f t="shared" si="145"/>
        <v/>
      </c>
      <c r="H1911" s="1" t="b">
        <f>IF(B1911="",FALSE,COUNTIF('従業員情報(給与以外)'!$A$4:$A$1000000,$B1911)=0)</f>
        <v>0</v>
      </c>
      <c r="I1911" s="9" t="b">
        <f t="shared" si="146"/>
        <v>1</v>
      </c>
      <c r="J1911" s="9" t="b">
        <f t="shared" si="147"/>
        <v>1</v>
      </c>
      <c r="K1911" s="9" t="b">
        <f t="shared" si="148"/>
        <v>1</v>
      </c>
      <c r="L1911" s="9" t="b">
        <f t="shared" si="149"/>
        <v>1</v>
      </c>
      <c r="M1911" s="1" t="b">
        <f>IF(OR(入力シート!$C$5&lt;&gt;入力リスト!$N$4,入力シート!$J$22&lt;&gt;入力リスト!$K$4),TRUE,IF($F$2=入力リスト!$Q$4,IF(F1911-INT(F1911)&lt;0.6,TRUE,FALSE),TRUE))</f>
        <v>1</v>
      </c>
      <c r="N1911" s="9" t="str">
        <f>IF(F1911="","",IF($F$2=入力リスト!$Q$4,ROUNDDOWN(INT(F1911)+ROUNDDOWN((F1911-INT(F1911))*100,0)/60,2),従業員の給与情報!F1911))</f>
        <v/>
      </c>
      <c r="O1911" s="8"/>
      <c r="P1911" s="8"/>
    </row>
    <row r="1912" spans="1:16">
      <c r="A1912" s="119"/>
      <c r="B1912" s="2"/>
      <c r="C1912" s="3"/>
      <c r="D1912" s="3"/>
      <c r="E1912" s="3"/>
      <c r="F1912" s="9"/>
      <c r="G1912" s="248" t="str">
        <f t="shared" si="145"/>
        <v/>
      </c>
      <c r="H1912" s="1" t="b">
        <f>IF(B1912="",FALSE,COUNTIF('従業員情報(給与以外)'!$A$4:$A$1000000,$B1912)=0)</f>
        <v>0</v>
      </c>
      <c r="I1912" s="9" t="b">
        <f t="shared" si="146"/>
        <v>1</v>
      </c>
      <c r="J1912" s="9" t="b">
        <f t="shared" si="147"/>
        <v>1</v>
      </c>
      <c r="K1912" s="9" t="b">
        <f t="shared" si="148"/>
        <v>1</v>
      </c>
      <c r="L1912" s="9" t="b">
        <f t="shared" si="149"/>
        <v>1</v>
      </c>
      <c r="M1912" s="1" t="b">
        <f>IF(OR(入力シート!$C$5&lt;&gt;入力リスト!$N$4,入力シート!$J$22&lt;&gt;入力リスト!$K$4),TRUE,IF($F$2=入力リスト!$Q$4,IF(F1912-INT(F1912)&lt;0.6,TRUE,FALSE),TRUE))</f>
        <v>1</v>
      </c>
      <c r="N1912" s="9" t="str">
        <f>IF(F1912="","",IF($F$2=入力リスト!$Q$4,ROUNDDOWN(INT(F1912)+ROUNDDOWN((F1912-INT(F1912))*100,0)/60,2),従業員の給与情報!F1912))</f>
        <v/>
      </c>
      <c r="O1912" s="8"/>
      <c r="P1912" s="8"/>
    </row>
    <row r="1913" spans="1:16">
      <c r="A1913" s="119"/>
      <c r="B1913" s="2"/>
      <c r="C1913" s="3"/>
      <c r="D1913" s="3"/>
      <c r="E1913" s="3"/>
      <c r="F1913" s="9"/>
      <c r="G1913" s="248" t="str">
        <f t="shared" si="145"/>
        <v/>
      </c>
      <c r="H1913" s="1" t="b">
        <f>IF(B1913="",FALSE,COUNTIF('従業員情報(給与以外)'!$A$4:$A$1000000,$B1913)=0)</f>
        <v>0</v>
      </c>
      <c r="I1913" s="9" t="b">
        <f t="shared" si="146"/>
        <v>1</v>
      </c>
      <c r="J1913" s="9" t="b">
        <f t="shared" si="147"/>
        <v>1</v>
      </c>
      <c r="K1913" s="9" t="b">
        <f t="shared" si="148"/>
        <v>1</v>
      </c>
      <c r="L1913" s="9" t="b">
        <f t="shared" si="149"/>
        <v>1</v>
      </c>
      <c r="M1913" s="1" t="b">
        <f>IF(OR(入力シート!$C$5&lt;&gt;入力リスト!$N$4,入力シート!$J$22&lt;&gt;入力リスト!$K$4),TRUE,IF($F$2=入力リスト!$Q$4,IF(F1913-INT(F1913)&lt;0.6,TRUE,FALSE),TRUE))</f>
        <v>1</v>
      </c>
      <c r="N1913" s="9" t="str">
        <f>IF(F1913="","",IF($F$2=入力リスト!$Q$4,ROUNDDOWN(INT(F1913)+ROUNDDOWN((F1913-INT(F1913))*100,0)/60,2),従業員の給与情報!F1913))</f>
        <v/>
      </c>
      <c r="O1913" s="8"/>
      <c r="P1913" s="8"/>
    </row>
    <row r="1914" spans="1:16">
      <c r="A1914" s="119"/>
      <c r="B1914" s="2"/>
      <c r="C1914" s="3"/>
      <c r="D1914" s="3"/>
      <c r="E1914" s="3"/>
      <c r="F1914" s="9"/>
      <c r="G1914" s="248" t="str">
        <f t="shared" si="145"/>
        <v/>
      </c>
      <c r="H1914" s="1" t="b">
        <f>IF(B1914="",FALSE,COUNTIF('従業員情報(給与以外)'!$A$4:$A$1000000,$B1914)=0)</f>
        <v>0</v>
      </c>
      <c r="I1914" s="9" t="b">
        <f t="shared" si="146"/>
        <v>1</v>
      </c>
      <c r="J1914" s="9" t="b">
        <f t="shared" si="147"/>
        <v>1</v>
      </c>
      <c r="K1914" s="9" t="b">
        <f t="shared" si="148"/>
        <v>1</v>
      </c>
      <c r="L1914" s="9" t="b">
        <f t="shared" si="149"/>
        <v>1</v>
      </c>
      <c r="M1914" s="1" t="b">
        <f>IF(OR(入力シート!$C$5&lt;&gt;入力リスト!$N$4,入力シート!$J$22&lt;&gt;入力リスト!$K$4),TRUE,IF($F$2=入力リスト!$Q$4,IF(F1914-INT(F1914)&lt;0.6,TRUE,FALSE),TRUE))</f>
        <v>1</v>
      </c>
      <c r="N1914" s="9" t="str">
        <f>IF(F1914="","",IF($F$2=入力リスト!$Q$4,ROUNDDOWN(INT(F1914)+ROUNDDOWN((F1914-INT(F1914))*100,0)/60,2),従業員の給与情報!F1914))</f>
        <v/>
      </c>
      <c r="O1914" s="8"/>
      <c r="P1914" s="8"/>
    </row>
    <row r="1915" spans="1:16">
      <c r="A1915" s="119"/>
      <c r="B1915" s="2"/>
      <c r="C1915" s="3"/>
      <c r="D1915" s="3"/>
      <c r="E1915" s="3"/>
      <c r="F1915" s="9"/>
      <c r="G1915" s="248" t="str">
        <f t="shared" si="145"/>
        <v/>
      </c>
      <c r="H1915" s="1" t="b">
        <f>IF(B1915="",FALSE,COUNTIF('従業員情報(給与以外)'!$A$4:$A$1000000,$B1915)=0)</f>
        <v>0</v>
      </c>
      <c r="I1915" s="9" t="b">
        <f t="shared" si="146"/>
        <v>1</v>
      </c>
      <c r="J1915" s="9" t="b">
        <f t="shared" si="147"/>
        <v>1</v>
      </c>
      <c r="K1915" s="9" t="b">
        <f t="shared" si="148"/>
        <v>1</v>
      </c>
      <c r="L1915" s="9" t="b">
        <f t="shared" si="149"/>
        <v>1</v>
      </c>
      <c r="M1915" s="1" t="b">
        <f>IF(OR(入力シート!$C$5&lt;&gt;入力リスト!$N$4,入力シート!$J$22&lt;&gt;入力リスト!$K$4),TRUE,IF($F$2=入力リスト!$Q$4,IF(F1915-INT(F1915)&lt;0.6,TRUE,FALSE),TRUE))</f>
        <v>1</v>
      </c>
      <c r="N1915" s="9" t="str">
        <f>IF(F1915="","",IF($F$2=入力リスト!$Q$4,ROUNDDOWN(INT(F1915)+ROUNDDOWN((F1915-INT(F1915))*100,0)/60,2),従業員の給与情報!F1915))</f>
        <v/>
      </c>
      <c r="O1915" s="8"/>
      <c r="P1915" s="8"/>
    </row>
    <row r="1916" spans="1:16">
      <c r="A1916" s="119"/>
      <c r="B1916" s="2"/>
      <c r="C1916" s="3"/>
      <c r="D1916" s="3"/>
      <c r="E1916" s="3"/>
      <c r="F1916" s="9"/>
      <c r="G1916" s="248" t="str">
        <f t="shared" si="145"/>
        <v/>
      </c>
      <c r="H1916" s="1" t="b">
        <f>IF(B1916="",FALSE,COUNTIF('従業員情報(給与以外)'!$A$4:$A$1000000,$B1916)=0)</f>
        <v>0</v>
      </c>
      <c r="I1916" s="9" t="b">
        <f t="shared" si="146"/>
        <v>1</v>
      </c>
      <c r="J1916" s="9" t="b">
        <f t="shared" si="147"/>
        <v>1</v>
      </c>
      <c r="K1916" s="9" t="b">
        <f t="shared" si="148"/>
        <v>1</v>
      </c>
      <c r="L1916" s="9" t="b">
        <f t="shared" si="149"/>
        <v>1</v>
      </c>
      <c r="M1916" s="1" t="b">
        <f>IF(OR(入力シート!$C$5&lt;&gt;入力リスト!$N$4,入力シート!$J$22&lt;&gt;入力リスト!$K$4),TRUE,IF($F$2=入力リスト!$Q$4,IF(F1916-INT(F1916)&lt;0.6,TRUE,FALSE),TRUE))</f>
        <v>1</v>
      </c>
      <c r="N1916" s="9" t="str">
        <f>IF(F1916="","",IF($F$2=入力リスト!$Q$4,ROUNDDOWN(INT(F1916)+ROUNDDOWN((F1916-INT(F1916))*100,0)/60,2),従業員の給与情報!F1916))</f>
        <v/>
      </c>
      <c r="O1916" s="8"/>
      <c r="P1916" s="8"/>
    </row>
    <row r="1917" spans="1:16">
      <c r="A1917" s="119"/>
      <c r="B1917" s="2"/>
      <c r="C1917" s="3"/>
      <c r="D1917" s="3"/>
      <c r="E1917" s="3"/>
      <c r="F1917" s="9"/>
      <c r="G1917" s="248" t="str">
        <f t="shared" si="145"/>
        <v/>
      </c>
      <c r="H1917" s="1" t="b">
        <f>IF(B1917="",FALSE,COUNTIF('従業員情報(給与以外)'!$A$4:$A$1000000,$B1917)=0)</f>
        <v>0</v>
      </c>
      <c r="I1917" s="9" t="b">
        <f t="shared" si="146"/>
        <v>1</v>
      </c>
      <c r="J1917" s="9" t="b">
        <f t="shared" si="147"/>
        <v>1</v>
      </c>
      <c r="K1917" s="9" t="b">
        <f t="shared" si="148"/>
        <v>1</v>
      </c>
      <c r="L1917" s="9" t="b">
        <f t="shared" si="149"/>
        <v>1</v>
      </c>
      <c r="M1917" s="1" t="b">
        <f>IF(OR(入力シート!$C$5&lt;&gt;入力リスト!$N$4,入力シート!$J$22&lt;&gt;入力リスト!$K$4),TRUE,IF($F$2=入力リスト!$Q$4,IF(F1917-INT(F1917)&lt;0.6,TRUE,FALSE),TRUE))</f>
        <v>1</v>
      </c>
      <c r="N1917" s="9" t="str">
        <f>IF(F1917="","",IF($F$2=入力リスト!$Q$4,ROUNDDOWN(INT(F1917)+ROUNDDOWN((F1917-INT(F1917))*100,0)/60,2),従業員の給与情報!F1917))</f>
        <v/>
      </c>
      <c r="O1917" s="8"/>
      <c r="P1917" s="8"/>
    </row>
    <row r="1918" spans="1:16">
      <c r="A1918" s="119"/>
      <c r="B1918" s="2"/>
      <c r="C1918" s="3"/>
      <c r="D1918" s="3"/>
      <c r="E1918" s="3"/>
      <c r="F1918" s="9"/>
      <c r="G1918" s="248" t="str">
        <f t="shared" si="145"/>
        <v/>
      </c>
      <c r="H1918" s="1" t="b">
        <f>IF(B1918="",FALSE,COUNTIF('従業員情報(給与以外)'!$A$4:$A$1000000,$B1918)=0)</f>
        <v>0</v>
      </c>
      <c r="I1918" s="9" t="b">
        <f t="shared" si="146"/>
        <v>1</v>
      </c>
      <c r="J1918" s="9" t="b">
        <f t="shared" si="147"/>
        <v>1</v>
      </c>
      <c r="K1918" s="9" t="b">
        <f t="shared" si="148"/>
        <v>1</v>
      </c>
      <c r="L1918" s="9" t="b">
        <f t="shared" si="149"/>
        <v>1</v>
      </c>
      <c r="M1918" s="1" t="b">
        <f>IF(OR(入力シート!$C$5&lt;&gt;入力リスト!$N$4,入力シート!$J$22&lt;&gt;入力リスト!$K$4),TRUE,IF($F$2=入力リスト!$Q$4,IF(F1918-INT(F1918)&lt;0.6,TRUE,FALSE),TRUE))</f>
        <v>1</v>
      </c>
      <c r="N1918" s="9" t="str">
        <f>IF(F1918="","",IF($F$2=入力リスト!$Q$4,ROUNDDOWN(INT(F1918)+ROUNDDOWN((F1918-INT(F1918))*100,0)/60,2),従業員の給与情報!F1918))</f>
        <v/>
      </c>
      <c r="O1918" s="8"/>
      <c r="P1918" s="8"/>
    </row>
    <row r="1919" spans="1:16">
      <c r="A1919" s="119"/>
      <c r="B1919" s="2"/>
      <c r="C1919" s="3"/>
      <c r="D1919" s="3"/>
      <c r="E1919" s="3"/>
      <c r="F1919" s="9"/>
      <c r="G1919" s="248" t="str">
        <f t="shared" si="145"/>
        <v/>
      </c>
      <c r="H1919" s="1" t="b">
        <f>IF(B1919="",FALSE,COUNTIF('従業員情報(給与以外)'!$A$4:$A$1000000,$B1919)=0)</f>
        <v>0</v>
      </c>
      <c r="I1919" s="9" t="b">
        <f t="shared" si="146"/>
        <v>1</v>
      </c>
      <c r="J1919" s="9" t="b">
        <f t="shared" si="147"/>
        <v>1</v>
      </c>
      <c r="K1919" s="9" t="b">
        <f t="shared" si="148"/>
        <v>1</v>
      </c>
      <c r="L1919" s="9" t="b">
        <f t="shared" si="149"/>
        <v>1</v>
      </c>
      <c r="M1919" s="1" t="b">
        <f>IF(OR(入力シート!$C$5&lt;&gt;入力リスト!$N$4,入力シート!$J$22&lt;&gt;入力リスト!$K$4),TRUE,IF($F$2=入力リスト!$Q$4,IF(F1919-INT(F1919)&lt;0.6,TRUE,FALSE),TRUE))</f>
        <v>1</v>
      </c>
      <c r="N1919" s="9" t="str">
        <f>IF(F1919="","",IF($F$2=入力リスト!$Q$4,ROUNDDOWN(INT(F1919)+ROUNDDOWN((F1919-INT(F1919))*100,0)/60,2),従業員の給与情報!F1919))</f>
        <v/>
      </c>
      <c r="O1919" s="8"/>
      <c r="P1919" s="8"/>
    </row>
    <row r="1920" spans="1:16">
      <c r="A1920" s="119"/>
      <c r="B1920" s="2"/>
      <c r="C1920" s="3"/>
      <c r="D1920" s="3"/>
      <c r="E1920" s="3"/>
      <c r="F1920" s="9"/>
      <c r="G1920" s="248" t="str">
        <f t="shared" si="145"/>
        <v/>
      </c>
      <c r="H1920" s="1" t="b">
        <f>IF(B1920="",FALSE,COUNTIF('従業員情報(給与以外)'!$A$4:$A$1000000,$B1920)=0)</f>
        <v>0</v>
      </c>
      <c r="I1920" s="9" t="b">
        <f t="shared" si="146"/>
        <v>1</v>
      </c>
      <c r="J1920" s="9" t="b">
        <f t="shared" si="147"/>
        <v>1</v>
      </c>
      <c r="K1920" s="9" t="b">
        <f t="shared" si="148"/>
        <v>1</v>
      </c>
      <c r="L1920" s="9" t="b">
        <f t="shared" si="149"/>
        <v>1</v>
      </c>
      <c r="M1920" s="1" t="b">
        <f>IF(OR(入力シート!$C$5&lt;&gt;入力リスト!$N$4,入力シート!$J$22&lt;&gt;入力リスト!$K$4),TRUE,IF($F$2=入力リスト!$Q$4,IF(F1920-INT(F1920)&lt;0.6,TRUE,FALSE),TRUE))</f>
        <v>1</v>
      </c>
      <c r="N1920" s="9" t="str">
        <f>IF(F1920="","",IF($F$2=入力リスト!$Q$4,ROUNDDOWN(INT(F1920)+ROUNDDOWN((F1920-INT(F1920))*100,0)/60,2),従業員の給与情報!F1920))</f>
        <v/>
      </c>
      <c r="O1920" s="8"/>
      <c r="P1920" s="8"/>
    </row>
    <row r="1921" spans="1:16">
      <c r="A1921" s="119"/>
      <c r="B1921" s="2"/>
      <c r="C1921" s="3"/>
      <c r="D1921" s="3"/>
      <c r="E1921" s="3"/>
      <c r="F1921" s="9"/>
      <c r="G1921" s="248" t="str">
        <f t="shared" si="145"/>
        <v/>
      </c>
      <c r="H1921" s="1" t="b">
        <f>IF(B1921="",FALSE,COUNTIF('従業員情報(給与以外)'!$A$4:$A$1000000,$B1921)=0)</f>
        <v>0</v>
      </c>
      <c r="I1921" s="9" t="b">
        <f t="shared" si="146"/>
        <v>1</v>
      </c>
      <c r="J1921" s="9" t="b">
        <f t="shared" si="147"/>
        <v>1</v>
      </c>
      <c r="K1921" s="9" t="b">
        <f t="shared" si="148"/>
        <v>1</v>
      </c>
      <c r="L1921" s="9" t="b">
        <f t="shared" si="149"/>
        <v>1</v>
      </c>
      <c r="M1921" s="1" t="b">
        <f>IF(OR(入力シート!$C$5&lt;&gt;入力リスト!$N$4,入力シート!$J$22&lt;&gt;入力リスト!$K$4),TRUE,IF($F$2=入力リスト!$Q$4,IF(F1921-INT(F1921)&lt;0.6,TRUE,FALSE),TRUE))</f>
        <v>1</v>
      </c>
      <c r="N1921" s="9" t="str">
        <f>IF(F1921="","",IF($F$2=入力リスト!$Q$4,ROUNDDOWN(INT(F1921)+ROUNDDOWN((F1921-INT(F1921))*100,0)/60,2),従業員の給与情報!F1921))</f>
        <v/>
      </c>
      <c r="O1921" s="8"/>
      <c r="P1921" s="8"/>
    </row>
    <row r="1922" spans="1:16">
      <c r="A1922" s="119"/>
      <c r="B1922" s="2"/>
      <c r="C1922" s="3"/>
      <c r="D1922" s="3"/>
      <c r="E1922" s="3"/>
      <c r="F1922" s="9"/>
      <c r="G1922" s="248" t="str">
        <f t="shared" si="145"/>
        <v/>
      </c>
      <c r="H1922" s="1" t="b">
        <f>IF(B1922="",FALSE,COUNTIF('従業員情報(給与以外)'!$A$4:$A$1000000,$B1922)=0)</f>
        <v>0</v>
      </c>
      <c r="I1922" s="9" t="b">
        <f t="shared" si="146"/>
        <v>1</v>
      </c>
      <c r="J1922" s="9" t="b">
        <f t="shared" si="147"/>
        <v>1</v>
      </c>
      <c r="K1922" s="9" t="b">
        <f t="shared" si="148"/>
        <v>1</v>
      </c>
      <c r="L1922" s="9" t="b">
        <f t="shared" si="149"/>
        <v>1</v>
      </c>
      <c r="M1922" s="1" t="b">
        <f>IF(OR(入力シート!$C$5&lt;&gt;入力リスト!$N$4,入力シート!$J$22&lt;&gt;入力リスト!$K$4),TRUE,IF($F$2=入力リスト!$Q$4,IF(F1922-INT(F1922)&lt;0.6,TRUE,FALSE),TRUE))</f>
        <v>1</v>
      </c>
      <c r="N1922" s="9" t="str">
        <f>IF(F1922="","",IF($F$2=入力リスト!$Q$4,ROUNDDOWN(INT(F1922)+ROUNDDOWN((F1922-INT(F1922))*100,0)/60,2),従業員の給与情報!F1922))</f>
        <v/>
      </c>
      <c r="O1922" s="8"/>
      <c r="P1922" s="8"/>
    </row>
    <row r="1923" spans="1:16">
      <c r="A1923" s="119"/>
      <c r="B1923" s="2"/>
      <c r="C1923" s="3"/>
      <c r="D1923" s="3"/>
      <c r="E1923" s="3"/>
      <c r="F1923" s="9"/>
      <c r="G1923" s="248" t="str">
        <f t="shared" si="145"/>
        <v/>
      </c>
      <c r="H1923" s="1" t="b">
        <f>IF(B1923="",FALSE,COUNTIF('従業員情報(給与以外)'!$A$4:$A$1000000,$B1923)=0)</f>
        <v>0</v>
      </c>
      <c r="I1923" s="9" t="b">
        <f t="shared" si="146"/>
        <v>1</v>
      </c>
      <c r="J1923" s="9" t="b">
        <f t="shared" si="147"/>
        <v>1</v>
      </c>
      <c r="K1923" s="9" t="b">
        <f t="shared" si="148"/>
        <v>1</v>
      </c>
      <c r="L1923" s="9" t="b">
        <f t="shared" si="149"/>
        <v>1</v>
      </c>
      <c r="M1923" s="1" t="b">
        <f>IF(OR(入力シート!$C$5&lt;&gt;入力リスト!$N$4,入力シート!$J$22&lt;&gt;入力リスト!$K$4),TRUE,IF($F$2=入力リスト!$Q$4,IF(F1923-INT(F1923)&lt;0.6,TRUE,FALSE),TRUE))</f>
        <v>1</v>
      </c>
      <c r="N1923" s="9" t="str">
        <f>IF(F1923="","",IF($F$2=入力リスト!$Q$4,ROUNDDOWN(INT(F1923)+ROUNDDOWN((F1923-INT(F1923))*100,0)/60,2),従業員の給与情報!F1923))</f>
        <v/>
      </c>
      <c r="O1923" s="8"/>
      <c r="P1923" s="8"/>
    </row>
    <row r="1924" spans="1:16">
      <c r="A1924" s="119"/>
      <c r="B1924" s="2"/>
      <c r="C1924" s="3"/>
      <c r="D1924" s="3"/>
      <c r="E1924" s="3"/>
      <c r="F1924" s="9"/>
      <c r="G1924" s="248" t="str">
        <f t="shared" si="145"/>
        <v/>
      </c>
      <c r="H1924" s="1" t="b">
        <f>IF(B1924="",FALSE,COUNTIF('従業員情報(給与以外)'!$A$4:$A$1000000,$B1924)=0)</f>
        <v>0</v>
      </c>
      <c r="I1924" s="9" t="b">
        <f t="shared" si="146"/>
        <v>1</v>
      </c>
      <c r="J1924" s="9" t="b">
        <f t="shared" si="147"/>
        <v>1</v>
      </c>
      <c r="K1924" s="9" t="b">
        <f t="shared" si="148"/>
        <v>1</v>
      </c>
      <c r="L1924" s="9" t="b">
        <f t="shared" si="149"/>
        <v>1</v>
      </c>
      <c r="M1924" s="1" t="b">
        <f>IF(OR(入力シート!$C$5&lt;&gt;入力リスト!$N$4,入力シート!$J$22&lt;&gt;入力リスト!$K$4),TRUE,IF($F$2=入力リスト!$Q$4,IF(F1924-INT(F1924)&lt;0.6,TRUE,FALSE),TRUE))</f>
        <v>1</v>
      </c>
      <c r="N1924" s="9" t="str">
        <f>IF(F1924="","",IF($F$2=入力リスト!$Q$4,ROUNDDOWN(INT(F1924)+ROUNDDOWN((F1924-INT(F1924))*100,0)/60,2),従業員の給与情報!F1924))</f>
        <v/>
      </c>
      <c r="O1924" s="8"/>
      <c r="P1924" s="8"/>
    </row>
    <row r="1925" spans="1:16">
      <c r="A1925" s="119"/>
      <c r="B1925" s="2"/>
      <c r="C1925" s="3"/>
      <c r="D1925" s="3"/>
      <c r="E1925" s="3"/>
      <c r="F1925" s="9"/>
      <c r="G1925" s="248" t="str">
        <f t="shared" ref="G1925:G1988" si="150">IF(AND($B1925="",OR(B1925&lt;&gt;"",C1925&lt;&gt;"",D1925&lt;&gt;"",E1925&lt;&gt;"",F1925&lt;&gt;"")),"従業員番号が空白です。",IF($H1925=TRUE,"この従業員番号は、シート［従業員情報（給与以外）］に存在しません。",IF(I1925=FALSE,"「毎月の固定給与額」","")&amp;IF(AND(I1925=FALSE,OR(J1925=FALSE,K1925=FALSE,L1925=FALSE)),",","")&amp;IF(J1925=FALSE,"「賞与額等」","")&amp;IF(AND(J1925=FALSE,OR(K1925=FALSE,L1925=FALSE)),",","")&amp;IF(K1925=FALSE,"「残業手当」","")&amp;IF(AND(K1925=FALSE,L1925=FALSE),",","")&amp;IF(L1925=FALSE,"「残業時間」","")&amp;IF(OR(I1925=FALSE,J1925=FALSE,K1925=FALSE,L1925=FALSE),"に数値以外が入力されています。","")&amp;IF(M1925,"","「残業時間」を分単位で入力した場合、小数点以下の値は0.6未満にしてください。")))</f>
        <v/>
      </c>
      <c r="H1925" s="1" t="b">
        <f>IF(B1925="",FALSE,COUNTIF('従業員情報(給与以外)'!$A$4:$A$1000000,$B1925)=0)</f>
        <v>0</v>
      </c>
      <c r="I1925" s="9" t="b">
        <f t="shared" ref="I1925:I1988" si="151">OR(C1925="",ISNUMBER(C1925))</f>
        <v>1</v>
      </c>
      <c r="J1925" s="9" t="b">
        <f t="shared" ref="J1925:J1988" si="152">OR(D1925="",ISNUMBER(D1925))</f>
        <v>1</v>
      </c>
      <c r="K1925" s="9" t="b">
        <f t="shared" ref="K1925:K1988" si="153">OR(E1925="",ISNUMBER(E1925))</f>
        <v>1</v>
      </c>
      <c r="L1925" s="9" t="b">
        <f t="shared" ref="L1925:L1988" si="154">OR(F1925="",ISNUMBER(F1925))</f>
        <v>1</v>
      </c>
      <c r="M1925" s="1" t="b">
        <f>IF(OR(入力シート!$C$5&lt;&gt;入力リスト!$N$4,入力シート!$J$22&lt;&gt;入力リスト!$K$4),TRUE,IF($F$2=入力リスト!$Q$4,IF(F1925-INT(F1925)&lt;0.6,TRUE,FALSE),TRUE))</f>
        <v>1</v>
      </c>
      <c r="N1925" s="9" t="str">
        <f>IF(F1925="","",IF($F$2=入力リスト!$Q$4,ROUNDDOWN(INT(F1925)+ROUNDDOWN((F1925-INT(F1925))*100,0)/60,2),従業員の給与情報!F1925))</f>
        <v/>
      </c>
      <c r="O1925" s="8"/>
      <c r="P1925" s="8"/>
    </row>
    <row r="1926" spans="1:16">
      <c r="A1926" s="119"/>
      <c r="B1926" s="2"/>
      <c r="C1926" s="3"/>
      <c r="D1926" s="3"/>
      <c r="E1926" s="3"/>
      <c r="F1926" s="9"/>
      <c r="G1926" s="248" t="str">
        <f t="shared" si="150"/>
        <v/>
      </c>
      <c r="H1926" s="1" t="b">
        <f>IF(B1926="",FALSE,COUNTIF('従業員情報(給与以外)'!$A$4:$A$1000000,$B1926)=0)</f>
        <v>0</v>
      </c>
      <c r="I1926" s="9" t="b">
        <f t="shared" si="151"/>
        <v>1</v>
      </c>
      <c r="J1926" s="9" t="b">
        <f t="shared" si="152"/>
        <v>1</v>
      </c>
      <c r="K1926" s="9" t="b">
        <f t="shared" si="153"/>
        <v>1</v>
      </c>
      <c r="L1926" s="9" t="b">
        <f t="shared" si="154"/>
        <v>1</v>
      </c>
      <c r="M1926" s="1" t="b">
        <f>IF(OR(入力シート!$C$5&lt;&gt;入力リスト!$N$4,入力シート!$J$22&lt;&gt;入力リスト!$K$4),TRUE,IF($F$2=入力リスト!$Q$4,IF(F1926-INT(F1926)&lt;0.6,TRUE,FALSE),TRUE))</f>
        <v>1</v>
      </c>
      <c r="N1926" s="9" t="str">
        <f>IF(F1926="","",IF($F$2=入力リスト!$Q$4,ROUNDDOWN(INT(F1926)+ROUNDDOWN((F1926-INT(F1926))*100,0)/60,2),従業員の給与情報!F1926))</f>
        <v/>
      </c>
      <c r="O1926" s="8"/>
      <c r="P1926" s="8"/>
    </row>
    <row r="1927" spans="1:16">
      <c r="A1927" s="119"/>
      <c r="B1927" s="2"/>
      <c r="C1927" s="3"/>
      <c r="D1927" s="3"/>
      <c r="E1927" s="3"/>
      <c r="F1927" s="9"/>
      <c r="G1927" s="248" t="str">
        <f t="shared" si="150"/>
        <v/>
      </c>
      <c r="H1927" s="1" t="b">
        <f>IF(B1927="",FALSE,COUNTIF('従業員情報(給与以外)'!$A$4:$A$1000000,$B1927)=0)</f>
        <v>0</v>
      </c>
      <c r="I1927" s="9" t="b">
        <f t="shared" si="151"/>
        <v>1</v>
      </c>
      <c r="J1927" s="9" t="b">
        <f t="shared" si="152"/>
        <v>1</v>
      </c>
      <c r="K1927" s="9" t="b">
        <f t="shared" si="153"/>
        <v>1</v>
      </c>
      <c r="L1927" s="9" t="b">
        <f t="shared" si="154"/>
        <v>1</v>
      </c>
      <c r="M1927" s="1" t="b">
        <f>IF(OR(入力シート!$C$5&lt;&gt;入力リスト!$N$4,入力シート!$J$22&lt;&gt;入力リスト!$K$4),TRUE,IF($F$2=入力リスト!$Q$4,IF(F1927-INT(F1927)&lt;0.6,TRUE,FALSE),TRUE))</f>
        <v>1</v>
      </c>
      <c r="N1927" s="9" t="str">
        <f>IF(F1927="","",IF($F$2=入力リスト!$Q$4,ROUNDDOWN(INT(F1927)+ROUNDDOWN((F1927-INT(F1927))*100,0)/60,2),従業員の給与情報!F1927))</f>
        <v/>
      </c>
      <c r="O1927" s="8"/>
      <c r="P1927" s="8"/>
    </row>
    <row r="1928" spans="1:16">
      <c r="A1928" s="119"/>
      <c r="B1928" s="2"/>
      <c r="C1928" s="3"/>
      <c r="D1928" s="3"/>
      <c r="E1928" s="3"/>
      <c r="F1928" s="9"/>
      <c r="G1928" s="248" t="str">
        <f t="shared" si="150"/>
        <v/>
      </c>
      <c r="H1928" s="1" t="b">
        <f>IF(B1928="",FALSE,COUNTIF('従業員情報(給与以外)'!$A$4:$A$1000000,$B1928)=0)</f>
        <v>0</v>
      </c>
      <c r="I1928" s="9" t="b">
        <f t="shared" si="151"/>
        <v>1</v>
      </c>
      <c r="J1928" s="9" t="b">
        <f t="shared" si="152"/>
        <v>1</v>
      </c>
      <c r="K1928" s="9" t="b">
        <f t="shared" si="153"/>
        <v>1</v>
      </c>
      <c r="L1928" s="9" t="b">
        <f t="shared" si="154"/>
        <v>1</v>
      </c>
      <c r="M1928" s="1" t="b">
        <f>IF(OR(入力シート!$C$5&lt;&gt;入力リスト!$N$4,入力シート!$J$22&lt;&gt;入力リスト!$K$4),TRUE,IF($F$2=入力リスト!$Q$4,IF(F1928-INT(F1928)&lt;0.6,TRUE,FALSE),TRUE))</f>
        <v>1</v>
      </c>
      <c r="N1928" s="9" t="str">
        <f>IF(F1928="","",IF($F$2=入力リスト!$Q$4,ROUNDDOWN(INT(F1928)+ROUNDDOWN((F1928-INT(F1928))*100,0)/60,2),従業員の給与情報!F1928))</f>
        <v/>
      </c>
      <c r="O1928" s="8"/>
      <c r="P1928" s="8"/>
    </row>
    <row r="1929" spans="1:16">
      <c r="A1929" s="119"/>
      <c r="B1929" s="2"/>
      <c r="C1929" s="3"/>
      <c r="D1929" s="3"/>
      <c r="E1929" s="3"/>
      <c r="F1929" s="9"/>
      <c r="G1929" s="248" t="str">
        <f t="shared" si="150"/>
        <v/>
      </c>
      <c r="H1929" s="1" t="b">
        <f>IF(B1929="",FALSE,COUNTIF('従業員情報(給与以外)'!$A$4:$A$1000000,$B1929)=0)</f>
        <v>0</v>
      </c>
      <c r="I1929" s="9" t="b">
        <f t="shared" si="151"/>
        <v>1</v>
      </c>
      <c r="J1929" s="9" t="b">
        <f t="shared" si="152"/>
        <v>1</v>
      </c>
      <c r="K1929" s="9" t="b">
        <f t="shared" si="153"/>
        <v>1</v>
      </c>
      <c r="L1929" s="9" t="b">
        <f t="shared" si="154"/>
        <v>1</v>
      </c>
      <c r="M1929" s="1" t="b">
        <f>IF(OR(入力シート!$C$5&lt;&gt;入力リスト!$N$4,入力シート!$J$22&lt;&gt;入力リスト!$K$4),TRUE,IF($F$2=入力リスト!$Q$4,IF(F1929-INT(F1929)&lt;0.6,TRUE,FALSE),TRUE))</f>
        <v>1</v>
      </c>
      <c r="N1929" s="9" t="str">
        <f>IF(F1929="","",IF($F$2=入力リスト!$Q$4,ROUNDDOWN(INT(F1929)+ROUNDDOWN((F1929-INT(F1929))*100,0)/60,2),従業員の給与情報!F1929))</f>
        <v/>
      </c>
      <c r="O1929" s="8"/>
      <c r="P1929" s="8"/>
    </row>
    <row r="1930" spans="1:16">
      <c r="A1930" s="119"/>
      <c r="B1930" s="2"/>
      <c r="C1930" s="3"/>
      <c r="D1930" s="3"/>
      <c r="E1930" s="3"/>
      <c r="F1930" s="9"/>
      <c r="G1930" s="248" t="str">
        <f t="shared" si="150"/>
        <v/>
      </c>
      <c r="H1930" s="1" t="b">
        <f>IF(B1930="",FALSE,COUNTIF('従業員情報(給与以外)'!$A$4:$A$1000000,$B1930)=0)</f>
        <v>0</v>
      </c>
      <c r="I1930" s="9" t="b">
        <f t="shared" si="151"/>
        <v>1</v>
      </c>
      <c r="J1930" s="9" t="b">
        <f t="shared" si="152"/>
        <v>1</v>
      </c>
      <c r="K1930" s="9" t="b">
        <f t="shared" si="153"/>
        <v>1</v>
      </c>
      <c r="L1930" s="9" t="b">
        <f t="shared" si="154"/>
        <v>1</v>
      </c>
      <c r="M1930" s="1" t="b">
        <f>IF(OR(入力シート!$C$5&lt;&gt;入力リスト!$N$4,入力シート!$J$22&lt;&gt;入力リスト!$K$4),TRUE,IF($F$2=入力リスト!$Q$4,IF(F1930-INT(F1930)&lt;0.6,TRUE,FALSE),TRUE))</f>
        <v>1</v>
      </c>
      <c r="N1930" s="9" t="str">
        <f>IF(F1930="","",IF($F$2=入力リスト!$Q$4,ROUNDDOWN(INT(F1930)+ROUNDDOWN((F1930-INT(F1930))*100,0)/60,2),従業員の給与情報!F1930))</f>
        <v/>
      </c>
      <c r="O1930" s="8"/>
      <c r="P1930" s="8"/>
    </row>
    <row r="1931" spans="1:16">
      <c r="A1931" s="119"/>
      <c r="B1931" s="2"/>
      <c r="C1931" s="3"/>
      <c r="D1931" s="3"/>
      <c r="E1931" s="3"/>
      <c r="F1931" s="9"/>
      <c r="G1931" s="248" t="str">
        <f t="shared" si="150"/>
        <v/>
      </c>
      <c r="H1931" s="1" t="b">
        <f>IF(B1931="",FALSE,COUNTIF('従業員情報(給与以外)'!$A$4:$A$1000000,$B1931)=0)</f>
        <v>0</v>
      </c>
      <c r="I1931" s="9" t="b">
        <f t="shared" si="151"/>
        <v>1</v>
      </c>
      <c r="J1931" s="9" t="b">
        <f t="shared" si="152"/>
        <v>1</v>
      </c>
      <c r="K1931" s="9" t="b">
        <f t="shared" si="153"/>
        <v>1</v>
      </c>
      <c r="L1931" s="9" t="b">
        <f t="shared" si="154"/>
        <v>1</v>
      </c>
      <c r="M1931" s="1" t="b">
        <f>IF(OR(入力シート!$C$5&lt;&gt;入力リスト!$N$4,入力シート!$J$22&lt;&gt;入力リスト!$K$4),TRUE,IF($F$2=入力リスト!$Q$4,IF(F1931-INT(F1931)&lt;0.6,TRUE,FALSE),TRUE))</f>
        <v>1</v>
      </c>
      <c r="N1931" s="9" t="str">
        <f>IF(F1931="","",IF($F$2=入力リスト!$Q$4,ROUNDDOWN(INT(F1931)+ROUNDDOWN((F1931-INT(F1931))*100,0)/60,2),従業員の給与情報!F1931))</f>
        <v/>
      </c>
      <c r="O1931" s="8"/>
      <c r="P1931" s="8"/>
    </row>
    <row r="1932" spans="1:16">
      <c r="A1932" s="119"/>
      <c r="B1932" s="2"/>
      <c r="C1932" s="3"/>
      <c r="D1932" s="3"/>
      <c r="E1932" s="3"/>
      <c r="F1932" s="9"/>
      <c r="G1932" s="248" t="str">
        <f t="shared" si="150"/>
        <v/>
      </c>
      <c r="H1932" s="1" t="b">
        <f>IF(B1932="",FALSE,COUNTIF('従業員情報(給与以外)'!$A$4:$A$1000000,$B1932)=0)</f>
        <v>0</v>
      </c>
      <c r="I1932" s="9" t="b">
        <f t="shared" si="151"/>
        <v>1</v>
      </c>
      <c r="J1932" s="9" t="b">
        <f t="shared" si="152"/>
        <v>1</v>
      </c>
      <c r="K1932" s="9" t="b">
        <f t="shared" si="153"/>
        <v>1</v>
      </c>
      <c r="L1932" s="9" t="b">
        <f t="shared" si="154"/>
        <v>1</v>
      </c>
      <c r="M1932" s="1" t="b">
        <f>IF(OR(入力シート!$C$5&lt;&gt;入力リスト!$N$4,入力シート!$J$22&lt;&gt;入力リスト!$K$4),TRUE,IF($F$2=入力リスト!$Q$4,IF(F1932-INT(F1932)&lt;0.6,TRUE,FALSE),TRUE))</f>
        <v>1</v>
      </c>
      <c r="N1932" s="9" t="str">
        <f>IF(F1932="","",IF($F$2=入力リスト!$Q$4,ROUNDDOWN(INT(F1932)+ROUNDDOWN((F1932-INT(F1932))*100,0)/60,2),従業員の給与情報!F1932))</f>
        <v/>
      </c>
      <c r="O1932" s="8"/>
      <c r="P1932" s="8"/>
    </row>
    <row r="1933" spans="1:16">
      <c r="A1933" s="119"/>
      <c r="B1933" s="2"/>
      <c r="C1933" s="3"/>
      <c r="D1933" s="3"/>
      <c r="E1933" s="3"/>
      <c r="F1933" s="9"/>
      <c r="G1933" s="248" t="str">
        <f t="shared" si="150"/>
        <v/>
      </c>
      <c r="H1933" s="1" t="b">
        <f>IF(B1933="",FALSE,COUNTIF('従業員情報(給与以外)'!$A$4:$A$1000000,$B1933)=0)</f>
        <v>0</v>
      </c>
      <c r="I1933" s="9" t="b">
        <f t="shared" si="151"/>
        <v>1</v>
      </c>
      <c r="J1933" s="9" t="b">
        <f t="shared" si="152"/>
        <v>1</v>
      </c>
      <c r="K1933" s="9" t="b">
        <f t="shared" si="153"/>
        <v>1</v>
      </c>
      <c r="L1933" s="9" t="b">
        <f t="shared" si="154"/>
        <v>1</v>
      </c>
      <c r="M1933" s="1" t="b">
        <f>IF(OR(入力シート!$C$5&lt;&gt;入力リスト!$N$4,入力シート!$J$22&lt;&gt;入力リスト!$K$4),TRUE,IF($F$2=入力リスト!$Q$4,IF(F1933-INT(F1933)&lt;0.6,TRUE,FALSE),TRUE))</f>
        <v>1</v>
      </c>
      <c r="N1933" s="9" t="str">
        <f>IF(F1933="","",IF($F$2=入力リスト!$Q$4,ROUNDDOWN(INT(F1933)+ROUNDDOWN((F1933-INT(F1933))*100,0)/60,2),従業員の給与情報!F1933))</f>
        <v/>
      </c>
      <c r="O1933" s="8"/>
      <c r="P1933" s="8"/>
    </row>
    <row r="1934" spans="1:16">
      <c r="A1934" s="119"/>
      <c r="B1934" s="2"/>
      <c r="C1934" s="3"/>
      <c r="D1934" s="3"/>
      <c r="E1934" s="3"/>
      <c r="F1934" s="9"/>
      <c r="G1934" s="248" t="str">
        <f t="shared" si="150"/>
        <v/>
      </c>
      <c r="H1934" s="1" t="b">
        <f>IF(B1934="",FALSE,COUNTIF('従業員情報(給与以外)'!$A$4:$A$1000000,$B1934)=0)</f>
        <v>0</v>
      </c>
      <c r="I1934" s="9" t="b">
        <f t="shared" si="151"/>
        <v>1</v>
      </c>
      <c r="J1934" s="9" t="b">
        <f t="shared" si="152"/>
        <v>1</v>
      </c>
      <c r="K1934" s="9" t="b">
        <f t="shared" si="153"/>
        <v>1</v>
      </c>
      <c r="L1934" s="9" t="b">
        <f t="shared" si="154"/>
        <v>1</v>
      </c>
      <c r="M1934" s="1" t="b">
        <f>IF(OR(入力シート!$C$5&lt;&gt;入力リスト!$N$4,入力シート!$J$22&lt;&gt;入力リスト!$K$4),TRUE,IF($F$2=入力リスト!$Q$4,IF(F1934-INT(F1934)&lt;0.6,TRUE,FALSE),TRUE))</f>
        <v>1</v>
      </c>
      <c r="N1934" s="9" t="str">
        <f>IF(F1934="","",IF($F$2=入力リスト!$Q$4,ROUNDDOWN(INT(F1934)+ROUNDDOWN((F1934-INT(F1934))*100,0)/60,2),従業員の給与情報!F1934))</f>
        <v/>
      </c>
      <c r="O1934" s="8"/>
      <c r="P1934" s="8"/>
    </row>
    <row r="1935" spans="1:16">
      <c r="A1935" s="119"/>
      <c r="B1935" s="2"/>
      <c r="C1935" s="3"/>
      <c r="D1935" s="3"/>
      <c r="E1935" s="3"/>
      <c r="F1935" s="9"/>
      <c r="G1935" s="248" t="str">
        <f t="shared" si="150"/>
        <v/>
      </c>
      <c r="H1935" s="1" t="b">
        <f>IF(B1935="",FALSE,COUNTIF('従業員情報(給与以外)'!$A$4:$A$1000000,$B1935)=0)</f>
        <v>0</v>
      </c>
      <c r="I1935" s="9" t="b">
        <f t="shared" si="151"/>
        <v>1</v>
      </c>
      <c r="J1935" s="9" t="b">
        <f t="shared" si="152"/>
        <v>1</v>
      </c>
      <c r="K1935" s="9" t="b">
        <f t="shared" si="153"/>
        <v>1</v>
      </c>
      <c r="L1935" s="9" t="b">
        <f t="shared" si="154"/>
        <v>1</v>
      </c>
      <c r="M1935" s="1" t="b">
        <f>IF(OR(入力シート!$C$5&lt;&gt;入力リスト!$N$4,入力シート!$J$22&lt;&gt;入力リスト!$K$4),TRUE,IF($F$2=入力リスト!$Q$4,IF(F1935-INT(F1935)&lt;0.6,TRUE,FALSE),TRUE))</f>
        <v>1</v>
      </c>
      <c r="N1935" s="9" t="str">
        <f>IF(F1935="","",IF($F$2=入力リスト!$Q$4,ROUNDDOWN(INT(F1935)+ROUNDDOWN((F1935-INT(F1935))*100,0)/60,2),従業員の給与情報!F1935))</f>
        <v/>
      </c>
      <c r="O1935" s="8"/>
      <c r="P1935" s="8"/>
    </row>
    <row r="1936" spans="1:16">
      <c r="A1936" s="119"/>
      <c r="B1936" s="2"/>
      <c r="C1936" s="3"/>
      <c r="D1936" s="3"/>
      <c r="E1936" s="3"/>
      <c r="F1936" s="9"/>
      <c r="G1936" s="248" t="str">
        <f t="shared" si="150"/>
        <v/>
      </c>
      <c r="H1936" s="1" t="b">
        <f>IF(B1936="",FALSE,COUNTIF('従業員情報(給与以外)'!$A$4:$A$1000000,$B1936)=0)</f>
        <v>0</v>
      </c>
      <c r="I1936" s="9" t="b">
        <f t="shared" si="151"/>
        <v>1</v>
      </c>
      <c r="J1936" s="9" t="b">
        <f t="shared" si="152"/>
        <v>1</v>
      </c>
      <c r="K1936" s="9" t="b">
        <f t="shared" si="153"/>
        <v>1</v>
      </c>
      <c r="L1936" s="9" t="b">
        <f t="shared" si="154"/>
        <v>1</v>
      </c>
      <c r="M1936" s="1" t="b">
        <f>IF(OR(入力シート!$C$5&lt;&gt;入力リスト!$N$4,入力シート!$J$22&lt;&gt;入力リスト!$K$4),TRUE,IF($F$2=入力リスト!$Q$4,IF(F1936-INT(F1936)&lt;0.6,TRUE,FALSE),TRUE))</f>
        <v>1</v>
      </c>
      <c r="N1936" s="9" t="str">
        <f>IF(F1936="","",IF($F$2=入力リスト!$Q$4,ROUNDDOWN(INT(F1936)+ROUNDDOWN((F1936-INT(F1936))*100,0)/60,2),従業員の給与情報!F1936))</f>
        <v/>
      </c>
      <c r="O1936" s="8"/>
      <c r="P1936" s="8"/>
    </row>
    <row r="1937" spans="1:16">
      <c r="A1937" s="119"/>
      <c r="B1937" s="2"/>
      <c r="C1937" s="3"/>
      <c r="D1937" s="3"/>
      <c r="E1937" s="3"/>
      <c r="F1937" s="9"/>
      <c r="G1937" s="248" t="str">
        <f t="shared" si="150"/>
        <v/>
      </c>
      <c r="H1937" s="1" t="b">
        <f>IF(B1937="",FALSE,COUNTIF('従業員情報(給与以外)'!$A$4:$A$1000000,$B1937)=0)</f>
        <v>0</v>
      </c>
      <c r="I1937" s="9" t="b">
        <f t="shared" si="151"/>
        <v>1</v>
      </c>
      <c r="J1937" s="9" t="b">
        <f t="shared" si="152"/>
        <v>1</v>
      </c>
      <c r="K1937" s="9" t="b">
        <f t="shared" si="153"/>
        <v>1</v>
      </c>
      <c r="L1937" s="9" t="b">
        <f t="shared" si="154"/>
        <v>1</v>
      </c>
      <c r="M1937" s="1" t="b">
        <f>IF(OR(入力シート!$C$5&lt;&gt;入力リスト!$N$4,入力シート!$J$22&lt;&gt;入力リスト!$K$4),TRUE,IF($F$2=入力リスト!$Q$4,IF(F1937-INT(F1937)&lt;0.6,TRUE,FALSE),TRUE))</f>
        <v>1</v>
      </c>
      <c r="N1937" s="9" t="str">
        <f>IF(F1937="","",IF($F$2=入力リスト!$Q$4,ROUNDDOWN(INT(F1937)+ROUNDDOWN((F1937-INT(F1937))*100,0)/60,2),従業員の給与情報!F1937))</f>
        <v/>
      </c>
      <c r="O1937" s="8"/>
      <c r="P1937" s="8"/>
    </row>
    <row r="1938" spans="1:16">
      <c r="A1938" s="119"/>
      <c r="B1938" s="2"/>
      <c r="C1938" s="3"/>
      <c r="D1938" s="3"/>
      <c r="E1938" s="3"/>
      <c r="F1938" s="9"/>
      <c r="G1938" s="248" t="str">
        <f t="shared" si="150"/>
        <v/>
      </c>
      <c r="H1938" s="1" t="b">
        <f>IF(B1938="",FALSE,COUNTIF('従業員情報(給与以外)'!$A$4:$A$1000000,$B1938)=0)</f>
        <v>0</v>
      </c>
      <c r="I1938" s="9" t="b">
        <f t="shared" si="151"/>
        <v>1</v>
      </c>
      <c r="J1938" s="9" t="b">
        <f t="shared" si="152"/>
        <v>1</v>
      </c>
      <c r="K1938" s="9" t="b">
        <f t="shared" si="153"/>
        <v>1</v>
      </c>
      <c r="L1938" s="9" t="b">
        <f t="shared" si="154"/>
        <v>1</v>
      </c>
      <c r="M1938" s="1" t="b">
        <f>IF(OR(入力シート!$C$5&lt;&gt;入力リスト!$N$4,入力シート!$J$22&lt;&gt;入力リスト!$K$4),TRUE,IF($F$2=入力リスト!$Q$4,IF(F1938-INT(F1938)&lt;0.6,TRUE,FALSE),TRUE))</f>
        <v>1</v>
      </c>
      <c r="N1938" s="9" t="str">
        <f>IF(F1938="","",IF($F$2=入力リスト!$Q$4,ROUNDDOWN(INT(F1938)+ROUNDDOWN((F1938-INT(F1938))*100,0)/60,2),従業員の給与情報!F1938))</f>
        <v/>
      </c>
      <c r="O1938" s="8"/>
      <c r="P1938" s="8"/>
    </row>
    <row r="1939" spans="1:16">
      <c r="A1939" s="119"/>
      <c r="B1939" s="2"/>
      <c r="C1939" s="3"/>
      <c r="D1939" s="3"/>
      <c r="E1939" s="3"/>
      <c r="F1939" s="9"/>
      <c r="G1939" s="248" t="str">
        <f t="shared" si="150"/>
        <v/>
      </c>
      <c r="H1939" s="1" t="b">
        <f>IF(B1939="",FALSE,COUNTIF('従業員情報(給与以外)'!$A$4:$A$1000000,$B1939)=0)</f>
        <v>0</v>
      </c>
      <c r="I1939" s="9" t="b">
        <f t="shared" si="151"/>
        <v>1</v>
      </c>
      <c r="J1939" s="9" t="b">
        <f t="shared" si="152"/>
        <v>1</v>
      </c>
      <c r="K1939" s="9" t="b">
        <f t="shared" si="153"/>
        <v>1</v>
      </c>
      <c r="L1939" s="9" t="b">
        <f t="shared" si="154"/>
        <v>1</v>
      </c>
      <c r="M1939" s="1" t="b">
        <f>IF(OR(入力シート!$C$5&lt;&gt;入力リスト!$N$4,入力シート!$J$22&lt;&gt;入力リスト!$K$4),TRUE,IF($F$2=入力リスト!$Q$4,IF(F1939-INT(F1939)&lt;0.6,TRUE,FALSE),TRUE))</f>
        <v>1</v>
      </c>
      <c r="N1939" s="9" t="str">
        <f>IF(F1939="","",IF($F$2=入力リスト!$Q$4,ROUNDDOWN(INT(F1939)+ROUNDDOWN((F1939-INT(F1939))*100,0)/60,2),従業員の給与情報!F1939))</f>
        <v/>
      </c>
      <c r="O1939" s="8"/>
      <c r="P1939" s="8"/>
    </row>
    <row r="1940" spans="1:16">
      <c r="A1940" s="119"/>
      <c r="B1940" s="2"/>
      <c r="C1940" s="3"/>
      <c r="D1940" s="3"/>
      <c r="E1940" s="3"/>
      <c r="F1940" s="9"/>
      <c r="G1940" s="248" t="str">
        <f t="shared" si="150"/>
        <v/>
      </c>
      <c r="H1940" s="1" t="b">
        <f>IF(B1940="",FALSE,COUNTIF('従業員情報(給与以外)'!$A$4:$A$1000000,$B1940)=0)</f>
        <v>0</v>
      </c>
      <c r="I1940" s="9" t="b">
        <f t="shared" si="151"/>
        <v>1</v>
      </c>
      <c r="J1940" s="9" t="b">
        <f t="shared" si="152"/>
        <v>1</v>
      </c>
      <c r="K1940" s="9" t="b">
        <f t="shared" si="153"/>
        <v>1</v>
      </c>
      <c r="L1940" s="9" t="b">
        <f t="shared" si="154"/>
        <v>1</v>
      </c>
      <c r="M1940" s="1" t="b">
        <f>IF(OR(入力シート!$C$5&lt;&gt;入力リスト!$N$4,入力シート!$J$22&lt;&gt;入力リスト!$K$4),TRUE,IF($F$2=入力リスト!$Q$4,IF(F1940-INT(F1940)&lt;0.6,TRUE,FALSE),TRUE))</f>
        <v>1</v>
      </c>
      <c r="N1940" s="9" t="str">
        <f>IF(F1940="","",IF($F$2=入力リスト!$Q$4,ROUNDDOWN(INT(F1940)+ROUNDDOWN((F1940-INT(F1940))*100,0)/60,2),従業員の給与情報!F1940))</f>
        <v/>
      </c>
      <c r="O1940" s="8"/>
      <c r="P1940" s="8"/>
    </row>
    <row r="1941" spans="1:16">
      <c r="A1941" s="119"/>
      <c r="B1941" s="2"/>
      <c r="C1941" s="3"/>
      <c r="D1941" s="3"/>
      <c r="E1941" s="3"/>
      <c r="F1941" s="9"/>
      <c r="G1941" s="248" t="str">
        <f t="shared" si="150"/>
        <v/>
      </c>
      <c r="H1941" s="1" t="b">
        <f>IF(B1941="",FALSE,COUNTIF('従業員情報(給与以外)'!$A$4:$A$1000000,$B1941)=0)</f>
        <v>0</v>
      </c>
      <c r="I1941" s="9" t="b">
        <f t="shared" si="151"/>
        <v>1</v>
      </c>
      <c r="J1941" s="9" t="b">
        <f t="shared" si="152"/>
        <v>1</v>
      </c>
      <c r="K1941" s="9" t="b">
        <f t="shared" si="153"/>
        <v>1</v>
      </c>
      <c r="L1941" s="9" t="b">
        <f t="shared" si="154"/>
        <v>1</v>
      </c>
      <c r="M1941" s="1" t="b">
        <f>IF(OR(入力シート!$C$5&lt;&gt;入力リスト!$N$4,入力シート!$J$22&lt;&gt;入力リスト!$K$4),TRUE,IF($F$2=入力リスト!$Q$4,IF(F1941-INT(F1941)&lt;0.6,TRUE,FALSE),TRUE))</f>
        <v>1</v>
      </c>
      <c r="N1941" s="9" t="str">
        <f>IF(F1941="","",IF($F$2=入力リスト!$Q$4,ROUNDDOWN(INT(F1941)+ROUNDDOWN((F1941-INT(F1941))*100,0)/60,2),従業員の給与情報!F1941))</f>
        <v/>
      </c>
      <c r="O1941" s="8"/>
      <c r="P1941" s="8"/>
    </row>
    <row r="1942" spans="1:16">
      <c r="A1942" s="119"/>
      <c r="B1942" s="2"/>
      <c r="C1942" s="3"/>
      <c r="D1942" s="3"/>
      <c r="E1942" s="3"/>
      <c r="F1942" s="9"/>
      <c r="G1942" s="248" t="str">
        <f t="shared" si="150"/>
        <v/>
      </c>
      <c r="H1942" s="1" t="b">
        <f>IF(B1942="",FALSE,COUNTIF('従業員情報(給与以外)'!$A$4:$A$1000000,$B1942)=0)</f>
        <v>0</v>
      </c>
      <c r="I1942" s="9" t="b">
        <f t="shared" si="151"/>
        <v>1</v>
      </c>
      <c r="J1942" s="9" t="b">
        <f t="shared" si="152"/>
        <v>1</v>
      </c>
      <c r="K1942" s="9" t="b">
        <f t="shared" si="153"/>
        <v>1</v>
      </c>
      <c r="L1942" s="9" t="b">
        <f t="shared" si="154"/>
        <v>1</v>
      </c>
      <c r="M1942" s="1" t="b">
        <f>IF(OR(入力シート!$C$5&lt;&gt;入力リスト!$N$4,入力シート!$J$22&lt;&gt;入力リスト!$K$4),TRUE,IF($F$2=入力リスト!$Q$4,IF(F1942-INT(F1942)&lt;0.6,TRUE,FALSE),TRUE))</f>
        <v>1</v>
      </c>
      <c r="N1942" s="9" t="str">
        <f>IF(F1942="","",IF($F$2=入力リスト!$Q$4,ROUNDDOWN(INT(F1942)+ROUNDDOWN((F1942-INT(F1942))*100,0)/60,2),従業員の給与情報!F1942))</f>
        <v/>
      </c>
      <c r="O1942" s="8"/>
      <c r="P1942" s="8"/>
    </row>
    <row r="1943" spans="1:16">
      <c r="A1943" s="119"/>
      <c r="B1943" s="2"/>
      <c r="C1943" s="3"/>
      <c r="D1943" s="3"/>
      <c r="E1943" s="3"/>
      <c r="F1943" s="9"/>
      <c r="G1943" s="248" t="str">
        <f t="shared" si="150"/>
        <v/>
      </c>
      <c r="H1943" s="1" t="b">
        <f>IF(B1943="",FALSE,COUNTIF('従業員情報(給与以外)'!$A$4:$A$1000000,$B1943)=0)</f>
        <v>0</v>
      </c>
      <c r="I1943" s="9" t="b">
        <f t="shared" si="151"/>
        <v>1</v>
      </c>
      <c r="J1943" s="9" t="b">
        <f t="shared" si="152"/>
        <v>1</v>
      </c>
      <c r="K1943" s="9" t="b">
        <f t="shared" si="153"/>
        <v>1</v>
      </c>
      <c r="L1943" s="9" t="b">
        <f t="shared" si="154"/>
        <v>1</v>
      </c>
      <c r="M1943" s="1" t="b">
        <f>IF(OR(入力シート!$C$5&lt;&gt;入力リスト!$N$4,入力シート!$J$22&lt;&gt;入力リスト!$K$4),TRUE,IF($F$2=入力リスト!$Q$4,IF(F1943-INT(F1943)&lt;0.6,TRUE,FALSE),TRUE))</f>
        <v>1</v>
      </c>
      <c r="N1943" s="9" t="str">
        <f>IF(F1943="","",IF($F$2=入力リスト!$Q$4,ROUNDDOWN(INT(F1943)+ROUNDDOWN((F1943-INT(F1943))*100,0)/60,2),従業員の給与情報!F1943))</f>
        <v/>
      </c>
      <c r="O1943" s="8"/>
      <c r="P1943" s="8"/>
    </row>
    <row r="1944" spans="1:16">
      <c r="A1944" s="119"/>
      <c r="B1944" s="2"/>
      <c r="C1944" s="3"/>
      <c r="D1944" s="3"/>
      <c r="E1944" s="3"/>
      <c r="F1944" s="9"/>
      <c r="G1944" s="248" t="str">
        <f t="shared" si="150"/>
        <v/>
      </c>
      <c r="H1944" s="1" t="b">
        <f>IF(B1944="",FALSE,COUNTIF('従業員情報(給与以外)'!$A$4:$A$1000000,$B1944)=0)</f>
        <v>0</v>
      </c>
      <c r="I1944" s="9" t="b">
        <f t="shared" si="151"/>
        <v>1</v>
      </c>
      <c r="J1944" s="9" t="b">
        <f t="shared" si="152"/>
        <v>1</v>
      </c>
      <c r="K1944" s="9" t="b">
        <f t="shared" si="153"/>
        <v>1</v>
      </c>
      <c r="L1944" s="9" t="b">
        <f t="shared" si="154"/>
        <v>1</v>
      </c>
      <c r="M1944" s="1" t="b">
        <f>IF(OR(入力シート!$C$5&lt;&gt;入力リスト!$N$4,入力シート!$J$22&lt;&gt;入力リスト!$K$4),TRUE,IF($F$2=入力リスト!$Q$4,IF(F1944-INT(F1944)&lt;0.6,TRUE,FALSE),TRUE))</f>
        <v>1</v>
      </c>
      <c r="N1944" s="9" t="str">
        <f>IF(F1944="","",IF($F$2=入力リスト!$Q$4,ROUNDDOWN(INT(F1944)+ROUNDDOWN((F1944-INT(F1944))*100,0)/60,2),従業員の給与情報!F1944))</f>
        <v/>
      </c>
      <c r="O1944" s="8"/>
      <c r="P1944" s="8"/>
    </row>
    <row r="1945" spans="1:16">
      <c r="A1945" s="119"/>
      <c r="B1945" s="2"/>
      <c r="C1945" s="3"/>
      <c r="D1945" s="3"/>
      <c r="E1945" s="3"/>
      <c r="F1945" s="9"/>
      <c r="G1945" s="248" t="str">
        <f t="shared" si="150"/>
        <v/>
      </c>
      <c r="H1945" s="1" t="b">
        <f>IF(B1945="",FALSE,COUNTIF('従業員情報(給与以外)'!$A$4:$A$1000000,$B1945)=0)</f>
        <v>0</v>
      </c>
      <c r="I1945" s="9" t="b">
        <f t="shared" si="151"/>
        <v>1</v>
      </c>
      <c r="J1945" s="9" t="b">
        <f t="shared" si="152"/>
        <v>1</v>
      </c>
      <c r="K1945" s="9" t="b">
        <f t="shared" si="153"/>
        <v>1</v>
      </c>
      <c r="L1945" s="9" t="b">
        <f t="shared" si="154"/>
        <v>1</v>
      </c>
      <c r="M1945" s="1" t="b">
        <f>IF(OR(入力シート!$C$5&lt;&gt;入力リスト!$N$4,入力シート!$J$22&lt;&gt;入力リスト!$K$4),TRUE,IF($F$2=入力リスト!$Q$4,IF(F1945-INT(F1945)&lt;0.6,TRUE,FALSE),TRUE))</f>
        <v>1</v>
      </c>
      <c r="N1945" s="9" t="str">
        <f>IF(F1945="","",IF($F$2=入力リスト!$Q$4,ROUNDDOWN(INT(F1945)+ROUNDDOWN((F1945-INT(F1945))*100,0)/60,2),従業員の給与情報!F1945))</f>
        <v/>
      </c>
      <c r="O1945" s="8"/>
      <c r="P1945" s="8"/>
    </row>
    <row r="1946" spans="1:16">
      <c r="A1946" s="119"/>
      <c r="B1946" s="2"/>
      <c r="C1946" s="3"/>
      <c r="D1946" s="3"/>
      <c r="E1946" s="3"/>
      <c r="F1946" s="9"/>
      <c r="G1946" s="248" t="str">
        <f t="shared" si="150"/>
        <v/>
      </c>
      <c r="H1946" s="1" t="b">
        <f>IF(B1946="",FALSE,COUNTIF('従業員情報(給与以外)'!$A$4:$A$1000000,$B1946)=0)</f>
        <v>0</v>
      </c>
      <c r="I1946" s="9" t="b">
        <f t="shared" si="151"/>
        <v>1</v>
      </c>
      <c r="J1946" s="9" t="b">
        <f t="shared" si="152"/>
        <v>1</v>
      </c>
      <c r="K1946" s="9" t="b">
        <f t="shared" si="153"/>
        <v>1</v>
      </c>
      <c r="L1946" s="9" t="b">
        <f t="shared" si="154"/>
        <v>1</v>
      </c>
      <c r="M1946" s="1" t="b">
        <f>IF(OR(入力シート!$C$5&lt;&gt;入力リスト!$N$4,入力シート!$J$22&lt;&gt;入力リスト!$K$4),TRUE,IF($F$2=入力リスト!$Q$4,IF(F1946-INT(F1946)&lt;0.6,TRUE,FALSE),TRUE))</f>
        <v>1</v>
      </c>
      <c r="N1946" s="9" t="str">
        <f>IF(F1946="","",IF($F$2=入力リスト!$Q$4,ROUNDDOWN(INT(F1946)+ROUNDDOWN((F1946-INT(F1946))*100,0)/60,2),従業員の給与情報!F1946))</f>
        <v/>
      </c>
      <c r="O1946" s="8"/>
      <c r="P1946" s="8"/>
    </row>
    <row r="1947" spans="1:16">
      <c r="A1947" s="119"/>
      <c r="B1947" s="2"/>
      <c r="C1947" s="3"/>
      <c r="D1947" s="3"/>
      <c r="E1947" s="3"/>
      <c r="F1947" s="9"/>
      <c r="G1947" s="248" t="str">
        <f t="shared" si="150"/>
        <v/>
      </c>
      <c r="H1947" s="1" t="b">
        <f>IF(B1947="",FALSE,COUNTIF('従業員情報(給与以外)'!$A$4:$A$1000000,$B1947)=0)</f>
        <v>0</v>
      </c>
      <c r="I1947" s="9" t="b">
        <f t="shared" si="151"/>
        <v>1</v>
      </c>
      <c r="J1947" s="9" t="b">
        <f t="shared" si="152"/>
        <v>1</v>
      </c>
      <c r="K1947" s="9" t="b">
        <f t="shared" si="153"/>
        <v>1</v>
      </c>
      <c r="L1947" s="9" t="b">
        <f t="shared" si="154"/>
        <v>1</v>
      </c>
      <c r="M1947" s="1" t="b">
        <f>IF(OR(入力シート!$C$5&lt;&gt;入力リスト!$N$4,入力シート!$J$22&lt;&gt;入力リスト!$K$4),TRUE,IF($F$2=入力リスト!$Q$4,IF(F1947-INT(F1947)&lt;0.6,TRUE,FALSE),TRUE))</f>
        <v>1</v>
      </c>
      <c r="N1947" s="9" t="str">
        <f>IF(F1947="","",IF($F$2=入力リスト!$Q$4,ROUNDDOWN(INT(F1947)+ROUNDDOWN((F1947-INT(F1947))*100,0)/60,2),従業員の給与情報!F1947))</f>
        <v/>
      </c>
      <c r="O1947" s="8"/>
      <c r="P1947" s="8"/>
    </row>
    <row r="1948" spans="1:16">
      <c r="A1948" s="119"/>
      <c r="B1948" s="2"/>
      <c r="C1948" s="3"/>
      <c r="D1948" s="3"/>
      <c r="E1948" s="3"/>
      <c r="F1948" s="9"/>
      <c r="G1948" s="248" t="str">
        <f t="shared" si="150"/>
        <v/>
      </c>
      <c r="H1948" s="1" t="b">
        <f>IF(B1948="",FALSE,COUNTIF('従業員情報(給与以外)'!$A$4:$A$1000000,$B1948)=0)</f>
        <v>0</v>
      </c>
      <c r="I1948" s="9" t="b">
        <f t="shared" si="151"/>
        <v>1</v>
      </c>
      <c r="J1948" s="9" t="b">
        <f t="shared" si="152"/>
        <v>1</v>
      </c>
      <c r="K1948" s="9" t="b">
        <f t="shared" si="153"/>
        <v>1</v>
      </c>
      <c r="L1948" s="9" t="b">
        <f t="shared" si="154"/>
        <v>1</v>
      </c>
      <c r="M1948" s="1" t="b">
        <f>IF(OR(入力シート!$C$5&lt;&gt;入力リスト!$N$4,入力シート!$J$22&lt;&gt;入力リスト!$K$4),TRUE,IF($F$2=入力リスト!$Q$4,IF(F1948-INT(F1948)&lt;0.6,TRUE,FALSE),TRUE))</f>
        <v>1</v>
      </c>
      <c r="N1948" s="9" t="str">
        <f>IF(F1948="","",IF($F$2=入力リスト!$Q$4,ROUNDDOWN(INT(F1948)+ROUNDDOWN((F1948-INT(F1948))*100,0)/60,2),従業員の給与情報!F1948))</f>
        <v/>
      </c>
      <c r="O1948" s="8"/>
      <c r="P1948" s="8"/>
    </row>
    <row r="1949" spans="1:16">
      <c r="A1949" s="119"/>
      <c r="B1949" s="2"/>
      <c r="C1949" s="3"/>
      <c r="D1949" s="3"/>
      <c r="E1949" s="3"/>
      <c r="F1949" s="9"/>
      <c r="G1949" s="248" t="str">
        <f t="shared" si="150"/>
        <v/>
      </c>
      <c r="H1949" s="1" t="b">
        <f>IF(B1949="",FALSE,COUNTIF('従業員情報(給与以外)'!$A$4:$A$1000000,$B1949)=0)</f>
        <v>0</v>
      </c>
      <c r="I1949" s="9" t="b">
        <f t="shared" si="151"/>
        <v>1</v>
      </c>
      <c r="J1949" s="9" t="b">
        <f t="shared" si="152"/>
        <v>1</v>
      </c>
      <c r="K1949" s="9" t="b">
        <f t="shared" si="153"/>
        <v>1</v>
      </c>
      <c r="L1949" s="9" t="b">
        <f t="shared" si="154"/>
        <v>1</v>
      </c>
      <c r="M1949" s="1" t="b">
        <f>IF(OR(入力シート!$C$5&lt;&gt;入力リスト!$N$4,入力シート!$J$22&lt;&gt;入力リスト!$K$4),TRUE,IF($F$2=入力リスト!$Q$4,IF(F1949-INT(F1949)&lt;0.6,TRUE,FALSE),TRUE))</f>
        <v>1</v>
      </c>
      <c r="N1949" s="9" t="str">
        <f>IF(F1949="","",IF($F$2=入力リスト!$Q$4,ROUNDDOWN(INT(F1949)+ROUNDDOWN((F1949-INT(F1949))*100,0)/60,2),従業員の給与情報!F1949))</f>
        <v/>
      </c>
      <c r="O1949" s="8"/>
      <c r="P1949" s="8"/>
    </row>
    <row r="1950" spans="1:16">
      <c r="A1950" s="119"/>
      <c r="B1950" s="2"/>
      <c r="C1950" s="3"/>
      <c r="D1950" s="3"/>
      <c r="E1950" s="3"/>
      <c r="F1950" s="9"/>
      <c r="G1950" s="248" t="str">
        <f t="shared" si="150"/>
        <v/>
      </c>
      <c r="H1950" s="1" t="b">
        <f>IF(B1950="",FALSE,COUNTIF('従業員情報(給与以外)'!$A$4:$A$1000000,$B1950)=0)</f>
        <v>0</v>
      </c>
      <c r="I1950" s="9" t="b">
        <f t="shared" si="151"/>
        <v>1</v>
      </c>
      <c r="J1950" s="9" t="b">
        <f t="shared" si="152"/>
        <v>1</v>
      </c>
      <c r="K1950" s="9" t="b">
        <f t="shared" si="153"/>
        <v>1</v>
      </c>
      <c r="L1950" s="9" t="b">
        <f t="shared" si="154"/>
        <v>1</v>
      </c>
      <c r="M1950" s="1" t="b">
        <f>IF(OR(入力シート!$C$5&lt;&gt;入力リスト!$N$4,入力シート!$J$22&lt;&gt;入力リスト!$K$4),TRUE,IF($F$2=入力リスト!$Q$4,IF(F1950-INT(F1950)&lt;0.6,TRUE,FALSE),TRUE))</f>
        <v>1</v>
      </c>
      <c r="N1950" s="9" t="str">
        <f>IF(F1950="","",IF($F$2=入力リスト!$Q$4,ROUNDDOWN(INT(F1950)+ROUNDDOWN((F1950-INT(F1950))*100,0)/60,2),従業員の給与情報!F1950))</f>
        <v/>
      </c>
      <c r="O1950" s="8"/>
      <c r="P1950" s="8"/>
    </row>
    <row r="1951" spans="1:16">
      <c r="A1951" s="119"/>
      <c r="B1951" s="2"/>
      <c r="C1951" s="3"/>
      <c r="D1951" s="3"/>
      <c r="E1951" s="3"/>
      <c r="F1951" s="9"/>
      <c r="G1951" s="248" t="str">
        <f t="shared" si="150"/>
        <v/>
      </c>
      <c r="H1951" s="1" t="b">
        <f>IF(B1951="",FALSE,COUNTIF('従業員情報(給与以外)'!$A$4:$A$1000000,$B1951)=0)</f>
        <v>0</v>
      </c>
      <c r="I1951" s="9" t="b">
        <f t="shared" si="151"/>
        <v>1</v>
      </c>
      <c r="J1951" s="9" t="b">
        <f t="shared" si="152"/>
        <v>1</v>
      </c>
      <c r="K1951" s="9" t="b">
        <f t="shared" si="153"/>
        <v>1</v>
      </c>
      <c r="L1951" s="9" t="b">
        <f t="shared" si="154"/>
        <v>1</v>
      </c>
      <c r="M1951" s="1" t="b">
        <f>IF(OR(入力シート!$C$5&lt;&gt;入力リスト!$N$4,入力シート!$J$22&lt;&gt;入力リスト!$K$4),TRUE,IF($F$2=入力リスト!$Q$4,IF(F1951-INT(F1951)&lt;0.6,TRUE,FALSE),TRUE))</f>
        <v>1</v>
      </c>
      <c r="N1951" s="9" t="str">
        <f>IF(F1951="","",IF($F$2=入力リスト!$Q$4,ROUNDDOWN(INT(F1951)+ROUNDDOWN((F1951-INT(F1951))*100,0)/60,2),従業員の給与情報!F1951))</f>
        <v/>
      </c>
      <c r="O1951" s="8"/>
      <c r="P1951" s="8"/>
    </row>
    <row r="1952" spans="1:16">
      <c r="A1952" s="119"/>
      <c r="B1952" s="2"/>
      <c r="C1952" s="3"/>
      <c r="D1952" s="3"/>
      <c r="E1952" s="3"/>
      <c r="F1952" s="9"/>
      <c r="G1952" s="248" t="str">
        <f t="shared" si="150"/>
        <v/>
      </c>
      <c r="H1952" s="1" t="b">
        <f>IF(B1952="",FALSE,COUNTIF('従業員情報(給与以外)'!$A$4:$A$1000000,$B1952)=0)</f>
        <v>0</v>
      </c>
      <c r="I1952" s="9" t="b">
        <f t="shared" si="151"/>
        <v>1</v>
      </c>
      <c r="J1952" s="9" t="b">
        <f t="shared" si="152"/>
        <v>1</v>
      </c>
      <c r="K1952" s="9" t="b">
        <f t="shared" si="153"/>
        <v>1</v>
      </c>
      <c r="L1952" s="9" t="b">
        <f t="shared" si="154"/>
        <v>1</v>
      </c>
      <c r="M1952" s="1" t="b">
        <f>IF(OR(入力シート!$C$5&lt;&gt;入力リスト!$N$4,入力シート!$J$22&lt;&gt;入力リスト!$K$4),TRUE,IF($F$2=入力リスト!$Q$4,IF(F1952-INT(F1952)&lt;0.6,TRUE,FALSE),TRUE))</f>
        <v>1</v>
      </c>
      <c r="N1952" s="9" t="str">
        <f>IF(F1952="","",IF($F$2=入力リスト!$Q$4,ROUNDDOWN(INT(F1952)+ROUNDDOWN((F1952-INT(F1952))*100,0)/60,2),従業員の給与情報!F1952))</f>
        <v/>
      </c>
      <c r="O1952" s="8"/>
      <c r="P1952" s="8"/>
    </row>
    <row r="1953" spans="1:16">
      <c r="A1953" s="119"/>
      <c r="B1953" s="2"/>
      <c r="C1953" s="3"/>
      <c r="D1953" s="3"/>
      <c r="E1953" s="3"/>
      <c r="F1953" s="9"/>
      <c r="G1953" s="248" t="str">
        <f t="shared" si="150"/>
        <v/>
      </c>
      <c r="H1953" s="1" t="b">
        <f>IF(B1953="",FALSE,COUNTIF('従業員情報(給与以外)'!$A$4:$A$1000000,$B1953)=0)</f>
        <v>0</v>
      </c>
      <c r="I1953" s="9" t="b">
        <f t="shared" si="151"/>
        <v>1</v>
      </c>
      <c r="J1953" s="9" t="b">
        <f t="shared" si="152"/>
        <v>1</v>
      </c>
      <c r="K1953" s="9" t="b">
        <f t="shared" si="153"/>
        <v>1</v>
      </c>
      <c r="L1953" s="9" t="b">
        <f t="shared" si="154"/>
        <v>1</v>
      </c>
      <c r="M1953" s="1" t="b">
        <f>IF(OR(入力シート!$C$5&lt;&gt;入力リスト!$N$4,入力シート!$J$22&lt;&gt;入力リスト!$K$4),TRUE,IF($F$2=入力リスト!$Q$4,IF(F1953-INT(F1953)&lt;0.6,TRUE,FALSE),TRUE))</f>
        <v>1</v>
      </c>
      <c r="N1953" s="9" t="str">
        <f>IF(F1953="","",IF($F$2=入力リスト!$Q$4,ROUNDDOWN(INT(F1953)+ROUNDDOWN((F1953-INT(F1953))*100,0)/60,2),従業員の給与情報!F1953))</f>
        <v/>
      </c>
      <c r="O1953" s="8"/>
      <c r="P1953" s="8"/>
    </row>
    <row r="1954" spans="1:16">
      <c r="A1954" s="119"/>
      <c r="B1954" s="2"/>
      <c r="C1954" s="3"/>
      <c r="D1954" s="3"/>
      <c r="E1954" s="3"/>
      <c r="F1954" s="9"/>
      <c r="G1954" s="248" t="str">
        <f t="shared" si="150"/>
        <v/>
      </c>
      <c r="H1954" s="1" t="b">
        <f>IF(B1954="",FALSE,COUNTIF('従業員情報(給与以外)'!$A$4:$A$1000000,$B1954)=0)</f>
        <v>0</v>
      </c>
      <c r="I1954" s="9" t="b">
        <f t="shared" si="151"/>
        <v>1</v>
      </c>
      <c r="J1954" s="9" t="b">
        <f t="shared" si="152"/>
        <v>1</v>
      </c>
      <c r="K1954" s="9" t="b">
        <f t="shared" si="153"/>
        <v>1</v>
      </c>
      <c r="L1954" s="9" t="b">
        <f t="shared" si="154"/>
        <v>1</v>
      </c>
      <c r="M1954" s="1" t="b">
        <f>IF(OR(入力シート!$C$5&lt;&gt;入力リスト!$N$4,入力シート!$J$22&lt;&gt;入力リスト!$K$4),TRUE,IF($F$2=入力リスト!$Q$4,IF(F1954-INT(F1954)&lt;0.6,TRUE,FALSE),TRUE))</f>
        <v>1</v>
      </c>
      <c r="N1954" s="9" t="str">
        <f>IF(F1954="","",IF($F$2=入力リスト!$Q$4,ROUNDDOWN(INT(F1954)+ROUNDDOWN((F1954-INT(F1954))*100,0)/60,2),従業員の給与情報!F1954))</f>
        <v/>
      </c>
      <c r="O1954" s="8"/>
      <c r="P1954" s="8"/>
    </row>
    <row r="1955" spans="1:16">
      <c r="A1955" s="119"/>
      <c r="B1955" s="2"/>
      <c r="C1955" s="3"/>
      <c r="D1955" s="3"/>
      <c r="E1955" s="3"/>
      <c r="F1955" s="9"/>
      <c r="G1955" s="248" t="str">
        <f t="shared" si="150"/>
        <v/>
      </c>
      <c r="H1955" s="1" t="b">
        <f>IF(B1955="",FALSE,COUNTIF('従業員情報(給与以外)'!$A$4:$A$1000000,$B1955)=0)</f>
        <v>0</v>
      </c>
      <c r="I1955" s="9" t="b">
        <f t="shared" si="151"/>
        <v>1</v>
      </c>
      <c r="J1955" s="9" t="b">
        <f t="shared" si="152"/>
        <v>1</v>
      </c>
      <c r="K1955" s="9" t="b">
        <f t="shared" si="153"/>
        <v>1</v>
      </c>
      <c r="L1955" s="9" t="b">
        <f t="shared" si="154"/>
        <v>1</v>
      </c>
      <c r="M1955" s="1" t="b">
        <f>IF(OR(入力シート!$C$5&lt;&gt;入力リスト!$N$4,入力シート!$J$22&lt;&gt;入力リスト!$K$4),TRUE,IF($F$2=入力リスト!$Q$4,IF(F1955-INT(F1955)&lt;0.6,TRUE,FALSE),TRUE))</f>
        <v>1</v>
      </c>
      <c r="N1955" s="9" t="str">
        <f>IF(F1955="","",IF($F$2=入力リスト!$Q$4,ROUNDDOWN(INT(F1955)+ROUNDDOWN((F1955-INT(F1955))*100,0)/60,2),従業員の給与情報!F1955))</f>
        <v/>
      </c>
      <c r="O1955" s="8"/>
      <c r="P1955" s="8"/>
    </row>
    <row r="1956" spans="1:16">
      <c r="A1956" s="119"/>
      <c r="B1956" s="2"/>
      <c r="C1956" s="3"/>
      <c r="D1956" s="3"/>
      <c r="E1956" s="3"/>
      <c r="F1956" s="9"/>
      <c r="G1956" s="248" t="str">
        <f t="shared" si="150"/>
        <v/>
      </c>
      <c r="H1956" s="1" t="b">
        <f>IF(B1956="",FALSE,COUNTIF('従業員情報(給与以外)'!$A$4:$A$1000000,$B1956)=0)</f>
        <v>0</v>
      </c>
      <c r="I1956" s="9" t="b">
        <f t="shared" si="151"/>
        <v>1</v>
      </c>
      <c r="J1956" s="9" t="b">
        <f t="shared" si="152"/>
        <v>1</v>
      </c>
      <c r="K1956" s="9" t="b">
        <f t="shared" si="153"/>
        <v>1</v>
      </c>
      <c r="L1956" s="9" t="b">
        <f t="shared" si="154"/>
        <v>1</v>
      </c>
      <c r="M1956" s="1" t="b">
        <f>IF(OR(入力シート!$C$5&lt;&gt;入力リスト!$N$4,入力シート!$J$22&lt;&gt;入力リスト!$K$4),TRUE,IF($F$2=入力リスト!$Q$4,IF(F1956-INT(F1956)&lt;0.6,TRUE,FALSE),TRUE))</f>
        <v>1</v>
      </c>
      <c r="N1956" s="9" t="str">
        <f>IF(F1956="","",IF($F$2=入力リスト!$Q$4,ROUNDDOWN(INT(F1956)+ROUNDDOWN((F1956-INT(F1956))*100,0)/60,2),従業員の給与情報!F1956))</f>
        <v/>
      </c>
      <c r="O1956" s="8"/>
      <c r="P1956" s="8"/>
    </row>
    <row r="1957" spans="1:16">
      <c r="A1957" s="119"/>
      <c r="B1957" s="2"/>
      <c r="C1957" s="3"/>
      <c r="D1957" s="3"/>
      <c r="E1957" s="3"/>
      <c r="F1957" s="9"/>
      <c r="G1957" s="248" t="str">
        <f t="shared" si="150"/>
        <v/>
      </c>
      <c r="H1957" s="1" t="b">
        <f>IF(B1957="",FALSE,COUNTIF('従業員情報(給与以外)'!$A$4:$A$1000000,$B1957)=0)</f>
        <v>0</v>
      </c>
      <c r="I1957" s="9" t="b">
        <f t="shared" si="151"/>
        <v>1</v>
      </c>
      <c r="J1957" s="9" t="b">
        <f t="shared" si="152"/>
        <v>1</v>
      </c>
      <c r="K1957" s="9" t="b">
        <f t="shared" si="153"/>
        <v>1</v>
      </c>
      <c r="L1957" s="9" t="b">
        <f t="shared" si="154"/>
        <v>1</v>
      </c>
      <c r="M1957" s="1" t="b">
        <f>IF(OR(入力シート!$C$5&lt;&gt;入力リスト!$N$4,入力シート!$J$22&lt;&gt;入力リスト!$K$4),TRUE,IF($F$2=入力リスト!$Q$4,IF(F1957-INT(F1957)&lt;0.6,TRUE,FALSE),TRUE))</f>
        <v>1</v>
      </c>
      <c r="N1957" s="9" t="str">
        <f>IF(F1957="","",IF($F$2=入力リスト!$Q$4,ROUNDDOWN(INT(F1957)+ROUNDDOWN((F1957-INT(F1957))*100,0)/60,2),従業員の給与情報!F1957))</f>
        <v/>
      </c>
      <c r="O1957" s="8"/>
      <c r="P1957" s="8"/>
    </row>
    <row r="1958" spans="1:16">
      <c r="A1958" s="119"/>
      <c r="B1958" s="2"/>
      <c r="C1958" s="3"/>
      <c r="D1958" s="3"/>
      <c r="E1958" s="3"/>
      <c r="F1958" s="9"/>
      <c r="G1958" s="248" t="str">
        <f t="shared" si="150"/>
        <v/>
      </c>
      <c r="H1958" s="1" t="b">
        <f>IF(B1958="",FALSE,COUNTIF('従業員情報(給与以外)'!$A$4:$A$1000000,$B1958)=0)</f>
        <v>0</v>
      </c>
      <c r="I1958" s="9" t="b">
        <f t="shared" si="151"/>
        <v>1</v>
      </c>
      <c r="J1958" s="9" t="b">
        <f t="shared" si="152"/>
        <v>1</v>
      </c>
      <c r="K1958" s="9" t="b">
        <f t="shared" si="153"/>
        <v>1</v>
      </c>
      <c r="L1958" s="9" t="b">
        <f t="shared" si="154"/>
        <v>1</v>
      </c>
      <c r="M1958" s="1" t="b">
        <f>IF(OR(入力シート!$C$5&lt;&gt;入力リスト!$N$4,入力シート!$J$22&lt;&gt;入力リスト!$K$4),TRUE,IF($F$2=入力リスト!$Q$4,IF(F1958-INT(F1958)&lt;0.6,TRUE,FALSE),TRUE))</f>
        <v>1</v>
      </c>
      <c r="N1958" s="9" t="str">
        <f>IF(F1958="","",IF($F$2=入力リスト!$Q$4,ROUNDDOWN(INT(F1958)+ROUNDDOWN((F1958-INT(F1958))*100,0)/60,2),従業員の給与情報!F1958))</f>
        <v/>
      </c>
      <c r="O1958" s="8"/>
      <c r="P1958" s="8"/>
    </row>
    <row r="1959" spans="1:16">
      <c r="A1959" s="119"/>
      <c r="B1959" s="2"/>
      <c r="C1959" s="3"/>
      <c r="D1959" s="3"/>
      <c r="E1959" s="3"/>
      <c r="F1959" s="9"/>
      <c r="G1959" s="248" t="str">
        <f t="shared" si="150"/>
        <v/>
      </c>
      <c r="H1959" s="1" t="b">
        <f>IF(B1959="",FALSE,COUNTIF('従業員情報(給与以外)'!$A$4:$A$1000000,$B1959)=0)</f>
        <v>0</v>
      </c>
      <c r="I1959" s="9" t="b">
        <f t="shared" si="151"/>
        <v>1</v>
      </c>
      <c r="J1959" s="9" t="b">
        <f t="shared" si="152"/>
        <v>1</v>
      </c>
      <c r="K1959" s="9" t="b">
        <f t="shared" si="153"/>
        <v>1</v>
      </c>
      <c r="L1959" s="9" t="b">
        <f t="shared" si="154"/>
        <v>1</v>
      </c>
      <c r="M1959" s="1" t="b">
        <f>IF(OR(入力シート!$C$5&lt;&gt;入力リスト!$N$4,入力シート!$J$22&lt;&gt;入力リスト!$K$4),TRUE,IF($F$2=入力リスト!$Q$4,IF(F1959-INT(F1959)&lt;0.6,TRUE,FALSE),TRUE))</f>
        <v>1</v>
      </c>
      <c r="N1959" s="9" t="str">
        <f>IF(F1959="","",IF($F$2=入力リスト!$Q$4,ROUNDDOWN(INT(F1959)+ROUNDDOWN((F1959-INT(F1959))*100,0)/60,2),従業員の給与情報!F1959))</f>
        <v/>
      </c>
      <c r="O1959" s="8"/>
      <c r="P1959" s="8"/>
    </row>
    <row r="1960" spans="1:16">
      <c r="A1960" s="119"/>
      <c r="B1960" s="2"/>
      <c r="C1960" s="3"/>
      <c r="D1960" s="3"/>
      <c r="E1960" s="3"/>
      <c r="F1960" s="9"/>
      <c r="G1960" s="248" t="str">
        <f t="shared" si="150"/>
        <v/>
      </c>
      <c r="H1960" s="1" t="b">
        <f>IF(B1960="",FALSE,COUNTIF('従業員情報(給与以外)'!$A$4:$A$1000000,$B1960)=0)</f>
        <v>0</v>
      </c>
      <c r="I1960" s="9" t="b">
        <f t="shared" si="151"/>
        <v>1</v>
      </c>
      <c r="J1960" s="9" t="b">
        <f t="shared" si="152"/>
        <v>1</v>
      </c>
      <c r="K1960" s="9" t="b">
        <f t="shared" si="153"/>
        <v>1</v>
      </c>
      <c r="L1960" s="9" t="b">
        <f t="shared" si="154"/>
        <v>1</v>
      </c>
      <c r="M1960" s="1" t="b">
        <f>IF(OR(入力シート!$C$5&lt;&gt;入力リスト!$N$4,入力シート!$J$22&lt;&gt;入力リスト!$K$4),TRUE,IF($F$2=入力リスト!$Q$4,IF(F1960-INT(F1960)&lt;0.6,TRUE,FALSE),TRUE))</f>
        <v>1</v>
      </c>
      <c r="N1960" s="9" t="str">
        <f>IF(F1960="","",IF($F$2=入力リスト!$Q$4,ROUNDDOWN(INT(F1960)+ROUNDDOWN((F1960-INT(F1960))*100,0)/60,2),従業員の給与情報!F1960))</f>
        <v/>
      </c>
      <c r="O1960" s="8"/>
      <c r="P1960" s="8"/>
    </row>
    <row r="1961" spans="1:16">
      <c r="A1961" s="119"/>
      <c r="B1961" s="2"/>
      <c r="C1961" s="3"/>
      <c r="D1961" s="3"/>
      <c r="E1961" s="3"/>
      <c r="F1961" s="9"/>
      <c r="G1961" s="248" t="str">
        <f t="shared" si="150"/>
        <v/>
      </c>
      <c r="H1961" s="1" t="b">
        <f>IF(B1961="",FALSE,COUNTIF('従業員情報(給与以外)'!$A$4:$A$1000000,$B1961)=0)</f>
        <v>0</v>
      </c>
      <c r="I1961" s="9" t="b">
        <f t="shared" si="151"/>
        <v>1</v>
      </c>
      <c r="J1961" s="9" t="b">
        <f t="shared" si="152"/>
        <v>1</v>
      </c>
      <c r="K1961" s="9" t="b">
        <f t="shared" si="153"/>
        <v>1</v>
      </c>
      <c r="L1961" s="9" t="b">
        <f t="shared" si="154"/>
        <v>1</v>
      </c>
      <c r="M1961" s="1" t="b">
        <f>IF(OR(入力シート!$C$5&lt;&gt;入力リスト!$N$4,入力シート!$J$22&lt;&gt;入力リスト!$K$4),TRUE,IF($F$2=入力リスト!$Q$4,IF(F1961-INT(F1961)&lt;0.6,TRUE,FALSE),TRUE))</f>
        <v>1</v>
      </c>
      <c r="N1961" s="9" t="str">
        <f>IF(F1961="","",IF($F$2=入力リスト!$Q$4,ROUNDDOWN(INT(F1961)+ROUNDDOWN((F1961-INT(F1961))*100,0)/60,2),従業員の給与情報!F1961))</f>
        <v/>
      </c>
      <c r="O1961" s="8"/>
      <c r="P1961" s="8"/>
    </row>
    <row r="1962" spans="1:16">
      <c r="A1962" s="119"/>
      <c r="B1962" s="2"/>
      <c r="C1962" s="3"/>
      <c r="D1962" s="3"/>
      <c r="E1962" s="3"/>
      <c r="F1962" s="9"/>
      <c r="G1962" s="248" t="str">
        <f t="shared" si="150"/>
        <v/>
      </c>
      <c r="H1962" s="1" t="b">
        <f>IF(B1962="",FALSE,COUNTIF('従業員情報(給与以外)'!$A$4:$A$1000000,$B1962)=0)</f>
        <v>0</v>
      </c>
      <c r="I1962" s="9" t="b">
        <f t="shared" si="151"/>
        <v>1</v>
      </c>
      <c r="J1962" s="9" t="b">
        <f t="shared" si="152"/>
        <v>1</v>
      </c>
      <c r="K1962" s="9" t="b">
        <f t="shared" si="153"/>
        <v>1</v>
      </c>
      <c r="L1962" s="9" t="b">
        <f t="shared" si="154"/>
        <v>1</v>
      </c>
      <c r="M1962" s="1" t="b">
        <f>IF(OR(入力シート!$C$5&lt;&gt;入力リスト!$N$4,入力シート!$J$22&lt;&gt;入力リスト!$K$4),TRUE,IF($F$2=入力リスト!$Q$4,IF(F1962-INT(F1962)&lt;0.6,TRUE,FALSE),TRUE))</f>
        <v>1</v>
      </c>
      <c r="N1962" s="9" t="str">
        <f>IF(F1962="","",IF($F$2=入力リスト!$Q$4,ROUNDDOWN(INT(F1962)+ROUNDDOWN((F1962-INT(F1962))*100,0)/60,2),従業員の給与情報!F1962))</f>
        <v/>
      </c>
      <c r="O1962" s="8"/>
      <c r="P1962" s="8"/>
    </row>
    <row r="1963" spans="1:16">
      <c r="A1963" s="119"/>
      <c r="B1963" s="2"/>
      <c r="C1963" s="3"/>
      <c r="D1963" s="3"/>
      <c r="E1963" s="3"/>
      <c r="F1963" s="9"/>
      <c r="G1963" s="248" t="str">
        <f t="shared" si="150"/>
        <v/>
      </c>
      <c r="H1963" s="1" t="b">
        <f>IF(B1963="",FALSE,COUNTIF('従業員情報(給与以外)'!$A$4:$A$1000000,$B1963)=0)</f>
        <v>0</v>
      </c>
      <c r="I1963" s="9" t="b">
        <f t="shared" si="151"/>
        <v>1</v>
      </c>
      <c r="J1963" s="9" t="b">
        <f t="shared" si="152"/>
        <v>1</v>
      </c>
      <c r="K1963" s="9" t="b">
        <f t="shared" si="153"/>
        <v>1</v>
      </c>
      <c r="L1963" s="9" t="b">
        <f t="shared" si="154"/>
        <v>1</v>
      </c>
      <c r="M1963" s="1" t="b">
        <f>IF(OR(入力シート!$C$5&lt;&gt;入力リスト!$N$4,入力シート!$J$22&lt;&gt;入力リスト!$K$4),TRUE,IF($F$2=入力リスト!$Q$4,IF(F1963-INT(F1963)&lt;0.6,TRUE,FALSE),TRUE))</f>
        <v>1</v>
      </c>
      <c r="N1963" s="9" t="str">
        <f>IF(F1963="","",IF($F$2=入力リスト!$Q$4,ROUNDDOWN(INT(F1963)+ROUNDDOWN((F1963-INT(F1963))*100,0)/60,2),従業員の給与情報!F1963))</f>
        <v/>
      </c>
      <c r="O1963" s="8"/>
      <c r="P1963" s="8"/>
    </row>
    <row r="1964" spans="1:16">
      <c r="A1964" s="119"/>
      <c r="B1964" s="2"/>
      <c r="C1964" s="3"/>
      <c r="D1964" s="3"/>
      <c r="E1964" s="3"/>
      <c r="F1964" s="9"/>
      <c r="G1964" s="248" t="str">
        <f t="shared" si="150"/>
        <v/>
      </c>
      <c r="H1964" s="1" t="b">
        <f>IF(B1964="",FALSE,COUNTIF('従業員情報(給与以外)'!$A$4:$A$1000000,$B1964)=0)</f>
        <v>0</v>
      </c>
      <c r="I1964" s="9" t="b">
        <f t="shared" si="151"/>
        <v>1</v>
      </c>
      <c r="J1964" s="9" t="b">
        <f t="shared" si="152"/>
        <v>1</v>
      </c>
      <c r="K1964" s="9" t="b">
        <f t="shared" si="153"/>
        <v>1</v>
      </c>
      <c r="L1964" s="9" t="b">
        <f t="shared" si="154"/>
        <v>1</v>
      </c>
      <c r="M1964" s="1" t="b">
        <f>IF(OR(入力シート!$C$5&lt;&gt;入力リスト!$N$4,入力シート!$J$22&lt;&gt;入力リスト!$K$4),TRUE,IF($F$2=入力リスト!$Q$4,IF(F1964-INT(F1964)&lt;0.6,TRUE,FALSE),TRUE))</f>
        <v>1</v>
      </c>
      <c r="N1964" s="9" t="str">
        <f>IF(F1964="","",IF($F$2=入力リスト!$Q$4,ROUNDDOWN(INT(F1964)+ROUNDDOWN((F1964-INT(F1964))*100,0)/60,2),従業員の給与情報!F1964))</f>
        <v/>
      </c>
      <c r="O1964" s="8"/>
      <c r="P1964" s="8"/>
    </row>
    <row r="1965" spans="1:16">
      <c r="A1965" s="119"/>
      <c r="B1965" s="2"/>
      <c r="C1965" s="3"/>
      <c r="D1965" s="3"/>
      <c r="E1965" s="3"/>
      <c r="F1965" s="9"/>
      <c r="G1965" s="248" t="str">
        <f t="shared" si="150"/>
        <v/>
      </c>
      <c r="H1965" s="1" t="b">
        <f>IF(B1965="",FALSE,COUNTIF('従業員情報(給与以外)'!$A$4:$A$1000000,$B1965)=0)</f>
        <v>0</v>
      </c>
      <c r="I1965" s="9" t="b">
        <f t="shared" si="151"/>
        <v>1</v>
      </c>
      <c r="J1965" s="9" t="b">
        <f t="shared" si="152"/>
        <v>1</v>
      </c>
      <c r="K1965" s="9" t="b">
        <f t="shared" si="153"/>
        <v>1</v>
      </c>
      <c r="L1965" s="9" t="b">
        <f t="shared" si="154"/>
        <v>1</v>
      </c>
      <c r="M1965" s="1" t="b">
        <f>IF(OR(入力シート!$C$5&lt;&gt;入力リスト!$N$4,入力シート!$J$22&lt;&gt;入力リスト!$K$4),TRUE,IF($F$2=入力リスト!$Q$4,IF(F1965-INT(F1965)&lt;0.6,TRUE,FALSE),TRUE))</f>
        <v>1</v>
      </c>
      <c r="N1965" s="9" t="str">
        <f>IF(F1965="","",IF($F$2=入力リスト!$Q$4,ROUNDDOWN(INT(F1965)+ROUNDDOWN((F1965-INT(F1965))*100,0)/60,2),従業員の給与情報!F1965))</f>
        <v/>
      </c>
      <c r="O1965" s="8"/>
      <c r="P1965" s="8"/>
    </row>
    <row r="1966" spans="1:16">
      <c r="A1966" s="119"/>
      <c r="B1966" s="2"/>
      <c r="C1966" s="3"/>
      <c r="D1966" s="3"/>
      <c r="E1966" s="3"/>
      <c r="F1966" s="9"/>
      <c r="G1966" s="248" t="str">
        <f t="shared" si="150"/>
        <v/>
      </c>
      <c r="H1966" s="1" t="b">
        <f>IF(B1966="",FALSE,COUNTIF('従業員情報(給与以外)'!$A$4:$A$1000000,$B1966)=0)</f>
        <v>0</v>
      </c>
      <c r="I1966" s="9" t="b">
        <f t="shared" si="151"/>
        <v>1</v>
      </c>
      <c r="J1966" s="9" t="b">
        <f t="shared" si="152"/>
        <v>1</v>
      </c>
      <c r="K1966" s="9" t="b">
        <f t="shared" si="153"/>
        <v>1</v>
      </c>
      <c r="L1966" s="9" t="b">
        <f t="shared" si="154"/>
        <v>1</v>
      </c>
      <c r="M1966" s="1" t="b">
        <f>IF(OR(入力シート!$C$5&lt;&gt;入力リスト!$N$4,入力シート!$J$22&lt;&gt;入力リスト!$K$4),TRUE,IF($F$2=入力リスト!$Q$4,IF(F1966-INT(F1966)&lt;0.6,TRUE,FALSE),TRUE))</f>
        <v>1</v>
      </c>
      <c r="N1966" s="9" t="str">
        <f>IF(F1966="","",IF($F$2=入力リスト!$Q$4,ROUNDDOWN(INT(F1966)+ROUNDDOWN((F1966-INT(F1966))*100,0)/60,2),従業員の給与情報!F1966))</f>
        <v/>
      </c>
      <c r="O1966" s="8"/>
      <c r="P1966" s="8"/>
    </row>
    <row r="1967" spans="1:16">
      <c r="A1967" s="119"/>
      <c r="B1967" s="2"/>
      <c r="C1967" s="3"/>
      <c r="D1967" s="3"/>
      <c r="E1967" s="3"/>
      <c r="F1967" s="9"/>
      <c r="G1967" s="248" t="str">
        <f t="shared" si="150"/>
        <v/>
      </c>
      <c r="H1967" s="1" t="b">
        <f>IF(B1967="",FALSE,COUNTIF('従業員情報(給与以外)'!$A$4:$A$1000000,$B1967)=0)</f>
        <v>0</v>
      </c>
      <c r="I1967" s="9" t="b">
        <f t="shared" si="151"/>
        <v>1</v>
      </c>
      <c r="J1967" s="9" t="b">
        <f t="shared" si="152"/>
        <v>1</v>
      </c>
      <c r="K1967" s="9" t="b">
        <f t="shared" si="153"/>
        <v>1</v>
      </c>
      <c r="L1967" s="9" t="b">
        <f t="shared" si="154"/>
        <v>1</v>
      </c>
      <c r="M1967" s="1" t="b">
        <f>IF(OR(入力シート!$C$5&lt;&gt;入力リスト!$N$4,入力シート!$J$22&lt;&gt;入力リスト!$K$4),TRUE,IF($F$2=入力リスト!$Q$4,IF(F1967-INT(F1967)&lt;0.6,TRUE,FALSE),TRUE))</f>
        <v>1</v>
      </c>
      <c r="N1967" s="9" t="str">
        <f>IF(F1967="","",IF($F$2=入力リスト!$Q$4,ROUNDDOWN(INT(F1967)+ROUNDDOWN((F1967-INT(F1967))*100,0)/60,2),従業員の給与情報!F1967))</f>
        <v/>
      </c>
      <c r="O1967" s="8"/>
      <c r="P1967" s="8"/>
    </row>
    <row r="1968" spans="1:16">
      <c r="A1968" s="119"/>
      <c r="B1968" s="2"/>
      <c r="C1968" s="3"/>
      <c r="D1968" s="3"/>
      <c r="E1968" s="3"/>
      <c r="F1968" s="9"/>
      <c r="G1968" s="248" t="str">
        <f t="shared" si="150"/>
        <v/>
      </c>
      <c r="H1968" s="1" t="b">
        <f>IF(B1968="",FALSE,COUNTIF('従業員情報(給与以外)'!$A$4:$A$1000000,$B1968)=0)</f>
        <v>0</v>
      </c>
      <c r="I1968" s="9" t="b">
        <f t="shared" si="151"/>
        <v>1</v>
      </c>
      <c r="J1968" s="9" t="b">
        <f t="shared" si="152"/>
        <v>1</v>
      </c>
      <c r="K1968" s="9" t="b">
        <f t="shared" si="153"/>
        <v>1</v>
      </c>
      <c r="L1968" s="9" t="b">
        <f t="shared" si="154"/>
        <v>1</v>
      </c>
      <c r="M1968" s="1" t="b">
        <f>IF(OR(入力シート!$C$5&lt;&gt;入力リスト!$N$4,入力シート!$J$22&lt;&gt;入力リスト!$K$4),TRUE,IF($F$2=入力リスト!$Q$4,IF(F1968-INT(F1968)&lt;0.6,TRUE,FALSE),TRUE))</f>
        <v>1</v>
      </c>
      <c r="N1968" s="9" t="str">
        <f>IF(F1968="","",IF($F$2=入力リスト!$Q$4,ROUNDDOWN(INT(F1968)+ROUNDDOWN((F1968-INT(F1968))*100,0)/60,2),従業員の給与情報!F1968))</f>
        <v/>
      </c>
      <c r="O1968" s="8"/>
      <c r="P1968" s="8"/>
    </row>
    <row r="1969" spans="1:16">
      <c r="A1969" s="119"/>
      <c r="B1969" s="2"/>
      <c r="C1969" s="3"/>
      <c r="D1969" s="3"/>
      <c r="E1969" s="3"/>
      <c r="F1969" s="9"/>
      <c r="G1969" s="248" t="str">
        <f t="shared" si="150"/>
        <v/>
      </c>
      <c r="H1969" s="1" t="b">
        <f>IF(B1969="",FALSE,COUNTIF('従業員情報(給与以外)'!$A$4:$A$1000000,$B1969)=0)</f>
        <v>0</v>
      </c>
      <c r="I1969" s="9" t="b">
        <f t="shared" si="151"/>
        <v>1</v>
      </c>
      <c r="J1969" s="9" t="b">
        <f t="shared" si="152"/>
        <v>1</v>
      </c>
      <c r="K1969" s="9" t="b">
        <f t="shared" si="153"/>
        <v>1</v>
      </c>
      <c r="L1969" s="9" t="b">
        <f t="shared" si="154"/>
        <v>1</v>
      </c>
      <c r="M1969" s="1" t="b">
        <f>IF(OR(入力シート!$C$5&lt;&gt;入力リスト!$N$4,入力シート!$J$22&lt;&gt;入力リスト!$K$4),TRUE,IF($F$2=入力リスト!$Q$4,IF(F1969-INT(F1969)&lt;0.6,TRUE,FALSE),TRUE))</f>
        <v>1</v>
      </c>
      <c r="N1969" s="9" t="str">
        <f>IF(F1969="","",IF($F$2=入力リスト!$Q$4,ROUNDDOWN(INT(F1969)+ROUNDDOWN((F1969-INT(F1969))*100,0)/60,2),従業員の給与情報!F1969))</f>
        <v/>
      </c>
      <c r="O1969" s="8"/>
      <c r="P1969" s="8"/>
    </row>
    <row r="1970" spans="1:16">
      <c r="A1970" s="119"/>
      <c r="B1970" s="2"/>
      <c r="C1970" s="3"/>
      <c r="D1970" s="3"/>
      <c r="E1970" s="3"/>
      <c r="F1970" s="9"/>
      <c r="G1970" s="248" t="str">
        <f t="shared" si="150"/>
        <v/>
      </c>
      <c r="H1970" s="1" t="b">
        <f>IF(B1970="",FALSE,COUNTIF('従業員情報(給与以外)'!$A$4:$A$1000000,$B1970)=0)</f>
        <v>0</v>
      </c>
      <c r="I1970" s="9" t="b">
        <f t="shared" si="151"/>
        <v>1</v>
      </c>
      <c r="J1970" s="9" t="b">
        <f t="shared" si="152"/>
        <v>1</v>
      </c>
      <c r="K1970" s="9" t="b">
        <f t="shared" si="153"/>
        <v>1</v>
      </c>
      <c r="L1970" s="9" t="b">
        <f t="shared" si="154"/>
        <v>1</v>
      </c>
      <c r="M1970" s="1" t="b">
        <f>IF(OR(入力シート!$C$5&lt;&gt;入力リスト!$N$4,入力シート!$J$22&lt;&gt;入力リスト!$K$4),TRUE,IF($F$2=入力リスト!$Q$4,IF(F1970-INT(F1970)&lt;0.6,TRUE,FALSE),TRUE))</f>
        <v>1</v>
      </c>
      <c r="N1970" s="9" t="str">
        <f>IF(F1970="","",IF($F$2=入力リスト!$Q$4,ROUNDDOWN(INT(F1970)+ROUNDDOWN((F1970-INT(F1970))*100,0)/60,2),従業員の給与情報!F1970))</f>
        <v/>
      </c>
      <c r="O1970" s="8"/>
      <c r="P1970" s="8"/>
    </row>
    <row r="1971" spans="1:16">
      <c r="A1971" s="119"/>
      <c r="B1971" s="2"/>
      <c r="C1971" s="3"/>
      <c r="D1971" s="3"/>
      <c r="E1971" s="3"/>
      <c r="F1971" s="9"/>
      <c r="G1971" s="248" t="str">
        <f t="shared" si="150"/>
        <v/>
      </c>
      <c r="H1971" s="1" t="b">
        <f>IF(B1971="",FALSE,COUNTIF('従業員情報(給与以外)'!$A$4:$A$1000000,$B1971)=0)</f>
        <v>0</v>
      </c>
      <c r="I1971" s="9" t="b">
        <f t="shared" si="151"/>
        <v>1</v>
      </c>
      <c r="J1971" s="9" t="b">
        <f t="shared" si="152"/>
        <v>1</v>
      </c>
      <c r="K1971" s="9" t="b">
        <f t="shared" si="153"/>
        <v>1</v>
      </c>
      <c r="L1971" s="9" t="b">
        <f t="shared" si="154"/>
        <v>1</v>
      </c>
      <c r="M1971" s="1" t="b">
        <f>IF(OR(入力シート!$C$5&lt;&gt;入力リスト!$N$4,入力シート!$J$22&lt;&gt;入力リスト!$K$4),TRUE,IF($F$2=入力リスト!$Q$4,IF(F1971-INT(F1971)&lt;0.6,TRUE,FALSE),TRUE))</f>
        <v>1</v>
      </c>
      <c r="N1971" s="9" t="str">
        <f>IF(F1971="","",IF($F$2=入力リスト!$Q$4,ROUNDDOWN(INT(F1971)+ROUNDDOWN((F1971-INT(F1971))*100,0)/60,2),従業員の給与情報!F1971))</f>
        <v/>
      </c>
      <c r="O1971" s="8"/>
      <c r="P1971" s="8"/>
    </row>
    <row r="1972" spans="1:16">
      <c r="A1972" s="119"/>
      <c r="B1972" s="2"/>
      <c r="C1972" s="3"/>
      <c r="D1972" s="3"/>
      <c r="E1972" s="3"/>
      <c r="F1972" s="9"/>
      <c r="G1972" s="248" t="str">
        <f t="shared" si="150"/>
        <v/>
      </c>
      <c r="H1972" s="1" t="b">
        <f>IF(B1972="",FALSE,COUNTIF('従業員情報(給与以外)'!$A$4:$A$1000000,$B1972)=0)</f>
        <v>0</v>
      </c>
      <c r="I1972" s="9" t="b">
        <f t="shared" si="151"/>
        <v>1</v>
      </c>
      <c r="J1972" s="9" t="b">
        <f t="shared" si="152"/>
        <v>1</v>
      </c>
      <c r="K1972" s="9" t="b">
        <f t="shared" si="153"/>
        <v>1</v>
      </c>
      <c r="L1972" s="9" t="b">
        <f t="shared" si="154"/>
        <v>1</v>
      </c>
      <c r="M1972" s="1" t="b">
        <f>IF(OR(入力シート!$C$5&lt;&gt;入力リスト!$N$4,入力シート!$J$22&lt;&gt;入力リスト!$K$4),TRUE,IF($F$2=入力リスト!$Q$4,IF(F1972-INT(F1972)&lt;0.6,TRUE,FALSE),TRUE))</f>
        <v>1</v>
      </c>
      <c r="N1972" s="9" t="str">
        <f>IF(F1972="","",IF($F$2=入力リスト!$Q$4,ROUNDDOWN(INT(F1972)+ROUNDDOWN((F1972-INT(F1972))*100,0)/60,2),従業員の給与情報!F1972))</f>
        <v/>
      </c>
      <c r="O1972" s="8"/>
      <c r="P1972" s="8"/>
    </row>
    <row r="1973" spans="1:16">
      <c r="A1973" s="119"/>
      <c r="B1973" s="2"/>
      <c r="C1973" s="3"/>
      <c r="D1973" s="3"/>
      <c r="E1973" s="3"/>
      <c r="F1973" s="9"/>
      <c r="G1973" s="248" t="str">
        <f t="shared" si="150"/>
        <v/>
      </c>
      <c r="H1973" s="1" t="b">
        <f>IF(B1973="",FALSE,COUNTIF('従業員情報(給与以外)'!$A$4:$A$1000000,$B1973)=0)</f>
        <v>0</v>
      </c>
      <c r="I1973" s="9" t="b">
        <f t="shared" si="151"/>
        <v>1</v>
      </c>
      <c r="J1973" s="9" t="b">
        <f t="shared" si="152"/>
        <v>1</v>
      </c>
      <c r="K1973" s="9" t="b">
        <f t="shared" si="153"/>
        <v>1</v>
      </c>
      <c r="L1973" s="9" t="b">
        <f t="shared" si="154"/>
        <v>1</v>
      </c>
      <c r="M1973" s="1" t="b">
        <f>IF(OR(入力シート!$C$5&lt;&gt;入力リスト!$N$4,入力シート!$J$22&lt;&gt;入力リスト!$K$4),TRUE,IF($F$2=入力リスト!$Q$4,IF(F1973-INT(F1973)&lt;0.6,TRUE,FALSE),TRUE))</f>
        <v>1</v>
      </c>
      <c r="N1973" s="9" t="str">
        <f>IF(F1973="","",IF($F$2=入力リスト!$Q$4,ROUNDDOWN(INT(F1973)+ROUNDDOWN((F1973-INT(F1973))*100,0)/60,2),従業員の給与情報!F1973))</f>
        <v/>
      </c>
      <c r="O1973" s="8"/>
      <c r="P1973" s="8"/>
    </row>
    <row r="1974" spans="1:16">
      <c r="A1974" s="119"/>
      <c r="B1974" s="2"/>
      <c r="C1974" s="3"/>
      <c r="D1974" s="3"/>
      <c r="E1974" s="3"/>
      <c r="F1974" s="9"/>
      <c r="G1974" s="248" t="str">
        <f t="shared" si="150"/>
        <v/>
      </c>
      <c r="H1974" s="1" t="b">
        <f>IF(B1974="",FALSE,COUNTIF('従業員情報(給与以外)'!$A$4:$A$1000000,$B1974)=0)</f>
        <v>0</v>
      </c>
      <c r="I1974" s="9" t="b">
        <f t="shared" si="151"/>
        <v>1</v>
      </c>
      <c r="J1974" s="9" t="b">
        <f t="shared" si="152"/>
        <v>1</v>
      </c>
      <c r="K1974" s="9" t="b">
        <f t="shared" si="153"/>
        <v>1</v>
      </c>
      <c r="L1974" s="9" t="b">
        <f t="shared" si="154"/>
        <v>1</v>
      </c>
      <c r="M1974" s="1" t="b">
        <f>IF(OR(入力シート!$C$5&lt;&gt;入力リスト!$N$4,入力シート!$J$22&lt;&gt;入力リスト!$K$4),TRUE,IF($F$2=入力リスト!$Q$4,IF(F1974-INT(F1974)&lt;0.6,TRUE,FALSE),TRUE))</f>
        <v>1</v>
      </c>
      <c r="N1974" s="9" t="str">
        <f>IF(F1974="","",IF($F$2=入力リスト!$Q$4,ROUNDDOWN(INT(F1974)+ROUNDDOWN((F1974-INT(F1974))*100,0)/60,2),従業員の給与情報!F1974))</f>
        <v/>
      </c>
      <c r="O1974" s="8"/>
      <c r="P1974" s="8"/>
    </row>
    <row r="1975" spans="1:16">
      <c r="A1975" s="119"/>
      <c r="B1975" s="2"/>
      <c r="C1975" s="3"/>
      <c r="D1975" s="3"/>
      <c r="E1975" s="3"/>
      <c r="F1975" s="9"/>
      <c r="G1975" s="248" t="str">
        <f t="shared" si="150"/>
        <v/>
      </c>
      <c r="H1975" s="1" t="b">
        <f>IF(B1975="",FALSE,COUNTIF('従業員情報(給与以外)'!$A$4:$A$1000000,$B1975)=0)</f>
        <v>0</v>
      </c>
      <c r="I1975" s="9" t="b">
        <f t="shared" si="151"/>
        <v>1</v>
      </c>
      <c r="J1975" s="9" t="b">
        <f t="shared" si="152"/>
        <v>1</v>
      </c>
      <c r="K1975" s="9" t="b">
        <f t="shared" si="153"/>
        <v>1</v>
      </c>
      <c r="L1975" s="9" t="b">
        <f t="shared" si="154"/>
        <v>1</v>
      </c>
      <c r="M1975" s="1" t="b">
        <f>IF(OR(入力シート!$C$5&lt;&gt;入力リスト!$N$4,入力シート!$J$22&lt;&gt;入力リスト!$K$4),TRUE,IF($F$2=入力リスト!$Q$4,IF(F1975-INT(F1975)&lt;0.6,TRUE,FALSE),TRUE))</f>
        <v>1</v>
      </c>
      <c r="N1975" s="9" t="str">
        <f>IF(F1975="","",IF($F$2=入力リスト!$Q$4,ROUNDDOWN(INT(F1975)+ROUNDDOWN((F1975-INT(F1975))*100,0)/60,2),従業員の給与情報!F1975))</f>
        <v/>
      </c>
      <c r="O1975" s="8"/>
      <c r="P1975" s="8"/>
    </row>
    <row r="1976" spans="1:16">
      <c r="A1976" s="119"/>
      <c r="B1976" s="2"/>
      <c r="C1976" s="3"/>
      <c r="D1976" s="3"/>
      <c r="E1976" s="3"/>
      <c r="F1976" s="9"/>
      <c r="G1976" s="248" t="str">
        <f t="shared" si="150"/>
        <v/>
      </c>
      <c r="H1976" s="1" t="b">
        <f>IF(B1976="",FALSE,COUNTIF('従業員情報(給与以外)'!$A$4:$A$1000000,$B1976)=0)</f>
        <v>0</v>
      </c>
      <c r="I1976" s="9" t="b">
        <f t="shared" si="151"/>
        <v>1</v>
      </c>
      <c r="J1976" s="9" t="b">
        <f t="shared" si="152"/>
        <v>1</v>
      </c>
      <c r="K1976" s="9" t="b">
        <f t="shared" si="153"/>
        <v>1</v>
      </c>
      <c r="L1976" s="9" t="b">
        <f t="shared" si="154"/>
        <v>1</v>
      </c>
      <c r="M1976" s="1" t="b">
        <f>IF(OR(入力シート!$C$5&lt;&gt;入力リスト!$N$4,入力シート!$J$22&lt;&gt;入力リスト!$K$4),TRUE,IF($F$2=入力リスト!$Q$4,IF(F1976-INT(F1976)&lt;0.6,TRUE,FALSE),TRUE))</f>
        <v>1</v>
      </c>
      <c r="N1976" s="9" t="str">
        <f>IF(F1976="","",IF($F$2=入力リスト!$Q$4,ROUNDDOWN(INT(F1976)+ROUNDDOWN((F1976-INT(F1976))*100,0)/60,2),従業員の給与情報!F1976))</f>
        <v/>
      </c>
      <c r="O1976" s="8"/>
      <c r="P1976" s="8"/>
    </row>
    <row r="1977" spans="1:16">
      <c r="A1977" s="119"/>
      <c r="B1977" s="2"/>
      <c r="C1977" s="3"/>
      <c r="D1977" s="3"/>
      <c r="E1977" s="3"/>
      <c r="F1977" s="9"/>
      <c r="G1977" s="248" t="str">
        <f t="shared" si="150"/>
        <v/>
      </c>
      <c r="H1977" s="1" t="b">
        <f>IF(B1977="",FALSE,COUNTIF('従業員情報(給与以外)'!$A$4:$A$1000000,$B1977)=0)</f>
        <v>0</v>
      </c>
      <c r="I1977" s="9" t="b">
        <f t="shared" si="151"/>
        <v>1</v>
      </c>
      <c r="J1977" s="9" t="b">
        <f t="shared" si="152"/>
        <v>1</v>
      </c>
      <c r="K1977" s="9" t="b">
        <f t="shared" si="153"/>
        <v>1</v>
      </c>
      <c r="L1977" s="9" t="b">
        <f t="shared" si="154"/>
        <v>1</v>
      </c>
      <c r="M1977" s="1" t="b">
        <f>IF(OR(入力シート!$C$5&lt;&gt;入力リスト!$N$4,入力シート!$J$22&lt;&gt;入力リスト!$K$4),TRUE,IF($F$2=入力リスト!$Q$4,IF(F1977-INT(F1977)&lt;0.6,TRUE,FALSE),TRUE))</f>
        <v>1</v>
      </c>
      <c r="N1977" s="9" t="str">
        <f>IF(F1977="","",IF($F$2=入力リスト!$Q$4,ROUNDDOWN(INT(F1977)+ROUNDDOWN((F1977-INT(F1977))*100,0)/60,2),従業員の給与情報!F1977))</f>
        <v/>
      </c>
      <c r="O1977" s="8"/>
      <c r="P1977" s="8"/>
    </row>
    <row r="1978" spans="1:16">
      <c r="A1978" s="119"/>
      <c r="B1978" s="2"/>
      <c r="C1978" s="3"/>
      <c r="D1978" s="3"/>
      <c r="E1978" s="3"/>
      <c r="F1978" s="9"/>
      <c r="G1978" s="248" t="str">
        <f t="shared" si="150"/>
        <v/>
      </c>
      <c r="H1978" s="1" t="b">
        <f>IF(B1978="",FALSE,COUNTIF('従業員情報(給与以外)'!$A$4:$A$1000000,$B1978)=0)</f>
        <v>0</v>
      </c>
      <c r="I1978" s="9" t="b">
        <f t="shared" si="151"/>
        <v>1</v>
      </c>
      <c r="J1978" s="9" t="b">
        <f t="shared" si="152"/>
        <v>1</v>
      </c>
      <c r="K1978" s="9" t="b">
        <f t="shared" si="153"/>
        <v>1</v>
      </c>
      <c r="L1978" s="9" t="b">
        <f t="shared" si="154"/>
        <v>1</v>
      </c>
      <c r="M1978" s="1" t="b">
        <f>IF(OR(入力シート!$C$5&lt;&gt;入力リスト!$N$4,入力シート!$J$22&lt;&gt;入力リスト!$K$4),TRUE,IF($F$2=入力リスト!$Q$4,IF(F1978-INT(F1978)&lt;0.6,TRUE,FALSE),TRUE))</f>
        <v>1</v>
      </c>
      <c r="N1978" s="9" t="str">
        <f>IF(F1978="","",IF($F$2=入力リスト!$Q$4,ROUNDDOWN(INT(F1978)+ROUNDDOWN((F1978-INT(F1978))*100,0)/60,2),従業員の給与情報!F1978))</f>
        <v/>
      </c>
      <c r="O1978" s="8"/>
      <c r="P1978" s="8"/>
    </row>
    <row r="1979" spans="1:16">
      <c r="A1979" s="119"/>
      <c r="B1979" s="2"/>
      <c r="C1979" s="3"/>
      <c r="D1979" s="3"/>
      <c r="E1979" s="3"/>
      <c r="F1979" s="9"/>
      <c r="G1979" s="248" t="str">
        <f t="shared" si="150"/>
        <v/>
      </c>
      <c r="H1979" s="1" t="b">
        <f>IF(B1979="",FALSE,COUNTIF('従業員情報(給与以外)'!$A$4:$A$1000000,$B1979)=0)</f>
        <v>0</v>
      </c>
      <c r="I1979" s="9" t="b">
        <f t="shared" si="151"/>
        <v>1</v>
      </c>
      <c r="J1979" s="9" t="b">
        <f t="shared" si="152"/>
        <v>1</v>
      </c>
      <c r="K1979" s="9" t="b">
        <f t="shared" si="153"/>
        <v>1</v>
      </c>
      <c r="L1979" s="9" t="b">
        <f t="shared" si="154"/>
        <v>1</v>
      </c>
      <c r="M1979" s="1" t="b">
        <f>IF(OR(入力シート!$C$5&lt;&gt;入力リスト!$N$4,入力シート!$J$22&lt;&gt;入力リスト!$K$4),TRUE,IF($F$2=入力リスト!$Q$4,IF(F1979-INT(F1979)&lt;0.6,TRUE,FALSE),TRUE))</f>
        <v>1</v>
      </c>
      <c r="N1979" s="9" t="str">
        <f>IF(F1979="","",IF($F$2=入力リスト!$Q$4,ROUNDDOWN(INT(F1979)+ROUNDDOWN((F1979-INT(F1979))*100,0)/60,2),従業員の給与情報!F1979))</f>
        <v/>
      </c>
      <c r="O1979" s="8"/>
      <c r="P1979" s="8"/>
    </row>
    <row r="1980" spans="1:16">
      <c r="A1980" s="119"/>
      <c r="B1980" s="2"/>
      <c r="C1980" s="3"/>
      <c r="D1980" s="3"/>
      <c r="E1980" s="3"/>
      <c r="F1980" s="9"/>
      <c r="G1980" s="248" t="str">
        <f t="shared" si="150"/>
        <v/>
      </c>
      <c r="H1980" s="1" t="b">
        <f>IF(B1980="",FALSE,COUNTIF('従業員情報(給与以外)'!$A$4:$A$1000000,$B1980)=0)</f>
        <v>0</v>
      </c>
      <c r="I1980" s="9" t="b">
        <f t="shared" si="151"/>
        <v>1</v>
      </c>
      <c r="J1980" s="9" t="b">
        <f t="shared" si="152"/>
        <v>1</v>
      </c>
      <c r="K1980" s="9" t="b">
        <f t="shared" si="153"/>
        <v>1</v>
      </c>
      <c r="L1980" s="9" t="b">
        <f t="shared" si="154"/>
        <v>1</v>
      </c>
      <c r="M1980" s="1" t="b">
        <f>IF(OR(入力シート!$C$5&lt;&gt;入力リスト!$N$4,入力シート!$J$22&lt;&gt;入力リスト!$K$4),TRUE,IF($F$2=入力リスト!$Q$4,IF(F1980-INT(F1980)&lt;0.6,TRUE,FALSE),TRUE))</f>
        <v>1</v>
      </c>
      <c r="N1980" s="9" t="str">
        <f>IF(F1980="","",IF($F$2=入力リスト!$Q$4,ROUNDDOWN(INT(F1980)+ROUNDDOWN((F1980-INT(F1980))*100,0)/60,2),従業員の給与情報!F1980))</f>
        <v/>
      </c>
      <c r="O1980" s="8"/>
      <c r="P1980" s="8"/>
    </row>
    <row r="1981" spans="1:16">
      <c r="A1981" s="119"/>
      <c r="B1981" s="2"/>
      <c r="C1981" s="3"/>
      <c r="D1981" s="3"/>
      <c r="E1981" s="3"/>
      <c r="F1981" s="9"/>
      <c r="G1981" s="248" t="str">
        <f t="shared" si="150"/>
        <v/>
      </c>
      <c r="H1981" s="1" t="b">
        <f>IF(B1981="",FALSE,COUNTIF('従業員情報(給与以外)'!$A$4:$A$1000000,$B1981)=0)</f>
        <v>0</v>
      </c>
      <c r="I1981" s="9" t="b">
        <f t="shared" si="151"/>
        <v>1</v>
      </c>
      <c r="J1981" s="9" t="b">
        <f t="shared" si="152"/>
        <v>1</v>
      </c>
      <c r="K1981" s="9" t="b">
        <f t="shared" si="153"/>
        <v>1</v>
      </c>
      <c r="L1981" s="9" t="b">
        <f t="shared" si="154"/>
        <v>1</v>
      </c>
      <c r="M1981" s="1" t="b">
        <f>IF(OR(入力シート!$C$5&lt;&gt;入力リスト!$N$4,入力シート!$J$22&lt;&gt;入力リスト!$K$4),TRUE,IF($F$2=入力リスト!$Q$4,IF(F1981-INT(F1981)&lt;0.6,TRUE,FALSE),TRUE))</f>
        <v>1</v>
      </c>
      <c r="N1981" s="9" t="str">
        <f>IF(F1981="","",IF($F$2=入力リスト!$Q$4,ROUNDDOWN(INT(F1981)+ROUNDDOWN((F1981-INT(F1981))*100,0)/60,2),従業員の給与情報!F1981))</f>
        <v/>
      </c>
      <c r="O1981" s="8"/>
      <c r="P1981" s="8"/>
    </row>
    <row r="1982" spans="1:16">
      <c r="A1982" s="119"/>
      <c r="B1982" s="2"/>
      <c r="C1982" s="3"/>
      <c r="D1982" s="3"/>
      <c r="E1982" s="3"/>
      <c r="F1982" s="9"/>
      <c r="G1982" s="248" t="str">
        <f t="shared" si="150"/>
        <v/>
      </c>
      <c r="H1982" s="1" t="b">
        <f>IF(B1982="",FALSE,COUNTIF('従業員情報(給与以外)'!$A$4:$A$1000000,$B1982)=0)</f>
        <v>0</v>
      </c>
      <c r="I1982" s="9" t="b">
        <f t="shared" si="151"/>
        <v>1</v>
      </c>
      <c r="J1982" s="9" t="b">
        <f t="shared" si="152"/>
        <v>1</v>
      </c>
      <c r="K1982" s="9" t="b">
        <f t="shared" si="153"/>
        <v>1</v>
      </c>
      <c r="L1982" s="9" t="b">
        <f t="shared" si="154"/>
        <v>1</v>
      </c>
      <c r="M1982" s="1" t="b">
        <f>IF(OR(入力シート!$C$5&lt;&gt;入力リスト!$N$4,入力シート!$J$22&lt;&gt;入力リスト!$K$4),TRUE,IF($F$2=入力リスト!$Q$4,IF(F1982-INT(F1982)&lt;0.6,TRUE,FALSE),TRUE))</f>
        <v>1</v>
      </c>
      <c r="N1982" s="9" t="str">
        <f>IF(F1982="","",IF($F$2=入力リスト!$Q$4,ROUNDDOWN(INT(F1982)+ROUNDDOWN((F1982-INT(F1982))*100,0)/60,2),従業員の給与情報!F1982))</f>
        <v/>
      </c>
      <c r="O1982" s="8"/>
      <c r="P1982" s="8"/>
    </row>
    <row r="1983" spans="1:16">
      <c r="A1983" s="119"/>
      <c r="B1983" s="2"/>
      <c r="C1983" s="3"/>
      <c r="D1983" s="3"/>
      <c r="E1983" s="3"/>
      <c r="F1983" s="9"/>
      <c r="G1983" s="248" t="str">
        <f t="shared" si="150"/>
        <v/>
      </c>
      <c r="H1983" s="1" t="b">
        <f>IF(B1983="",FALSE,COUNTIF('従業員情報(給与以外)'!$A$4:$A$1000000,$B1983)=0)</f>
        <v>0</v>
      </c>
      <c r="I1983" s="9" t="b">
        <f t="shared" si="151"/>
        <v>1</v>
      </c>
      <c r="J1983" s="9" t="b">
        <f t="shared" si="152"/>
        <v>1</v>
      </c>
      <c r="K1983" s="9" t="b">
        <f t="shared" si="153"/>
        <v>1</v>
      </c>
      <c r="L1983" s="9" t="b">
        <f t="shared" si="154"/>
        <v>1</v>
      </c>
      <c r="M1983" s="1" t="b">
        <f>IF(OR(入力シート!$C$5&lt;&gt;入力リスト!$N$4,入力シート!$J$22&lt;&gt;入力リスト!$K$4),TRUE,IF($F$2=入力リスト!$Q$4,IF(F1983-INT(F1983)&lt;0.6,TRUE,FALSE),TRUE))</f>
        <v>1</v>
      </c>
      <c r="N1983" s="9" t="str">
        <f>IF(F1983="","",IF($F$2=入力リスト!$Q$4,ROUNDDOWN(INT(F1983)+ROUNDDOWN((F1983-INT(F1983))*100,0)/60,2),従業員の給与情報!F1983))</f>
        <v/>
      </c>
      <c r="O1983" s="8"/>
      <c r="P1983" s="8"/>
    </row>
    <row r="1984" spans="1:16">
      <c r="A1984" s="119"/>
      <c r="B1984" s="2"/>
      <c r="C1984" s="3"/>
      <c r="D1984" s="3"/>
      <c r="E1984" s="3"/>
      <c r="F1984" s="9"/>
      <c r="G1984" s="248" t="str">
        <f t="shared" si="150"/>
        <v/>
      </c>
      <c r="H1984" s="1" t="b">
        <f>IF(B1984="",FALSE,COUNTIF('従業員情報(給与以外)'!$A$4:$A$1000000,$B1984)=0)</f>
        <v>0</v>
      </c>
      <c r="I1984" s="9" t="b">
        <f t="shared" si="151"/>
        <v>1</v>
      </c>
      <c r="J1984" s="9" t="b">
        <f t="shared" si="152"/>
        <v>1</v>
      </c>
      <c r="K1984" s="9" t="b">
        <f t="shared" si="153"/>
        <v>1</v>
      </c>
      <c r="L1984" s="9" t="b">
        <f t="shared" si="154"/>
        <v>1</v>
      </c>
      <c r="M1984" s="1" t="b">
        <f>IF(OR(入力シート!$C$5&lt;&gt;入力リスト!$N$4,入力シート!$J$22&lt;&gt;入力リスト!$K$4),TRUE,IF($F$2=入力リスト!$Q$4,IF(F1984-INT(F1984)&lt;0.6,TRUE,FALSE),TRUE))</f>
        <v>1</v>
      </c>
      <c r="N1984" s="9" t="str">
        <f>IF(F1984="","",IF($F$2=入力リスト!$Q$4,ROUNDDOWN(INT(F1984)+ROUNDDOWN((F1984-INT(F1984))*100,0)/60,2),従業員の給与情報!F1984))</f>
        <v/>
      </c>
      <c r="O1984" s="8"/>
      <c r="P1984" s="8"/>
    </row>
    <row r="1985" spans="1:16">
      <c r="A1985" s="119"/>
      <c r="B1985" s="2"/>
      <c r="C1985" s="3"/>
      <c r="D1985" s="3"/>
      <c r="E1985" s="3"/>
      <c r="F1985" s="9"/>
      <c r="G1985" s="248" t="str">
        <f t="shared" si="150"/>
        <v/>
      </c>
      <c r="H1985" s="1" t="b">
        <f>IF(B1985="",FALSE,COUNTIF('従業員情報(給与以外)'!$A$4:$A$1000000,$B1985)=0)</f>
        <v>0</v>
      </c>
      <c r="I1985" s="9" t="b">
        <f t="shared" si="151"/>
        <v>1</v>
      </c>
      <c r="J1985" s="9" t="b">
        <f t="shared" si="152"/>
        <v>1</v>
      </c>
      <c r="K1985" s="9" t="b">
        <f t="shared" si="153"/>
        <v>1</v>
      </c>
      <c r="L1985" s="9" t="b">
        <f t="shared" si="154"/>
        <v>1</v>
      </c>
      <c r="M1985" s="1" t="b">
        <f>IF(OR(入力シート!$C$5&lt;&gt;入力リスト!$N$4,入力シート!$J$22&lt;&gt;入力リスト!$K$4),TRUE,IF($F$2=入力リスト!$Q$4,IF(F1985-INT(F1985)&lt;0.6,TRUE,FALSE),TRUE))</f>
        <v>1</v>
      </c>
      <c r="N1985" s="9" t="str">
        <f>IF(F1985="","",IF($F$2=入力リスト!$Q$4,ROUNDDOWN(INT(F1985)+ROUNDDOWN((F1985-INT(F1985))*100,0)/60,2),従業員の給与情報!F1985))</f>
        <v/>
      </c>
      <c r="O1985" s="8"/>
      <c r="P1985" s="8"/>
    </row>
    <row r="1986" spans="1:16">
      <c r="A1986" s="119"/>
      <c r="B1986" s="2"/>
      <c r="C1986" s="3"/>
      <c r="D1986" s="3"/>
      <c r="E1986" s="3"/>
      <c r="F1986" s="9"/>
      <c r="G1986" s="248" t="str">
        <f t="shared" si="150"/>
        <v/>
      </c>
      <c r="H1986" s="1" t="b">
        <f>IF(B1986="",FALSE,COUNTIF('従業員情報(給与以外)'!$A$4:$A$1000000,$B1986)=0)</f>
        <v>0</v>
      </c>
      <c r="I1986" s="9" t="b">
        <f t="shared" si="151"/>
        <v>1</v>
      </c>
      <c r="J1986" s="9" t="b">
        <f t="shared" si="152"/>
        <v>1</v>
      </c>
      <c r="K1986" s="9" t="b">
        <f t="shared" si="153"/>
        <v>1</v>
      </c>
      <c r="L1986" s="9" t="b">
        <f t="shared" si="154"/>
        <v>1</v>
      </c>
      <c r="M1986" s="1" t="b">
        <f>IF(OR(入力シート!$C$5&lt;&gt;入力リスト!$N$4,入力シート!$J$22&lt;&gt;入力リスト!$K$4),TRUE,IF($F$2=入力リスト!$Q$4,IF(F1986-INT(F1986)&lt;0.6,TRUE,FALSE),TRUE))</f>
        <v>1</v>
      </c>
      <c r="N1986" s="9" t="str">
        <f>IF(F1986="","",IF($F$2=入力リスト!$Q$4,ROUNDDOWN(INT(F1986)+ROUNDDOWN((F1986-INT(F1986))*100,0)/60,2),従業員の給与情報!F1986))</f>
        <v/>
      </c>
      <c r="O1986" s="8"/>
      <c r="P1986" s="8"/>
    </row>
    <row r="1987" spans="1:16">
      <c r="A1987" s="119"/>
      <c r="B1987" s="2"/>
      <c r="C1987" s="3"/>
      <c r="D1987" s="3"/>
      <c r="E1987" s="3"/>
      <c r="F1987" s="9"/>
      <c r="G1987" s="248" t="str">
        <f t="shared" si="150"/>
        <v/>
      </c>
      <c r="H1987" s="1" t="b">
        <f>IF(B1987="",FALSE,COUNTIF('従業員情報(給与以外)'!$A$4:$A$1000000,$B1987)=0)</f>
        <v>0</v>
      </c>
      <c r="I1987" s="9" t="b">
        <f t="shared" si="151"/>
        <v>1</v>
      </c>
      <c r="J1987" s="9" t="b">
        <f t="shared" si="152"/>
        <v>1</v>
      </c>
      <c r="K1987" s="9" t="b">
        <f t="shared" si="153"/>
        <v>1</v>
      </c>
      <c r="L1987" s="9" t="b">
        <f t="shared" si="154"/>
        <v>1</v>
      </c>
      <c r="M1987" s="1" t="b">
        <f>IF(OR(入力シート!$C$5&lt;&gt;入力リスト!$N$4,入力シート!$J$22&lt;&gt;入力リスト!$K$4),TRUE,IF($F$2=入力リスト!$Q$4,IF(F1987-INT(F1987)&lt;0.6,TRUE,FALSE),TRUE))</f>
        <v>1</v>
      </c>
      <c r="N1987" s="9" t="str">
        <f>IF(F1987="","",IF($F$2=入力リスト!$Q$4,ROUNDDOWN(INT(F1987)+ROUNDDOWN((F1987-INT(F1987))*100,0)/60,2),従業員の給与情報!F1987))</f>
        <v/>
      </c>
      <c r="O1987" s="8"/>
      <c r="P1987" s="8"/>
    </row>
    <row r="1988" spans="1:16">
      <c r="A1988" s="119"/>
      <c r="B1988" s="2"/>
      <c r="C1988" s="3"/>
      <c r="D1988" s="3"/>
      <c r="E1988" s="3"/>
      <c r="F1988" s="9"/>
      <c r="G1988" s="248" t="str">
        <f t="shared" si="150"/>
        <v/>
      </c>
      <c r="H1988" s="1" t="b">
        <f>IF(B1988="",FALSE,COUNTIF('従業員情報(給与以外)'!$A$4:$A$1000000,$B1988)=0)</f>
        <v>0</v>
      </c>
      <c r="I1988" s="9" t="b">
        <f t="shared" si="151"/>
        <v>1</v>
      </c>
      <c r="J1988" s="9" t="b">
        <f t="shared" si="152"/>
        <v>1</v>
      </c>
      <c r="K1988" s="9" t="b">
        <f t="shared" si="153"/>
        <v>1</v>
      </c>
      <c r="L1988" s="9" t="b">
        <f t="shared" si="154"/>
        <v>1</v>
      </c>
      <c r="M1988" s="1" t="b">
        <f>IF(OR(入力シート!$C$5&lt;&gt;入力リスト!$N$4,入力シート!$J$22&lt;&gt;入力リスト!$K$4),TRUE,IF($F$2=入力リスト!$Q$4,IF(F1988-INT(F1988)&lt;0.6,TRUE,FALSE),TRUE))</f>
        <v>1</v>
      </c>
      <c r="N1988" s="9" t="str">
        <f>IF(F1988="","",IF($F$2=入力リスト!$Q$4,ROUNDDOWN(INT(F1988)+ROUNDDOWN((F1988-INT(F1988))*100,0)/60,2),従業員の給与情報!F1988))</f>
        <v/>
      </c>
      <c r="O1988" s="8"/>
      <c r="P1988" s="8"/>
    </row>
    <row r="1989" spans="1:16">
      <c r="A1989" s="119"/>
      <c r="B1989" s="2"/>
      <c r="C1989" s="3"/>
      <c r="D1989" s="3"/>
      <c r="E1989" s="3"/>
      <c r="F1989" s="9"/>
      <c r="G1989" s="248" t="str">
        <f t="shared" ref="G1989:G2052" si="155">IF(AND($B1989="",OR(B1989&lt;&gt;"",C1989&lt;&gt;"",D1989&lt;&gt;"",E1989&lt;&gt;"",F1989&lt;&gt;"")),"従業員番号が空白です。",IF($H1989=TRUE,"この従業員番号は、シート［従業員情報（給与以外）］に存在しません。",IF(I1989=FALSE,"「毎月の固定給与額」","")&amp;IF(AND(I1989=FALSE,OR(J1989=FALSE,K1989=FALSE,L1989=FALSE)),",","")&amp;IF(J1989=FALSE,"「賞与額等」","")&amp;IF(AND(J1989=FALSE,OR(K1989=FALSE,L1989=FALSE)),",","")&amp;IF(K1989=FALSE,"「残業手当」","")&amp;IF(AND(K1989=FALSE,L1989=FALSE),",","")&amp;IF(L1989=FALSE,"「残業時間」","")&amp;IF(OR(I1989=FALSE,J1989=FALSE,K1989=FALSE,L1989=FALSE),"に数値以外が入力されています。","")&amp;IF(M1989,"","「残業時間」を分単位で入力した場合、小数点以下の値は0.6未満にしてください。")))</f>
        <v/>
      </c>
      <c r="H1989" s="1" t="b">
        <f>IF(B1989="",FALSE,COUNTIF('従業員情報(給与以外)'!$A$4:$A$1000000,$B1989)=0)</f>
        <v>0</v>
      </c>
      <c r="I1989" s="9" t="b">
        <f t="shared" ref="I1989:I2052" si="156">OR(C1989="",ISNUMBER(C1989))</f>
        <v>1</v>
      </c>
      <c r="J1989" s="9" t="b">
        <f t="shared" ref="J1989:J2052" si="157">OR(D1989="",ISNUMBER(D1989))</f>
        <v>1</v>
      </c>
      <c r="K1989" s="9" t="b">
        <f t="shared" ref="K1989:K2052" si="158">OR(E1989="",ISNUMBER(E1989))</f>
        <v>1</v>
      </c>
      <c r="L1989" s="9" t="b">
        <f t="shared" ref="L1989:L2052" si="159">OR(F1989="",ISNUMBER(F1989))</f>
        <v>1</v>
      </c>
      <c r="M1989" s="1" t="b">
        <f>IF(OR(入力シート!$C$5&lt;&gt;入力リスト!$N$4,入力シート!$J$22&lt;&gt;入力リスト!$K$4),TRUE,IF($F$2=入力リスト!$Q$4,IF(F1989-INT(F1989)&lt;0.6,TRUE,FALSE),TRUE))</f>
        <v>1</v>
      </c>
      <c r="N1989" s="9" t="str">
        <f>IF(F1989="","",IF($F$2=入力リスト!$Q$4,ROUNDDOWN(INT(F1989)+ROUNDDOWN((F1989-INT(F1989))*100,0)/60,2),従業員の給与情報!F1989))</f>
        <v/>
      </c>
      <c r="O1989" s="8"/>
      <c r="P1989" s="8"/>
    </row>
    <row r="1990" spans="1:16">
      <c r="A1990" s="119"/>
      <c r="B1990" s="2"/>
      <c r="C1990" s="3"/>
      <c r="D1990" s="3"/>
      <c r="E1990" s="3"/>
      <c r="F1990" s="9"/>
      <c r="G1990" s="248" t="str">
        <f t="shared" si="155"/>
        <v/>
      </c>
      <c r="H1990" s="1" t="b">
        <f>IF(B1990="",FALSE,COUNTIF('従業員情報(給与以外)'!$A$4:$A$1000000,$B1990)=0)</f>
        <v>0</v>
      </c>
      <c r="I1990" s="9" t="b">
        <f t="shared" si="156"/>
        <v>1</v>
      </c>
      <c r="J1990" s="9" t="b">
        <f t="shared" si="157"/>
        <v>1</v>
      </c>
      <c r="K1990" s="9" t="b">
        <f t="shared" si="158"/>
        <v>1</v>
      </c>
      <c r="L1990" s="9" t="b">
        <f t="shared" si="159"/>
        <v>1</v>
      </c>
      <c r="M1990" s="1" t="b">
        <f>IF(OR(入力シート!$C$5&lt;&gt;入力リスト!$N$4,入力シート!$J$22&lt;&gt;入力リスト!$K$4),TRUE,IF($F$2=入力リスト!$Q$4,IF(F1990-INT(F1990)&lt;0.6,TRUE,FALSE),TRUE))</f>
        <v>1</v>
      </c>
      <c r="N1990" s="9" t="str">
        <f>IF(F1990="","",IF($F$2=入力リスト!$Q$4,ROUNDDOWN(INT(F1990)+ROUNDDOWN((F1990-INT(F1990))*100,0)/60,2),従業員の給与情報!F1990))</f>
        <v/>
      </c>
      <c r="O1990" s="8"/>
      <c r="P1990" s="8"/>
    </row>
    <row r="1991" spans="1:16">
      <c r="A1991" s="119"/>
      <c r="B1991" s="2"/>
      <c r="C1991" s="3"/>
      <c r="D1991" s="3"/>
      <c r="E1991" s="3"/>
      <c r="F1991" s="9"/>
      <c r="G1991" s="248" t="str">
        <f t="shared" si="155"/>
        <v/>
      </c>
      <c r="H1991" s="1" t="b">
        <f>IF(B1991="",FALSE,COUNTIF('従業員情報(給与以外)'!$A$4:$A$1000000,$B1991)=0)</f>
        <v>0</v>
      </c>
      <c r="I1991" s="9" t="b">
        <f t="shared" si="156"/>
        <v>1</v>
      </c>
      <c r="J1991" s="9" t="b">
        <f t="shared" si="157"/>
        <v>1</v>
      </c>
      <c r="K1991" s="9" t="b">
        <f t="shared" si="158"/>
        <v>1</v>
      </c>
      <c r="L1991" s="9" t="b">
        <f t="shared" si="159"/>
        <v>1</v>
      </c>
      <c r="M1991" s="1" t="b">
        <f>IF(OR(入力シート!$C$5&lt;&gt;入力リスト!$N$4,入力シート!$J$22&lt;&gt;入力リスト!$K$4),TRUE,IF($F$2=入力リスト!$Q$4,IF(F1991-INT(F1991)&lt;0.6,TRUE,FALSE),TRUE))</f>
        <v>1</v>
      </c>
      <c r="N1991" s="9" t="str">
        <f>IF(F1991="","",IF($F$2=入力リスト!$Q$4,ROUNDDOWN(INT(F1991)+ROUNDDOWN((F1991-INT(F1991))*100,0)/60,2),従業員の給与情報!F1991))</f>
        <v/>
      </c>
      <c r="O1991" s="8"/>
      <c r="P1991" s="8"/>
    </row>
    <row r="1992" spans="1:16">
      <c r="A1992" s="119"/>
      <c r="B1992" s="2"/>
      <c r="C1992" s="3"/>
      <c r="D1992" s="3"/>
      <c r="E1992" s="3"/>
      <c r="F1992" s="9"/>
      <c r="G1992" s="248" t="str">
        <f t="shared" si="155"/>
        <v/>
      </c>
      <c r="H1992" s="1" t="b">
        <f>IF(B1992="",FALSE,COUNTIF('従業員情報(給与以外)'!$A$4:$A$1000000,$B1992)=0)</f>
        <v>0</v>
      </c>
      <c r="I1992" s="9" t="b">
        <f t="shared" si="156"/>
        <v>1</v>
      </c>
      <c r="J1992" s="9" t="b">
        <f t="shared" si="157"/>
        <v>1</v>
      </c>
      <c r="K1992" s="9" t="b">
        <f t="shared" si="158"/>
        <v>1</v>
      </c>
      <c r="L1992" s="9" t="b">
        <f t="shared" si="159"/>
        <v>1</v>
      </c>
      <c r="M1992" s="1" t="b">
        <f>IF(OR(入力シート!$C$5&lt;&gt;入力リスト!$N$4,入力シート!$J$22&lt;&gt;入力リスト!$K$4),TRUE,IF($F$2=入力リスト!$Q$4,IF(F1992-INT(F1992)&lt;0.6,TRUE,FALSE),TRUE))</f>
        <v>1</v>
      </c>
      <c r="N1992" s="9" t="str">
        <f>IF(F1992="","",IF($F$2=入力リスト!$Q$4,ROUNDDOWN(INT(F1992)+ROUNDDOWN((F1992-INT(F1992))*100,0)/60,2),従業員の給与情報!F1992))</f>
        <v/>
      </c>
      <c r="O1992" s="8"/>
      <c r="P1992" s="8"/>
    </row>
    <row r="1993" spans="1:16">
      <c r="A1993" s="119"/>
      <c r="B1993" s="2"/>
      <c r="C1993" s="3"/>
      <c r="D1993" s="3"/>
      <c r="E1993" s="3"/>
      <c r="F1993" s="9"/>
      <c r="G1993" s="248" t="str">
        <f t="shared" si="155"/>
        <v/>
      </c>
      <c r="H1993" s="1" t="b">
        <f>IF(B1993="",FALSE,COUNTIF('従業員情報(給与以外)'!$A$4:$A$1000000,$B1993)=0)</f>
        <v>0</v>
      </c>
      <c r="I1993" s="9" t="b">
        <f t="shared" si="156"/>
        <v>1</v>
      </c>
      <c r="J1993" s="9" t="b">
        <f t="shared" si="157"/>
        <v>1</v>
      </c>
      <c r="K1993" s="9" t="b">
        <f t="shared" si="158"/>
        <v>1</v>
      </c>
      <c r="L1993" s="9" t="b">
        <f t="shared" si="159"/>
        <v>1</v>
      </c>
      <c r="M1993" s="1" t="b">
        <f>IF(OR(入力シート!$C$5&lt;&gt;入力リスト!$N$4,入力シート!$J$22&lt;&gt;入力リスト!$K$4),TRUE,IF($F$2=入力リスト!$Q$4,IF(F1993-INT(F1993)&lt;0.6,TRUE,FALSE),TRUE))</f>
        <v>1</v>
      </c>
      <c r="N1993" s="9" t="str">
        <f>IF(F1993="","",IF($F$2=入力リスト!$Q$4,ROUNDDOWN(INT(F1993)+ROUNDDOWN((F1993-INT(F1993))*100,0)/60,2),従業員の給与情報!F1993))</f>
        <v/>
      </c>
      <c r="O1993" s="8"/>
      <c r="P1993" s="8"/>
    </row>
    <row r="1994" spans="1:16">
      <c r="A1994" s="119"/>
      <c r="B1994" s="2"/>
      <c r="C1994" s="3"/>
      <c r="D1994" s="3"/>
      <c r="E1994" s="3"/>
      <c r="F1994" s="9"/>
      <c r="G1994" s="248" t="str">
        <f t="shared" si="155"/>
        <v/>
      </c>
      <c r="H1994" s="1" t="b">
        <f>IF(B1994="",FALSE,COUNTIF('従業員情報(給与以外)'!$A$4:$A$1000000,$B1994)=0)</f>
        <v>0</v>
      </c>
      <c r="I1994" s="9" t="b">
        <f t="shared" si="156"/>
        <v>1</v>
      </c>
      <c r="J1994" s="9" t="b">
        <f t="shared" si="157"/>
        <v>1</v>
      </c>
      <c r="K1994" s="9" t="b">
        <f t="shared" si="158"/>
        <v>1</v>
      </c>
      <c r="L1994" s="9" t="b">
        <f t="shared" si="159"/>
        <v>1</v>
      </c>
      <c r="M1994" s="1" t="b">
        <f>IF(OR(入力シート!$C$5&lt;&gt;入力リスト!$N$4,入力シート!$J$22&lt;&gt;入力リスト!$K$4),TRUE,IF($F$2=入力リスト!$Q$4,IF(F1994-INT(F1994)&lt;0.6,TRUE,FALSE),TRUE))</f>
        <v>1</v>
      </c>
      <c r="N1994" s="9" t="str">
        <f>IF(F1994="","",IF($F$2=入力リスト!$Q$4,ROUNDDOWN(INT(F1994)+ROUNDDOWN((F1994-INT(F1994))*100,0)/60,2),従業員の給与情報!F1994))</f>
        <v/>
      </c>
      <c r="O1994" s="8"/>
      <c r="P1994" s="8"/>
    </row>
    <row r="1995" spans="1:16">
      <c r="A1995" s="119"/>
      <c r="B1995" s="2"/>
      <c r="C1995" s="3"/>
      <c r="D1995" s="3"/>
      <c r="E1995" s="3"/>
      <c r="F1995" s="9"/>
      <c r="G1995" s="248" t="str">
        <f t="shared" si="155"/>
        <v/>
      </c>
      <c r="H1995" s="1" t="b">
        <f>IF(B1995="",FALSE,COUNTIF('従業員情報(給与以外)'!$A$4:$A$1000000,$B1995)=0)</f>
        <v>0</v>
      </c>
      <c r="I1995" s="9" t="b">
        <f t="shared" si="156"/>
        <v>1</v>
      </c>
      <c r="J1995" s="9" t="b">
        <f t="shared" si="157"/>
        <v>1</v>
      </c>
      <c r="K1995" s="9" t="b">
        <f t="shared" si="158"/>
        <v>1</v>
      </c>
      <c r="L1995" s="9" t="b">
        <f t="shared" si="159"/>
        <v>1</v>
      </c>
      <c r="M1995" s="1" t="b">
        <f>IF(OR(入力シート!$C$5&lt;&gt;入力リスト!$N$4,入力シート!$J$22&lt;&gt;入力リスト!$K$4),TRUE,IF($F$2=入力リスト!$Q$4,IF(F1995-INT(F1995)&lt;0.6,TRUE,FALSE),TRUE))</f>
        <v>1</v>
      </c>
      <c r="N1995" s="9" t="str">
        <f>IF(F1995="","",IF($F$2=入力リスト!$Q$4,ROUNDDOWN(INT(F1995)+ROUNDDOWN((F1995-INT(F1995))*100,0)/60,2),従業員の給与情報!F1995))</f>
        <v/>
      </c>
      <c r="O1995" s="8"/>
      <c r="P1995" s="8"/>
    </row>
    <row r="1996" spans="1:16">
      <c r="A1996" s="119"/>
      <c r="B1996" s="2"/>
      <c r="C1996" s="3"/>
      <c r="D1996" s="3"/>
      <c r="E1996" s="3"/>
      <c r="F1996" s="9"/>
      <c r="G1996" s="248" t="str">
        <f t="shared" si="155"/>
        <v/>
      </c>
      <c r="H1996" s="1" t="b">
        <f>IF(B1996="",FALSE,COUNTIF('従業員情報(給与以外)'!$A$4:$A$1000000,$B1996)=0)</f>
        <v>0</v>
      </c>
      <c r="I1996" s="9" t="b">
        <f t="shared" si="156"/>
        <v>1</v>
      </c>
      <c r="J1996" s="9" t="b">
        <f t="shared" si="157"/>
        <v>1</v>
      </c>
      <c r="K1996" s="9" t="b">
        <f t="shared" si="158"/>
        <v>1</v>
      </c>
      <c r="L1996" s="9" t="b">
        <f t="shared" si="159"/>
        <v>1</v>
      </c>
      <c r="M1996" s="1" t="b">
        <f>IF(OR(入力シート!$C$5&lt;&gt;入力リスト!$N$4,入力シート!$J$22&lt;&gt;入力リスト!$K$4),TRUE,IF($F$2=入力リスト!$Q$4,IF(F1996-INT(F1996)&lt;0.6,TRUE,FALSE),TRUE))</f>
        <v>1</v>
      </c>
      <c r="N1996" s="9" t="str">
        <f>IF(F1996="","",IF($F$2=入力リスト!$Q$4,ROUNDDOWN(INT(F1996)+ROUNDDOWN((F1996-INT(F1996))*100,0)/60,2),従業員の給与情報!F1996))</f>
        <v/>
      </c>
      <c r="O1996" s="8"/>
      <c r="P1996" s="8"/>
    </row>
    <row r="1997" spans="1:16">
      <c r="A1997" s="119"/>
      <c r="B1997" s="2"/>
      <c r="C1997" s="3"/>
      <c r="D1997" s="3"/>
      <c r="E1997" s="3"/>
      <c r="F1997" s="9"/>
      <c r="G1997" s="248" t="str">
        <f t="shared" si="155"/>
        <v/>
      </c>
      <c r="H1997" s="1" t="b">
        <f>IF(B1997="",FALSE,COUNTIF('従業員情報(給与以外)'!$A$4:$A$1000000,$B1997)=0)</f>
        <v>0</v>
      </c>
      <c r="I1997" s="9" t="b">
        <f t="shared" si="156"/>
        <v>1</v>
      </c>
      <c r="J1997" s="9" t="b">
        <f t="shared" si="157"/>
        <v>1</v>
      </c>
      <c r="K1997" s="9" t="b">
        <f t="shared" si="158"/>
        <v>1</v>
      </c>
      <c r="L1997" s="9" t="b">
        <f t="shared" si="159"/>
        <v>1</v>
      </c>
      <c r="M1997" s="1" t="b">
        <f>IF(OR(入力シート!$C$5&lt;&gt;入力リスト!$N$4,入力シート!$J$22&lt;&gt;入力リスト!$K$4),TRUE,IF($F$2=入力リスト!$Q$4,IF(F1997-INT(F1997)&lt;0.6,TRUE,FALSE),TRUE))</f>
        <v>1</v>
      </c>
      <c r="N1997" s="9" t="str">
        <f>IF(F1997="","",IF($F$2=入力リスト!$Q$4,ROUNDDOWN(INT(F1997)+ROUNDDOWN((F1997-INT(F1997))*100,0)/60,2),従業員の給与情報!F1997))</f>
        <v/>
      </c>
      <c r="O1997" s="8"/>
      <c r="P1997" s="8"/>
    </row>
    <row r="1998" spans="1:16">
      <c r="A1998" s="119"/>
      <c r="B1998" s="2"/>
      <c r="C1998" s="3"/>
      <c r="D1998" s="3"/>
      <c r="E1998" s="3"/>
      <c r="F1998" s="9"/>
      <c r="G1998" s="248" t="str">
        <f t="shared" si="155"/>
        <v/>
      </c>
      <c r="H1998" s="1" t="b">
        <f>IF(B1998="",FALSE,COUNTIF('従業員情報(給与以外)'!$A$4:$A$1000000,$B1998)=0)</f>
        <v>0</v>
      </c>
      <c r="I1998" s="9" t="b">
        <f t="shared" si="156"/>
        <v>1</v>
      </c>
      <c r="J1998" s="9" t="b">
        <f t="shared" si="157"/>
        <v>1</v>
      </c>
      <c r="K1998" s="9" t="b">
        <f t="shared" si="158"/>
        <v>1</v>
      </c>
      <c r="L1998" s="9" t="b">
        <f t="shared" si="159"/>
        <v>1</v>
      </c>
      <c r="M1998" s="1" t="b">
        <f>IF(OR(入力シート!$C$5&lt;&gt;入力リスト!$N$4,入力シート!$J$22&lt;&gt;入力リスト!$K$4),TRUE,IF($F$2=入力リスト!$Q$4,IF(F1998-INT(F1998)&lt;0.6,TRUE,FALSE),TRUE))</f>
        <v>1</v>
      </c>
      <c r="N1998" s="9" t="str">
        <f>IF(F1998="","",IF($F$2=入力リスト!$Q$4,ROUNDDOWN(INT(F1998)+ROUNDDOWN((F1998-INT(F1998))*100,0)/60,2),従業員の給与情報!F1998))</f>
        <v/>
      </c>
      <c r="O1998" s="8"/>
      <c r="P1998" s="8"/>
    </row>
    <row r="1999" spans="1:16">
      <c r="A1999" s="119"/>
      <c r="B1999" s="2"/>
      <c r="C1999" s="3"/>
      <c r="D1999" s="3"/>
      <c r="E1999" s="3"/>
      <c r="F1999" s="9"/>
      <c r="G1999" s="248" t="str">
        <f t="shared" si="155"/>
        <v/>
      </c>
      <c r="H1999" s="1" t="b">
        <f>IF(B1999="",FALSE,COUNTIF('従業員情報(給与以外)'!$A$4:$A$1000000,$B1999)=0)</f>
        <v>0</v>
      </c>
      <c r="I1999" s="9" t="b">
        <f t="shared" si="156"/>
        <v>1</v>
      </c>
      <c r="J1999" s="9" t="b">
        <f t="shared" si="157"/>
        <v>1</v>
      </c>
      <c r="K1999" s="9" t="b">
        <f t="shared" si="158"/>
        <v>1</v>
      </c>
      <c r="L1999" s="9" t="b">
        <f t="shared" si="159"/>
        <v>1</v>
      </c>
      <c r="M1999" s="1" t="b">
        <f>IF(OR(入力シート!$C$5&lt;&gt;入力リスト!$N$4,入力シート!$J$22&lt;&gt;入力リスト!$K$4),TRUE,IF($F$2=入力リスト!$Q$4,IF(F1999-INT(F1999)&lt;0.6,TRUE,FALSE),TRUE))</f>
        <v>1</v>
      </c>
      <c r="N1999" s="9" t="str">
        <f>IF(F1999="","",IF($F$2=入力リスト!$Q$4,ROUNDDOWN(INT(F1999)+ROUNDDOWN((F1999-INT(F1999))*100,0)/60,2),従業員の給与情報!F1999))</f>
        <v/>
      </c>
      <c r="O1999" s="8"/>
      <c r="P1999" s="8"/>
    </row>
    <row r="2000" spans="1:16">
      <c r="A2000" s="119"/>
      <c r="B2000" s="2"/>
      <c r="C2000" s="3"/>
      <c r="D2000" s="3"/>
      <c r="E2000" s="3"/>
      <c r="F2000" s="9"/>
      <c r="G2000" s="248" t="str">
        <f t="shared" si="155"/>
        <v/>
      </c>
      <c r="H2000" s="1" t="b">
        <f>IF(B2000="",FALSE,COUNTIF('従業員情報(給与以外)'!$A$4:$A$1000000,$B2000)=0)</f>
        <v>0</v>
      </c>
      <c r="I2000" s="9" t="b">
        <f t="shared" si="156"/>
        <v>1</v>
      </c>
      <c r="J2000" s="9" t="b">
        <f t="shared" si="157"/>
        <v>1</v>
      </c>
      <c r="K2000" s="9" t="b">
        <f t="shared" si="158"/>
        <v>1</v>
      </c>
      <c r="L2000" s="9" t="b">
        <f t="shared" si="159"/>
        <v>1</v>
      </c>
      <c r="M2000" s="1" t="b">
        <f>IF(OR(入力シート!$C$5&lt;&gt;入力リスト!$N$4,入力シート!$J$22&lt;&gt;入力リスト!$K$4),TRUE,IF($F$2=入力リスト!$Q$4,IF(F2000-INT(F2000)&lt;0.6,TRUE,FALSE),TRUE))</f>
        <v>1</v>
      </c>
      <c r="N2000" s="9" t="str">
        <f>IF(F2000="","",IF($F$2=入力リスト!$Q$4,ROUNDDOWN(INT(F2000)+ROUNDDOWN((F2000-INT(F2000))*100,0)/60,2),従業員の給与情報!F2000))</f>
        <v/>
      </c>
      <c r="O2000" s="8"/>
      <c r="P2000" s="8"/>
    </row>
    <row r="2001" spans="1:16">
      <c r="A2001" s="119"/>
      <c r="B2001" s="2"/>
      <c r="C2001" s="3"/>
      <c r="D2001" s="3"/>
      <c r="E2001" s="3"/>
      <c r="F2001" s="9"/>
      <c r="G2001" s="248" t="str">
        <f t="shared" si="155"/>
        <v/>
      </c>
      <c r="H2001" s="1" t="b">
        <f>IF(B2001="",FALSE,COUNTIF('従業員情報(給与以外)'!$A$4:$A$1000000,$B2001)=0)</f>
        <v>0</v>
      </c>
      <c r="I2001" s="9" t="b">
        <f t="shared" si="156"/>
        <v>1</v>
      </c>
      <c r="J2001" s="9" t="b">
        <f t="shared" si="157"/>
        <v>1</v>
      </c>
      <c r="K2001" s="9" t="b">
        <f t="shared" si="158"/>
        <v>1</v>
      </c>
      <c r="L2001" s="9" t="b">
        <f t="shared" si="159"/>
        <v>1</v>
      </c>
      <c r="M2001" s="1" t="b">
        <f>IF(OR(入力シート!$C$5&lt;&gt;入力リスト!$N$4,入力シート!$J$22&lt;&gt;入力リスト!$K$4),TRUE,IF($F$2=入力リスト!$Q$4,IF(F2001-INT(F2001)&lt;0.6,TRUE,FALSE),TRUE))</f>
        <v>1</v>
      </c>
      <c r="N2001" s="9" t="str">
        <f>IF(F2001="","",IF($F$2=入力リスト!$Q$4,ROUNDDOWN(INT(F2001)+ROUNDDOWN((F2001-INT(F2001))*100,0)/60,2),従業員の給与情報!F2001))</f>
        <v/>
      </c>
      <c r="O2001" s="8"/>
      <c r="P2001" s="8"/>
    </row>
    <row r="2002" spans="1:16">
      <c r="A2002" s="119"/>
      <c r="B2002" s="2"/>
      <c r="C2002" s="3"/>
      <c r="D2002" s="3"/>
      <c r="E2002" s="3"/>
      <c r="F2002" s="9"/>
      <c r="G2002" s="248" t="str">
        <f t="shared" si="155"/>
        <v/>
      </c>
      <c r="H2002" s="1" t="b">
        <f>IF(B2002="",FALSE,COUNTIF('従業員情報(給与以外)'!$A$4:$A$1000000,$B2002)=0)</f>
        <v>0</v>
      </c>
      <c r="I2002" s="9" t="b">
        <f t="shared" si="156"/>
        <v>1</v>
      </c>
      <c r="J2002" s="9" t="b">
        <f t="shared" si="157"/>
        <v>1</v>
      </c>
      <c r="K2002" s="9" t="b">
        <f t="shared" si="158"/>
        <v>1</v>
      </c>
      <c r="L2002" s="9" t="b">
        <f t="shared" si="159"/>
        <v>1</v>
      </c>
      <c r="M2002" s="1" t="b">
        <f>IF(OR(入力シート!$C$5&lt;&gt;入力リスト!$N$4,入力シート!$J$22&lt;&gt;入力リスト!$K$4),TRUE,IF($F$2=入力リスト!$Q$4,IF(F2002-INT(F2002)&lt;0.6,TRUE,FALSE),TRUE))</f>
        <v>1</v>
      </c>
      <c r="N2002" s="9" t="str">
        <f>IF(F2002="","",IF($F$2=入力リスト!$Q$4,ROUNDDOWN(INT(F2002)+ROUNDDOWN((F2002-INT(F2002))*100,0)/60,2),従業員の給与情報!F2002))</f>
        <v/>
      </c>
      <c r="O2002" s="8"/>
      <c r="P2002" s="8"/>
    </row>
    <row r="2003" spans="1:16">
      <c r="A2003" s="119"/>
      <c r="B2003" s="2"/>
      <c r="C2003" s="3"/>
      <c r="D2003" s="3"/>
      <c r="E2003" s="3"/>
      <c r="F2003" s="9"/>
      <c r="G2003" s="248" t="str">
        <f t="shared" si="155"/>
        <v/>
      </c>
      <c r="H2003" s="1" t="b">
        <f>IF(B2003="",FALSE,COUNTIF('従業員情報(給与以外)'!$A$4:$A$1000000,$B2003)=0)</f>
        <v>0</v>
      </c>
      <c r="I2003" s="9" t="b">
        <f t="shared" si="156"/>
        <v>1</v>
      </c>
      <c r="J2003" s="9" t="b">
        <f t="shared" si="157"/>
        <v>1</v>
      </c>
      <c r="K2003" s="9" t="b">
        <f t="shared" si="158"/>
        <v>1</v>
      </c>
      <c r="L2003" s="9" t="b">
        <f t="shared" si="159"/>
        <v>1</v>
      </c>
      <c r="M2003" s="1" t="b">
        <f>IF(OR(入力シート!$C$5&lt;&gt;入力リスト!$N$4,入力シート!$J$22&lt;&gt;入力リスト!$K$4),TRUE,IF($F$2=入力リスト!$Q$4,IF(F2003-INT(F2003)&lt;0.6,TRUE,FALSE),TRUE))</f>
        <v>1</v>
      </c>
      <c r="N2003" s="9" t="str">
        <f>IF(F2003="","",IF($F$2=入力リスト!$Q$4,ROUNDDOWN(INT(F2003)+ROUNDDOWN((F2003-INT(F2003))*100,0)/60,2),従業員の給与情報!F2003))</f>
        <v/>
      </c>
      <c r="O2003" s="8"/>
      <c r="P2003" s="8"/>
    </row>
    <row r="2004" spans="1:16">
      <c r="A2004" s="119"/>
      <c r="B2004" s="2"/>
      <c r="C2004" s="3"/>
      <c r="D2004" s="3"/>
      <c r="E2004" s="3"/>
      <c r="F2004" s="9"/>
      <c r="G2004" s="248" t="str">
        <f t="shared" si="155"/>
        <v/>
      </c>
      <c r="H2004" s="1" t="b">
        <f>IF(B2004="",FALSE,COUNTIF('従業員情報(給与以外)'!$A$4:$A$1000000,$B2004)=0)</f>
        <v>0</v>
      </c>
      <c r="I2004" s="9" t="b">
        <f t="shared" si="156"/>
        <v>1</v>
      </c>
      <c r="J2004" s="9" t="b">
        <f t="shared" si="157"/>
        <v>1</v>
      </c>
      <c r="K2004" s="9" t="b">
        <f t="shared" si="158"/>
        <v>1</v>
      </c>
      <c r="L2004" s="9" t="b">
        <f t="shared" si="159"/>
        <v>1</v>
      </c>
      <c r="M2004" s="1" t="b">
        <f>IF(OR(入力シート!$C$5&lt;&gt;入力リスト!$N$4,入力シート!$J$22&lt;&gt;入力リスト!$K$4),TRUE,IF($F$2=入力リスト!$Q$4,IF(F2004-INT(F2004)&lt;0.6,TRUE,FALSE),TRUE))</f>
        <v>1</v>
      </c>
      <c r="N2004" s="9" t="str">
        <f>IF(F2004="","",IF($F$2=入力リスト!$Q$4,ROUNDDOWN(INT(F2004)+ROUNDDOWN((F2004-INT(F2004))*100,0)/60,2),従業員の給与情報!F2004))</f>
        <v/>
      </c>
      <c r="O2004" s="8"/>
      <c r="P2004" s="8"/>
    </row>
    <row r="2005" spans="1:16">
      <c r="A2005" s="119"/>
      <c r="B2005" s="2"/>
      <c r="C2005" s="3"/>
      <c r="D2005" s="3"/>
      <c r="E2005" s="3"/>
      <c r="F2005" s="9"/>
      <c r="G2005" s="248" t="str">
        <f t="shared" si="155"/>
        <v/>
      </c>
      <c r="H2005" s="1" t="b">
        <f>IF(B2005="",FALSE,COUNTIF('従業員情報(給与以外)'!$A$4:$A$1000000,$B2005)=0)</f>
        <v>0</v>
      </c>
      <c r="I2005" s="9" t="b">
        <f t="shared" si="156"/>
        <v>1</v>
      </c>
      <c r="J2005" s="9" t="b">
        <f t="shared" si="157"/>
        <v>1</v>
      </c>
      <c r="K2005" s="9" t="b">
        <f t="shared" si="158"/>
        <v>1</v>
      </c>
      <c r="L2005" s="9" t="b">
        <f t="shared" si="159"/>
        <v>1</v>
      </c>
      <c r="M2005" s="1" t="b">
        <f>IF(OR(入力シート!$C$5&lt;&gt;入力リスト!$N$4,入力シート!$J$22&lt;&gt;入力リスト!$K$4),TRUE,IF($F$2=入力リスト!$Q$4,IF(F2005-INT(F2005)&lt;0.6,TRUE,FALSE),TRUE))</f>
        <v>1</v>
      </c>
      <c r="N2005" s="9" t="str">
        <f>IF(F2005="","",IF($F$2=入力リスト!$Q$4,ROUNDDOWN(INT(F2005)+ROUNDDOWN((F2005-INT(F2005))*100,0)/60,2),従業員の給与情報!F2005))</f>
        <v/>
      </c>
      <c r="O2005" s="8"/>
      <c r="P2005" s="8"/>
    </row>
    <row r="2006" spans="1:16">
      <c r="A2006" s="119"/>
      <c r="B2006" s="2"/>
      <c r="C2006" s="3"/>
      <c r="D2006" s="3"/>
      <c r="E2006" s="3"/>
      <c r="F2006" s="9"/>
      <c r="G2006" s="248" t="str">
        <f t="shared" si="155"/>
        <v/>
      </c>
      <c r="H2006" s="1" t="b">
        <f>IF(B2006="",FALSE,COUNTIF('従業員情報(給与以外)'!$A$4:$A$1000000,$B2006)=0)</f>
        <v>0</v>
      </c>
      <c r="I2006" s="9" t="b">
        <f t="shared" si="156"/>
        <v>1</v>
      </c>
      <c r="J2006" s="9" t="b">
        <f t="shared" si="157"/>
        <v>1</v>
      </c>
      <c r="K2006" s="9" t="b">
        <f t="shared" si="158"/>
        <v>1</v>
      </c>
      <c r="L2006" s="9" t="b">
        <f t="shared" si="159"/>
        <v>1</v>
      </c>
      <c r="M2006" s="1" t="b">
        <f>IF(OR(入力シート!$C$5&lt;&gt;入力リスト!$N$4,入力シート!$J$22&lt;&gt;入力リスト!$K$4),TRUE,IF($F$2=入力リスト!$Q$4,IF(F2006-INT(F2006)&lt;0.6,TRUE,FALSE),TRUE))</f>
        <v>1</v>
      </c>
      <c r="N2006" s="9" t="str">
        <f>IF(F2006="","",IF($F$2=入力リスト!$Q$4,ROUNDDOWN(INT(F2006)+ROUNDDOWN((F2006-INT(F2006))*100,0)/60,2),従業員の給与情報!F2006))</f>
        <v/>
      </c>
      <c r="O2006" s="8"/>
      <c r="P2006" s="8"/>
    </row>
    <row r="2007" spans="1:16">
      <c r="A2007" s="119"/>
      <c r="B2007" s="2"/>
      <c r="C2007" s="3"/>
      <c r="D2007" s="3"/>
      <c r="E2007" s="3"/>
      <c r="F2007" s="9"/>
      <c r="G2007" s="248" t="str">
        <f t="shared" si="155"/>
        <v/>
      </c>
      <c r="H2007" s="1" t="b">
        <f>IF(B2007="",FALSE,COUNTIF('従業員情報(給与以外)'!$A$4:$A$1000000,$B2007)=0)</f>
        <v>0</v>
      </c>
      <c r="I2007" s="9" t="b">
        <f t="shared" si="156"/>
        <v>1</v>
      </c>
      <c r="J2007" s="9" t="b">
        <f t="shared" si="157"/>
        <v>1</v>
      </c>
      <c r="K2007" s="9" t="b">
        <f t="shared" si="158"/>
        <v>1</v>
      </c>
      <c r="L2007" s="9" t="b">
        <f t="shared" si="159"/>
        <v>1</v>
      </c>
      <c r="M2007" s="1" t="b">
        <f>IF(OR(入力シート!$C$5&lt;&gt;入力リスト!$N$4,入力シート!$J$22&lt;&gt;入力リスト!$K$4),TRUE,IF($F$2=入力リスト!$Q$4,IF(F2007-INT(F2007)&lt;0.6,TRUE,FALSE),TRUE))</f>
        <v>1</v>
      </c>
      <c r="N2007" s="9" t="str">
        <f>IF(F2007="","",IF($F$2=入力リスト!$Q$4,ROUNDDOWN(INT(F2007)+ROUNDDOWN((F2007-INT(F2007))*100,0)/60,2),従業員の給与情報!F2007))</f>
        <v/>
      </c>
      <c r="O2007" s="8"/>
      <c r="P2007" s="8"/>
    </row>
    <row r="2008" spans="1:16">
      <c r="A2008" s="119"/>
      <c r="B2008" s="2"/>
      <c r="C2008" s="3"/>
      <c r="D2008" s="3"/>
      <c r="E2008" s="3"/>
      <c r="F2008" s="9"/>
      <c r="G2008" s="248" t="str">
        <f t="shared" si="155"/>
        <v/>
      </c>
      <c r="H2008" s="1" t="b">
        <f>IF(B2008="",FALSE,COUNTIF('従業員情報(給与以外)'!$A$4:$A$1000000,$B2008)=0)</f>
        <v>0</v>
      </c>
      <c r="I2008" s="9" t="b">
        <f t="shared" si="156"/>
        <v>1</v>
      </c>
      <c r="J2008" s="9" t="b">
        <f t="shared" si="157"/>
        <v>1</v>
      </c>
      <c r="K2008" s="9" t="b">
        <f t="shared" si="158"/>
        <v>1</v>
      </c>
      <c r="L2008" s="9" t="b">
        <f t="shared" si="159"/>
        <v>1</v>
      </c>
      <c r="M2008" s="1" t="b">
        <f>IF(OR(入力シート!$C$5&lt;&gt;入力リスト!$N$4,入力シート!$J$22&lt;&gt;入力リスト!$K$4),TRUE,IF($F$2=入力リスト!$Q$4,IF(F2008-INT(F2008)&lt;0.6,TRUE,FALSE),TRUE))</f>
        <v>1</v>
      </c>
      <c r="N2008" s="9" t="str">
        <f>IF(F2008="","",IF($F$2=入力リスト!$Q$4,ROUNDDOWN(INT(F2008)+ROUNDDOWN((F2008-INT(F2008))*100,0)/60,2),従業員の給与情報!F2008))</f>
        <v/>
      </c>
      <c r="O2008" s="8"/>
      <c r="P2008" s="8"/>
    </row>
    <row r="2009" spans="1:16">
      <c r="A2009" s="119"/>
      <c r="B2009" s="2"/>
      <c r="C2009" s="3"/>
      <c r="D2009" s="3"/>
      <c r="E2009" s="3"/>
      <c r="F2009" s="9"/>
      <c r="G2009" s="248" t="str">
        <f t="shared" si="155"/>
        <v/>
      </c>
      <c r="H2009" s="1" t="b">
        <f>IF(B2009="",FALSE,COUNTIF('従業員情報(給与以外)'!$A$4:$A$1000000,$B2009)=0)</f>
        <v>0</v>
      </c>
      <c r="I2009" s="9" t="b">
        <f t="shared" si="156"/>
        <v>1</v>
      </c>
      <c r="J2009" s="9" t="b">
        <f t="shared" si="157"/>
        <v>1</v>
      </c>
      <c r="K2009" s="9" t="b">
        <f t="shared" si="158"/>
        <v>1</v>
      </c>
      <c r="L2009" s="9" t="b">
        <f t="shared" si="159"/>
        <v>1</v>
      </c>
      <c r="M2009" s="1" t="b">
        <f>IF(OR(入力シート!$C$5&lt;&gt;入力リスト!$N$4,入力シート!$J$22&lt;&gt;入力リスト!$K$4),TRUE,IF($F$2=入力リスト!$Q$4,IF(F2009-INT(F2009)&lt;0.6,TRUE,FALSE),TRUE))</f>
        <v>1</v>
      </c>
      <c r="N2009" s="9" t="str">
        <f>IF(F2009="","",IF($F$2=入力リスト!$Q$4,ROUNDDOWN(INT(F2009)+ROUNDDOWN((F2009-INT(F2009))*100,0)/60,2),従業員の給与情報!F2009))</f>
        <v/>
      </c>
      <c r="O2009" s="8"/>
      <c r="P2009" s="8"/>
    </row>
    <row r="2010" spans="1:16">
      <c r="A2010" s="119"/>
      <c r="B2010" s="2"/>
      <c r="C2010" s="3"/>
      <c r="D2010" s="3"/>
      <c r="E2010" s="3"/>
      <c r="F2010" s="9"/>
      <c r="G2010" s="248" t="str">
        <f t="shared" si="155"/>
        <v/>
      </c>
      <c r="H2010" s="1" t="b">
        <f>IF(B2010="",FALSE,COUNTIF('従業員情報(給与以外)'!$A$4:$A$1000000,$B2010)=0)</f>
        <v>0</v>
      </c>
      <c r="I2010" s="9" t="b">
        <f t="shared" si="156"/>
        <v>1</v>
      </c>
      <c r="J2010" s="9" t="b">
        <f t="shared" si="157"/>
        <v>1</v>
      </c>
      <c r="K2010" s="9" t="b">
        <f t="shared" si="158"/>
        <v>1</v>
      </c>
      <c r="L2010" s="9" t="b">
        <f t="shared" si="159"/>
        <v>1</v>
      </c>
      <c r="M2010" s="1" t="b">
        <f>IF(OR(入力シート!$C$5&lt;&gt;入力リスト!$N$4,入力シート!$J$22&lt;&gt;入力リスト!$K$4),TRUE,IF($F$2=入力リスト!$Q$4,IF(F2010-INT(F2010)&lt;0.6,TRUE,FALSE),TRUE))</f>
        <v>1</v>
      </c>
      <c r="N2010" s="9" t="str">
        <f>IF(F2010="","",IF($F$2=入力リスト!$Q$4,ROUNDDOWN(INT(F2010)+ROUNDDOWN((F2010-INT(F2010))*100,0)/60,2),従業員の給与情報!F2010))</f>
        <v/>
      </c>
      <c r="O2010" s="8"/>
      <c r="P2010" s="8"/>
    </row>
    <row r="2011" spans="1:16">
      <c r="A2011" s="119"/>
      <c r="B2011" s="2"/>
      <c r="C2011" s="3"/>
      <c r="D2011" s="3"/>
      <c r="E2011" s="3"/>
      <c r="F2011" s="9"/>
      <c r="G2011" s="248" t="str">
        <f t="shared" si="155"/>
        <v/>
      </c>
      <c r="H2011" s="1" t="b">
        <f>IF(B2011="",FALSE,COUNTIF('従業員情報(給与以外)'!$A$4:$A$1000000,$B2011)=0)</f>
        <v>0</v>
      </c>
      <c r="I2011" s="9" t="b">
        <f t="shared" si="156"/>
        <v>1</v>
      </c>
      <c r="J2011" s="9" t="b">
        <f t="shared" si="157"/>
        <v>1</v>
      </c>
      <c r="K2011" s="9" t="b">
        <f t="shared" si="158"/>
        <v>1</v>
      </c>
      <c r="L2011" s="9" t="b">
        <f t="shared" si="159"/>
        <v>1</v>
      </c>
      <c r="M2011" s="1" t="b">
        <f>IF(OR(入力シート!$C$5&lt;&gt;入力リスト!$N$4,入力シート!$J$22&lt;&gt;入力リスト!$K$4),TRUE,IF($F$2=入力リスト!$Q$4,IF(F2011-INT(F2011)&lt;0.6,TRUE,FALSE),TRUE))</f>
        <v>1</v>
      </c>
      <c r="N2011" s="9" t="str">
        <f>IF(F2011="","",IF($F$2=入力リスト!$Q$4,ROUNDDOWN(INT(F2011)+ROUNDDOWN((F2011-INT(F2011))*100,0)/60,2),従業員の給与情報!F2011))</f>
        <v/>
      </c>
      <c r="O2011" s="8"/>
      <c r="P2011" s="8"/>
    </row>
    <row r="2012" spans="1:16">
      <c r="A2012" s="119"/>
      <c r="B2012" s="2"/>
      <c r="C2012" s="3"/>
      <c r="D2012" s="3"/>
      <c r="E2012" s="3"/>
      <c r="F2012" s="9"/>
      <c r="G2012" s="248" t="str">
        <f t="shared" si="155"/>
        <v/>
      </c>
      <c r="H2012" s="1" t="b">
        <f>IF(B2012="",FALSE,COUNTIF('従業員情報(給与以外)'!$A$4:$A$1000000,$B2012)=0)</f>
        <v>0</v>
      </c>
      <c r="I2012" s="9" t="b">
        <f t="shared" si="156"/>
        <v>1</v>
      </c>
      <c r="J2012" s="9" t="b">
        <f t="shared" si="157"/>
        <v>1</v>
      </c>
      <c r="K2012" s="9" t="b">
        <f t="shared" si="158"/>
        <v>1</v>
      </c>
      <c r="L2012" s="9" t="b">
        <f t="shared" si="159"/>
        <v>1</v>
      </c>
      <c r="M2012" s="1" t="b">
        <f>IF(OR(入力シート!$C$5&lt;&gt;入力リスト!$N$4,入力シート!$J$22&lt;&gt;入力リスト!$K$4),TRUE,IF($F$2=入力リスト!$Q$4,IF(F2012-INT(F2012)&lt;0.6,TRUE,FALSE),TRUE))</f>
        <v>1</v>
      </c>
      <c r="N2012" s="9" t="str">
        <f>IF(F2012="","",IF($F$2=入力リスト!$Q$4,ROUNDDOWN(INT(F2012)+ROUNDDOWN((F2012-INT(F2012))*100,0)/60,2),従業員の給与情報!F2012))</f>
        <v/>
      </c>
      <c r="O2012" s="8"/>
      <c r="P2012" s="8"/>
    </row>
    <row r="2013" spans="1:16">
      <c r="A2013" s="119"/>
      <c r="B2013" s="2"/>
      <c r="C2013" s="3"/>
      <c r="D2013" s="3"/>
      <c r="E2013" s="3"/>
      <c r="F2013" s="9"/>
      <c r="G2013" s="248" t="str">
        <f t="shared" si="155"/>
        <v/>
      </c>
      <c r="H2013" s="1" t="b">
        <f>IF(B2013="",FALSE,COUNTIF('従業員情報(給与以外)'!$A$4:$A$1000000,$B2013)=0)</f>
        <v>0</v>
      </c>
      <c r="I2013" s="9" t="b">
        <f t="shared" si="156"/>
        <v>1</v>
      </c>
      <c r="J2013" s="9" t="b">
        <f t="shared" si="157"/>
        <v>1</v>
      </c>
      <c r="K2013" s="9" t="b">
        <f t="shared" si="158"/>
        <v>1</v>
      </c>
      <c r="L2013" s="9" t="b">
        <f t="shared" si="159"/>
        <v>1</v>
      </c>
      <c r="M2013" s="1" t="b">
        <f>IF(OR(入力シート!$C$5&lt;&gt;入力リスト!$N$4,入力シート!$J$22&lt;&gt;入力リスト!$K$4),TRUE,IF($F$2=入力リスト!$Q$4,IF(F2013-INT(F2013)&lt;0.6,TRUE,FALSE),TRUE))</f>
        <v>1</v>
      </c>
      <c r="N2013" s="9" t="str">
        <f>IF(F2013="","",IF($F$2=入力リスト!$Q$4,ROUNDDOWN(INT(F2013)+ROUNDDOWN((F2013-INT(F2013))*100,0)/60,2),従業員の給与情報!F2013))</f>
        <v/>
      </c>
      <c r="O2013" s="8"/>
      <c r="P2013" s="8"/>
    </row>
    <row r="2014" spans="1:16">
      <c r="A2014" s="119"/>
      <c r="B2014" s="2"/>
      <c r="C2014" s="3"/>
      <c r="D2014" s="3"/>
      <c r="E2014" s="3"/>
      <c r="F2014" s="9"/>
      <c r="G2014" s="248" t="str">
        <f t="shared" si="155"/>
        <v/>
      </c>
      <c r="H2014" s="1" t="b">
        <f>IF(B2014="",FALSE,COUNTIF('従業員情報(給与以外)'!$A$4:$A$1000000,$B2014)=0)</f>
        <v>0</v>
      </c>
      <c r="I2014" s="9" t="b">
        <f t="shared" si="156"/>
        <v>1</v>
      </c>
      <c r="J2014" s="9" t="b">
        <f t="shared" si="157"/>
        <v>1</v>
      </c>
      <c r="K2014" s="9" t="b">
        <f t="shared" si="158"/>
        <v>1</v>
      </c>
      <c r="L2014" s="9" t="b">
        <f t="shared" si="159"/>
        <v>1</v>
      </c>
      <c r="M2014" s="1" t="b">
        <f>IF(OR(入力シート!$C$5&lt;&gt;入力リスト!$N$4,入力シート!$J$22&lt;&gt;入力リスト!$K$4),TRUE,IF($F$2=入力リスト!$Q$4,IF(F2014-INT(F2014)&lt;0.6,TRUE,FALSE),TRUE))</f>
        <v>1</v>
      </c>
      <c r="N2014" s="9" t="str">
        <f>IF(F2014="","",IF($F$2=入力リスト!$Q$4,ROUNDDOWN(INT(F2014)+ROUNDDOWN((F2014-INT(F2014))*100,0)/60,2),従業員の給与情報!F2014))</f>
        <v/>
      </c>
      <c r="O2014" s="8"/>
      <c r="P2014" s="8"/>
    </row>
    <row r="2015" spans="1:16">
      <c r="A2015" s="119"/>
      <c r="B2015" s="2"/>
      <c r="C2015" s="3"/>
      <c r="D2015" s="3"/>
      <c r="E2015" s="3"/>
      <c r="F2015" s="9"/>
      <c r="G2015" s="248" t="str">
        <f t="shared" si="155"/>
        <v/>
      </c>
      <c r="H2015" s="1" t="b">
        <f>IF(B2015="",FALSE,COUNTIF('従業員情報(給与以外)'!$A$4:$A$1000000,$B2015)=0)</f>
        <v>0</v>
      </c>
      <c r="I2015" s="9" t="b">
        <f t="shared" si="156"/>
        <v>1</v>
      </c>
      <c r="J2015" s="9" t="b">
        <f t="shared" si="157"/>
        <v>1</v>
      </c>
      <c r="K2015" s="9" t="b">
        <f t="shared" si="158"/>
        <v>1</v>
      </c>
      <c r="L2015" s="9" t="b">
        <f t="shared" si="159"/>
        <v>1</v>
      </c>
      <c r="M2015" s="1" t="b">
        <f>IF(OR(入力シート!$C$5&lt;&gt;入力リスト!$N$4,入力シート!$J$22&lt;&gt;入力リスト!$K$4),TRUE,IF($F$2=入力リスト!$Q$4,IF(F2015-INT(F2015)&lt;0.6,TRUE,FALSE),TRUE))</f>
        <v>1</v>
      </c>
      <c r="N2015" s="9" t="str">
        <f>IF(F2015="","",IF($F$2=入力リスト!$Q$4,ROUNDDOWN(INT(F2015)+ROUNDDOWN((F2015-INT(F2015))*100,0)/60,2),従業員の給与情報!F2015))</f>
        <v/>
      </c>
      <c r="O2015" s="8"/>
      <c r="P2015" s="8"/>
    </row>
    <row r="2016" spans="1:16">
      <c r="A2016" s="119"/>
      <c r="B2016" s="2"/>
      <c r="C2016" s="3"/>
      <c r="D2016" s="3"/>
      <c r="E2016" s="3"/>
      <c r="F2016" s="9"/>
      <c r="G2016" s="248" t="str">
        <f t="shared" si="155"/>
        <v/>
      </c>
      <c r="H2016" s="1" t="b">
        <f>IF(B2016="",FALSE,COUNTIF('従業員情報(給与以外)'!$A$4:$A$1000000,$B2016)=0)</f>
        <v>0</v>
      </c>
      <c r="I2016" s="9" t="b">
        <f t="shared" si="156"/>
        <v>1</v>
      </c>
      <c r="J2016" s="9" t="b">
        <f t="shared" si="157"/>
        <v>1</v>
      </c>
      <c r="K2016" s="9" t="b">
        <f t="shared" si="158"/>
        <v>1</v>
      </c>
      <c r="L2016" s="9" t="b">
        <f t="shared" si="159"/>
        <v>1</v>
      </c>
      <c r="M2016" s="1" t="b">
        <f>IF(OR(入力シート!$C$5&lt;&gt;入力リスト!$N$4,入力シート!$J$22&lt;&gt;入力リスト!$K$4),TRUE,IF($F$2=入力リスト!$Q$4,IF(F2016-INT(F2016)&lt;0.6,TRUE,FALSE),TRUE))</f>
        <v>1</v>
      </c>
      <c r="N2016" s="9" t="str">
        <f>IF(F2016="","",IF($F$2=入力リスト!$Q$4,ROUNDDOWN(INT(F2016)+ROUNDDOWN((F2016-INT(F2016))*100,0)/60,2),従業員の給与情報!F2016))</f>
        <v/>
      </c>
      <c r="O2016" s="8"/>
      <c r="P2016" s="8"/>
    </row>
    <row r="2017" spans="1:16">
      <c r="A2017" s="119"/>
      <c r="B2017" s="2"/>
      <c r="C2017" s="3"/>
      <c r="D2017" s="3"/>
      <c r="E2017" s="3"/>
      <c r="F2017" s="9"/>
      <c r="G2017" s="248" t="str">
        <f t="shared" si="155"/>
        <v/>
      </c>
      <c r="H2017" s="1" t="b">
        <f>IF(B2017="",FALSE,COUNTIF('従業員情報(給与以外)'!$A$4:$A$1000000,$B2017)=0)</f>
        <v>0</v>
      </c>
      <c r="I2017" s="9" t="b">
        <f t="shared" si="156"/>
        <v>1</v>
      </c>
      <c r="J2017" s="9" t="b">
        <f t="shared" si="157"/>
        <v>1</v>
      </c>
      <c r="K2017" s="9" t="b">
        <f t="shared" si="158"/>
        <v>1</v>
      </c>
      <c r="L2017" s="9" t="b">
        <f t="shared" si="159"/>
        <v>1</v>
      </c>
      <c r="M2017" s="1" t="b">
        <f>IF(OR(入力シート!$C$5&lt;&gt;入力リスト!$N$4,入力シート!$J$22&lt;&gt;入力リスト!$K$4),TRUE,IF($F$2=入力リスト!$Q$4,IF(F2017-INT(F2017)&lt;0.6,TRUE,FALSE),TRUE))</f>
        <v>1</v>
      </c>
      <c r="N2017" s="9" t="str">
        <f>IF(F2017="","",IF($F$2=入力リスト!$Q$4,ROUNDDOWN(INT(F2017)+ROUNDDOWN((F2017-INT(F2017))*100,0)/60,2),従業員の給与情報!F2017))</f>
        <v/>
      </c>
      <c r="O2017" s="8"/>
      <c r="P2017" s="8"/>
    </row>
    <row r="2018" spans="1:16">
      <c r="A2018" s="119"/>
      <c r="B2018" s="2"/>
      <c r="C2018" s="3"/>
      <c r="D2018" s="3"/>
      <c r="E2018" s="3"/>
      <c r="F2018" s="9"/>
      <c r="G2018" s="248" t="str">
        <f t="shared" si="155"/>
        <v/>
      </c>
      <c r="H2018" s="1" t="b">
        <f>IF(B2018="",FALSE,COUNTIF('従業員情報(給与以外)'!$A$4:$A$1000000,$B2018)=0)</f>
        <v>0</v>
      </c>
      <c r="I2018" s="9" t="b">
        <f t="shared" si="156"/>
        <v>1</v>
      </c>
      <c r="J2018" s="9" t="b">
        <f t="shared" si="157"/>
        <v>1</v>
      </c>
      <c r="K2018" s="9" t="b">
        <f t="shared" si="158"/>
        <v>1</v>
      </c>
      <c r="L2018" s="9" t="b">
        <f t="shared" si="159"/>
        <v>1</v>
      </c>
      <c r="M2018" s="1" t="b">
        <f>IF(OR(入力シート!$C$5&lt;&gt;入力リスト!$N$4,入力シート!$J$22&lt;&gt;入力リスト!$K$4),TRUE,IF($F$2=入力リスト!$Q$4,IF(F2018-INT(F2018)&lt;0.6,TRUE,FALSE),TRUE))</f>
        <v>1</v>
      </c>
      <c r="N2018" s="9" t="str">
        <f>IF(F2018="","",IF($F$2=入力リスト!$Q$4,ROUNDDOWN(INT(F2018)+ROUNDDOWN((F2018-INT(F2018))*100,0)/60,2),従業員の給与情報!F2018))</f>
        <v/>
      </c>
      <c r="O2018" s="8"/>
      <c r="P2018" s="8"/>
    </row>
    <row r="2019" spans="1:16">
      <c r="A2019" s="119"/>
      <c r="B2019" s="2"/>
      <c r="C2019" s="3"/>
      <c r="D2019" s="3"/>
      <c r="E2019" s="3"/>
      <c r="F2019" s="9"/>
      <c r="G2019" s="248" t="str">
        <f t="shared" si="155"/>
        <v/>
      </c>
      <c r="H2019" s="1" t="b">
        <f>IF(B2019="",FALSE,COUNTIF('従業員情報(給与以外)'!$A$4:$A$1000000,$B2019)=0)</f>
        <v>0</v>
      </c>
      <c r="I2019" s="9" t="b">
        <f t="shared" si="156"/>
        <v>1</v>
      </c>
      <c r="J2019" s="9" t="b">
        <f t="shared" si="157"/>
        <v>1</v>
      </c>
      <c r="K2019" s="9" t="b">
        <f t="shared" si="158"/>
        <v>1</v>
      </c>
      <c r="L2019" s="9" t="b">
        <f t="shared" si="159"/>
        <v>1</v>
      </c>
      <c r="M2019" s="1" t="b">
        <f>IF(OR(入力シート!$C$5&lt;&gt;入力リスト!$N$4,入力シート!$J$22&lt;&gt;入力リスト!$K$4),TRUE,IF($F$2=入力リスト!$Q$4,IF(F2019-INT(F2019)&lt;0.6,TRUE,FALSE),TRUE))</f>
        <v>1</v>
      </c>
      <c r="N2019" s="9" t="str">
        <f>IF(F2019="","",IF($F$2=入力リスト!$Q$4,ROUNDDOWN(INT(F2019)+ROUNDDOWN((F2019-INT(F2019))*100,0)/60,2),従業員の給与情報!F2019))</f>
        <v/>
      </c>
      <c r="O2019" s="8"/>
      <c r="P2019" s="8"/>
    </row>
    <row r="2020" spans="1:16">
      <c r="A2020" s="119"/>
      <c r="B2020" s="2"/>
      <c r="C2020" s="3"/>
      <c r="D2020" s="3"/>
      <c r="E2020" s="3"/>
      <c r="F2020" s="9"/>
      <c r="G2020" s="248" t="str">
        <f t="shared" si="155"/>
        <v/>
      </c>
      <c r="H2020" s="1" t="b">
        <f>IF(B2020="",FALSE,COUNTIF('従業員情報(給与以外)'!$A$4:$A$1000000,$B2020)=0)</f>
        <v>0</v>
      </c>
      <c r="I2020" s="9" t="b">
        <f t="shared" si="156"/>
        <v>1</v>
      </c>
      <c r="J2020" s="9" t="b">
        <f t="shared" si="157"/>
        <v>1</v>
      </c>
      <c r="K2020" s="9" t="b">
        <f t="shared" si="158"/>
        <v>1</v>
      </c>
      <c r="L2020" s="9" t="b">
        <f t="shared" si="159"/>
        <v>1</v>
      </c>
      <c r="M2020" s="1" t="b">
        <f>IF(OR(入力シート!$C$5&lt;&gt;入力リスト!$N$4,入力シート!$J$22&lt;&gt;入力リスト!$K$4),TRUE,IF($F$2=入力リスト!$Q$4,IF(F2020-INT(F2020)&lt;0.6,TRUE,FALSE),TRUE))</f>
        <v>1</v>
      </c>
      <c r="N2020" s="9" t="str">
        <f>IF(F2020="","",IF($F$2=入力リスト!$Q$4,ROUNDDOWN(INT(F2020)+ROUNDDOWN((F2020-INT(F2020))*100,0)/60,2),従業員の給与情報!F2020))</f>
        <v/>
      </c>
      <c r="O2020" s="8"/>
      <c r="P2020" s="8"/>
    </row>
    <row r="2021" spans="1:16">
      <c r="A2021" s="119"/>
      <c r="B2021" s="2"/>
      <c r="C2021" s="3"/>
      <c r="D2021" s="3"/>
      <c r="E2021" s="3"/>
      <c r="F2021" s="9"/>
      <c r="G2021" s="248" t="str">
        <f t="shared" si="155"/>
        <v/>
      </c>
      <c r="H2021" s="1" t="b">
        <f>IF(B2021="",FALSE,COUNTIF('従業員情報(給与以外)'!$A$4:$A$1000000,$B2021)=0)</f>
        <v>0</v>
      </c>
      <c r="I2021" s="9" t="b">
        <f t="shared" si="156"/>
        <v>1</v>
      </c>
      <c r="J2021" s="9" t="b">
        <f t="shared" si="157"/>
        <v>1</v>
      </c>
      <c r="K2021" s="9" t="b">
        <f t="shared" si="158"/>
        <v>1</v>
      </c>
      <c r="L2021" s="9" t="b">
        <f t="shared" si="159"/>
        <v>1</v>
      </c>
      <c r="M2021" s="1" t="b">
        <f>IF(OR(入力シート!$C$5&lt;&gt;入力リスト!$N$4,入力シート!$J$22&lt;&gt;入力リスト!$K$4),TRUE,IF($F$2=入力リスト!$Q$4,IF(F2021-INT(F2021)&lt;0.6,TRUE,FALSE),TRUE))</f>
        <v>1</v>
      </c>
      <c r="N2021" s="9" t="str">
        <f>IF(F2021="","",IF($F$2=入力リスト!$Q$4,ROUNDDOWN(INT(F2021)+ROUNDDOWN((F2021-INT(F2021))*100,0)/60,2),従業員の給与情報!F2021))</f>
        <v/>
      </c>
      <c r="O2021" s="8"/>
      <c r="P2021" s="8"/>
    </row>
    <row r="2022" spans="1:16">
      <c r="A2022" s="119"/>
      <c r="B2022" s="2"/>
      <c r="C2022" s="3"/>
      <c r="D2022" s="3"/>
      <c r="E2022" s="3"/>
      <c r="F2022" s="9"/>
      <c r="G2022" s="248" t="str">
        <f t="shared" si="155"/>
        <v/>
      </c>
      <c r="H2022" s="1" t="b">
        <f>IF(B2022="",FALSE,COUNTIF('従業員情報(給与以外)'!$A$4:$A$1000000,$B2022)=0)</f>
        <v>0</v>
      </c>
      <c r="I2022" s="9" t="b">
        <f t="shared" si="156"/>
        <v>1</v>
      </c>
      <c r="J2022" s="9" t="b">
        <f t="shared" si="157"/>
        <v>1</v>
      </c>
      <c r="K2022" s="9" t="b">
        <f t="shared" si="158"/>
        <v>1</v>
      </c>
      <c r="L2022" s="9" t="b">
        <f t="shared" si="159"/>
        <v>1</v>
      </c>
      <c r="M2022" s="1" t="b">
        <f>IF(OR(入力シート!$C$5&lt;&gt;入力リスト!$N$4,入力シート!$J$22&lt;&gt;入力リスト!$K$4),TRUE,IF($F$2=入力リスト!$Q$4,IF(F2022-INT(F2022)&lt;0.6,TRUE,FALSE),TRUE))</f>
        <v>1</v>
      </c>
      <c r="N2022" s="9" t="str">
        <f>IF(F2022="","",IF($F$2=入力リスト!$Q$4,ROUNDDOWN(INT(F2022)+ROUNDDOWN((F2022-INT(F2022))*100,0)/60,2),従業員の給与情報!F2022))</f>
        <v/>
      </c>
      <c r="O2022" s="8"/>
      <c r="P2022" s="8"/>
    </row>
    <row r="2023" spans="1:16">
      <c r="A2023" s="119"/>
      <c r="B2023" s="2"/>
      <c r="C2023" s="3"/>
      <c r="D2023" s="3"/>
      <c r="E2023" s="3"/>
      <c r="F2023" s="9"/>
      <c r="G2023" s="248" t="str">
        <f t="shared" si="155"/>
        <v/>
      </c>
      <c r="H2023" s="1" t="b">
        <f>IF(B2023="",FALSE,COUNTIF('従業員情報(給与以外)'!$A$4:$A$1000000,$B2023)=0)</f>
        <v>0</v>
      </c>
      <c r="I2023" s="9" t="b">
        <f t="shared" si="156"/>
        <v>1</v>
      </c>
      <c r="J2023" s="9" t="b">
        <f t="shared" si="157"/>
        <v>1</v>
      </c>
      <c r="K2023" s="9" t="b">
        <f t="shared" si="158"/>
        <v>1</v>
      </c>
      <c r="L2023" s="9" t="b">
        <f t="shared" si="159"/>
        <v>1</v>
      </c>
      <c r="M2023" s="1" t="b">
        <f>IF(OR(入力シート!$C$5&lt;&gt;入力リスト!$N$4,入力シート!$J$22&lt;&gt;入力リスト!$K$4),TRUE,IF($F$2=入力リスト!$Q$4,IF(F2023-INT(F2023)&lt;0.6,TRUE,FALSE),TRUE))</f>
        <v>1</v>
      </c>
      <c r="N2023" s="9" t="str">
        <f>IF(F2023="","",IF($F$2=入力リスト!$Q$4,ROUNDDOWN(INT(F2023)+ROUNDDOWN((F2023-INT(F2023))*100,0)/60,2),従業員の給与情報!F2023))</f>
        <v/>
      </c>
      <c r="O2023" s="8"/>
      <c r="P2023" s="8"/>
    </row>
    <row r="2024" spans="1:16">
      <c r="A2024" s="119"/>
      <c r="B2024" s="2"/>
      <c r="C2024" s="3"/>
      <c r="D2024" s="3"/>
      <c r="E2024" s="3"/>
      <c r="F2024" s="9"/>
      <c r="G2024" s="248" t="str">
        <f t="shared" si="155"/>
        <v/>
      </c>
      <c r="H2024" s="1" t="b">
        <f>IF(B2024="",FALSE,COUNTIF('従業員情報(給与以外)'!$A$4:$A$1000000,$B2024)=0)</f>
        <v>0</v>
      </c>
      <c r="I2024" s="9" t="b">
        <f t="shared" si="156"/>
        <v>1</v>
      </c>
      <c r="J2024" s="9" t="b">
        <f t="shared" si="157"/>
        <v>1</v>
      </c>
      <c r="K2024" s="9" t="b">
        <f t="shared" si="158"/>
        <v>1</v>
      </c>
      <c r="L2024" s="9" t="b">
        <f t="shared" si="159"/>
        <v>1</v>
      </c>
      <c r="M2024" s="1" t="b">
        <f>IF(OR(入力シート!$C$5&lt;&gt;入力リスト!$N$4,入力シート!$J$22&lt;&gt;入力リスト!$K$4),TRUE,IF($F$2=入力リスト!$Q$4,IF(F2024-INT(F2024)&lt;0.6,TRUE,FALSE),TRUE))</f>
        <v>1</v>
      </c>
      <c r="N2024" s="9" t="str">
        <f>IF(F2024="","",IF($F$2=入力リスト!$Q$4,ROUNDDOWN(INT(F2024)+ROUNDDOWN((F2024-INT(F2024))*100,0)/60,2),従業員の給与情報!F2024))</f>
        <v/>
      </c>
      <c r="O2024" s="8"/>
      <c r="P2024" s="8"/>
    </row>
    <row r="2025" spans="1:16">
      <c r="A2025" s="119"/>
      <c r="B2025" s="2"/>
      <c r="C2025" s="3"/>
      <c r="D2025" s="3"/>
      <c r="E2025" s="3"/>
      <c r="F2025" s="9"/>
      <c r="G2025" s="248" t="str">
        <f t="shared" si="155"/>
        <v/>
      </c>
      <c r="H2025" s="1" t="b">
        <f>IF(B2025="",FALSE,COUNTIF('従業員情報(給与以外)'!$A$4:$A$1000000,$B2025)=0)</f>
        <v>0</v>
      </c>
      <c r="I2025" s="9" t="b">
        <f t="shared" si="156"/>
        <v>1</v>
      </c>
      <c r="J2025" s="9" t="b">
        <f t="shared" si="157"/>
        <v>1</v>
      </c>
      <c r="K2025" s="9" t="b">
        <f t="shared" si="158"/>
        <v>1</v>
      </c>
      <c r="L2025" s="9" t="b">
        <f t="shared" si="159"/>
        <v>1</v>
      </c>
      <c r="M2025" s="1" t="b">
        <f>IF(OR(入力シート!$C$5&lt;&gt;入力リスト!$N$4,入力シート!$J$22&lt;&gt;入力リスト!$K$4),TRUE,IF($F$2=入力リスト!$Q$4,IF(F2025-INT(F2025)&lt;0.6,TRUE,FALSE),TRUE))</f>
        <v>1</v>
      </c>
      <c r="N2025" s="9" t="str">
        <f>IF(F2025="","",IF($F$2=入力リスト!$Q$4,ROUNDDOWN(INT(F2025)+ROUNDDOWN((F2025-INT(F2025))*100,0)/60,2),従業員の給与情報!F2025))</f>
        <v/>
      </c>
      <c r="O2025" s="8"/>
      <c r="P2025" s="8"/>
    </row>
    <row r="2026" spans="1:16">
      <c r="A2026" s="119"/>
      <c r="B2026" s="2"/>
      <c r="C2026" s="3"/>
      <c r="D2026" s="3"/>
      <c r="E2026" s="3"/>
      <c r="F2026" s="9"/>
      <c r="G2026" s="248" t="str">
        <f t="shared" si="155"/>
        <v/>
      </c>
      <c r="H2026" s="1" t="b">
        <f>IF(B2026="",FALSE,COUNTIF('従業員情報(給与以外)'!$A$4:$A$1000000,$B2026)=0)</f>
        <v>0</v>
      </c>
      <c r="I2026" s="9" t="b">
        <f t="shared" si="156"/>
        <v>1</v>
      </c>
      <c r="J2026" s="9" t="b">
        <f t="shared" si="157"/>
        <v>1</v>
      </c>
      <c r="K2026" s="9" t="b">
        <f t="shared" si="158"/>
        <v>1</v>
      </c>
      <c r="L2026" s="9" t="b">
        <f t="shared" si="159"/>
        <v>1</v>
      </c>
      <c r="M2026" s="1" t="b">
        <f>IF(OR(入力シート!$C$5&lt;&gt;入力リスト!$N$4,入力シート!$J$22&lt;&gt;入力リスト!$K$4),TRUE,IF($F$2=入力リスト!$Q$4,IF(F2026-INT(F2026)&lt;0.6,TRUE,FALSE),TRUE))</f>
        <v>1</v>
      </c>
      <c r="N2026" s="9" t="str">
        <f>IF(F2026="","",IF($F$2=入力リスト!$Q$4,ROUNDDOWN(INT(F2026)+ROUNDDOWN((F2026-INT(F2026))*100,0)/60,2),従業員の給与情報!F2026))</f>
        <v/>
      </c>
      <c r="O2026" s="8"/>
      <c r="P2026" s="8"/>
    </row>
    <row r="2027" spans="1:16">
      <c r="A2027" s="119"/>
      <c r="B2027" s="2"/>
      <c r="C2027" s="3"/>
      <c r="D2027" s="3"/>
      <c r="E2027" s="3"/>
      <c r="F2027" s="9"/>
      <c r="G2027" s="248" t="str">
        <f t="shared" si="155"/>
        <v/>
      </c>
      <c r="H2027" s="1" t="b">
        <f>IF(B2027="",FALSE,COUNTIF('従業員情報(給与以外)'!$A$4:$A$1000000,$B2027)=0)</f>
        <v>0</v>
      </c>
      <c r="I2027" s="9" t="b">
        <f t="shared" si="156"/>
        <v>1</v>
      </c>
      <c r="J2027" s="9" t="b">
        <f t="shared" si="157"/>
        <v>1</v>
      </c>
      <c r="K2027" s="9" t="b">
        <f t="shared" si="158"/>
        <v>1</v>
      </c>
      <c r="L2027" s="9" t="b">
        <f t="shared" si="159"/>
        <v>1</v>
      </c>
      <c r="M2027" s="1" t="b">
        <f>IF(OR(入力シート!$C$5&lt;&gt;入力リスト!$N$4,入力シート!$J$22&lt;&gt;入力リスト!$K$4),TRUE,IF($F$2=入力リスト!$Q$4,IF(F2027-INT(F2027)&lt;0.6,TRUE,FALSE),TRUE))</f>
        <v>1</v>
      </c>
      <c r="N2027" s="9" t="str">
        <f>IF(F2027="","",IF($F$2=入力リスト!$Q$4,ROUNDDOWN(INT(F2027)+ROUNDDOWN((F2027-INT(F2027))*100,0)/60,2),従業員の給与情報!F2027))</f>
        <v/>
      </c>
      <c r="O2027" s="8"/>
      <c r="P2027" s="8"/>
    </row>
    <row r="2028" spans="1:16">
      <c r="A2028" s="119"/>
      <c r="B2028" s="2"/>
      <c r="C2028" s="3"/>
      <c r="D2028" s="3"/>
      <c r="E2028" s="3"/>
      <c r="F2028" s="9"/>
      <c r="G2028" s="248" t="str">
        <f t="shared" si="155"/>
        <v/>
      </c>
      <c r="H2028" s="1" t="b">
        <f>IF(B2028="",FALSE,COUNTIF('従業員情報(給与以外)'!$A$4:$A$1000000,$B2028)=0)</f>
        <v>0</v>
      </c>
      <c r="I2028" s="9" t="b">
        <f t="shared" si="156"/>
        <v>1</v>
      </c>
      <c r="J2028" s="9" t="b">
        <f t="shared" si="157"/>
        <v>1</v>
      </c>
      <c r="K2028" s="9" t="b">
        <f t="shared" si="158"/>
        <v>1</v>
      </c>
      <c r="L2028" s="9" t="b">
        <f t="shared" si="159"/>
        <v>1</v>
      </c>
      <c r="M2028" s="1" t="b">
        <f>IF(OR(入力シート!$C$5&lt;&gt;入力リスト!$N$4,入力シート!$J$22&lt;&gt;入力リスト!$K$4),TRUE,IF($F$2=入力リスト!$Q$4,IF(F2028-INT(F2028)&lt;0.6,TRUE,FALSE),TRUE))</f>
        <v>1</v>
      </c>
      <c r="N2028" s="9" t="str">
        <f>IF(F2028="","",IF($F$2=入力リスト!$Q$4,ROUNDDOWN(INT(F2028)+ROUNDDOWN((F2028-INT(F2028))*100,0)/60,2),従業員の給与情報!F2028))</f>
        <v/>
      </c>
      <c r="O2028" s="8"/>
      <c r="P2028" s="8"/>
    </row>
    <row r="2029" spans="1:16">
      <c r="A2029" s="119"/>
      <c r="B2029" s="2"/>
      <c r="C2029" s="3"/>
      <c r="D2029" s="3"/>
      <c r="E2029" s="3"/>
      <c r="F2029" s="9"/>
      <c r="G2029" s="248" t="str">
        <f t="shared" si="155"/>
        <v/>
      </c>
      <c r="H2029" s="1" t="b">
        <f>IF(B2029="",FALSE,COUNTIF('従業員情報(給与以外)'!$A$4:$A$1000000,$B2029)=0)</f>
        <v>0</v>
      </c>
      <c r="I2029" s="9" t="b">
        <f t="shared" si="156"/>
        <v>1</v>
      </c>
      <c r="J2029" s="9" t="b">
        <f t="shared" si="157"/>
        <v>1</v>
      </c>
      <c r="K2029" s="9" t="b">
        <f t="shared" si="158"/>
        <v>1</v>
      </c>
      <c r="L2029" s="9" t="b">
        <f t="shared" si="159"/>
        <v>1</v>
      </c>
      <c r="M2029" s="1" t="b">
        <f>IF(OR(入力シート!$C$5&lt;&gt;入力リスト!$N$4,入力シート!$J$22&lt;&gt;入力リスト!$K$4),TRUE,IF($F$2=入力リスト!$Q$4,IF(F2029-INT(F2029)&lt;0.6,TRUE,FALSE),TRUE))</f>
        <v>1</v>
      </c>
      <c r="N2029" s="9" t="str">
        <f>IF(F2029="","",IF($F$2=入力リスト!$Q$4,ROUNDDOWN(INT(F2029)+ROUNDDOWN((F2029-INT(F2029))*100,0)/60,2),従業員の給与情報!F2029))</f>
        <v/>
      </c>
      <c r="O2029" s="8"/>
      <c r="P2029" s="8"/>
    </row>
    <row r="2030" spans="1:16">
      <c r="A2030" s="119"/>
      <c r="B2030" s="2"/>
      <c r="C2030" s="3"/>
      <c r="D2030" s="3"/>
      <c r="E2030" s="3"/>
      <c r="F2030" s="9"/>
      <c r="G2030" s="248" t="str">
        <f t="shared" si="155"/>
        <v/>
      </c>
      <c r="H2030" s="1" t="b">
        <f>IF(B2030="",FALSE,COUNTIF('従業員情報(給与以外)'!$A$4:$A$1000000,$B2030)=0)</f>
        <v>0</v>
      </c>
      <c r="I2030" s="9" t="b">
        <f t="shared" si="156"/>
        <v>1</v>
      </c>
      <c r="J2030" s="9" t="b">
        <f t="shared" si="157"/>
        <v>1</v>
      </c>
      <c r="K2030" s="9" t="b">
        <f t="shared" si="158"/>
        <v>1</v>
      </c>
      <c r="L2030" s="9" t="b">
        <f t="shared" si="159"/>
        <v>1</v>
      </c>
      <c r="M2030" s="1" t="b">
        <f>IF(OR(入力シート!$C$5&lt;&gt;入力リスト!$N$4,入力シート!$J$22&lt;&gt;入力リスト!$K$4),TRUE,IF($F$2=入力リスト!$Q$4,IF(F2030-INT(F2030)&lt;0.6,TRUE,FALSE),TRUE))</f>
        <v>1</v>
      </c>
      <c r="N2030" s="9" t="str">
        <f>IF(F2030="","",IF($F$2=入力リスト!$Q$4,ROUNDDOWN(INT(F2030)+ROUNDDOWN((F2030-INT(F2030))*100,0)/60,2),従業員の給与情報!F2030))</f>
        <v/>
      </c>
      <c r="O2030" s="8"/>
      <c r="P2030" s="8"/>
    </row>
    <row r="2031" spans="1:16">
      <c r="A2031" s="119"/>
      <c r="B2031" s="2"/>
      <c r="C2031" s="3"/>
      <c r="D2031" s="3"/>
      <c r="E2031" s="3"/>
      <c r="F2031" s="9"/>
      <c r="G2031" s="248" t="str">
        <f t="shared" si="155"/>
        <v/>
      </c>
      <c r="H2031" s="1" t="b">
        <f>IF(B2031="",FALSE,COUNTIF('従業員情報(給与以外)'!$A$4:$A$1000000,$B2031)=0)</f>
        <v>0</v>
      </c>
      <c r="I2031" s="9" t="b">
        <f t="shared" si="156"/>
        <v>1</v>
      </c>
      <c r="J2031" s="9" t="b">
        <f t="shared" si="157"/>
        <v>1</v>
      </c>
      <c r="K2031" s="9" t="b">
        <f t="shared" si="158"/>
        <v>1</v>
      </c>
      <c r="L2031" s="9" t="b">
        <f t="shared" si="159"/>
        <v>1</v>
      </c>
      <c r="M2031" s="1" t="b">
        <f>IF(OR(入力シート!$C$5&lt;&gt;入力リスト!$N$4,入力シート!$J$22&lt;&gt;入力リスト!$K$4),TRUE,IF($F$2=入力リスト!$Q$4,IF(F2031-INT(F2031)&lt;0.6,TRUE,FALSE),TRUE))</f>
        <v>1</v>
      </c>
      <c r="N2031" s="9" t="str">
        <f>IF(F2031="","",IF($F$2=入力リスト!$Q$4,ROUNDDOWN(INT(F2031)+ROUNDDOWN((F2031-INT(F2031))*100,0)/60,2),従業員の給与情報!F2031))</f>
        <v/>
      </c>
      <c r="O2031" s="8"/>
      <c r="P2031" s="8"/>
    </row>
    <row r="2032" spans="1:16">
      <c r="A2032" s="119"/>
      <c r="B2032" s="2"/>
      <c r="C2032" s="3"/>
      <c r="D2032" s="3"/>
      <c r="E2032" s="3"/>
      <c r="F2032" s="9"/>
      <c r="G2032" s="248" t="str">
        <f t="shared" si="155"/>
        <v/>
      </c>
      <c r="H2032" s="1" t="b">
        <f>IF(B2032="",FALSE,COUNTIF('従業員情報(給与以外)'!$A$4:$A$1000000,$B2032)=0)</f>
        <v>0</v>
      </c>
      <c r="I2032" s="9" t="b">
        <f t="shared" si="156"/>
        <v>1</v>
      </c>
      <c r="J2032" s="9" t="b">
        <f t="shared" si="157"/>
        <v>1</v>
      </c>
      <c r="K2032" s="9" t="b">
        <f t="shared" si="158"/>
        <v>1</v>
      </c>
      <c r="L2032" s="9" t="b">
        <f t="shared" si="159"/>
        <v>1</v>
      </c>
      <c r="M2032" s="1" t="b">
        <f>IF(OR(入力シート!$C$5&lt;&gt;入力リスト!$N$4,入力シート!$J$22&lt;&gt;入力リスト!$K$4),TRUE,IF($F$2=入力リスト!$Q$4,IF(F2032-INT(F2032)&lt;0.6,TRUE,FALSE),TRUE))</f>
        <v>1</v>
      </c>
      <c r="N2032" s="9" t="str">
        <f>IF(F2032="","",IF($F$2=入力リスト!$Q$4,ROUNDDOWN(INT(F2032)+ROUNDDOWN((F2032-INT(F2032))*100,0)/60,2),従業員の給与情報!F2032))</f>
        <v/>
      </c>
      <c r="O2032" s="8"/>
      <c r="P2032" s="8"/>
    </row>
    <row r="2033" spans="1:16">
      <c r="A2033" s="119"/>
      <c r="B2033" s="2"/>
      <c r="C2033" s="3"/>
      <c r="D2033" s="3"/>
      <c r="E2033" s="3"/>
      <c r="F2033" s="9"/>
      <c r="G2033" s="248" t="str">
        <f t="shared" si="155"/>
        <v/>
      </c>
      <c r="H2033" s="1" t="b">
        <f>IF(B2033="",FALSE,COUNTIF('従業員情報(給与以外)'!$A$4:$A$1000000,$B2033)=0)</f>
        <v>0</v>
      </c>
      <c r="I2033" s="9" t="b">
        <f t="shared" si="156"/>
        <v>1</v>
      </c>
      <c r="J2033" s="9" t="b">
        <f t="shared" si="157"/>
        <v>1</v>
      </c>
      <c r="K2033" s="9" t="b">
        <f t="shared" si="158"/>
        <v>1</v>
      </c>
      <c r="L2033" s="9" t="b">
        <f t="shared" si="159"/>
        <v>1</v>
      </c>
      <c r="M2033" s="1" t="b">
        <f>IF(OR(入力シート!$C$5&lt;&gt;入力リスト!$N$4,入力シート!$J$22&lt;&gt;入力リスト!$K$4),TRUE,IF($F$2=入力リスト!$Q$4,IF(F2033-INT(F2033)&lt;0.6,TRUE,FALSE),TRUE))</f>
        <v>1</v>
      </c>
      <c r="N2033" s="9" t="str">
        <f>IF(F2033="","",IF($F$2=入力リスト!$Q$4,ROUNDDOWN(INT(F2033)+ROUNDDOWN((F2033-INT(F2033))*100,0)/60,2),従業員の給与情報!F2033))</f>
        <v/>
      </c>
      <c r="O2033" s="8"/>
      <c r="P2033" s="8"/>
    </row>
    <row r="2034" spans="1:16">
      <c r="A2034" s="119"/>
      <c r="B2034" s="2"/>
      <c r="C2034" s="3"/>
      <c r="D2034" s="3"/>
      <c r="E2034" s="3"/>
      <c r="F2034" s="9"/>
      <c r="G2034" s="248" t="str">
        <f t="shared" si="155"/>
        <v/>
      </c>
      <c r="H2034" s="1" t="b">
        <f>IF(B2034="",FALSE,COUNTIF('従業員情報(給与以外)'!$A$4:$A$1000000,$B2034)=0)</f>
        <v>0</v>
      </c>
      <c r="I2034" s="9" t="b">
        <f t="shared" si="156"/>
        <v>1</v>
      </c>
      <c r="J2034" s="9" t="b">
        <f t="shared" si="157"/>
        <v>1</v>
      </c>
      <c r="K2034" s="9" t="b">
        <f t="shared" si="158"/>
        <v>1</v>
      </c>
      <c r="L2034" s="9" t="b">
        <f t="shared" si="159"/>
        <v>1</v>
      </c>
      <c r="M2034" s="1" t="b">
        <f>IF(OR(入力シート!$C$5&lt;&gt;入力リスト!$N$4,入力シート!$J$22&lt;&gt;入力リスト!$K$4),TRUE,IF($F$2=入力リスト!$Q$4,IF(F2034-INT(F2034)&lt;0.6,TRUE,FALSE),TRUE))</f>
        <v>1</v>
      </c>
      <c r="N2034" s="9" t="str">
        <f>IF(F2034="","",IF($F$2=入力リスト!$Q$4,ROUNDDOWN(INT(F2034)+ROUNDDOWN((F2034-INT(F2034))*100,0)/60,2),従業員の給与情報!F2034))</f>
        <v/>
      </c>
      <c r="O2034" s="8"/>
      <c r="P2034" s="8"/>
    </row>
    <row r="2035" spans="1:16">
      <c r="A2035" s="119"/>
      <c r="B2035" s="2"/>
      <c r="C2035" s="3"/>
      <c r="D2035" s="3"/>
      <c r="E2035" s="3"/>
      <c r="F2035" s="9"/>
      <c r="G2035" s="248" t="str">
        <f t="shared" si="155"/>
        <v/>
      </c>
      <c r="H2035" s="1" t="b">
        <f>IF(B2035="",FALSE,COUNTIF('従業員情報(給与以外)'!$A$4:$A$1000000,$B2035)=0)</f>
        <v>0</v>
      </c>
      <c r="I2035" s="9" t="b">
        <f t="shared" si="156"/>
        <v>1</v>
      </c>
      <c r="J2035" s="9" t="b">
        <f t="shared" si="157"/>
        <v>1</v>
      </c>
      <c r="K2035" s="9" t="b">
        <f t="shared" si="158"/>
        <v>1</v>
      </c>
      <c r="L2035" s="9" t="b">
        <f t="shared" si="159"/>
        <v>1</v>
      </c>
      <c r="M2035" s="1" t="b">
        <f>IF(OR(入力シート!$C$5&lt;&gt;入力リスト!$N$4,入力シート!$J$22&lt;&gt;入力リスト!$K$4),TRUE,IF($F$2=入力リスト!$Q$4,IF(F2035-INT(F2035)&lt;0.6,TRUE,FALSE),TRUE))</f>
        <v>1</v>
      </c>
      <c r="N2035" s="9" t="str">
        <f>IF(F2035="","",IF($F$2=入力リスト!$Q$4,ROUNDDOWN(INT(F2035)+ROUNDDOWN((F2035-INT(F2035))*100,0)/60,2),従業員の給与情報!F2035))</f>
        <v/>
      </c>
      <c r="O2035" s="8"/>
      <c r="P2035" s="8"/>
    </row>
    <row r="2036" spans="1:16">
      <c r="A2036" s="119"/>
      <c r="B2036" s="2"/>
      <c r="C2036" s="3"/>
      <c r="D2036" s="3"/>
      <c r="E2036" s="3"/>
      <c r="F2036" s="9"/>
      <c r="G2036" s="248" t="str">
        <f t="shared" si="155"/>
        <v/>
      </c>
      <c r="H2036" s="1" t="b">
        <f>IF(B2036="",FALSE,COUNTIF('従業員情報(給与以外)'!$A$4:$A$1000000,$B2036)=0)</f>
        <v>0</v>
      </c>
      <c r="I2036" s="9" t="b">
        <f t="shared" si="156"/>
        <v>1</v>
      </c>
      <c r="J2036" s="9" t="b">
        <f t="shared" si="157"/>
        <v>1</v>
      </c>
      <c r="K2036" s="9" t="b">
        <f t="shared" si="158"/>
        <v>1</v>
      </c>
      <c r="L2036" s="9" t="b">
        <f t="shared" si="159"/>
        <v>1</v>
      </c>
      <c r="M2036" s="1" t="b">
        <f>IF(OR(入力シート!$C$5&lt;&gt;入力リスト!$N$4,入力シート!$J$22&lt;&gt;入力リスト!$K$4),TRUE,IF($F$2=入力リスト!$Q$4,IF(F2036-INT(F2036)&lt;0.6,TRUE,FALSE),TRUE))</f>
        <v>1</v>
      </c>
      <c r="N2036" s="9" t="str">
        <f>IF(F2036="","",IF($F$2=入力リスト!$Q$4,ROUNDDOWN(INT(F2036)+ROUNDDOWN((F2036-INT(F2036))*100,0)/60,2),従業員の給与情報!F2036))</f>
        <v/>
      </c>
      <c r="O2036" s="8"/>
      <c r="P2036" s="8"/>
    </row>
    <row r="2037" spans="1:16">
      <c r="A2037" s="119"/>
      <c r="B2037" s="2"/>
      <c r="C2037" s="3"/>
      <c r="D2037" s="3"/>
      <c r="E2037" s="3"/>
      <c r="F2037" s="9"/>
      <c r="G2037" s="248" t="str">
        <f t="shared" si="155"/>
        <v/>
      </c>
      <c r="H2037" s="1" t="b">
        <f>IF(B2037="",FALSE,COUNTIF('従業員情報(給与以外)'!$A$4:$A$1000000,$B2037)=0)</f>
        <v>0</v>
      </c>
      <c r="I2037" s="9" t="b">
        <f t="shared" si="156"/>
        <v>1</v>
      </c>
      <c r="J2037" s="9" t="b">
        <f t="shared" si="157"/>
        <v>1</v>
      </c>
      <c r="K2037" s="9" t="b">
        <f t="shared" si="158"/>
        <v>1</v>
      </c>
      <c r="L2037" s="9" t="b">
        <f t="shared" si="159"/>
        <v>1</v>
      </c>
      <c r="M2037" s="1" t="b">
        <f>IF(OR(入力シート!$C$5&lt;&gt;入力リスト!$N$4,入力シート!$J$22&lt;&gt;入力リスト!$K$4),TRUE,IF($F$2=入力リスト!$Q$4,IF(F2037-INT(F2037)&lt;0.6,TRUE,FALSE),TRUE))</f>
        <v>1</v>
      </c>
      <c r="N2037" s="9" t="str">
        <f>IF(F2037="","",IF($F$2=入力リスト!$Q$4,ROUNDDOWN(INT(F2037)+ROUNDDOWN((F2037-INT(F2037))*100,0)/60,2),従業員の給与情報!F2037))</f>
        <v/>
      </c>
      <c r="O2037" s="8"/>
      <c r="P2037" s="8"/>
    </row>
    <row r="2038" spans="1:16">
      <c r="A2038" s="119"/>
      <c r="B2038" s="2"/>
      <c r="C2038" s="3"/>
      <c r="D2038" s="3"/>
      <c r="E2038" s="3"/>
      <c r="F2038" s="9"/>
      <c r="G2038" s="248" t="str">
        <f t="shared" si="155"/>
        <v/>
      </c>
      <c r="H2038" s="1" t="b">
        <f>IF(B2038="",FALSE,COUNTIF('従業員情報(給与以外)'!$A$4:$A$1000000,$B2038)=0)</f>
        <v>0</v>
      </c>
      <c r="I2038" s="9" t="b">
        <f t="shared" si="156"/>
        <v>1</v>
      </c>
      <c r="J2038" s="9" t="b">
        <f t="shared" si="157"/>
        <v>1</v>
      </c>
      <c r="K2038" s="9" t="b">
        <f t="shared" si="158"/>
        <v>1</v>
      </c>
      <c r="L2038" s="9" t="b">
        <f t="shared" si="159"/>
        <v>1</v>
      </c>
      <c r="M2038" s="1" t="b">
        <f>IF(OR(入力シート!$C$5&lt;&gt;入力リスト!$N$4,入力シート!$J$22&lt;&gt;入力リスト!$K$4),TRUE,IF($F$2=入力リスト!$Q$4,IF(F2038-INT(F2038)&lt;0.6,TRUE,FALSE),TRUE))</f>
        <v>1</v>
      </c>
      <c r="N2038" s="9" t="str">
        <f>IF(F2038="","",IF($F$2=入力リスト!$Q$4,ROUNDDOWN(INT(F2038)+ROUNDDOWN((F2038-INT(F2038))*100,0)/60,2),従業員の給与情報!F2038))</f>
        <v/>
      </c>
      <c r="O2038" s="8"/>
      <c r="P2038" s="8"/>
    </row>
    <row r="2039" spans="1:16">
      <c r="A2039" s="119"/>
      <c r="B2039" s="2"/>
      <c r="C2039" s="3"/>
      <c r="D2039" s="3"/>
      <c r="E2039" s="3"/>
      <c r="F2039" s="9"/>
      <c r="G2039" s="248" t="str">
        <f t="shared" si="155"/>
        <v/>
      </c>
      <c r="H2039" s="1" t="b">
        <f>IF(B2039="",FALSE,COUNTIF('従業員情報(給与以外)'!$A$4:$A$1000000,$B2039)=0)</f>
        <v>0</v>
      </c>
      <c r="I2039" s="9" t="b">
        <f t="shared" si="156"/>
        <v>1</v>
      </c>
      <c r="J2039" s="9" t="b">
        <f t="shared" si="157"/>
        <v>1</v>
      </c>
      <c r="K2039" s="9" t="b">
        <f t="shared" si="158"/>
        <v>1</v>
      </c>
      <c r="L2039" s="9" t="b">
        <f t="shared" si="159"/>
        <v>1</v>
      </c>
      <c r="M2039" s="1" t="b">
        <f>IF(OR(入力シート!$C$5&lt;&gt;入力リスト!$N$4,入力シート!$J$22&lt;&gt;入力リスト!$K$4),TRUE,IF($F$2=入力リスト!$Q$4,IF(F2039-INT(F2039)&lt;0.6,TRUE,FALSE),TRUE))</f>
        <v>1</v>
      </c>
      <c r="N2039" s="9" t="str">
        <f>IF(F2039="","",IF($F$2=入力リスト!$Q$4,ROUNDDOWN(INT(F2039)+ROUNDDOWN((F2039-INT(F2039))*100,0)/60,2),従業員の給与情報!F2039))</f>
        <v/>
      </c>
      <c r="O2039" s="8"/>
      <c r="P2039" s="8"/>
    </row>
    <row r="2040" spans="1:16">
      <c r="A2040" s="119"/>
      <c r="B2040" s="2"/>
      <c r="C2040" s="3"/>
      <c r="D2040" s="3"/>
      <c r="E2040" s="3"/>
      <c r="F2040" s="9"/>
      <c r="G2040" s="248" t="str">
        <f t="shared" si="155"/>
        <v/>
      </c>
      <c r="H2040" s="1" t="b">
        <f>IF(B2040="",FALSE,COUNTIF('従業員情報(給与以外)'!$A$4:$A$1000000,$B2040)=0)</f>
        <v>0</v>
      </c>
      <c r="I2040" s="9" t="b">
        <f t="shared" si="156"/>
        <v>1</v>
      </c>
      <c r="J2040" s="9" t="b">
        <f t="shared" si="157"/>
        <v>1</v>
      </c>
      <c r="K2040" s="9" t="b">
        <f t="shared" si="158"/>
        <v>1</v>
      </c>
      <c r="L2040" s="9" t="b">
        <f t="shared" si="159"/>
        <v>1</v>
      </c>
      <c r="M2040" s="1" t="b">
        <f>IF(OR(入力シート!$C$5&lt;&gt;入力リスト!$N$4,入力シート!$J$22&lt;&gt;入力リスト!$K$4),TRUE,IF($F$2=入力リスト!$Q$4,IF(F2040-INT(F2040)&lt;0.6,TRUE,FALSE),TRUE))</f>
        <v>1</v>
      </c>
      <c r="N2040" s="9" t="str">
        <f>IF(F2040="","",IF($F$2=入力リスト!$Q$4,ROUNDDOWN(INT(F2040)+ROUNDDOWN((F2040-INT(F2040))*100,0)/60,2),従業員の給与情報!F2040))</f>
        <v/>
      </c>
      <c r="O2040" s="8"/>
      <c r="P2040" s="8"/>
    </row>
    <row r="2041" spans="1:16">
      <c r="A2041" s="119"/>
      <c r="B2041" s="2"/>
      <c r="C2041" s="3"/>
      <c r="D2041" s="3"/>
      <c r="E2041" s="3"/>
      <c r="F2041" s="9"/>
      <c r="G2041" s="248" t="str">
        <f t="shared" si="155"/>
        <v/>
      </c>
      <c r="H2041" s="1" t="b">
        <f>IF(B2041="",FALSE,COUNTIF('従業員情報(給与以外)'!$A$4:$A$1000000,$B2041)=0)</f>
        <v>0</v>
      </c>
      <c r="I2041" s="9" t="b">
        <f t="shared" si="156"/>
        <v>1</v>
      </c>
      <c r="J2041" s="9" t="b">
        <f t="shared" si="157"/>
        <v>1</v>
      </c>
      <c r="K2041" s="9" t="b">
        <f t="shared" si="158"/>
        <v>1</v>
      </c>
      <c r="L2041" s="9" t="b">
        <f t="shared" si="159"/>
        <v>1</v>
      </c>
      <c r="M2041" s="1" t="b">
        <f>IF(OR(入力シート!$C$5&lt;&gt;入力リスト!$N$4,入力シート!$J$22&lt;&gt;入力リスト!$K$4),TRUE,IF($F$2=入力リスト!$Q$4,IF(F2041-INT(F2041)&lt;0.6,TRUE,FALSE),TRUE))</f>
        <v>1</v>
      </c>
      <c r="N2041" s="9" t="str">
        <f>IF(F2041="","",IF($F$2=入力リスト!$Q$4,ROUNDDOWN(INT(F2041)+ROUNDDOWN((F2041-INT(F2041))*100,0)/60,2),従業員の給与情報!F2041))</f>
        <v/>
      </c>
      <c r="O2041" s="8"/>
      <c r="P2041" s="8"/>
    </row>
    <row r="2042" spans="1:16">
      <c r="A2042" s="119"/>
      <c r="B2042" s="2"/>
      <c r="C2042" s="3"/>
      <c r="D2042" s="3"/>
      <c r="E2042" s="3"/>
      <c r="F2042" s="9"/>
      <c r="G2042" s="248" t="str">
        <f t="shared" si="155"/>
        <v/>
      </c>
      <c r="H2042" s="1" t="b">
        <f>IF(B2042="",FALSE,COUNTIF('従業員情報(給与以外)'!$A$4:$A$1000000,$B2042)=0)</f>
        <v>0</v>
      </c>
      <c r="I2042" s="9" t="b">
        <f t="shared" si="156"/>
        <v>1</v>
      </c>
      <c r="J2042" s="9" t="b">
        <f t="shared" si="157"/>
        <v>1</v>
      </c>
      <c r="K2042" s="9" t="b">
        <f t="shared" si="158"/>
        <v>1</v>
      </c>
      <c r="L2042" s="9" t="b">
        <f t="shared" si="159"/>
        <v>1</v>
      </c>
      <c r="M2042" s="1" t="b">
        <f>IF(OR(入力シート!$C$5&lt;&gt;入力リスト!$N$4,入力シート!$J$22&lt;&gt;入力リスト!$K$4),TRUE,IF($F$2=入力リスト!$Q$4,IF(F2042-INT(F2042)&lt;0.6,TRUE,FALSE),TRUE))</f>
        <v>1</v>
      </c>
      <c r="N2042" s="9" t="str">
        <f>IF(F2042="","",IF($F$2=入力リスト!$Q$4,ROUNDDOWN(INT(F2042)+ROUNDDOWN((F2042-INT(F2042))*100,0)/60,2),従業員の給与情報!F2042))</f>
        <v/>
      </c>
      <c r="O2042" s="8"/>
      <c r="P2042" s="8"/>
    </row>
    <row r="2043" spans="1:16">
      <c r="A2043" s="119"/>
      <c r="B2043" s="2"/>
      <c r="C2043" s="3"/>
      <c r="D2043" s="3"/>
      <c r="E2043" s="3"/>
      <c r="F2043" s="9"/>
      <c r="G2043" s="248" t="str">
        <f t="shared" si="155"/>
        <v/>
      </c>
      <c r="H2043" s="1" t="b">
        <f>IF(B2043="",FALSE,COUNTIF('従業員情報(給与以外)'!$A$4:$A$1000000,$B2043)=0)</f>
        <v>0</v>
      </c>
      <c r="I2043" s="9" t="b">
        <f t="shared" si="156"/>
        <v>1</v>
      </c>
      <c r="J2043" s="9" t="b">
        <f t="shared" si="157"/>
        <v>1</v>
      </c>
      <c r="K2043" s="9" t="b">
        <f t="shared" si="158"/>
        <v>1</v>
      </c>
      <c r="L2043" s="9" t="b">
        <f t="shared" si="159"/>
        <v>1</v>
      </c>
      <c r="M2043" s="1" t="b">
        <f>IF(OR(入力シート!$C$5&lt;&gt;入力リスト!$N$4,入力シート!$J$22&lt;&gt;入力リスト!$K$4),TRUE,IF($F$2=入力リスト!$Q$4,IF(F2043-INT(F2043)&lt;0.6,TRUE,FALSE),TRUE))</f>
        <v>1</v>
      </c>
      <c r="N2043" s="9" t="str">
        <f>IF(F2043="","",IF($F$2=入力リスト!$Q$4,ROUNDDOWN(INT(F2043)+ROUNDDOWN((F2043-INT(F2043))*100,0)/60,2),従業員の給与情報!F2043))</f>
        <v/>
      </c>
      <c r="O2043" s="8"/>
      <c r="P2043" s="8"/>
    </row>
    <row r="2044" spans="1:16">
      <c r="A2044" s="119"/>
      <c r="B2044" s="2"/>
      <c r="C2044" s="3"/>
      <c r="D2044" s="3"/>
      <c r="E2044" s="3"/>
      <c r="F2044" s="9"/>
      <c r="G2044" s="248" t="str">
        <f t="shared" si="155"/>
        <v/>
      </c>
      <c r="H2044" s="1" t="b">
        <f>IF(B2044="",FALSE,COUNTIF('従業員情報(給与以外)'!$A$4:$A$1000000,$B2044)=0)</f>
        <v>0</v>
      </c>
      <c r="I2044" s="9" t="b">
        <f t="shared" si="156"/>
        <v>1</v>
      </c>
      <c r="J2044" s="9" t="b">
        <f t="shared" si="157"/>
        <v>1</v>
      </c>
      <c r="K2044" s="9" t="b">
        <f t="shared" si="158"/>
        <v>1</v>
      </c>
      <c r="L2044" s="9" t="b">
        <f t="shared" si="159"/>
        <v>1</v>
      </c>
      <c r="M2044" s="1" t="b">
        <f>IF(OR(入力シート!$C$5&lt;&gt;入力リスト!$N$4,入力シート!$J$22&lt;&gt;入力リスト!$K$4),TRUE,IF($F$2=入力リスト!$Q$4,IF(F2044-INT(F2044)&lt;0.6,TRUE,FALSE),TRUE))</f>
        <v>1</v>
      </c>
      <c r="N2044" s="9" t="str">
        <f>IF(F2044="","",IF($F$2=入力リスト!$Q$4,ROUNDDOWN(INT(F2044)+ROUNDDOWN((F2044-INT(F2044))*100,0)/60,2),従業員の給与情報!F2044))</f>
        <v/>
      </c>
      <c r="O2044" s="8"/>
      <c r="P2044" s="8"/>
    </row>
    <row r="2045" spans="1:16">
      <c r="A2045" s="119"/>
      <c r="B2045" s="2"/>
      <c r="C2045" s="3"/>
      <c r="D2045" s="3"/>
      <c r="E2045" s="3"/>
      <c r="F2045" s="9"/>
      <c r="G2045" s="248" t="str">
        <f t="shared" si="155"/>
        <v/>
      </c>
      <c r="H2045" s="1" t="b">
        <f>IF(B2045="",FALSE,COUNTIF('従業員情報(給与以外)'!$A$4:$A$1000000,$B2045)=0)</f>
        <v>0</v>
      </c>
      <c r="I2045" s="9" t="b">
        <f t="shared" si="156"/>
        <v>1</v>
      </c>
      <c r="J2045" s="9" t="b">
        <f t="shared" si="157"/>
        <v>1</v>
      </c>
      <c r="K2045" s="9" t="b">
        <f t="shared" si="158"/>
        <v>1</v>
      </c>
      <c r="L2045" s="9" t="b">
        <f t="shared" si="159"/>
        <v>1</v>
      </c>
      <c r="M2045" s="1" t="b">
        <f>IF(OR(入力シート!$C$5&lt;&gt;入力リスト!$N$4,入力シート!$J$22&lt;&gt;入力リスト!$K$4),TRUE,IF($F$2=入力リスト!$Q$4,IF(F2045-INT(F2045)&lt;0.6,TRUE,FALSE),TRUE))</f>
        <v>1</v>
      </c>
      <c r="N2045" s="9" t="str">
        <f>IF(F2045="","",IF($F$2=入力リスト!$Q$4,ROUNDDOWN(INT(F2045)+ROUNDDOWN((F2045-INT(F2045))*100,0)/60,2),従業員の給与情報!F2045))</f>
        <v/>
      </c>
      <c r="O2045" s="8"/>
      <c r="P2045" s="8"/>
    </row>
    <row r="2046" spans="1:16">
      <c r="A2046" s="119"/>
      <c r="B2046" s="2"/>
      <c r="C2046" s="3"/>
      <c r="D2046" s="3"/>
      <c r="E2046" s="3"/>
      <c r="F2046" s="9"/>
      <c r="G2046" s="248" t="str">
        <f t="shared" si="155"/>
        <v/>
      </c>
      <c r="H2046" s="1" t="b">
        <f>IF(B2046="",FALSE,COUNTIF('従業員情報(給与以外)'!$A$4:$A$1000000,$B2046)=0)</f>
        <v>0</v>
      </c>
      <c r="I2046" s="9" t="b">
        <f t="shared" si="156"/>
        <v>1</v>
      </c>
      <c r="J2046" s="9" t="b">
        <f t="shared" si="157"/>
        <v>1</v>
      </c>
      <c r="K2046" s="9" t="b">
        <f t="shared" si="158"/>
        <v>1</v>
      </c>
      <c r="L2046" s="9" t="b">
        <f t="shared" si="159"/>
        <v>1</v>
      </c>
      <c r="M2046" s="1" t="b">
        <f>IF(OR(入力シート!$C$5&lt;&gt;入力リスト!$N$4,入力シート!$J$22&lt;&gt;入力リスト!$K$4),TRUE,IF($F$2=入力リスト!$Q$4,IF(F2046-INT(F2046)&lt;0.6,TRUE,FALSE),TRUE))</f>
        <v>1</v>
      </c>
      <c r="N2046" s="9" t="str">
        <f>IF(F2046="","",IF($F$2=入力リスト!$Q$4,ROUNDDOWN(INT(F2046)+ROUNDDOWN((F2046-INT(F2046))*100,0)/60,2),従業員の給与情報!F2046))</f>
        <v/>
      </c>
      <c r="O2046" s="8"/>
      <c r="P2046" s="8"/>
    </row>
    <row r="2047" spans="1:16">
      <c r="A2047" s="119"/>
      <c r="B2047" s="2"/>
      <c r="C2047" s="3"/>
      <c r="D2047" s="3"/>
      <c r="E2047" s="3"/>
      <c r="F2047" s="9"/>
      <c r="G2047" s="248" t="str">
        <f t="shared" si="155"/>
        <v/>
      </c>
      <c r="H2047" s="1" t="b">
        <f>IF(B2047="",FALSE,COUNTIF('従業員情報(給与以外)'!$A$4:$A$1000000,$B2047)=0)</f>
        <v>0</v>
      </c>
      <c r="I2047" s="9" t="b">
        <f t="shared" si="156"/>
        <v>1</v>
      </c>
      <c r="J2047" s="9" t="b">
        <f t="shared" si="157"/>
        <v>1</v>
      </c>
      <c r="K2047" s="9" t="b">
        <f t="shared" si="158"/>
        <v>1</v>
      </c>
      <c r="L2047" s="9" t="b">
        <f t="shared" si="159"/>
        <v>1</v>
      </c>
      <c r="M2047" s="1" t="b">
        <f>IF(OR(入力シート!$C$5&lt;&gt;入力リスト!$N$4,入力シート!$J$22&lt;&gt;入力リスト!$K$4),TRUE,IF($F$2=入力リスト!$Q$4,IF(F2047-INT(F2047)&lt;0.6,TRUE,FALSE),TRUE))</f>
        <v>1</v>
      </c>
      <c r="N2047" s="9" t="str">
        <f>IF(F2047="","",IF($F$2=入力リスト!$Q$4,ROUNDDOWN(INT(F2047)+ROUNDDOWN((F2047-INT(F2047))*100,0)/60,2),従業員の給与情報!F2047))</f>
        <v/>
      </c>
      <c r="O2047" s="8"/>
      <c r="P2047" s="8"/>
    </row>
    <row r="2048" spans="1:16">
      <c r="A2048" s="119"/>
      <c r="B2048" s="2"/>
      <c r="C2048" s="3"/>
      <c r="D2048" s="3"/>
      <c r="E2048" s="3"/>
      <c r="F2048" s="9"/>
      <c r="G2048" s="248" t="str">
        <f t="shared" si="155"/>
        <v/>
      </c>
      <c r="H2048" s="1" t="b">
        <f>IF(B2048="",FALSE,COUNTIF('従業員情報(給与以外)'!$A$4:$A$1000000,$B2048)=0)</f>
        <v>0</v>
      </c>
      <c r="I2048" s="9" t="b">
        <f t="shared" si="156"/>
        <v>1</v>
      </c>
      <c r="J2048" s="9" t="b">
        <f t="shared" si="157"/>
        <v>1</v>
      </c>
      <c r="K2048" s="9" t="b">
        <f t="shared" si="158"/>
        <v>1</v>
      </c>
      <c r="L2048" s="9" t="b">
        <f t="shared" si="159"/>
        <v>1</v>
      </c>
      <c r="M2048" s="1" t="b">
        <f>IF(OR(入力シート!$C$5&lt;&gt;入力リスト!$N$4,入力シート!$J$22&lt;&gt;入力リスト!$K$4),TRUE,IF($F$2=入力リスト!$Q$4,IF(F2048-INT(F2048)&lt;0.6,TRUE,FALSE),TRUE))</f>
        <v>1</v>
      </c>
      <c r="N2048" s="9" t="str">
        <f>IF(F2048="","",IF($F$2=入力リスト!$Q$4,ROUNDDOWN(INT(F2048)+ROUNDDOWN((F2048-INT(F2048))*100,0)/60,2),従業員の給与情報!F2048))</f>
        <v/>
      </c>
      <c r="O2048" s="8"/>
      <c r="P2048" s="8"/>
    </row>
    <row r="2049" spans="1:16">
      <c r="A2049" s="119"/>
      <c r="B2049" s="2"/>
      <c r="C2049" s="3"/>
      <c r="D2049" s="3"/>
      <c r="E2049" s="3"/>
      <c r="F2049" s="9"/>
      <c r="G2049" s="248" t="str">
        <f t="shared" si="155"/>
        <v/>
      </c>
      <c r="H2049" s="1" t="b">
        <f>IF(B2049="",FALSE,COUNTIF('従業員情報(給与以外)'!$A$4:$A$1000000,$B2049)=0)</f>
        <v>0</v>
      </c>
      <c r="I2049" s="9" t="b">
        <f t="shared" si="156"/>
        <v>1</v>
      </c>
      <c r="J2049" s="9" t="b">
        <f t="shared" si="157"/>
        <v>1</v>
      </c>
      <c r="K2049" s="9" t="b">
        <f t="shared" si="158"/>
        <v>1</v>
      </c>
      <c r="L2049" s="9" t="b">
        <f t="shared" si="159"/>
        <v>1</v>
      </c>
      <c r="M2049" s="1" t="b">
        <f>IF(OR(入力シート!$C$5&lt;&gt;入力リスト!$N$4,入力シート!$J$22&lt;&gt;入力リスト!$K$4),TRUE,IF($F$2=入力リスト!$Q$4,IF(F2049-INT(F2049)&lt;0.6,TRUE,FALSE),TRUE))</f>
        <v>1</v>
      </c>
      <c r="N2049" s="9" t="str">
        <f>IF(F2049="","",IF($F$2=入力リスト!$Q$4,ROUNDDOWN(INT(F2049)+ROUNDDOWN((F2049-INT(F2049))*100,0)/60,2),従業員の給与情報!F2049))</f>
        <v/>
      </c>
      <c r="O2049" s="8"/>
      <c r="P2049" s="8"/>
    </row>
    <row r="2050" spans="1:16">
      <c r="A2050" s="119"/>
      <c r="B2050" s="2"/>
      <c r="C2050" s="3"/>
      <c r="D2050" s="3"/>
      <c r="E2050" s="3"/>
      <c r="F2050" s="9"/>
      <c r="G2050" s="248" t="str">
        <f t="shared" si="155"/>
        <v/>
      </c>
      <c r="H2050" s="1" t="b">
        <f>IF(B2050="",FALSE,COUNTIF('従業員情報(給与以外)'!$A$4:$A$1000000,$B2050)=0)</f>
        <v>0</v>
      </c>
      <c r="I2050" s="9" t="b">
        <f t="shared" si="156"/>
        <v>1</v>
      </c>
      <c r="J2050" s="9" t="b">
        <f t="shared" si="157"/>
        <v>1</v>
      </c>
      <c r="K2050" s="9" t="b">
        <f t="shared" si="158"/>
        <v>1</v>
      </c>
      <c r="L2050" s="9" t="b">
        <f t="shared" si="159"/>
        <v>1</v>
      </c>
      <c r="M2050" s="1" t="b">
        <f>IF(OR(入力シート!$C$5&lt;&gt;入力リスト!$N$4,入力シート!$J$22&lt;&gt;入力リスト!$K$4),TRUE,IF($F$2=入力リスト!$Q$4,IF(F2050-INT(F2050)&lt;0.6,TRUE,FALSE),TRUE))</f>
        <v>1</v>
      </c>
      <c r="N2050" s="9" t="str">
        <f>IF(F2050="","",IF($F$2=入力リスト!$Q$4,ROUNDDOWN(INT(F2050)+ROUNDDOWN((F2050-INT(F2050))*100,0)/60,2),従業員の給与情報!F2050))</f>
        <v/>
      </c>
      <c r="O2050" s="8"/>
      <c r="P2050" s="8"/>
    </row>
    <row r="2051" spans="1:16">
      <c r="A2051" s="119"/>
      <c r="B2051" s="2"/>
      <c r="C2051" s="3"/>
      <c r="D2051" s="3"/>
      <c r="E2051" s="3"/>
      <c r="F2051" s="9"/>
      <c r="G2051" s="248" t="str">
        <f t="shared" si="155"/>
        <v/>
      </c>
      <c r="H2051" s="1" t="b">
        <f>IF(B2051="",FALSE,COUNTIF('従業員情報(給与以外)'!$A$4:$A$1000000,$B2051)=0)</f>
        <v>0</v>
      </c>
      <c r="I2051" s="9" t="b">
        <f t="shared" si="156"/>
        <v>1</v>
      </c>
      <c r="J2051" s="9" t="b">
        <f t="shared" si="157"/>
        <v>1</v>
      </c>
      <c r="K2051" s="9" t="b">
        <f t="shared" si="158"/>
        <v>1</v>
      </c>
      <c r="L2051" s="9" t="b">
        <f t="shared" si="159"/>
        <v>1</v>
      </c>
      <c r="M2051" s="1" t="b">
        <f>IF(OR(入力シート!$C$5&lt;&gt;入力リスト!$N$4,入力シート!$J$22&lt;&gt;入力リスト!$K$4),TRUE,IF($F$2=入力リスト!$Q$4,IF(F2051-INT(F2051)&lt;0.6,TRUE,FALSE),TRUE))</f>
        <v>1</v>
      </c>
      <c r="N2051" s="9" t="str">
        <f>IF(F2051="","",IF($F$2=入力リスト!$Q$4,ROUNDDOWN(INT(F2051)+ROUNDDOWN((F2051-INT(F2051))*100,0)/60,2),従業員の給与情報!F2051))</f>
        <v/>
      </c>
      <c r="O2051" s="8"/>
      <c r="P2051" s="8"/>
    </row>
    <row r="2052" spans="1:16">
      <c r="A2052" s="119"/>
      <c r="B2052" s="2"/>
      <c r="C2052" s="3"/>
      <c r="D2052" s="3"/>
      <c r="E2052" s="3"/>
      <c r="F2052" s="9"/>
      <c r="G2052" s="248" t="str">
        <f t="shared" si="155"/>
        <v/>
      </c>
      <c r="H2052" s="1" t="b">
        <f>IF(B2052="",FALSE,COUNTIF('従業員情報(給与以外)'!$A$4:$A$1000000,$B2052)=0)</f>
        <v>0</v>
      </c>
      <c r="I2052" s="9" t="b">
        <f t="shared" si="156"/>
        <v>1</v>
      </c>
      <c r="J2052" s="9" t="b">
        <f t="shared" si="157"/>
        <v>1</v>
      </c>
      <c r="K2052" s="9" t="b">
        <f t="shared" si="158"/>
        <v>1</v>
      </c>
      <c r="L2052" s="9" t="b">
        <f t="shared" si="159"/>
        <v>1</v>
      </c>
      <c r="M2052" s="1" t="b">
        <f>IF(OR(入力シート!$C$5&lt;&gt;入力リスト!$N$4,入力シート!$J$22&lt;&gt;入力リスト!$K$4),TRUE,IF($F$2=入力リスト!$Q$4,IF(F2052-INT(F2052)&lt;0.6,TRUE,FALSE),TRUE))</f>
        <v>1</v>
      </c>
      <c r="N2052" s="9" t="str">
        <f>IF(F2052="","",IF($F$2=入力リスト!$Q$4,ROUNDDOWN(INT(F2052)+ROUNDDOWN((F2052-INT(F2052))*100,0)/60,2),従業員の給与情報!F2052))</f>
        <v/>
      </c>
      <c r="O2052" s="8"/>
      <c r="P2052" s="8"/>
    </row>
    <row r="2053" spans="1:16">
      <c r="A2053" s="119"/>
      <c r="B2053" s="2"/>
      <c r="C2053" s="3"/>
      <c r="D2053" s="3"/>
      <c r="E2053" s="3"/>
      <c r="F2053" s="9"/>
      <c r="G2053" s="248" t="str">
        <f t="shared" ref="G2053:G2116" si="160">IF(AND($B2053="",OR(B2053&lt;&gt;"",C2053&lt;&gt;"",D2053&lt;&gt;"",E2053&lt;&gt;"",F2053&lt;&gt;"")),"従業員番号が空白です。",IF($H2053=TRUE,"この従業員番号は、シート［従業員情報（給与以外）］に存在しません。",IF(I2053=FALSE,"「毎月の固定給与額」","")&amp;IF(AND(I2053=FALSE,OR(J2053=FALSE,K2053=FALSE,L2053=FALSE)),",","")&amp;IF(J2053=FALSE,"「賞与額等」","")&amp;IF(AND(J2053=FALSE,OR(K2053=FALSE,L2053=FALSE)),",","")&amp;IF(K2053=FALSE,"「残業手当」","")&amp;IF(AND(K2053=FALSE,L2053=FALSE),",","")&amp;IF(L2053=FALSE,"「残業時間」","")&amp;IF(OR(I2053=FALSE,J2053=FALSE,K2053=FALSE,L2053=FALSE),"に数値以外が入力されています。","")&amp;IF(M2053,"","「残業時間」を分単位で入力した場合、小数点以下の値は0.6未満にしてください。")))</f>
        <v/>
      </c>
      <c r="H2053" s="1" t="b">
        <f>IF(B2053="",FALSE,COUNTIF('従業員情報(給与以外)'!$A$4:$A$1000000,$B2053)=0)</f>
        <v>0</v>
      </c>
      <c r="I2053" s="9" t="b">
        <f t="shared" ref="I2053:I2116" si="161">OR(C2053="",ISNUMBER(C2053))</f>
        <v>1</v>
      </c>
      <c r="J2053" s="9" t="b">
        <f t="shared" ref="J2053:J2116" si="162">OR(D2053="",ISNUMBER(D2053))</f>
        <v>1</v>
      </c>
      <c r="K2053" s="9" t="b">
        <f t="shared" ref="K2053:K2116" si="163">OR(E2053="",ISNUMBER(E2053))</f>
        <v>1</v>
      </c>
      <c r="L2053" s="9" t="b">
        <f t="shared" ref="L2053:L2116" si="164">OR(F2053="",ISNUMBER(F2053))</f>
        <v>1</v>
      </c>
      <c r="M2053" s="1" t="b">
        <f>IF(OR(入力シート!$C$5&lt;&gt;入力リスト!$N$4,入力シート!$J$22&lt;&gt;入力リスト!$K$4),TRUE,IF($F$2=入力リスト!$Q$4,IF(F2053-INT(F2053)&lt;0.6,TRUE,FALSE),TRUE))</f>
        <v>1</v>
      </c>
      <c r="N2053" s="9" t="str">
        <f>IF(F2053="","",IF($F$2=入力リスト!$Q$4,ROUNDDOWN(INT(F2053)+ROUNDDOWN((F2053-INT(F2053))*100,0)/60,2),従業員の給与情報!F2053))</f>
        <v/>
      </c>
      <c r="O2053" s="8"/>
      <c r="P2053" s="8"/>
    </row>
    <row r="2054" spans="1:16">
      <c r="A2054" s="119"/>
      <c r="B2054" s="2"/>
      <c r="C2054" s="3"/>
      <c r="D2054" s="3"/>
      <c r="E2054" s="3"/>
      <c r="F2054" s="9"/>
      <c r="G2054" s="248" t="str">
        <f t="shared" si="160"/>
        <v/>
      </c>
      <c r="H2054" s="1" t="b">
        <f>IF(B2054="",FALSE,COUNTIF('従業員情報(給与以外)'!$A$4:$A$1000000,$B2054)=0)</f>
        <v>0</v>
      </c>
      <c r="I2054" s="9" t="b">
        <f t="shared" si="161"/>
        <v>1</v>
      </c>
      <c r="J2054" s="9" t="b">
        <f t="shared" si="162"/>
        <v>1</v>
      </c>
      <c r="K2054" s="9" t="b">
        <f t="shared" si="163"/>
        <v>1</v>
      </c>
      <c r="L2054" s="9" t="b">
        <f t="shared" si="164"/>
        <v>1</v>
      </c>
      <c r="M2054" s="1" t="b">
        <f>IF(OR(入力シート!$C$5&lt;&gt;入力リスト!$N$4,入力シート!$J$22&lt;&gt;入力リスト!$K$4),TRUE,IF($F$2=入力リスト!$Q$4,IF(F2054-INT(F2054)&lt;0.6,TRUE,FALSE),TRUE))</f>
        <v>1</v>
      </c>
      <c r="N2054" s="9" t="str">
        <f>IF(F2054="","",IF($F$2=入力リスト!$Q$4,ROUNDDOWN(INT(F2054)+ROUNDDOWN((F2054-INT(F2054))*100,0)/60,2),従業員の給与情報!F2054))</f>
        <v/>
      </c>
      <c r="O2054" s="8"/>
      <c r="P2054" s="8"/>
    </row>
    <row r="2055" spans="1:16">
      <c r="A2055" s="119"/>
      <c r="B2055" s="2"/>
      <c r="C2055" s="3"/>
      <c r="D2055" s="3"/>
      <c r="E2055" s="3"/>
      <c r="F2055" s="9"/>
      <c r="G2055" s="248" t="str">
        <f t="shared" si="160"/>
        <v/>
      </c>
      <c r="H2055" s="1" t="b">
        <f>IF(B2055="",FALSE,COUNTIF('従業員情報(給与以外)'!$A$4:$A$1000000,$B2055)=0)</f>
        <v>0</v>
      </c>
      <c r="I2055" s="9" t="b">
        <f t="shared" si="161"/>
        <v>1</v>
      </c>
      <c r="J2055" s="9" t="b">
        <f t="shared" si="162"/>
        <v>1</v>
      </c>
      <c r="K2055" s="9" t="b">
        <f t="shared" si="163"/>
        <v>1</v>
      </c>
      <c r="L2055" s="9" t="b">
        <f t="shared" si="164"/>
        <v>1</v>
      </c>
      <c r="M2055" s="1" t="b">
        <f>IF(OR(入力シート!$C$5&lt;&gt;入力リスト!$N$4,入力シート!$J$22&lt;&gt;入力リスト!$K$4),TRUE,IF($F$2=入力リスト!$Q$4,IF(F2055-INT(F2055)&lt;0.6,TRUE,FALSE),TRUE))</f>
        <v>1</v>
      </c>
      <c r="N2055" s="9" t="str">
        <f>IF(F2055="","",IF($F$2=入力リスト!$Q$4,ROUNDDOWN(INT(F2055)+ROUNDDOWN((F2055-INT(F2055))*100,0)/60,2),従業員の給与情報!F2055))</f>
        <v/>
      </c>
      <c r="O2055" s="8"/>
      <c r="P2055" s="8"/>
    </row>
    <row r="2056" spans="1:16">
      <c r="A2056" s="119"/>
      <c r="B2056" s="2"/>
      <c r="C2056" s="3"/>
      <c r="D2056" s="3"/>
      <c r="E2056" s="3"/>
      <c r="F2056" s="9"/>
      <c r="G2056" s="248" t="str">
        <f t="shared" si="160"/>
        <v/>
      </c>
      <c r="H2056" s="1" t="b">
        <f>IF(B2056="",FALSE,COUNTIF('従業員情報(給与以外)'!$A$4:$A$1000000,$B2056)=0)</f>
        <v>0</v>
      </c>
      <c r="I2056" s="9" t="b">
        <f t="shared" si="161"/>
        <v>1</v>
      </c>
      <c r="J2056" s="9" t="b">
        <f t="shared" si="162"/>
        <v>1</v>
      </c>
      <c r="K2056" s="9" t="b">
        <f t="shared" si="163"/>
        <v>1</v>
      </c>
      <c r="L2056" s="9" t="b">
        <f t="shared" si="164"/>
        <v>1</v>
      </c>
      <c r="M2056" s="1" t="b">
        <f>IF(OR(入力シート!$C$5&lt;&gt;入力リスト!$N$4,入力シート!$J$22&lt;&gt;入力リスト!$K$4),TRUE,IF($F$2=入力リスト!$Q$4,IF(F2056-INT(F2056)&lt;0.6,TRUE,FALSE),TRUE))</f>
        <v>1</v>
      </c>
      <c r="N2056" s="9" t="str">
        <f>IF(F2056="","",IF($F$2=入力リスト!$Q$4,ROUNDDOWN(INT(F2056)+ROUNDDOWN((F2056-INT(F2056))*100,0)/60,2),従業員の給与情報!F2056))</f>
        <v/>
      </c>
      <c r="O2056" s="8"/>
      <c r="P2056" s="8"/>
    </row>
    <row r="2057" spans="1:16">
      <c r="A2057" s="119"/>
      <c r="B2057" s="2"/>
      <c r="C2057" s="3"/>
      <c r="D2057" s="3"/>
      <c r="E2057" s="3"/>
      <c r="F2057" s="9"/>
      <c r="G2057" s="248" t="str">
        <f t="shared" si="160"/>
        <v/>
      </c>
      <c r="H2057" s="1" t="b">
        <f>IF(B2057="",FALSE,COUNTIF('従業員情報(給与以外)'!$A$4:$A$1000000,$B2057)=0)</f>
        <v>0</v>
      </c>
      <c r="I2057" s="9" t="b">
        <f t="shared" si="161"/>
        <v>1</v>
      </c>
      <c r="J2057" s="9" t="b">
        <f t="shared" si="162"/>
        <v>1</v>
      </c>
      <c r="K2057" s="9" t="b">
        <f t="shared" si="163"/>
        <v>1</v>
      </c>
      <c r="L2057" s="9" t="b">
        <f t="shared" si="164"/>
        <v>1</v>
      </c>
      <c r="M2057" s="1" t="b">
        <f>IF(OR(入力シート!$C$5&lt;&gt;入力リスト!$N$4,入力シート!$J$22&lt;&gt;入力リスト!$K$4),TRUE,IF($F$2=入力リスト!$Q$4,IF(F2057-INT(F2057)&lt;0.6,TRUE,FALSE),TRUE))</f>
        <v>1</v>
      </c>
      <c r="N2057" s="9" t="str">
        <f>IF(F2057="","",IF($F$2=入力リスト!$Q$4,ROUNDDOWN(INT(F2057)+ROUNDDOWN((F2057-INT(F2057))*100,0)/60,2),従業員の給与情報!F2057))</f>
        <v/>
      </c>
      <c r="O2057" s="8"/>
      <c r="P2057" s="8"/>
    </row>
    <row r="2058" spans="1:16">
      <c r="A2058" s="119"/>
      <c r="B2058" s="2"/>
      <c r="C2058" s="3"/>
      <c r="D2058" s="3"/>
      <c r="E2058" s="3"/>
      <c r="F2058" s="9"/>
      <c r="G2058" s="248" t="str">
        <f t="shared" si="160"/>
        <v/>
      </c>
      <c r="H2058" s="1" t="b">
        <f>IF(B2058="",FALSE,COUNTIF('従業員情報(給与以外)'!$A$4:$A$1000000,$B2058)=0)</f>
        <v>0</v>
      </c>
      <c r="I2058" s="9" t="b">
        <f t="shared" si="161"/>
        <v>1</v>
      </c>
      <c r="J2058" s="9" t="b">
        <f t="shared" si="162"/>
        <v>1</v>
      </c>
      <c r="K2058" s="9" t="b">
        <f t="shared" si="163"/>
        <v>1</v>
      </c>
      <c r="L2058" s="9" t="b">
        <f t="shared" si="164"/>
        <v>1</v>
      </c>
      <c r="M2058" s="1" t="b">
        <f>IF(OR(入力シート!$C$5&lt;&gt;入力リスト!$N$4,入力シート!$J$22&lt;&gt;入力リスト!$K$4),TRUE,IF($F$2=入力リスト!$Q$4,IF(F2058-INT(F2058)&lt;0.6,TRUE,FALSE),TRUE))</f>
        <v>1</v>
      </c>
      <c r="N2058" s="9" t="str">
        <f>IF(F2058="","",IF($F$2=入力リスト!$Q$4,ROUNDDOWN(INT(F2058)+ROUNDDOWN((F2058-INT(F2058))*100,0)/60,2),従業員の給与情報!F2058))</f>
        <v/>
      </c>
      <c r="O2058" s="8"/>
      <c r="P2058" s="8"/>
    </row>
    <row r="2059" spans="1:16">
      <c r="A2059" s="119"/>
      <c r="B2059" s="2"/>
      <c r="C2059" s="3"/>
      <c r="D2059" s="3"/>
      <c r="E2059" s="3"/>
      <c r="F2059" s="9"/>
      <c r="G2059" s="248" t="str">
        <f t="shared" si="160"/>
        <v/>
      </c>
      <c r="H2059" s="1" t="b">
        <f>IF(B2059="",FALSE,COUNTIF('従業員情報(給与以外)'!$A$4:$A$1000000,$B2059)=0)</f>
        <v>0</v>
      </c>
      <c r="I2059" s="9" t="b">
        <f t="shared" si="161"/>
        <v>1</v>
      </c>
      <c r="J2059" s="9" t="b">
        <f t="shared" si="162"/>
        <v>1</v>
      </c>
      <c r="K2059" s="9" t="b">
        <f t="shared" si="163"/>
        <v>1</v>
      </c>
      <c r="L2059" s="9" t="b">
        <f t="shared" si="164"/>
        <v>1</v>
      </c>
      <c r="M2059" s="1" t="b">
        <f>IF(OR(入力シート!$C$5&lt;&gt;入力リスト!$N$4,入力シート!$J$22&lt;&gt;入力リスト!$K$4),TRUE,IF($F$2=入力リスト!$Q$4,IF(F2059-INT(F2059)&lt;0.6,TRUE,FALSE),TRUE))</f>
        <v>1</v>
      </c>
      <c r="N2059" s="9" t="str">
        <f>IF(F2059="","",IF($F$2=入力リスト!$Q$4,ROUNDDOWN(INT(F2059)+ROUNDDOWN((F2059-INT(F2059))*100,0)/60,2),従業員の給与情報!F2059))</f>
        <v/>
      </c>
      <c r="O2059" s="8"/>
      <c r="P2059" s="8"/>
    </row>
    <row r="2060" spans="1:16">
      <c r="A2060" s="119"/>
      <c r="B2060" s="2"/>
      <c r="C2060" s="3"/>
      <c r="D2060" s="3"/>
      <c r="E2060" s="3"/>
      <c r="F2060" s="9"/>
      <c r="G2060" s="248" t="str">
        <f t="shared" si="160"/>
        <v/>
      </c>
      <c r="H2060" s="1" t="b">
        <f>IF(B2060="",FALSE,COUNTIF('従業員情報(給与以外)'!$A$4:$A$1000000,$B2060)=0)</f>
        <v>0</v>
      </c>
      <c r="I2060" s="9" t="b">
        <f t="shared" si="161"/>
        <v>1</v>
      </c>
      <c r="J2060" s="9" t="b">
        <f t="shared" si="162"/>
        <v>1</v>
      </c>
      <c r="K2060" s="9" t="b">
        <f t="shared" si="163"/>
        <v>1</v>
      </c>
      <c r="L2060" s="9" t="b">
        <f t="shared" si="164"/>
        <v>1</v>
      </c>
      <c r="M2060" s="1" t="b">
        <f>IF(OR(入力シート!$C$5&lt;&gt;入力リスト!$N$4,入力シート!$J$22&lt;&gt;入力リスト!$K$4),TRUE,IF($F$2=入力リスト!$Q$4,IF(F2060-INT(F2060)&lt;0.6,TRUE,FALSE),TRUE))</f>
        <v>1</v>
      </c>
      <c r="N2060" s="9" t="str">
        <f>IF(F2060="","",IF($F$2=入力リスト!$Q$4,ROUNDDOWN(INT(F2060)+ROUNDDOWN((F2060-INT(F2060))*100,0)/60,2),従業員の給与情報!F2060))</f>
        <v/>
      </c>
      <c r="O2060" s="8"/>
      <c r="P2060" s="8"/>
    </row>
    <row r="2061" spans="1:16">
      <c r="A2061" s="119"/>
      <c r="B2061" s="2"/>
      <c r="C2061" s="3"/>
      <c r="D2061" s="3"/>
      <c r="E2061" s="3"/>
      <c r="F2061" s="9"/>
      <c r="G2061" s="248" t="str">
        <f t="shared" si="160"/>
        <v/>
      </c>
      <c r="H2061" s="1" t="b">
        <f>IF(B2061="",FALSE,COUNTIF('従業員情報(給与以外)'!$A$4:$A$1000000,$B2061)=0)</f>
        <v>0</v>
      </c>
      <c r="I2061" s="9" t="b">
        <f t="shared" si="161"/>
        <v>1</v>
      </c>
      <c r="J2061" s="9" t="b">
        <f t="shared" si="162"/>
        <v>1</v>
      </c>
      <c r="K2061" s="9" t="b">
        <f t="shared" si="163"/>
        <v>1</v>
      </c>
      <c r="L2061" s="9" t="b">
        <f t="shared" si="164"/>
        <v>1</v>
      </c>
      <c r="M2061" s="1" t="b">
        <f>IF(OR(入力シート!$C$5&lt;&gt;入力リスト!$N$4,入力シート!$J$22&lt;&gt;入力リスト!$K$4),TRUE,IF($F$2=入力リスト!$Q$4,IF(F2061-INT(F2061)&lt;0.6,TRUE,FALSE),TRUE))</f>
        <v>1</v>
      </c>
      <c r="N2061" s="9" t="str">
        <f>IF(F2061="","",IF($F$2=入力リスト!$Q$4,ROUNDDOWN(INT(F2061)+ROUNDDOWN((F2061-INT(F2061))*100,0)/60,2),従業員の給与情報!F2061))</f>
        <v/>
      </c>
      <c r="O2061" s="8"/>
      <c r="P2061" s="8"/>
    </row>
    <row r="2062" spans="1:16">
      <c r="A2062" s="119"/>
      <c r="B2062" s="2"/>
      <c r="C2062" s="3"/>
      <c r="D2062" s="3"/>
      <c r="E2062" s="3"/>
      <c r="F2062" s="9"/>
      <c r="G2062" s="248" t="str">
        <f t="shared" si="160"/>
        <v/>
      </c>
      <c r="H2062" s="1" t="b">
        <f>IF(B2062="",FALSE,COUNTIF('従業員情報(給与以外)'!$A$4:$A$1000000,$B2062)=0)</f>
        <v>0</v>
      </c>
      <c r="I2062" s="9" t="b">
        <f t="shared" si="161"/>
        <v>1</v>
      </c>
      <c r="J2062" s="9" t="b">
        <f t="shared" si="162"/>
        <v>1</v>
      </c>
      <c r="K2062" s="9" t="b">
        <f t="shared" si="163"/>
        <v>1</v>
      </c>
      <c r="L2062" s="9" t="b">
        <f t="shared" si="164"/>
        <v>1</v>
      </c>
      <c r="M2062" s="1" t="b">
        <f>IF(OR(入力シート!$C$5&lt;&gt;入力リスト!$N$4,入力シート!$J$22&lt;&gt;入力リスト!$K$4),TRUE,IF($F$2=入力リスト!$Q$4,IF(F2062-INT(F2062)&lt;0.6,TRUE,FALSE),TRUE))</f>
        <v>1</v>
      </c>
      <c r="N2062" s="9" t="str">
        <f>IF(F2062="","",IF($F$2=入力リスト!$Q$4,ROUNDDOWN(INT(F2062)+ROUNDDOWN((F2062-INT(F2062))*100,0)/60,2),従業員の給与情報!F2062))</f>
        <v/>
      </c>
      <c r="O2062" s="8"/>
      <c r="P2062" s="8"/>
    </row>
    <row r="2063" spans="1:16">
      <c r="A2063" s="119"/>
      <c r="B2063" s="2"/>
      <c r="C2063" s="3"/>
      <c r="D2063" s="3"/>
      <c r="E2063" s="3"/>
      <c r="F2063" s="9"/>
      <c r="G2063" s="248" t="str">
        <f t="shared" si="160"/>
        <v/>
      </c>
      <c r="H2063" s="1" t="b">
        <f>IF(B2063="",FALSE,COUNTIF('従業員情報(給与以外)'!$A$4:$A$1000000,$B2063)=0)</f>
        <v>0</v>
      </c>
      <c r="I2063" s="9" t="b">
        <f t="shared" si="161"/>
        <v>1</v>
      </c>
      <c r="J2063" s="9" t="b">
        <f t="shared" si="162"/>
        <v>1</v>
      </c>
      <c r="K2063" s="9" t="b">
        <f t="shared" si="163"/>
        <v>1</v>
      </c>
      <c r="L2063" s="9" t="b">
        <f t="shared" si="164"/>
        <v>1</v>
      </c>
      <c r="M2063" s="1" t="b">
        <f>IF(OR(入力シート!$C$5&lt;&gt;入力リスト!$N$4,入力シート!$J$22&lt;&gt;入力リスト!$K$4),TRUE,IF($F$2=入力リスト!$Q$4,IF(F2063-INT(F2063)&lt;0.6,TRUE,FALSE),TRUE))</f>
        <v>1</v>
      </c>
      <c r="N2063" s="9" t="str">
        <f>IF(F2063="","",IF($F$2=入力リスト!$Q$4,ROUNDDOWN(INT(F2063)+ROUNDDOWN((F2063-INT(F2063))*100,0)/60,2),従業員の給与情報!F2063))</f>
        <v/>
      </c>
      <c r="O2063" s="8"/>
      <c r="P2063" s="8"/>
    </row>
    <row r="2064" spans="1:16">
      <c r="A2064" s="119"/>
      <c r="B2064" s="2"/>
      <c r="C2064" s="3"/>
      <c r="D2064" s="3"/>
      <c r="E2064" s="3"/>
      <c r="F2064" s="9"/>
      <c r="G2064" s="248" t="str">
        <f t="shared" si="160"/>
        <v/>
      </c>
      <c r="H2064" s="1" t="b">
        <f>IF(B2064="",FALSE,COUNTIF('従業員情報(給与以外)'!$A$4:$A$1000000,$B2064)=0)</f>
        <v>0</v>
      </c>
      <c r="I2064" s="9" t="b">
        <f t="shared" si="161"/>
        <v>1</v>
      </c>
      <c r="J2064" s="9" t="b">
        <f t="shared" si="162"/>
        <v>1</v>
      </c>
      <c r="K2064" s="9" t="b">
        <f t="shared" si="163"/>
        <v>1</v>
      </c>
      <c r="L2064" s="9" t="b">
        <f t="shared" si="164"/>
        <v>1</v>
      </c>
      <c r="M2064" s="1" t="b">
        <f>IF(OR(入力シート!$C$5&lt;&gt;入力リスト!$N$4,入力シート!$J$22&lt;&gt;入力リスト!$K$4),TRUE,IF($F$2=入力リスト!$Q$4,IF(F2064-INT(F2064)&lt;0.6,TRUE,FALSE),TRUE))</f>
        <v>1</v>
      </c>
      <c r="N2064" s="9" t="str">
        <f>IF(F2064="","",IF($F$2=入力リスト!$Q$4,ROUNDDOWN(INT(F2064)+ROUNDDOWN((F2064-INT(F2064))*100,0)/60,2),従業員の給与情報!F2064))</f>
        <v/>
      </c>
      <c r="O2064" s="8"/>
      <c r="P2064" s="8"/>
    </row>
    <row r="2065" spans="1:16">
      <c r="A2065" s="119"/>
      <c r="B2065" s="2"/>
      <c r="C2065" s="3"/>
      <c r="D2065" s="3"/>
      <c r="E2065" s="3"/>
      <c r="F2065" s="9"/>
      <c r="G2065" s="248" t="str">
        <f t="shared" si="160"/>
        <v/>
      </c>
      <c r="H2065" s="1" t="b">
        <f>IF(B2065="",FALSE,COUNTIF('従業員情報(給与以外)'!$A$4:$A$1000000,$B2065)=0)</f>
        <v>0</v>
      </c>
      <c r="I2065" s="9" t="b">
        <f t="shared" si="161"/>
        <v>1</v>
      </c>
      <c r="J2065" s="9" t="b">
        <f t="shared" si="162"/>
        <v>1</v>
      </c>
      <c r="K2065" s="9" t="b">
        <f t="shared" si="163"/>
        <v>1</v>
      </c>
      <c r="L2065" s="9" t="b">
        <f t="shared" si="164"/>
        <v>1</v>
      </c>
      <c r="M2065" s="1" t="b">
        <f>IF(OR(入力シート!$C$5&lt;&gt;入力リスト!$N$4,入力シート!$J$22&lt;&gt;入力リスト!$K$4),TRUE,IF($F$2=入力リスト!$Q$4,IF(F2065-INT(F2065)&lt;0.6,TRUE,FALSE),TRUE))</f>
        <v>1</v>
      </c>
      <c r="N2065" s="9" t="str">
        <f>IF(F2065="","",IF($F$2=入力リスト!$Q$4,ROUNDDOWN(INT(F2065)+ROUNDDOWN((F2065-INT(F2065))*100,0)/60,2),従業員の給与情報!F2065))</f>
        <v/>
      </c>
      <c r="O2065" s="8"/>
      <c r="P2065" s="8"/>
    </row>
    <row r="2066" spans="1:16">
      <c r="A2066" s="119"/>
      <c r="B2066" s="2"/>
      <c r="C2066" s="3"/>
      <c r="D2066" s="3"/>
      <c r="E2066" s="3"/>
      <c r="F2066" s="9"/>
      <c r="G2066" s="248" t="str">
        <f t="shared" si="160"/>
        <v/>
      </c>
      <c r="H2066" s="1" t="b">
        <f>IF(B2066="",FALSE,COUNTIF('従業員情報(給与以外)'!$A$4:$A$1000000,$B2066)=0)</f>
        <v>0</v>
      </c>
      <c r="I2066" s="9" t="b">
        <f t="shared" si="161"/>
        <v>1</v>
      </c>
      <c r="J2066" s="9" t="b">
        <f t="shared" si="162"/>
        <v>1</v>
      </c>
      <c r="K2066" s="9" t="b">
        <f t="shared" si="163"/>
        <v>1</v>
      </c>
      <c r="L2066" s="9" t="b">
        <f t="shared" si="164"/>
        <v>1</v>
      </c>
      <c r="M2066" s="1" t="b">
        <f>IF(OR(入力シート!$C$5&lt;&gt;入力リスト!$N$4,入力シート!$J$22&lt;&gt;入力リスト!$K$4),TRUE,IF($F$2=入力リスト!$Q$4,IF(F2066-INT(F2066)&lt;0.6,TRUE,FALSE),TRUE))</f>
        <v>1</v>
      </c>
      <c r="N2066" s="9" t="str">
        <f>IF(F2066="","",IF($F$2=入力リスト!$Q$4,ROUNDDOWN(INT(F2066)+ROUNDDOWN((F2066-INT(F2066))*100,0)/60,2),従業員の給与情報!F2066))</f>
        <v/>
      </c>
      <c r="O2066" s="8"/>
      <c r="P2066" s="8"/>
    </row>
    <row r="2067" spans="1:16">
      <c r="A2067" s="119"/>
      <c r="B2067" s="2"/>
      <c r="C2067" s="3"/>
      <c r="D2067" s="3"/>
      <c r="E2067" s="3"/>
      <c r="F2067" s="9"/>
      <c r="G2067" s="248" t="str">
        <f t="shared" si="160"/>
        <v/>
      </c>
      <c r="H2067" s="1" t="b">
        <f>IF(B2067="",FALSE,COUNTIF('従業員情報(給与以外)'!$A$4:$A$1000000,$B2067)=0)</f>
        <v>0</v>
      </c>
      <c r="I2067" s="9" t="b">
        <f t="shared" si="161"/>
        <v>1</v>
      </c>
      <c r="J2067" s="9" t="b">
        <f t="shared" si="162"/>
        <v>1</v>
      </c>
      <c r="K2067" s="9" t="b">
        <f t="shared" si="163"/>
        <v>1</v>
      </c>
      <c r="L2067" s="9" t="b">
        <f t="shared" si="164"/>
        <v>1</v>
      </c>
      <c r="M2067" s="1" t="b">
        <f>IF(OR(入力シート!$C$5&lt;&gt;入力リスト!$N$4,入力シート!$J$22&lt;&gt;入力リスト!$K$4),TRUE,IF($F$2=入力リスト!$Q$4,IF(F2067-INT(F2067)&lt;0.6,TRUE,FALSE),TRUE))</f>
        <v>1</v>
      </c>
      <c r="N2067" s="9" t="str">
        <f>IF(F2067="","",IF($F$2=入力リスト!$Q$4,ROUNDDOWN(INT(F2067)+ROUNDDOWN((F2067-INT(F2067))*100,0)/60,2),従業員の給与情報!F2067))</f>
        <v/>
      </c>
      <c r="O2067" s="8"/>
      <c r="P2067" s="8"/>
    </row>
    <row r="2068" spans="1:16">
      <c r="A2068" s="119"/>
      <c r="B2068" s="2"/>
      <c r="C2068" s="3"/>
      <c r="D2068" s="3"/>
      <c r="E2068" s="3"/>
      <c r="F2068" s="9"/>
      <c r="G2068" s="248" t="str">
        <f t="shared" si="160"/>
        <v/>
      </c>
      <c r="H2068" s="1" t="b">
        <f>IF(B2068="",FALSE,COUNTIF('従業員情報(給与以外)'!$A$4:$A$1000000,$B2068)=0)</f>
        <v>0</v>
      </c>
      <c r="I2068" s="9" t="b">
        <f t="shared" si="161"/>
        <v>1</v>
      </c>
      <c r="J2068" s="9" t="b">
        <f t="shared" si="162"/>
        <v>1</v>
      </c>
      <c r="K2068" s="9" t="b">
        <f t="shared" si="163"/>
        <v>1</v>
      </c>
      <c r="L2068" s="9" t="b">
        <f t="shared" si="164"/>
        <v>1</v>
      </c>
      <c r="M2068" s="1" t="b">
        <f>IF(OR(入力シート!$C$5&lt;&gt;入力リスト!$N$4,入力シート!$J$22&lt;&gt;入力リスト!$K$4),TRUE,IF($F$2=入力リスト!$Q$4,IF(F2068-INT(F2068)&lt;0.6,TRUE,FALSE),TRUE))</f>
        <v>1</v>
      </c>
      <c r="N2068" s="9" t="str">
        <f>IF(F2068="","",IF($F$2=入力リスト!$Q$4,ROUNDDOWN(INT(F2068)+ROUNDDOWN((F2068-INT(F2068))*100,0)/60,2),従業員の給与情報!F2068))</f>
        <v/>
      </c>
      <c r="O2068" s="8"/>
      <c r="P2068" s="8"/>
    </row>
    <row r="2069" spans="1:16">
      <c r="A2069" s="119"/>
      <c r="B2069" s="2"/>
      <c r="C2069" s="3"/>
      <c r="D2069" s="3"/>
      <c r="E2069" s="3"/>
      <c r="F2069" s="9"/>
      <c r="G2069" s="248" t="str">
        <f t="shared" si="160"/>
        <v/>
      </c>
      <c r="H2069" s="1" t="b">
        <f>IF(B2069="",FALSE,COUNTIF('従業員情報(給与以外)'!$A$4:$A$1000000,$B2069)=0)</f>
        <v>0</v>
      </c>
      <c r="I2069" s="9" t="b">
        <f t="shared" si="161"/>
        <v>1</v>
      </c>
      <c r="J2069" s="9" t="b">
        <f t="shared" si="162"/>
        <v>1</v>
      </c>
      <c r="K2069" s="9" t="b">
        <f t="shared" si="163"/>
        <v>1</v>
      </c>
      <c r="L2069" s="9" t="b">
        <f t="shared" si="164"/>
        <v>1</v>
      </c>
      <c r="M2069" s="1" t="b">
        <f>IF(OR(入力シート!$C$5&lt;&gt;入力リスト!$N$4,入力シート!$J$22&lt;&gt;入力リスト!$K$4),TRUE,IF($F$2=入力リスト!$Q$4,IF(F2069-INT(F2069)&lt;0.6,TRUE,FALSE),TRUE))</f>
        <v>1</v>
      </c>
      <c r="N2069" s="9" t="str">
        <f>IF(F2069="","",IF($F$2=入力リスト!$Q$4,ROUNDDOWN(INT(F2069)+ROUNDDOWN((F2069-INT(F2069))*100,0)/60,2),従業員の給与情報!F2069))</f>
        <v/>
      </c>
      <c r="O2069" s="8"/>
      <c r="P2069" s="8"/>
    </row>
    <row r="2070" spans="1:16">
      <c r="A2070" s="119"/>
      <c r="B2070" s="2"/>
      <c r="C2070" s="3"/>
      <c r="D2070" s="3"/>
      <c r="E2070" s="3"/>
      <c r="F2070" s="9"/>
      <c r="G2070" s="248" t="str">
        <f t="shared" si="160"/>
        <v/>
      </c>
      <c r="H2070" s="1" t="b">
        <f>IF(B2070="",FALSE,COUNTIF('従業員情報(給与以外)'!$A$4:$A$1000000,$B2070)=0)</f>
        <v>0</v>
      </c>
      <c r="I2070" s="9" t="b">
        <f t="shared" si="161"/>
        <v>1</v>
      </c>
      <c r="J2070" s="9" t="b">
        <f t="shared" si="162"/>
        <v>1</v>
      </c>
      <c r="K2070" s="9" t="b">
        <f t="shared" si="163"/>
        <v>1</v>
      </c>
      <c r="L2070" s="9" t="b">
        <f t="shared" si="164"/>
        <v>1</v>
      </c>
      <c r="M2070" s="1" t="b">
        <f>IF(OR(入力シート!$C$5&lt;&gt;入力リスト!$N$4,入力シート!$J$22&lt;&gt;入力リスト!$K$4),TRUE,IF($F$2=入力リスト!$Q$4,IF(F2070-INT(F2070)&lt;0.6,TRUE,FALSE),TRUE))</f>
        <v>1</v>
      </c>
      <c r="N2070" s="9" t="str">
        <f>IF(F2070="","",IF($F$2=入力リスト!$Q$4,ROUNDDOWN(INT(F2070)+ROUNDDOWN((F2070-INT(F2070))*100,0)/60,2),従業員の給与情報!F2070))</f>
        <v/>
      </c>
      <c r="O2070" s="8"/>
      <c r="P2070" s="8"/>
    </row>
    <row r="2071" spans="1:16">
      <c r="A2071" s="119"/>
      <c r="B2071" s="2"/>
      <c r="C2071" s="3"/>
      <c r="D2071" s="3"/>
      <c r="E2071" s="3"/>
      <c r="F2071" s="9"/>
      <c r="G2071" s="248" t="str">
        <f t="shared" si="160"/>
        <v/>
      </c>
      <c r="H2071" s="1" t="b">
        <f>IF(B2071="",FALSE,COUNTIF('従業員情報(給与以外)'!$A$4:$A$1000000,$B2071)=0)</f>
        <v>0</v>
      </c>
      <c r="I2071" s="9" t="b">
        <f t="shared" si="161"/>
        <v>1</v>
      </c>
      <c r="J2071" s="9" t="b">
        <f t="shared" si="162"/>
        <v>1</v>
      </c>
      <c r="K2071" s="9" t="b">
        <f t="shared" si="163"/>
        <v>1</v>
      </c>
      <c r="L2071" s="9" t="b">
        <f t="shared" si="164"/>
        <v>1</v>
      </c>
      <c r="M2071" s="1" t="b">
        <f>IF(OR(入力シート!$C$5&lt;&gt;入力リスト!$N$4,入力シート!$J$22&lt;&gt;入力リスト!$K$4),TRUE,IF($F$2=入力リスト!$Q$4,IF(F2071-INT(F2071)&lt;0.6,TRUE,FALSE),TRUE))</f>
        <v>1</v>
      </c>
      <c r="N2071" s="9" t="str">
        <f>IF(F2071="","",IF($F$2=入力リスト!$Q$4,ROUNDDOWN(INT(F2071)+ROUNDDOWN((F2071-INT(F2071))*100,0)/60,2),従業員の給与情報!F2071))</f>
        <v/>
      </c>
      <c r="O2071" s="8"/>
      <c r="P2071" s="8"/>
    </row>
    <row r="2072" spans="1:16">
      <c r="A2072" s="119"/>
      <c r="B2072" s="2"/>
      <c r="C2072" s="3"/>
      <c r="D2072" s="3"/>
      <c r="E2072" s="3"/>
      <c r="F2072" s="9"/>
      <c r="G2072" s="248" t="str">
        <f t="shared" si="160"/>
        <v/>
      </c>
      <c r="H2072" s="1" t="b">
        <f>IF(B2072="",FALSE,COUNTIF('従業員情報(給与以外)'!$A$4:$A$1000000,$B2072)=0)</f>
        <v>0</v>
      </c>
      <c r="I2072" s="9" t="b">
        <f t="shared" si="161"/>
        <v>1</v>
      </c>
      <c r="J2072" s="9" t="b">
        <f t="shared" si="162"/>
        <v>1</v>
      </c>
      <c r="K2072" s="9" t="b">
        <f t="shared" si="163"/>
        <v>1</v>
      </c>
      <c r="L2072" s="9" t="b">
        <f t="shared" si="164"/>
        <v>1</v>
      </c>
      <c r="M2072" s="1" t="b">
        <f>IF(OR(入力シート!$C$5&lt;&gt;入力リスト!$N$4,入力シート!$J$22&lt;&gt;入力リスト!$K$4),TRUE,IF($F$2=入力リスト!$Q$4,IF(F2072-INT(F2072)&lt;0.6,TRUE,FALSE),TRUE))</f>
        <v>1</v>
      </c>
      <c r="N2072" s="9" t="str">
        <f>IF(F2072="","",IF($F$2=入力リスト!$Q$4,ROUNDDOWN(INT(F2072)+ROUNDDOWN((F2072-INT(F2072))*100,0)/60,2),従業員の給与情報!F2072))</f>
        <v/>
      </c>
      <c r="O2072" s="8"/>
      <c r="P2072" s="8"/>
    </row>
    <row r="2073" spans="1:16">
      <c r="A2073" s="119"/>
      <c r="B2073" s="2"/>
      <c r="C2073" s="3"/>
      <c r="D2073" s="3"/>
      <c r="E2073" s="3"/>
      <c r="F2073" s="9"/>
      <c r="G2073" s="248" t="str">
        <f t="shared" si="160"/>
        <v/>
      </c>
      <c r="H2073" s="1" t="b">
        <f>IF(B2073="",FALSE,COUNTIF('従業員情報(給与以外)'!$A$4:$A$1000000,$B2073)=0)</f>
        <v>0</v>
      </c>
      <c r="I2073" s="9" t="b">
        <f t="shared" si="161"/>
        <v>1</v>
      </c>
      <c r="J2073" s="9" t="b">
        <f t="shared" si="162"/>
        <v>1</v>
      </c>
      <c r="K2073" s="9" t="b">
        <f t="shared" si="163"/>
        <v>1</v>
      </c>
      <c r="L2073" s="9" t="b">
        <f t="shared" si="164"/>
        <v>1</v>
      </c>
      <c r="M2073" s="1" t="b">
        <f>IF(OR(入力シート!$C$5&lt;&gt;入力リスト!$N$4,入力シート!$J$22&lt;&gt;入力リスト!$K$4),TRUE,IF($F$2=入力リスト!$Q$4,IF(F2073-INT(F2073)&lt;0.6,TRUE,FALSE),TRUE))</f>
        <v>1</v>
      </c>
      <c r="N2073" s="9" t="str">
        <f>IF(F2073="","",IF($F$2=入力リスト!$Q$4,ROUNDDOWN(INT(F2073)+ROUNDDOWN((F2073-INT(F2073))*100,0)/60,2),従業員の給与情報!F2073))</f>
        <v/>
      </c>
      <c r="O2073" s="8"/>
      <c r="P2073" s="8"/>
    </row>
    <row r="2074" spans="1:16">
      <c r="A2074" s="119"/>
      <c r="B2074" s="2"/>
      <c r="C2074" s="3"/>
      <c r="D2074" s="3"/>
      <c r="E2074" s="3"/>
      <c r="F2074" s="9"/>
      <c r="G2074" s="248" t="str">
        <f t="shared" si="160"/>
        <v/>
      </c>
      <c r="H2074" s="1" t="b">
        <f>IF(B2074="",FALSE,COUNTIF('従業員情報(給与以外)'!$A$4:$A$1000000,$B2074)=0)</f>
        <v>0</v>
      </c>
      <c r="I2074" s="9" t="b">
        <f t="shared" si="161"/>
        <v>1</v>
      </c>
      <c r="J2074" s="9" t="b">
        <f t="shared" si="162"/>
        <v>1</v>
      </c>
      <c r="K2074" s="9" t="b">
        <f t="shared" si="163"/>
        <v>1</v>
      </c>
      <c r="L2074" s="9" t="b">
        <f t="shared" si="164"/>
        <v>1</v>
      </c>
      <c r="M2074" s="1" t="b">
        <f>IF(OR(入力シート!$C$5&lt;&gt;入力リスト!$N$4,入力シート!$J$22&lt;&gt;入力リスト!$K$4),TRUE,IF($F$2=入力リスト!$Q$4,IF(F2074-INT(F2074)&lt;0.6,TRUE,FALSE),TRUE))</f>
        <v>1</v>
      </c>
      <c r="N2074" s="9" t="str">
        <f>IF(F2074="","",IF($F$2=入力リスト!$Q$4,ROUNDDOWN(INT(F2074)+ROUNDDOWN((F2074-INT(F2074))*100,0)/60,2),従業員の給与情報!F2074))</f>
        <v/>
      </c>
      <c r="O2074" s="8"/>
      <c r="P2074" s="8"/>
    </row>
    <row r="2075" spans="1:16">
      <c r="A2075" s="119"/>
      <c r="B2075" s="2"/>
      <c r="C2075" s="3"/>
      <c r="D2075" s="3"/>
      <c r="E2075" s="3"/>
      <c r="F2075" s="9"/>
      <c r="G2075" s="248" t="str">
        <f t="shared" si="160"/>
        <v/>
      </c>
      <c r="H2075" s="1" t="b">
        <f>IF(B2075="",FALSE,COUNTIF('従業員情報(給与以外)'!$A$4:$A$1000000,$B2075)=0)</f>
        <v>0</v>
      </c>
      <c r="I2075" s="9" t="b">
        <f t="shared" si="161"/>
        <v>1</v>
      </c>
      <c r="J2075" s="9" t="b">
        <f t="shared" si="162"/>
        <v>1</v>
      </c>
      <c r="K2075" s="9" t="b">
        <f t="shared" si="163"/>
        <v>1</v>
      </c>
      <c r="L2075" s="9" t="b">
        <f t="shared" si="164"/>
        <v>1</v>
      </c>
      <c r="M2075" s="1" t="b">
        <f>IF(OR(入力シート!$C$5&lt;&gt;入力リスト!$N$4,入力シート!$J$22&lt;&gt;入力リスト!$K$4),TRUE,IF($F$2=入力リスト!$Q$4,IF(F2075-INT(F2075)&lt;0.6,TRUE,FALSE),TRUE))</f>
        <v>1</v>
      </c>
      <c r="N2075" s="9" t="str">
        <f>IF(F2075="","",IF($F$2=入力リスト!$Q$4,ROUNDDOWN(INT(F2075)+ROUNDDOWN((F2075-INT(F2075))*100,0)/60,2),従業員の給与情報!F2075))</f>
        <v/>
      </c>
      <c r="O2075" s="8"/>
      <c r="P2075" s="8"/>
    </row>
    <row r="2076" spans="1:16">
      <c r="A2076" s="119"/>
      <c r="B2076" s="2"/>
      <c r="C2076" s="3"/>
      <c r="D2076" s="3"/>
      <c r="E2076" s="3"/>
      <c r="F2076" s="9"/>
      <c r="G2076" s="248" t="str">
        <f t="shared" si="160"/>
        <v/>
      </c>
      <c r="H2076" s="1" t="b">
        <f>IF(B2076="",FALSE,COUNTIF('従業員情報(給与以外)'!$A$4:$A$1000000,$B2076)=0)</f>
        <v>0</v>
      </c>
      <c r="I2076" s="9" t="b">
        <f t="shared" si="161"/>
        <v>1</v>
      </c>
      <c r="J2076" s="9" t="b">
        <f t="shared" si="162"/>
        <v>1</v>
      </c>
      <c r="K2076" s="9" t="b">
        <f t="shared" si="163"/>
        <v>1</v>
      </c>
      <c r="L2076" s="9" t="b">
        <f t="shared" si="164"/>
        <v>1</v>
      </c>
      <c r="M2076" s="1" t="b">
        <f>IF(OR(入力シート!$C$5&lt;&gt;入力リスト!$N$4,入力シート!$J$22&lt;&gt;入力リスト!$K$4),TRUE,IF($F$2=入力リスト!$Q$4,IF(F2076-INT(F2076)&lt;0.6,TRUE,FALSE),TRUE))</f>
        <v>1</v>
      </c>
      <c r="N2076" s="9" t="str">
        <f>IF(F2076="","",IF($F$2=入力リスト!$Q$4,ROUNDDOWN(INT(F2076)+ROUNDDOWN((F2076-INT(F2076))*100,0)/60,2),従業員の給与情報!F2076))</f>
        <v/>
      </c>
      <c r="O2076" s="8"/>
      <c r="P2076" s="8"/>
    </row>
    <row r="2077" spans="1:16">
      <c r="A2077" s="119"/>
      <c r="B2077" s="2"/>
      <c r="C2077" s="3"/>
      <c r="D2077" s="3"/>
      <c r="E2077" s="3"/>
      <c r="F2077" s="9"/>
      <c r="G2077" s="248" t="str">
        <f t="shared" si="160"/>
        <v/>
      </c>
      <c r="H2077" s="1" t="b">
        <f>IF(B2077="",FALSE,COUNTIF('従業員情報(給与以外)'!$A$4:$A$1000000,$B2077)=0)</f>
        <v>0</v>
      </c>
      <c r="I2077" s="9" t="b">
        <f t="shared" si="161"/>
        <v>1</v>
      </c>
      <c r="J2077" s="9" t="b">
        <f t="shared" si="162"/>
        <v>1</v>
      </c>
      <c r="K2077" s="9" t="b">
        <f t="shared" si="163"/>
        <v>1</v>
      </c>
      <c r="L2077" s="9" t="b">
        <f t="shared" si="164"/>
        <v>1</v>
      </c>
      <c r="M2077" s="1" t="b">
        <f>IF(OR(入力シート!$C$5&lt;&gt;入力リスト!$N$4,入力シート!$J$22&lt;&gt;入力リスト!$K$4),TRUE,IF($F$2=入力リスト!$Q$4,IF(F2077-INT(F2077)&lt;0.6,TRUE,FALSE),TRUE))</f>
        <v>1</v>
      </c>
      <c r="N2077" s="9" t="str">
        <f>IF(F2077="","",IF($F$2=入力リスト!$Q$4,ROUNDDOWN(INT(F2077)+ROUNDDOWN((F2077-INT(F2077))*100,0)/60,2),従業員の給与情報!F2077))</f>
        <v/>
      </c>
      <c r="O2077" s="8"/>
      <c r="P2077" s="8"/>
    </row>
    <row r="2078" spans="1:16">
      <c r="A2078" s="119"/>
      <c r="B2078" s="2"/>
      <c r="C2078" s="3"/>
      <c r="D2078" s="3"/>
      <c r="E2078" s="3"/>
      <c r="F2078" s="9"/>
      <c r="G2078" s="248" t="str">
        <f t="shared" si="160"/>
        <v/>
      </c>
      <c r="H2078" s="1" t="b">
        <f>IF(B2078="",FALSE,COUNTIF('従業員情報(給与以外)'!$A$4:$A$1000000,$B2078)=0)</f>
        <v>0</v>
      </c>
      <c r="I2078" s="9" t="b">
        <f t="shared" si="161"/>
        <v>1</v>
      </c>
      <c r="J2078" s="9" t="b">
        <f t="shared" si="162"/>
        <v>1</v>
      </c>
      <c r="K2078" s="9" t="b">
        <f t="shared" si="163"/>
        <v>1</v>
      </c>
      <c r="L2078" s="9" t="b">
        <f t="shared" si="164"/>
        <v>1</v>
      </c>
      <c r="M2078" s="1" t="b">
        <f>IF(OR(入力シート!$C$5&lt;&gt;入力リスト!$N$4,入力シート!$J$22&lt;&gt;入力リスト!$K$4),TRUE,IF($F$2=入力リスト!$Q$4,IF(F2078-INT(F2078)&lt;0.6,TRUE,FALSE),TRUE))</f>
        <v>1</v>
      </c>
      <c r="N2078" s="9" t="str">
        <f>IF(F2078="","",IF($F$2=入力リスト!$Q$4,ROUNDDOWN(INT(F2078)+ROUNDDOWN((F2078-INT(F2078))*100,0)/60,2),従業員の給与情報!F2078))</f>
        <v/>
      </c>
      <c r="O2078" s="8"/>
      <c r="P2078" s="8"/>
    </row>
    <row r="2079" spans="1:16">
      <c r="A2079" s="119"/>
      <c r="B2079" s="2"/>
      <c r="C2079" s="3"/>
      <c r="D2079" s="3"/>
      <c r="E2079" s="3"/>
      <c r="F2079" s="9"/>
      <c r="G2079" s="248" t="str">
        <f t="shared" si="160"/>
        <v/>
      </c>
      <c r="H2079" s="1" t="b">
        <f>IF(B2079="",FALSE,COUNTIF('従業員情報(給与以外)'!$A$4:$A$1000000,$B2079)=0)</f>
        <v>0</v>
      </c>
      <c r="I2079" s="9" t="b">
        <f t="shared" si="161"/>
        <v>1</v>
      </c>
      <c r="J2079" s="9" t="b">
        <f t="shared" si="162"/>
        <v>1</v>
      </c>
      <c r="K2079" s="9" t="b">
        <f t="shared" si="163"/>
        <v>1</v>
      </c>
      <c r="L2079" s="9" t="b">
        <f t="shared" si="164"/>
        <v>1</v>
      </c>
      <c r="M2079" s="1" t="b">
        <f>IF(OR(入力シート!$C$5&lt;&gt;入力リスト!$N$4,入力シート!$J$22&lt;&gt;入力リスト!$K$4),TRUE,IF($F$2=入力リスト!$Q$4,IF(F2079-INT(F2079)&lt;0.6,TRUE,FALSE),TRUE))</f>
        <v>1</v>
      </c>
      <c r="N2079" s="9" t="str">
        <f>IF(F2079="","",IF($F$2=入力リスト!$Q$4,ROUNDDOWN(INT(F2079)+ROUNDDOWN((F2079-INT(F2079))*100,0)/60,2),従業員の給与情報!F2079))</f>
        <v/>
      </c>
      <c r="O2079" s="8"/>
      <c r="P2079" s="8"/>
    </row>
    <row r="2080" spans="1:16">
      <c r="A2080" s="119"/>
      <c r="B2080" s="2"/>
      <c r="C2080" s="3"/>
      <c r="D2080" s="3"/>
      <c r="E2080" s="3"/>
      <c r="F2080" s="9"/>
      <c r="G2080" s="248" t="str">
        <f t="shared" si="160"/>
        <v/>
      </c>
      <c r="H2080" s="1" t="b">
        <f>IF(B2080="",FALSE,COUNTIF('従業員情報(給与以外)'!$A$4:$A$1000000,$B2080)=0)</f>
        <v>0</v>
      </c>
      <c r="I2080" s="9" t="b">
        <f t="shared" si="161"/>
        <v>1</v>
      </c>
      <c r="J2080" s="9" t="b">
        <f t="shared" si="162"/>
        <v>1</v>
      </c>
      <c r="K2080" s="9" t="b">
        <f t="shared" si="163"/>
        <v>1</v>
      </c>
      <c r="L2080" s="9" t="b">
        <f t="shared" si="164"/>
        <v>1</v>
      </c>
      <c r="M2080" s="1" t="b">
        <f>IF(OR(入力シート!$C$5&lt;&gt;入力リスト!$N$4,入力シート!$J$22&lt;&gt;入力リスト!$K$4),TRUE,IF($F$2=入力リスト!$Q$4,IF(F2080-INT(F2080)&lt;0.6,TRUE,FALSE),TRUE))</f>
        <v>1</v>
      </c>
      <c r="N2080" s="9" t="str">
        <f>IF(F2080="","",IF($F$2=入力リスト!$Q$4,ROUNDDOWN(INT(F2080)+ROUNDDOWN((F2080-INT(F2080))*100,0)/60,2),従業員の給与情報!F2080))</f>
        <v/>
      </c>
      <c r="O2080" s="8"/>
      <c r="P2080" s="8"/>
    </row>
    <row r="2081" spans="1:16">
      <c r="A2081" s="119"/>
      <c r="B2081" s="2"/>
      <c r="C2081" s="3"/>
      <c r="D2081" s="3"/>
      <c r="E2081" s="3"/>
      <c r="F2081" s="9"/>
      <c r="G2081" s="248" t="str">
        <f t="shared" si="160"/>
        <v/>
      </c>
      <c r="H2081" s="1" t="b">
        <f>IF(B2081="",FALSE,COUNTIF('従業員情報(給与以外)'!$A$4:$A$1000000,$B2081)=0)</f>
        <v>0</v>
      </c>
      <c r="I2081" s="9" t="b">
        <f t="shared" si="161"/>
        <v>1</v>
      </c>
      <c r="J2081" s="9" t="b">
        <f t="shared" si="162"/>
        <v>1</v>
      </c>
      <c r="K2081" s="9" t="b">
        <f t="shared" si="163"/>
        <v>1</v>
      </c>
      <c r="L2081" s="9" t="b">
        <f t="shared" si="164"/>
        <v>1</v>
      </c>
      <c r="M2081" s="1" t="b">
        <f>IF(OR(入力シート!$C$5&lt;&gt;入力リスト!$N$4,入力シート!$J$22&lt;&gt;入力リスト!$K$4),TRUE,IF($F$2=入力リスト!$Q$4,IF(F2081-INT(F2081)&lt;0.6,TRUE,FALSE),TRUE))</f>
        <v>1</v>
      </c>
      <c r="N2081" s="9" t="str">
        <f>IF(F2081="","",IF($F$2=入力リスト!$Q$4,ROUNDDOWN(INT(F2081)+ROUNDDOWN((F2081-INT(F2081))*100,0)/60,2),従業員の給与情報!F2081))</f>
        <v/>
      </c>
      <c r="O2081" s="8"/>
      <c r="P2081" s="8"/>
    </row>
    <row r="2082" spans="1:16">
      <c r="A2082" s="119"/>
      <c r="B2082" s="2"/>
      <c r="C2082" s="3"/>
      <c r="D2082" s="3"/>
      <c r="E2082" s="3"/>
      <c r="F2082" s="9"/>
      <c r="G2082" s="248" t="str">
        <f t="shared" si="160"/>
        <v/>
      </c>
      <c r="H2082" s="1" t="b">
        <f>IF(B2082="",FALSE,COUNTIF('従業員情報(給与以外)'!$A$4:$A$1000000,$B2082)=0)</f>
        <v>0</v>
      </c>
      <c r="I2082" s="9" t="b">
        <f t="shared" si="161"/>
        <v>1</v>
      </c>
      <c r="J2082" s="9" t="b">
        <f t="shared" si="162"/>
        <v>1</v>
      </c>
      <c r="K2082" s="9" t="b">
        <f t="shared" si="163"/>
        <v>1</v>
      </c>
      <c r="L2082" s="9" t="b">
        <f t="shared" si="164"/>
        <v>1</v>
      </c>
      <c r="M2082" s="1" t="b">
        <f>IF(OR(入力シート!$C$5&lt;&gt;入力リスト!$N$4,入力シート!$J$22&lt;&gt;入力リスト!$K$4),TRUE,IF($F$2=入力リスト!$Q$4,IF(F2082-INT(F2082)&lt;0.6,TRUE,FALSE),TRUE))</f>
        <v>1</v>
      </c>
      <c r="N2082" s="9" t="str">
        <f>IF(F2082="","",IF($F$2=入力リスト!$Q$4,ROUNDDOWN(INT(F2082)+ROUNDDOWN((F2082-INT(F2082))*100,0)/60,2),従業員の給与情報!F2082))</f>
        <v/>
      </c>
      <c r="O2082" s="8"/>
      <c r="P2082" s="8"/>
    </row>
    <row r="2083" spans="1:16">
      <c r="A2083" s="119"/>
      <c r="B2083" s="2"/>
      <c r="C2083" s="3"/>
      <c r="D2083" s="3"/>
      <c r="E2083" s="3"/>
      <c r="F2083" s="9"/>
      <c r="G2083" s="248" t="str">
        <f t="shared" si="160"/>
        <v/>
      </c>
      <c r="H2083" s="1" t="b">
        <f>IF(B2083="",FALSE,COUNTIF('従業員情報(給与以外)'!$A$4:$A$1000000,$B2083)=0)</f>
        <v>0</v>
      </c>
      <c r="I2083" s="9" t="b">
        <f t="shared" si="161"/>
        <v>1</v>
      </c>
      <c r="J2083" s="9" t="b">
        <f t="shared" si="162"/>
        <v>1</v>
      </c>
      <c r="K2083" s="9" t="b">
        <f t="shared" si="163"/>
        <v>1</v>
      </c>
      <c r="L2083" s="9" t="b">
        <f t="shared" si="164"/>
        <v>1</v>
      </c>
      <c r="M2083" s="1" t="b">
        <f>IF(OR(入力シート!$C$5&lt;&gt;入力リスト!$N$4,入力シート!$J$22&lt;&gt;入力リスト!$K$4),TRUE,IF($F$2=入力リスト!$Q$4,IF(F2083-INT(F2083)&lt;0.6,TRUE,FALSE),TRUE))</f>
        <v>1</v>
      </c>
      <c r="N2083" s="9" t="str">
        <f>IF(F2083="","",IF($F$2=入力リスト!$Q$4,ROUNDDOWN(INT(F2083)+ROUNDDOWN((F2083-INT(F2083))*100,0)/60,2),従業員の給与情報!F2083))</f>
        <v/>
      </c>
      <c r="O2083" s="8"/>
      <c r="P2083" s="8"/>
    </row>
    <row r="2084" spans="1:16">
      <c r="A2084" s="119"/>
      <c r="B2084" s="2"/>
      <c r="C2084" s="3"/>
      <c r="D2084" s="3"/>
      <c r="E2084" s="3"/>
      <c r="F2084" s="9"/>
      <c r="G2084" s="248" t="str">
        <f t="shared" si="160"/>
        <v/>
      </c>
      <c r="H2084" s="1" t="b">
        <f>IF(B2084="",FALSE,COUNTIF('従業員情報(給与以外)'!$A$4:$A$1000000,$B2084)=0)</f>
        <v>0</v>
      </c>
      <c r="I2084" s="9" t="b">
        <f t="shared" si="161"/>
        <v>1</v>
      </c>
      <c r="J2084" s="9" t="b">
        <f t="shared" si="162"/>
        <v>1</v>
      </c>
      <c r="K2084" s="9" t="b">
        <f t="shared" si="163"/>
        <v>1</v>
      </c>
      <c r="L2084" s="9" t="b">
        <f t="shared" si="164"/>
        <v>1</v>
      </c>
      <c r="M2084" s="1" t="b">
        <f>IF(OR(入力シート!$C$5&lt;&gt;入力リスト!$N$4,入力シート!$J$22&lt;&gt;入力リスト!$K$4),TRUE,IF($F$2=入力リスト!$Q$4,IF(F2084-INT(F2084)&lt;0.6,TRUE,FALSE),TRUE))</f>
        <v>1</v>
      </c>
      <c r="N2084" s="9" t="str">
        <f>IF(F2084="","",IF($F$2=入力リスト!$Q$4,ROUNDDOWN(INT(F2084)+ROUNDDOWN((F2084-INT(F2084))*100,0)/60,2),従業員の給与情報!F2084))</f>
        <v/>
      </c>
      <c r="O2084" s="8"/>
      <c r="P2084" s="8"/>
    </row>
    <row r="2085" spans="1:16">
      <c r="A2085" s="119"/>
      <c r="B2085" s="2"/>
      <c r="C2085" s="3"/>
      <c r="D2085" s="3"/>
      <c r="E2085" s="3"/>
      <c r="F2085" s="9"/>
      <c r="G2085" s="248" t="str">
        <f t="shared" si="160"/>
        <v/>
      </c>
      <c r="H2085" s="1" t="b">
        <f>IF(B2085="",FALSE,COUNTIF('従業員情報(給与以外)'!$A$4:$A$1000000,$B2085)=0)</f>
        <v>0</v>
      </c>
      <c r="I2085" s="9" t="b">
        <f t="shared" si="161"/>
        <v>1</v>
      </c>
      <c r="J2085" s="9" t="b">
        <f t="shared" si="162"/>
        <v>1</v>
      </c>
      <c r="K2085" s="9" t="b">
        <f t="shared" si="163"/>
        <v>1</v>
      </c>
      <c r="L2085" s="9" t="b">
        <f t="shared" si="164"/>
        <v>1</v>
      </c>
      <c r="M2085" s="1" t="b">
        <f>IF(OR(入力シート!$C$5&lt;&gt;入力リスト!$N$4,入力シート!$J$22&lt;&gt;入力リスト!$K$4),TRUE,IF($F$2=入力リスト!$Q$4,IF(F2085-INT(F2085)&lt;0.6,TRUE,FALSE),TRUE))</f>
        <v>1</v>
      </c>
      <c r="N2085" s="9" t="str">
        <f>IF(F2085="","",IF($F$2=入力リスト!$Q$4,ROUNDDOWN(INT(F2085)+ROUNDDOWN((F2085-INT(F2085))*100,0)/60,2),従業員の給与情報!F2085))</f>
        <v/>
      </c>
      <c r="O2085" s="8"/>
      <c r="P2085" s="8"/>
    </row>
    <row r="2086" spans="1:16">
      <c r="A2086" s="119"/>
      <c r="B2086" s="2"/>
      <c r="C2086" s="3"/>
      <c r="D2086" s="3"/>
      <c r="E2086" s="3"/>
      <c r="F2086" s="9"/>
      <c r="G2086" s="248" t="str">
        <f t="shared" si="160"/>
        <v/>
      </c>
      <c r="H2086" s="1" t="b">
        <f>IF(B2086="",FALSE,COUNTIF('従業員情報(給与以外)'!$A$4:$A$1000000,$B2086)=0)</f>
        <v>0</v>
      </c>
      <c r="I2086" s="9" t="b">
        <f t="shared" si="161"/>
        <v>1</v>
      </c>
      <c r="J2086" s="9" t="b">
        <f t="shared" si="162"/>
        <v>1</v>
      </c>
      <c r="K2086" s="9" t="b">
        <f t="shared" si="163"/>
        <v>1</v>
      </c>
      <c r="L2086" s="9" t="b">
        <f t="shared" si="164"/>
        <v>1</v>
      </c>
      <c r="M2086" s="1" t="b">
        <f>IF(OR(入力シート!$C$5&lt;&gt;入力リスト!$N$4,入力シート!$J$22&lt;&gt;入力リスト!$K$4),TRUE,IF($F$2=入力リスト!$Q$4,IF(F2086-INT(F2086)&lt;0.6,TRUE,FALSE),TRUE))</f>
        <v>1</v>
      </c>
      <c r="N2086" s="9" t="str">
        <f>IF(F2086="","",IF($F$2=入力リスト!$Q$4,ROUNDDOWN(INT(F2086)+ROUNDDOWN((F2086-INT(F2086))*100,0)/60,2),従業員の給与情報!F2086))</f>
        <v/>
      </c>
      <c r="O2086" s="8"/>
      <c r="P2086" s="8"/>
    </row>
    <row r="2087" spans="1:16">
      <c r="A2087" s="119"/>
      <c r="B2087" s="2"/>
      <c r="C2087" s="3"/>
      <c r="D2087" s="3"/>
      <c r="E2087" s="3"/>
      <c r="F2087" s="9"/>
      <c r="G2087" s="248" t="str">
        <f t="shared" si="160"/>
        <v/>
      </c>
      <c r="H2087" s="1" t="b">
        <f>IF(B2087="",FALSE,COUNTIF('従業員情報(給与以外)'!$A$4:$A$1000000,$B2087)=0)</f>
        <v>0</v>
      </c>
      <c r="I2087" s="9" t="b">
        <f t="shared" si="161"/>
        <v>1</v>
      </c>
      <c r="J2087" s="9" t="b">
        <f t="shared" si="162"/>
        <v>1</v>
      </c>
      <c r="K2087" s="9" t="b">
        <f t="shared" si="163"/>
        <v>1</v>
      </c>
      <c r="L2087" s="9" t="b">
        <f t="shared" si="164"/>
        <v>1</v>
      </c>
      <c r="M2087" s="1" t="b">
        <f>IF(OR(入力シート!$C$5&lt;&gt;入力リスト!$N$4,入力シート!$J$22&lt;&gt;入力リスト!$K$4),TRUE,IF($F$2=入力リスト!$Q$4,IF(F2087-INT(F2087)&lt;0.6,TRUE,FALSE),TRUE))</f>
        <v>1</v>
      </c>
      <c r="N2087" s="9" t="str">
        <f>IF(F2087="","",IF($F$2=入力リスト!$Q$4,ROUNDDOWN(INT(F2087)+ROUNDDOWN((F2087-INT(F2087))*100,0)/60,2),従業員の給与情報!F2087))</f>
        <v/>
      </c>
      <c r="O2087" s="8"/>
      <c r="P2087" s="8"/>
    </row>
    <row r="2088" spans="1:16">
      <c r="A2088" s="119"/>
      <c r="B2088" s="2"/>
      <c r="C2088" s="3"/>
      <c r="D2088" s="3"/>
      <c r="E2088" s="3"/>
      <c r="F2088" s="9"/>
      <c r="G2088" s="248" t="str">
        <f t="shared" si="160"/>
        <v/>
      </c>
      <c r="H2088" s="1" t="b">
        <f>IF(B2088="",FALSE,COUNTIF('従業員情報(給与以外)'!$A$4:$A$1000000,$B2088)=0)</f>
        <v>0</v>
      </c>
      <c r="I2088" s="9" t="b">
        <f t="shared" si="161"/>
        <v>1</v>
      </c>
      <c r="J2088" s="9" t="b">
        <f t="shared" si="162"/>
        <v>1</v>
      </c>
      <c r="K2088" s="9" t="b">
        <f t="shared" si="163"/>
        <v>1</v>
      </c>
      <c r="L2088" s="9" t="b">
        <f t="shared" si="164"/>
        <v>1</v>
      </c>
      <c r="M2088" s="1" t="b">
        <f>IF(OR(入力シート!$C$5&lt;&gt;入力リスト!$N$4,入力シート!$J$22&lt;&gt;入力リスト!$K$4),TRUE,IF($F$2=入力リスト!$Q$4,IF(F2088-INT(F2088)&lt;0.6,TRUE,FALSE),TRUE))</f>
        <v>1</v>
      </c>
      <c r="N2088" s="9" t="str">
        <f>IF(F2088="","",IF($F$2=入力リスト!$Q$4,ROUNDDOWN(INT(F2088)+ROUNDDOWN((F2088-INT(F2088))*100,0)/60,2),従業員の給与情報!F2088))</f>
        <v/>
      </c>
      <c r="O2088" s="8"/>
      <c r="P2088" s="8"/>
    </row>
    <row r="2089" spans="1:16">
      <c r="A2089" s="119"/>
      <c r="B2089" s="2"/>
      <c r="C2089" s="3"/>
      <c r="D2089" s="3"/>
      <c r="E2089" s="3"/>
      <c r="F2089" s="9"/>
      <c r="G2089" s="248" t="str">
        <f t="shared" si="160"/>
        <v/>
      </c>
      <c r="H2089" s="1" t="b">
        <f>IF(B2089="",FALSE,COUNTIF('従業員情報(給与以外)'!$A$4:$A$1000000,$B2089)=0)</f>
        <v>0</v>
      </c>
      <c r="I2089" s="9" t="b">
        <f t="shared" si="161"/>
        <v>1</v>
      </c>
      <c r="J2089" s="9" t="b">
        <f t="shared" si="162"/>
        <v>1</v>
      </c>
      <c r="K2089" s="9" t="b">
        <f t="shared" si="163"/>
        <v>1</v>
      </c>
      <c r="L2089" s="9" t="b">
        <f t="shared" si="164"/>
        <v>1</v>
      </c>
      <c r="M2089" s="1" t="b">
        <f>IF(OR(入力シート!$C$5&lt;&gt;入力リスト!$N$4,入力シート!$J$22&lt;&gt;入力リスト!$K$4),TRUE,IF($F$2=入力リスト!$Q$4,IF(F2089-INT(F2089)&lt;0.6,TRUE,FALSE),TRUE))</f>
        <v>1</v>
      </c>
      <c r="N2089" s="9" t="str">
        <f>IF(F2089="","",IF($F$2=入力リスト!$Q$4,ROUNDDOWN(INT(F2089)+ROUNDDOWN((F2089-INT(F2089))*100,0)/60,2),従業員の給与情報!F2089))</f>
        <v/>
      </c>
      <c r="O2089" s="8"/>
      <c r="P2089" s="8"/>
    </row>
    <row r="2090" spans="1:16">
      <c r="A2090" s="119"/>
      <c r="B2090" s="2"/>
      <c r="C2090" s="3"/>
      <c r="D2090" s="3"/>
      <c r="E2090" s="3"/>
      <c r="F2090" s="9"/>
      <c r="G2090" s="248" t="str">
        <f t="shared" si="160"/>
        <v/>
      </c>
      <c r="H2090" s="1" t="b">
        <f>IF(B2090="",FALSE,COUNTIF('従業員情報(給与以外)'!$A$4:$A$1000000,$B2090)=0)</f>
        <v>0</v>
      </c>
      <c r="I2090" s="9" t="b">
        <f t="shared" si="161"/>
        <v>1</v>
      </c>
      <c r="J2090" s="9" t="b">
        <f t="shared" si="162"/>
        <v>1</v>
      </c>
      <c r="K2090" s="9" t="b">
        <f t="shared" si="163"/>
        <v>1</v>
      </c>
      <c r="L2090" s="9" t="b">
        <f t="shared" si="164"/>
        <v>1</v>
      </c>
      <c r="M2090" s="1" t="b">
        <f>IF(OR(入力シート!$C$5&lt;&gt;入力リスト!$N$4,入力シート!$J$22&lt;&gt;入力リスト!$K$4),TRUE,IF($F$2=入力リスト!$Q$4,IF(F2090-INT(F2090)&lt;0.6,TRUE,FALSE),TRUE))</f>
        <v>1</v>
      </c>
      <c r="N2090" s="9" t="str">
        <f>IF(F2090="","",IF($F$2=入力リスト!$Q$4,ROUNDDOWN(INT(F2090)+ROUNDDOWN((F2090-INT(F2090))*100,0)/60,2),従業員の給与情報!F2090))</f>
        <v/>
      </c>
      <c r="O2090" s="8"/>
      <c r="P2090" s="8"/>
    </row>
    <row r="2091" spans="1:16">
      <c r="A2091" s="119"/>
      <c r="B2091" s="2"/>
      <c r="C2091" s="3"/>
      <c r="D2091" s="3"/>
      <c r="E2091" s="3"/>
      <c r="F2091" s="9"/>
      <c r="G2091" s="248" t="str">
        <f t="shared" si="160"/>
        <v/>
      </c>
      <c r="H2091" s="1" t="b">
        <f>IF(B2091="",FALSE,COUNTIF('従業員情報(給与以外)'!$A$4:$A$1000000,$B2091)=0)</f>
        <v>0</v>
      </c>
      <c r="I2091" s="9" t="b">
        <f t="shared" si="161"/>
        <v>1</v>
      </c>
      <c r="J2091" s="9" t="b">
        <f t="shared" si="162"/>
        <v>1</v>
      </c>
      <c r="K2091" s="9" t="b">
        <f t="shared" si="163"/>
        <v>1</v>
      </c>
      <c r="L2091" s="9" t="b">
        <f t="shared" si="164"/>
        <v>1</v>
      </c>
      <c r="M2091" s="1" t="b">
        <f>IF(OR(入力シート!$C$5&lt;&gt;入力リスト!$N$4,入力シート!$J$22&lt;&gt;入力リスト!$K$4),TRUE,IF($F$2=入力リスト!$Q$4,IF(F2091-INT(F2091)&lt;0.6,TRUE,FALSE),TRUE))</f>
        <v>1</v>
      </c>
      <c r="N2091" s="9" t="str">
        <f>IF(F2091="","",IF($F$2=入力リスト!$Q$4,ROUNDDOWN(INT(F2091)+ROUNDDOWN((F2091-INT(F2091))*100,0)/60,2),従業員の給与情報!F2091))</f>
        <v/>
      </c>
      <c r="O2091" s="8"/>
      <c r="P2091" s="8"/>
    </row>
    <row r="2092" spans="1:16">
      <c r="A2092" s="119"/>
      <c r="B2092" s="2"/>
      <c r="C2092" s="3"/>
      <c r="D2092" s="3"/>
      <c r="E2092" s="3"/>
      <c r="F2092" s="9"/>
      <c r="G2092" s="248" t="str">
        <f t="shared" si="160"/>
        <v/>
      </c>
      <c r="H2092" s="1" t="b">
        <f>IF(B2092="",FALSE,COUNTIF('従業員情報(給与以外)'!$A$4:$A$1000000,$B2092)=0)</f>
        <v>0</v>
      </c>
      <c r="I2092" s="9" t="b">
        <f t="shared" si="161"/>
        <v>1</v>
      </c>
      <c r="J2092" s="9" t="b">
        <f t="shared" si="162"/>
        <v>1</v>
      </c>
      <c r="K2092" s="9" t="b">
        <f t="shared" si="163"/>
        <v>1</v>
      </c>
      <c r="L2092" s="9" t="b">
        <f t="shared" si="164"/>
        <v>1</v>
      </c>
      <c r="M2092" s="1" t="b">
        <f>IF(OR(入力シート!$C$5&lt;&gt;入力リスト!$N$4,入力シート!$J$22&lt;&gt;入力リスト!$K$4),TRUE,IF($F$2=入力リスト!$Q$4,IF(F2092-INT(F2092)&lt;0.6,TRUE,FALSE),TRUE))</f>
        <v>1</v>
      </c>
      <c r="N2092" s="9" t="str">
        <f>IF(F2092="","",IF($F$2=入力リスト!$Q$4,ROUNDDOWN(INT(F2092)+ROUNDDOWN((F2092-INT(F2092))*100,0)/60,2),従業員の給与情報!F2092))</f>
        <v/>
      </c>
      <c r="O2092" s="8"/>
      <c r="P2092" s="8"/>
    </row>
    <row r="2093" spans="1:16">
      <c r="A2093" s="119"/>
      <c r="B2093" s="2"/>
      <c r="C2093" s="3"/>
      <c r="D2093" s="3"/>
      <c r="E2093" s="3"/>
      <c r="F2093" s="9"/>
      <c r="G2093" s="248" t="str">
        <f t="shared" si="160"/>
        <v/>
      </c>
      <c r="H2093" s="1" t="b">
        <f>IF(B2093="",FALSE,COUNTIF('従業員情報(給与以外)'!$A$4:$A$1000000,$B2093)=0)</f>
        <v>0</v>
      </c>
      <c r="I2093" s="9" t="b">
        <f t="shared" si="161"/>
        <v>1</v>
      </c>
      <c r="J2093" s="9" t="b">
        <f t="shared" si="162"/>
        <v>1</v>
      </c>
      <c r="K2093" s="9" t="b">
        <f t="shared" si="163"/>
        <v>1</v>
      </c>
      <c r="L2093" s="9" t="b">
        <f t="shared" si="164"/>
        <v>1</v>
      </c>
      <c r="M2093" s="1" t="b">
        <f>IF(OR(入力シート!$C$5&lt;&gt;入力リスト!$N$4,入力シート!$J$22&lt;&gt;入力リスト!$K$4),TRUE,IF($F$2=入力リスト!$Q$4,IF(F2093-INT(F2093)&lt;0.6,TRUE,FALSE),TRUE))</f>
        <v>1</v>
      </c>
      <c r="N2093" s="9" t="str">
        <f>IF(F2093="","",IF($F$2=入力リスト!$Q$4,ROUNDDOWN(INT(F2093)+ROUNDDOWN((F2093-INT(F2093))*100,0)/60,2),従業員の給与情報!F2093))</f>
        <v/>
      </c>
      <c r="O2093" s="8"/>
      <c r="P2093" s="8"/>
    </row>
    <row r="2094" spans="1:16">
      <c r="A2094" s="119"/>
      <c r="B2094" s="2"/>
      <c r="C2094" s="3"/>
      <c r="D2094" s="3"/>
      <c r="E2094" s="3"/>
      <c r="F2094" s="9"/>
      <c r="G2094" s="248" t="str">
        <f t="shared" si="160"/>
        <v/>
      </c>
      <c r="H2094" s="1" t="b">
        <f>IF(B2094="",FALSE,COUNTIF('従業員情報(給与以外)'!$A$4:$A$1000000,$B2094)=0)</f>
        <v>0</v>
      </c>
      <c r="I2094" s="9" t="b">
        <f t="shared" si="161"/>
        <v>1</v>
      </c>
      <c r="J2094" s="9" t="b">
        <f t="shared" si="162"/>
        <v>1</v>
      </c>
      <c r="K2094" s="9" t="b">
        <f t="shared" si="163"/>
        <v>1</v>
      </c>
      <c r="L2094" s="9" t="b">
        <f t="shared" si="164"/>
        <v>1</v>
      </c>
      <c r="M2094" s="1" t="b">
        <f>IF(OR(入力シート!$C$5&lt;&gt;入力リスト!$N$4,入力シート!$J$22&lt;&gt;入力リスト!$K$4),TRUE,IF($F$2=入力リスト!$Q$4,IF(F2094-INT(F2094)&lt;0.6,TRUE,FALSE),TRUE))</f>
        <v>1</v>
      </c>
      <c r="N2094" s="9" t="str">
        <f>IF(F2094="","",IF($F$2=入力リスト!$Q$4,ROUNDDOWN(INT(F2094)+ROUNDDOWN((F2094-INT(F2094))*100,0)/60,2),従業員の給与情報!F2094))</f>
        <v/>
      </c>
      <c r="O2094" s="8"/>
      <c r="P2094" s="8"/>
    </row>
    <row r="2095" spans="1:16">
      <c r="A2095" s="119"/>
      <c r="B2095" s="2"/>
      <c r="C2095" s="3"/>
      <c r="D2095" s="3"/>
      <c r="E2095" s="3"/>
      <c r="F2095" s="9"/>
      <c r="G2095" s="248" t="str">
        <f t="shared" si="160"/>
        <v/>
      </c>
      <c r="H2095" s="1" t="b">
        <f>IF(B2095="",FALSE,COUNTIF('従業員情報(給与以外)'!$A$4:$A$1000000,$B2095)=0)</f>
        <v>0</v>
      </c>
      <c r="I2095" s="9" t="b">
        <f t="shared" si="161"/>
        <v>1</v>
      </c>
      <c r="J2095" s="9" t="b">
        <f t="shared" si="162"/>
        <v>1</v>
      </c>
      <c r="K2095" s="9" t="b">
        <f t="shared" si="163"/>
        <v>1</v>
      </c>
      <c r="L2095" s="9" t="b">
        <f t="shared" si="164"/>
        <v>1</v>
      </c>
      <c r="M2095" s="1" t="b">
        <f>IF(OR(入力シート!$C$5&lt;&gt;入力リスト!$N$4,入力シート!$J$22&lt;&gt;入力リスト!$K$4),TRUE,IF($F$2=入力リスト!$Q$4,IF(F2095-INT(F2095)&lt;0.6,TRUE,FALSE),TRUE))</f>
        <v>1</v>
      </c>
      <c r="N2095" s="9" t="str">
        <f>IF(F2095="","",IF($F$2=入力リスト!$Q$4,ROUNDDOWN(INT(F2095)+ROUNDDOWN((F2095-INT(F2095))*100,0)/60,2),従業員の給与情報!F2095))</f>
        <v/>
      </c>
      <c r="O2095" s="8"/>
      <c r="P2095" s="8"/>
    </row>
    <row r="2096" spans="1:16">
      <c r="A2096" s="119"/>
      <c r="B2096" s="2"/>
      <c r="C2096" s="3"/>
      <c r="D2096" s="3"/>
      <c r="E2096" s="3"/>
      <c r="F2096" s="9"/>
      <c r="G2096" s="248" t="str">
        <f t="shared" si="160"/>
        <v/>
      </c>
      <c r="H2096" s="1" t="b">
        <f>IF(B2096="",FALSE,COUNTIF('従業員情報(給与以外)'!$A$4:$A$1000000,$B2096)=0)</f>
        <v>0</v>
      </c>
      <c r="I2096" s="9" t="b">
        <f t="shared" si="161"/>
        <v>1</v>
      </c>
      <c r="J2096" s="9" t="b">
        <f t="shared" si="162"/>
        <v>1</v>
      </c>
      <c r="K2096" s="9" t="b">
        <f t="shared" si="163"/>
        <v>1</v>
      </c>
      <c r="L2096" s="9" t="b">
        <f t="shared" si="164"/>
        <v>1</v>
      </c>
      <c r="M2096" s="1" t="b">
        <f>IF(OR(入力シート!$C$5&lt;&gt;入力リスト!$N$4,入力シート!$J$22&lt;&gt;入力リスト!$K$4),TRUE,IF($F$2=入力リスト!$Q$4,IF(F2096-INT(F2096)&lt;0.6,TRUE,FALSE),TRUE))</f>
        <v>1</v>
      </c>
      <c r="N2096" s="9" t="str">
        <f>IF(F2096="","",IF($F$2=入力リスト!$Q$4,ROUNDDOWN(INT(F2096)+ROUNDDOWN((F2096-INT(F2096))*100,0)/60,2),従業員の給与情報!F2096))</f>
        <v/>
      </c>
      <c r="O2096" s="8"/>
      <c r="P2096" s="8"/>
    </row>
    <row r="2097" spans="1:16">
      <c r="A2097" s="119"/>
      <c r="B2097" s="2"/>
      <c r="C2097" s="3"/>
      <c r="D2097" s="3"/>
      <c r="E2097" s="3"/>
      <c r="F2097" s="9"/>
      <c r="G2097" s="248" t="str">
        <f t="shared" si="160"/>
        <v/>
      </c>
      <c r="H2097" s="1" t="b">
        <f>IF(B2097="",FALSE,COUNTIF('従業員情報(給与以外)'!$A$4:$A$1000000,$B2097)=0)</f>
        <v>0</v>
      </c>
      <c r="I2097" s="9" t="b">
        <f t="shared" si="161"/>
        <v>1</v>
      </c>
      <c r="J2097" s="9" t="b">
        <f t="shared" si="162"/>
        <v>1</v>
      </c>
      <c r="K2097" s="9" t="b">
        <f t="shared" si="163"/>
        <v>1</v>
      </c>
      <c r="L2097" s="9" t="b">
        <f t="shared" si="164"/>
        <v>1</v>
      </c>
      <c r="M2097" s="1" t="b">
        <f>IF(OR(入力シート!$C$5&lt;&gt;入力リスト!$N$4,入力シート!$J$22&lt;&gt;入力リスト!$K$4),TRUE,IF($F$2=入力リスト!$Q$4,IF(F2097-INT(F2097)&lt;0.6,TRUE,FALSE),TRUE))</f>
        <v>1</v>
      </c>
      <c r="N2097" s="9" t="str">
        <f>IF(F2097="","",IF($F$2=入力リスト!$Q$4,ROUNDDOWN(INT(F2097)+ROUNDDOWN((F2097-INT(F2097))*100,0)/60,2),従業員の給与情報!F2097))</f>
        <v/>
      </c>
      <c r="O2097" s="8"/>
      <c r="P2097" s="8"/>
    </row>
    <row r="2098" spans="1:16">
      <c r="A2098" s="119"/>
      <c r="B2098" s="2"/>
      <c r="C2098" s="3"/>
      <c r="D2098" s="3"/>
      <c r="E2098" s="3"/>
      <c r="F2098" s="9"/>
      <c r="G2098" s="248" t="str">
        <f t="shared" si="160"/>
        <v/>
      </c>
      <c r="H2098" s="1" t="b">
        <f>IF(B2098="",FALSE,COUNTIF('従業員情報(給与以外)'!$A$4:$A$1000000,$B2098)=0)</f>
        <v>0</v>
      </c>
      <c r="I2098" s="9" t="b">
        <f t="shared" si="161"/>
        <v>1</v>
      </c>
      <c r="J2098" s="9" t="b">
        <f t="shared" si="162"/>
        <v>1</v>
      </c>
      <c r="K2098" s="9" t="b">
        <f t="shared" si="163"/>
        <v>1</v>
      </c>
      <c r="L2098" s="9" t="b">
        <f t="shared" si="164"/>
        <v>1</v>
      </c>
      <c r="M2098" s="1" t="b">
        <f>IF(OR(入力シート!$C$5&lt;&gt;入力リスト!$N$4,入力シート!$J$22&lt;&gt;入力リスト!$K$4),TRUE,IF($F$2=入力リスト!$Q$4,IF(F2098-INT(F2098)&lt;0.6,TRUE,FALSE),TRUE))</f>
        <v>1</v>
      </c>
      <c r="N2098" s="9" t="str">
        <f>IF(F2098="","",IF($F$2=入力リスト!$Q$4,ROUNDDOWN(INT(F2098)+ROUNDDOWN((F2098-INT(F2098))*100,0)/60,2),従業員の給与情報!F2098))</f>
        <v/>
      </c>
      <c r="O2098" s="8"/>
      <c r="P2098" s="8"/>
    </row>
    <row r="2099" spans="1:16">
      <c r="A2099" s="119"/>
      <c r="B2099" s="2"/>
      <c r="C2099" s="3"/>
      <c r="D2099" s="3"/>
      <c r="E2099" s="3"/>
      <c r="F2099" s="9"/>
      <c r="G2099" s="248" t="str">
        <f t="shared" si="160"/>
        <v/>
      </c>
      <c r="H2099" s="1" t="b">
        <f>IF(B2099="",FALSE,COUNTIF('従業員情報(給与以外)'!$A$4:$A$1000000,$B2099)=0)</f>
        <v>0</v>
      </c>
      <c r="I2099" s="9" t="b">
        <f t="shared" si="161"/>
        <v>1</v>
      </c>
      <c r="J2099" s="9" t="b">
        <f t="shared" si="162"/>
        <v>1</v>
      </c>
      <c r="K2099" s="9" t="b">
        <f t="shared" si="163"/>
        <v>1</v>
      </c>
      <c r="L2099" s="9" t="b">
        <f t="shared" si="164"/>
        <v>1</v>
      </c>
      <c r="M2099" s="1" t="b">
        <f>IF(OR(入力シート!$C$5&lt;&gt;入力リスト!$N$4,入力シート!$J$22&lt;&gt;入力リスト!$K$4),TRUE,IF($F$2=入力リスト!$Q$4,IF(F2099-INT(F2099)&lt;0.6,TRUE,FALSE),TRUE))</f>
        <v>1</v>
      </c>
      <c r="N2099" s="9" t="str">
        <f>IF(F2099="","",IF($F$2=入力リスト!$Q$4,ROUNDDOWN(INT(F2099)+ROUNDDOWN((F2099-INT(F2099))*100,0)/60,2),従業員の給与情報!F2099))</f>
        <v/>
      </c>
      <c r="O2099" s="8"/>
      <c r="P2099" s="8"/>
    </row>
    <row r="2100" spans="1:16">
      <c r="A2100" s="119"/>
      <c r="B2100" s="2"/>
      <c r="C2100" s="3"/>
      <c r="D2100" s="3"/>
      <c r="E2100" s="3"/>
      <c r="F2100" s="9"/>
      <c r="G2100" s="248" t="str">
        <f t="shared" si="160"/>
        <v/>
      </c>
      <c r="H2100" s="1" t="b">
        <f>IF(B2100="",FALSE,COUNTIF('従業員情報(給与以外)'!$A$4:$A$1000000,$B2100)=0)</f>
        <v>0</v>
      </c>
      <c r="I2100" s="9" t="b">
        <f t="shared" si="161"/>
        <v>1</v>
      </c>
      <c r="J2100" s="9" t="b">
        <f t="shared" si="162"/>
        <v>1</v>
      </c>
      <c r="K2100" s="9" t="b">
        <f t="shared" si="163"/>
        <v>1</v>
      </c>
      <c r="L2100" s="9" t="b">
        <f t="shared" si="164"/>
        <v>1</v>
      </c>
      <c r="M2100" s="1" t="b">
        <f>IF(OR(入力シート!$C$5&lt;&gt;入力リスト!$N$4,入力シート!$J$22&lt;&gt;入力リスト!$K$4),TRUE,IF($F$2=入力リスト!$Q$4,IF(F2100-INT(F2100)&lt;0.6,TRUE,FALSE),TRUE))</f>
        <v>1</v>
      </c>
      <c r="N2100" s="9" t="str">
        <f>IF(F2100="","",IF($F$2=入力リスト!$Q$4,ROUNDDOWN(INT(F2100)+ROUNDDOWN((F2100-INT(F2100))*100,0)/60,2),従業員の給与情報!F2100))</f>
        <v/>
      </c>
      <c r="O2100" s="8"/>
      <c r="P2100" s="8"/>
    </row>
    <row r="2101" spans="1:16">
      <c r="A2101" s="119"/>
      <c r="B2101" s="2"/>
      <c r="C2101" s="3"/>
      <c r="D2101" s="3"/>
      <c r="E2101" s="3"/>
      <c r="F2101" s="9"/>
      <c r="G2101" s="248" t="str">
        <f t="shared" si="160"/>
        <v/>
      </c>
      <c r="H2101" s="1" t="b">
        <f>IF(B2101="",FALSE,COUNTIF('従業員情報(給与以外)'!$A$4:$A$1000000,$B2101)=0)</f>
        <v>0</v>
      </c>
      <c r="I2101" s="9" t="b">
        <f t="shared" si="161"/>
        <v>1</v>
      </c>
      <c r="J2101" s="9" t="b">
        <f t="shared" si="162"/>
        <v>1</v>
      </c>
      <c r="K2101" s="9" t="b">
        <f t="shared" si="163"/>
        <v>1</v>
      </c>
      <c r="L2101" s="9" t="b">
        <f t="shared" si="164"/>
        <v>1</v>
      </c>
      <c r="M2101" s="1" t="b">
        <f>IF(OR(入力シート!$C$5&lt;&gt;入力リスト!$N$4,入力シート!$J$22&lt;&gt;入力リスト!$K$4),TRUE,IF($F$2=入力リスト!$Q$4,IF(F2101-INT(F2101)&lt;0.6,TRUE,FALSE),TRUE))</f>
        <v>1</v>
      </c>
      <c r="N2101" s="9" t="str">
        <f>IF(F2101="","",IF($F$2=入力リスト!$Q$4,ROUNDDOWN(INT(F2101)+ROUNDDOWN((F2101-INT(F2101))*100,0)/60,2),従業員の給与情報!F2101))</f>
        <v/>
      </c>
      <c r="O2101" s="8"/>
      <c r="P2101" s="8"/>
    </row>
    <row r="2102" spans="1:16">
      <c r="A2102" s="119"/>
      <c r="B2102" s="2"/>
      <c r="C2102" s="3"/>
      <c r="D2102" s="3"/>
      <c r="E2102" s="3"/>
      <c r="F2102" s="9"/>
      <c r="G2102" s="248" t="str">
        <f t="shared" si="160"/>
        <v/>
      </c>
      <c r="H2102" s="1" t="b">
        <f>IF(B2102="",FALSE,COUNTIF('従業員情報(給与以外)'!$A$4:$A$1000000,$B2102)=0)</f>
        <v>0</v>
      </c>
      <c r="I2102" s="9" t="b">
        <f t="shared" si="161"/>
        <v>1</v>
      </c>
      <c r="J2102" s="9" t="b">
        <f t="shared" si="162"/>
        <v>1</v>
      </c>
      <c r="K2102" s="9" t="b">
        <f t="shared" si="163"/>
        <v>1</v>
      </c>
      <c r="L2102" s="9" t="b">
        <f t="shared" si="164"/>
        <v>1</v>
      </c>
      <c r="M2102" s="1" t="b">
        <f>IF(OR(入力シート!$C$5&lt;&gt;入力リスト!$N$4,入力シート!$J$22&lt;&gt;入力リスト!$K$4),TRUE,IF($F$2=入力リスト!$Q$4,IF(F2102-INT(F2102)&lt;0.6,TRUE,FALSE),TRUE))</f>
        <v>1</v>
      </c>
      <c r="N2102" s="9" t="str">
        <f>IF(F2102="","",IF($F$2=入力リスト!$Q$4,ROUNDDOWN(INT(F2102)+ROUNDDOWN((F2102-INT(F2102))*100,0)/60,2),従業員の給与情報!F2102))</f>
        <v/>
      </c>
      <c r="O2102" s="8"/>
      <c r="P2102" s="8"/>
    </row>
    <row r="2103" spans="1:16">
      <c r="A2103" s="119"/>
      <c r="B2103" s="2"/>
      <c r="C2103" s="3"/>
      <c r="D2103" s="3"/>
      <c r="E2103" s="3"/>
      <c r="F2103" s="9"/>
      <c r="G2103" s="248" t="str">
        <f t="shared" si="160"/>
        <v/>
      </c>
      <c r="H2103" s="1" t="b">
        <f>IF(B2103="",FALSE,COUNTIF('従業員情報(給与以外)'!$A$4:$A$1000000,$B2103)=0)</f>
        <v>0</v>
      </c>
      <c r="I2103" s="9" t="b">
        <f t="shared" si="161"/>
        <v>1</v>
      </c>
      <c r="J2103" s="9" t="b">
        <f t="shared" si="162"/>
        <v>1</v>
      </c>
      <c r="K2103" s="9" t="b">
        <f t="shared" si="163"/>
        <v>1</v>
      </c>
      <c r="L2103" s="9" t="b">
        <f t="shared" si="164"/>
        <v>1</v>
      </c>
      <c r="M2103" s="1" t="b">
        <f>IF(OR(入力シート!$C$5&lt;&gt;入力リスト!$N$4,入力シート!$J$22&lt;&gt;入力リスト!$K$4),TRUE,IF($F$2=入力リスト!$Q$4,IF(F2103-INT(F2103)&lt;0.6,TRUE,FALSE),TRUE))</f>
        <v>1</v>
      </c>
      <c r="N2103" s="9" t="str">
        <f>IF(F2103="","",IF($F$2=入力リスト!$Q$4,ROUNDDOWN(INT(F2103)+ROUNDDOWN((F2103-INT(F2103))*100,0)/60,2),従業員の給与情報!F2103))</f>
        <v/>
      </c>
      <c r="O2103" s="8"/>
      <c r="P2103" s="8"/>
    </row>
    <row r="2104" spans="1:16">
      <c r="A2104" s="119"/>
      <c r="B2104" s="2"/>
      <c r="C2104" s="3"/>
      <c r="D2104" s="3"/>
      <c r="E2104" s="3"/>
      <c r="F2104" s="9"/>
      <c r="G2104" s="248" t="str">
        <f t="shared" si="160"/>
        <v/>
      </c>
      <c r="H2104" s="1" t="b">
        <f>IF(B2104="",FALSE,COUNTIF('従業員情報(給与以外)'!$A$4:$A$1000000,$B2104)=0)</f>
        <v>0</v>
      </c>
      <c r="I2104" s="9" t="b">
        <f t="shared" si="161"/>
        <v>1</v>
      </c>
      <c r="J2104" s="9" t="b">
        <f t="shared" si="162"/>
        <v>1</v>
      </c>
      <c r="K2104" s="9" t="b">
        <f t="shared" si="163"/>
        <v>1</v>
      </c>
      <c r="L2104" s="9" t="b">
        <f t="shared" si="164"/>
        <v>1</v>
      </c>
      <c r="M2104" s="1" t="b">
        <f>IF(OR(入力シート!$C$5&lt;&gt;入力リスト!$N$4,入力シート!$J$22&lt;&gt;入力リスト!$K$4),TRUE,IF($F$2=入力リスト!$Q$4,IF(F2104-INT(F2104)&lt;0.6,TRUE,FALSE),TRUE))</f>
        <v>1</v>
      </c>
      <c r="N2104" s="9" t="str">
        <f>IF(F2104="","",IF($F$2=入力リスト!$Q$4,ROUNDDOWN(INT(F2104)+ROUNDDOWN((F2104-INT(F2104))*100,0)/60,2),従業員の給与情報!F2104))</f>
        <v/>
      </c>
      <c r="O2104" s="8"/>
      <c r="P2104" s="8"/>
    </row>
    <row r="2105" spans="1:16">
      <c r="A2105" s="119"/>
      <c r="B2105" s="2"/>
      <c r="C2105" s="3"/>
      <c r="D2105" s="3"/>
      <c r="E2105" s="3"/>
      <c r="F2105" s="9"/>
      <c r="G2105" s="248" t="str">
        <f t="shared" si="160"/>
        <v/>
      </c>
      <c r="H2105" s="1" t="b">
        <f>IF(B2105="",FALSE,COUNTIF('従業員情報(給与以外)'!$A$4:$A$1000000,$B2105)=0)</f>
        <v>0</v>
      </c>
      <c r="I2105" s="9" t="b">
        <f t="shared" si="161"/>
        <v>1</v>
      </c>
      <c r="J2105" s="9" t="b">
        <f t="shared" si="162"/>
        <v>1</v>
      </c>
      <c r="K2105" s="9" t="b">
        <f t="shared" si="163"/>
        <v>1</v>
      </c>
      <c r="L2105" s="9" t="b">
        <f t="shared" si="164"/>
        <v>1</v>
      </c>
      <c r="M2105" s="1" t="b">
        <f>IF(OR(入力シート!$C$5&lt;&gt;入力リスト!$N$4,入力シート!$J$22&lt;&gt;入力リスト!$K$4),TRUE,IF($F$2=入力リスト!$Q$4,IF(F2105-INT(F2105)&lt;0.6,TRUE,FALSE),TRUE))</f>
        <v>1</v>
      </c>
      <c r="N2105" s="9" t="str">
        <f>IF(F2105="","",IF($F$2=入力リスト!$Q$4,ROUNDDOWN(INT(F2105)+ROUNDDOWN((F2105-INT(F2105))*100,0)/60,2),従業員の給与情報!F2105))</f>
        <v/>
      </c>
      <c r="O2105" s="8"/>
      <c r="P2105" s="8"/>
    </row>
    <row r="2106" spans="1:16">
      <c r="A2106" s="119"/>
      <c r="B2106" s="2"/>
      <c r="C2106" s="3"/>
      <c r="D2106" s="3"/>
      <c r="E2106" s="3"/>
      <c r="F2106" s="9"/>
      <c r="G2106" s="248" t="str">
        <f t="shared" si="160"/>
        <v/>
      </c>
      <c r="H2106" s="1" t="b">
        <f>IF(B2106="",FALSE,COUNTIF('従業員情報(給与以外)'!$A$4:$A$1000000,$B2106)=0)</f>
        <v>0</v>
      </c>
      <c r="I2106" s="9" t="b">
        <f t="shared" si="161"/>
        <v>1</v>
      </c>
      <c r="J2106" s="9" t="b">
        <f t="shared" si="162"/>
        <v>1</v>
      </c>
      <c r="K2106" s="9" t="b">
        <f t="shared" si="163"/>
        <v>1</v>
      </c>
      <c r="L2106" s="9" t="b">
        <f t="shared" si="164"/>
        <v>1</v>
      </c>
      <c r="M2106" s="1" t="b">
        <f>IF(OR(入力シート!$C$5&lt;&gt;入力リスト!$N$4,入力シート!$J$22&lt;&gt;入力リスト!$K$4),TRUE,IF($F$2=入力リスト!$Q$4,IF(F2106-INT(F2106)&lt;0.6,TRUE,FALSE),TRUE))</f>
        <v>1</v>
      </c>
      <c r="N2106" s="9" t="str">
        <f>IF(F2106="","",IF($F$2=入力リスト!$Q$4,ROUNDDOWN(INT(F2106)+ROUNDDOWN((F2106-INT(F2106))*100,0)/60,2),従業員の給与情報!F2106))</f>
        <v/>
      </c>
      <c r="O2106" s="8"/>
      <c r="P2106" s="8"/>
    </row>
    <row r="2107" spans="1:16">
      <c r="A2107" s="119"/>
      <c r="B2107" s="2"/>
      <c r="C2107" s="3"/>
      <c r="D2107" s="3"/>
      <c r="E2107" s="3"/>
      <c r="F2107" s="9"/>
      <c r="G2107" s="248" t="str">
        <f t="shared" si="160"/>
        <v/>
      </c>
      <c r="H2107" s="1" t="b">
        <f>IF(B2107="",FALSE,COUNTIF('従業員情報(給与以外)'!$A$4:$A$1000000,$B2107)=0)</f>
        <v>0</v>
      </c>
      <c r="I2107" s="9" t="b">
        <f t="shared" si="161"/>
        <v>1</v>
      </c>
      <c r="J2107" s="9" t="b">
        <f t="shared" si="162"/>
        <v>1</v>
      </c>
      <c r="K2107" s="9" t="b">
        <f t="shared" si="163"/>
        <v>1</v>
      </c>
      <c r="L2107" s="9" t="b">
        <f t="shared" si="164"/>
        <v>1</v>
      </c>
      <c r="M2107" s="1" t="b">
        <f>IF(OR(入力シート!$C$5&lt;&gt;入力リスト!$N$4,入力シート!$J$22&lt;&gt;入力リスト!$K$4),TRUE,IF($F$2=入力リスト!$Q$4,IF(F2107-INT(F2107)&lt;0.6,TRUE,FALSE),TRUE))</f>
        <v>1</v>
      </c>
      <c r="N2107" s="9" t="str">
        <f>IF(F2107="","",IF($F$2=入力リスト!$Q$4,ROUNDDOWN(INT(F2107)+ROUNDDOWN((F2107-INT(F2107))*100,0)/60,2),従業員の給与情報!F2107))</f>
        <v/>
      </c>
      <c r="O2107" s="8"/>
      <c r="P2107" s="8"/>
    </row>
    <row r="2108" spans="1:16">
      <c r="A2108" s="119"/>
      <c r="B2108" s="2"/>
      <c r="C2108" s="3"/>
      <c r="D2108" s="3"/>
      <c r="E2108" s="3"/>
      <c r="F2108" s="9"/>
      <c r="G2108" s="248" t="str">
        <f t="shared" si="160"/>
        <v/>
      </c>
      <c r="H2108" s="1" t="b">
        <f>IF(B2108="",FALSE,COUNTIF('従業員情報(給与以外)'!$A$4:$A$1000000,$B2108)=0)</f>
        <v>0</v>
      </c>
      <c r="I2108" s="9" t="b">
        <f t="shared" si="161"/>
        <v>1</v>
      </c>
      <c r="J2108" s="9" t="b">
        <f t="shared" si="162"/>
        <v>1</v>
      </c>
      <c r="K2108" s="9" t="b">
        <f t="shared" si="163"/>
        <v>1</v>
      </c>
      <c r="L2108" s="9" t="b">
        <f t="shared" si="164"/>
        <v>1</v>
      </c>
      <c r="M2108" s="1" t="b">
        <f>IF(OR(入力シート!$C$5&lt;&gt;入力リスト!$N$4,入力シート!$J$22&lt;&gt;入力リスト!$K$4),TRUE,IF($F$2=入力リスト!$Q$4,IF(F2108-INT(F2108)&lt;0.6,TRUE,FALSE),TRUE))</f>
        <v>1</v>
      </c>
      <c r="N2108" s="9" t="str">
        <f>IF(F2108="","",IF($F$2=入力リスト!$Q$4,ROUNDDOWN(INT(F2108)+ROUNDDOWN((F2108-INT(F2108))*100,0)/60,2),従業員の給与情報!F2108))</f>
        <v/>
      </c>
      <c r="O2108" s="8"/>
      <c r="P2108" s="8"/>
    </row>
    <row r="2109" spans="1:16">
      <c r="A2109" s="119"/>
      <c r="B2109" s="2"/>
      <c r="C2109" s="3"/>
      <c r="D2109" s="3"/>
      <c r="E2109" s="3"/>
      <c r="F2109" s="9"/>
      <c r="G2109" s="248" t="str">
        <f t="shared" si="160"/>
        <v/>
      </c>
      <c r="H2109" s="1" t="b">
        <f>IF(B2109="",FALSE,COUNTIF('従業員情報(給与以外)'!$A$4:$A$1000000,$B2109)=0)</f>
        <v>0</v>
      </c>
      <c r="I2109" s="9" t="b">
        <f t="shared" si="161"/>
        <v>1</v>
      </c>
      <c r="J2109" s="9" t="b">
        <f t="shared" si="162"/>
        <v>1</v>
      </c>
      <c r="K2109" s="9" t="b">
        <f t="shared" si="163"/>
        <v>1</v>
      </c>
      <c r="L2109" s="9" t="b">
        <f t="shared" si="164"/>
        <v>1</v>
      </c>
      <c r="M2109" s="1" t="b">
        <f>IF(OR(入力シート!$C$5&lt;&gt;入力リスト!$N$4,入力シート!$J$22&lt;&gt;入力リスト!$K$4),TRUE,IF($F$2=入力リスト!$Q$4,IF(F2109-INT(F2109)&lt;0.6,TRUE,FALSE),TRUE))</f>
        <v>1</v>
      </c>
      <c r="N2109" s="9" t="str">
        <f>IF(F2109="","",IF($F$2=入力リスト!$Q$4,ROUNDDOWN(INT(F2109)+ROUNDDOWN((F2109-INT(F2109))*100,0)/60,2),従業員の給与情報!F2109))</f>
        <v/>
      </c>
      <c r="O2109" s="8"/>
      <c r="P2109" s="8"/>
    </row>
    <row r="2110" spans="1:16">
      <c r="A2110" s="119"/>
      <c r="B2110" s="2"/>
      <c r="C2110" s="3"/>
      <c r="D2110" s="3"/>
      <c r="E2110" s="3"/>
      <c r="F2110" s="9"/>
      <c r="G2110" s="248" t="str">
        <f t="shared" si="160"/>
        <v/>
      </c>
      <c r="H2110" s="1" t="b">
        <f>IF(B2110="",FALSE,COUNTIF('従業員情報(給与以外)'!$A$4:$A$1000000,$B2110)=0)</f>
        <v>0</v>
      </c>
      <c r="I2110" s="9" t="b">
        <f t="shared" si="161"/>
        <v>1</v>
      </c>
      <c r="J2110" s="9" t="b">
        <f t="shared" si="162"/>
        <v>1</v>
      </c>
      <c r="K2110" s="9" t="b">
        <f t="shared" si="163"/>
        <v>1</v>
      </c>
      <c r="L2110" s="9" t="b">
        <f t="shared" si="164"/>
        <v>1</v>
      </c>
      <c r="M2110" s="1" t="b">
        <f>IF(OR(入力シート!$C$5&lt;&gt;入力リスト!$N$4,入力シート!$J$22&lt;&gt;入力リスト!$K$4),TRUE,IF($F$2=入力リスト!$Q$4,IF(F2110-INT(F2110)&lt;0.6,TRUE,FALSE),TRUE))</f>
        <v>1</v>
      </c>
      <c r="N2110" s="9" t="str">
        <f>IF(F2110="","",IF($F$2=入力リスト!$Q$4,ROUNDDOWN(INT(F2110)+ROUNDDOWN((F2110-INT(F2110))*100,0)/60,2),従業員の給与情報!F2110))</f>
        <v/>
      </c>
      <c r="O2110" s="8"/>
      <c r="P2110" s="8"/>
    </row>
    <row r="2111" spans="1:16">
      <c r="A2111" s="119"/>
      <c r="B2111" s="2"/>
      <c r="C2111" s="3"/>
      <c r="D2111" s="3"/>
      <c r="E2111" s="3"/>
      <c r="F2111" s="9"/>
      <c r="G2111" s="248" t="str">
        <f t="shared" si="160"/>
        <v/>
      </c>
      <c r="H2111" s="1" t="b">
        <f>IF(B2111="",FALSE,COUNTIF('従業員情報(給与以外)'!$A$4:$A$1000000,$B2111)=0)</f>
        <v>0</v>
      </c>
      <c r="I2111" s="9" t="b">
        <f t="shared" si="161"/>
        <v>1</v>
      </c>
      <c r="J2111" s="9" t="b">
        <f t="shared" si="162"/>
        <v>1</v>
      </c>
      <c r="K2111" s="9" t="b">
        <f t="shared" si="163"/>
        <v>1</v>
      </c>
      <c r="L2111" s="9" t="b">
        <f t="shared" si="164"/>
        <v>1</v>
      </c>
      <c r="M2111" s="1" t="b">
        <f>IF(OR(入力シート!$C$5&lt;&gt;入力リスト!$N$4,入力シート!$J$22&lt;&gt;入力リスト!$K$4),TRUE,IF($F$2=入力リスト!$Q$4,IF(F2111-INT(F2111)&lt;0.6,TRUE,FALSE),TRUE))</f>
        <v>1</v>
      </c>
      <c r="N2111" s="9" t="str">
        <f>IF(F2111="","",IF($F$2=入力リスト!$Q$4,ROUNDDOWN(INT(F2111)+ROUNDDOWN((F2111-INT(F2111))*100,0)/60,2),従業員の給与情報!F2111))</f>
        <v/>
      </c>
      <c r="O2111" s="8"/>
      <c r="P2111" s="8"/>
    </row>
    <row r="2112" spans="1:16">
      <c r="A2112" s="119"/>
      <c r="B2112" s="2"/>
      <c r="C2112" s="3"/>
      <c r="D2112" s="3"/>
      <c r="E2112" s="3"/>
      <c r="F2112" s="9"/>
      <c r="G2112" s="248" t="str">
        <f t="shared" si="160"/>
        <v/>
      </c>
      <c r="H2112" s="1" t="b">
        <f>IF(B2112="",FALSE,COUNTIF('従業員情報(給与以外)'!$A$4:$A$1000000,$B2112)=0)</f>
        <v>0</v>
      </c>
      <c r="I2112" s="9" t="b">
        <f t="shared" si="161"/>
        <v>1</v>
      </c>
      <c r="J2112" s="9" t="b">
        <f t="shared" si="162"/>
        <v>1</v>
      </c>
      <c r="K2112" s="9" t="b">
        <f t="shared" si="163"/>
        <v>1</v>
      </c>
      <c r="L2112" s="9" t="b">
        <f t="shared" si="164"/>
        <v>1</v>
      </c>
      <c r="M2112" s="1" t="b">
        <f>IF(OR(入力シート!$C$5&lt;&gt;入力リスト!$N$4,入力シート!$J$22&lt;&gt;入力リスト!$K$4),TRUE,IF($F$2=入力リスト!$Q$4,IF(F2112-INT(F2112)&lt;0.6,TRUE,FALSE),TRUE))</f>
        <v>1</v>
      </c>
      <c r="N2112" s="9" t="str">
        <f>IF(F2112="","",IF($F$2=入力リスト!$Q$4,ROUNDDOWN(INT(F2112)+ROUNDDOWN((F2112-INT(F2112))*100,0)/60,2),従業員の給与情報!F2112))</f>
        <v/>
      </c>
      <c r="O2112" s="8"/>
      <c r="P2112" s="8"/>
    </row>
    <row r="2113" spans="1:16">
      <c r="A2113" s="119"/>
      <c r="B2113" s="2"/>
      <c r="C2113" s="3"/>
      <c r="D2113" s="3"/>
      <c r="E2113" s="3"/>
      <c r="F2113" s="9"/>
      <c r="G2113" s="248" t="str">
        <f t="shared" si="160"/>
        <v/>
      </c>
      <c r="H2113" s="1" t="b">
        <f>IF(B2113="",FALSE,COUNTIF('従業員情報(給与以外)'!$A$4:$A$1000000,$B2113)=0)</f>
        <v>0</v>
      </c>
      <c r="I2113" s="9" t="b">
        <f t="shared" si="161"/>
        <v>1</v>
      </c>
      <c r="J2113" s="9" t="b">
        <f t="shared" si="162"/>
        <v>1</v>
      </c>
      <c r="K2113" s="9" t="b">
        <f t="shared" si="163"/>
        <v>1</v>
      </c>
      <c r="L2113" s="9" t="b">
        <f t="shared" si="164"/>
        <v>1</v>
      </c>
      <c r="M2113" s="1" t="b">
        <f>IF(OR(入力シート!$C$5&lt;&gt;入力リスト!$N$4,入力シート!$J$22&lt;&gt;入力リスト!$K$4),TRUE,IF($F$2=入力リスト!$Q$4,IF(F2113-INT(F2113)&lt;0.6,TRUE,FALSE),TRUE))</f>
        <v>1</v>
      </c>
      <c r="N2113" s="9" t="str">
        <f>IF(F2113="","",IF($F$2=入力リスト!$Q$4,ROUNDDOWN(INT(F2113)+ROUNDDOWN((F2113-INT(F2113))*100,0)/60,2),従業員の給与情報!F2113))</f>
        <v/>
      </c>
      <c r="O2113" s="8"/>
      <c r="P2113" s="8"/>
    </row>
    <row r="2114" spans="1:16">
      <c r="A2114" s="119"/>
      <c r="B2114" s="2"/>
      <c r="C2114" s="3"/>
      <c r="D2114" s="3"/>
      <c r="E2114" s="3"/>
      <c r="F2114" s="9"/>
      <c r="G2114" s="248" t="str">
        <f t="shared" si="160"/>
        <v/>
      </c>
      <c r="H2114" s="1" t="b">
        <f>IF(B2114="",FALSE,COUNTIF('従業員情報(給与以外)'!$A$4:$A$1000000,$B2114)=0)</f>
        <v>0</v>
      </c>
      <c r="I2114" s="9" t="b">
        <f t="shared" si="161"/>
        <v>1</v>
      </c>
      <c r="J2114" s="9" t="b">
        <f t="shared" si="162"/>
        <v>1</v>
      </c>
      <c r="K2114" s="9" t="b">
        <f t="shared" si="163"/>
        <v>1</v>
      </c>
      <c r="L2114" s="9" t="b">
        <f t="shared" si="164"/>
        <v>1</v>
      </c>
      <c r="M2114" s="1" t="b">
        <f>IF(OR(入力シート!$C$5&lt;&gt;入力リスト!$N$4,入力シート!$J$22&lt;&gt;入力リスト!$K$4),TRUE,IF($F$2=入力リスト!$Q$4,IF(F2114-INT(F2114)&lt;0.6,TRUE,FALSE),TRUE))</f>
        <v>1</v>
      </c>
      <c r="N2114" s="9" t="str">
        <f>IF(F2114="","",IF($F$2=入力リスト!$Q$4,ROUNDDOWN(INT(F2114)+ROUNDDOWN((F2114-INT(F2114))*100,0)/60,2),従業員の給与情報!F2114))</f>
        <v/>
      </c>
      <c r="O2114" s="8"/>
      <c r="P2114" s="8"/>
    </row>
    <row r="2115" spans="1:16">
      <c r="A2115" s="119"/>
      <c r="B2115" s="2"/>
      <c r="C2115" s="3"/>
      <c r="D2115" s="3"/>
      <c r="E2115" s="3"/>
      <c r="F2115" s="9"/>
      <c r="G2115" s="248" t="str">
        <f t="shared" si="160"/>
        <v/>
      </c>
      <c r="H2115" s="1" t="b">
        <f>IF(B2115="",FALSE,COUNTIF('従業員情報(給与以外)'!$A$4:$A$1000000,$B2115)=0)</f>
        <v>0</v>
      </c>
      <c r="I2115" s="9" t="b">
        <f t="shared" si="161"/>
        <v>1</v>
      </c>
      <c r="J2115" s="9" t="b">
        <f t="shared" si="162"/>
        <v>1</v>
      </c>
      <c r="K2115" s="9" t="b">
        <f t="shared" si="163"/>
        <v>1</v>
      </c>
      <c r="L2115" s="9" t="b">
        <f t="shared" si="164"/>
        <v>1</v>
      </c>
      <c r="M2115" s="1" t="b">
        <f>IF(OR(入力シート!$C$5&lt;&gt;入力リスト!$N$4,入力シート!$J$22&lt;&gt;入力リスト!$K$4),TRUE,IF($F$2=入力リスト!$Q$4,IF(F2115-INT(F2115)&lt;0.6,TRUE,FALSE),TRUE))</f>
        <v>1</v>
      </c>
      <c r="N2115" s="9" t="str">
        <f>IF(F2115="","",IF($F$2=入力リスト!$Q$4,ROUNDDOWN(INT(F2115)+ROUNDDOWN((F2115-INT(F2115))*100,0)/60,2),従業員の給与情報!F2115))</f>
        <v/>
      </c>
      <c r="O2115" s="8"/>
      <c r="P2115" s="8"/>
    </row>
    <row r="2116" spans="1:16">
      <c r="A2116" s="119"/>
      <c r="B2116" s="2"/>
      <c r="C2116" s="3"/>
      <c r="D2116" s="3"/>
      <c r="E2116" s="3"/>
      <c r="F2116" s="9"/>
      <c r="G2116" s="248" t="str">
        <f t="shared" si="160"/>
        <v/>
      </c>
      <c r="H2116" s="1" t="b">
        <f>IF(B2116="",FALSE,COUNTIF('従業員情報(給与以外)'!$A$4:$A$1000000,$B2116)=0)</f>
        <v>0</v>
      </c>
      <c r="I2116" s="9" t="b">
        <f t="shared" si="161"/>
        <v>1</v>
      </c>
      <c r="J2116" s="9" t="b">
        <f t="shared" si="162"/>
        <v>1</v>
      </c>
      <c r="K2116" s="9" t="b">
        <f t="shared" si="163"/>
        <v>1</v>
      </c>
      <c r="L2116" s="9" t="b">
        <f t="shared" si="164"/>
        <v>1</v>
      </c>
      <c r="M2116" s="1" t="b">
        <f>IF(OR(入力シート!$C$5&lt;&gt;入力リスト!$N$4,入力シート!$J$22&lt;&gt;入力リスト!$K$4),TRUE,IF($F$2=入力リスト!$Q$4,IF(F2116-INT(F2116)&lt;0.6,TRUE,FALSE),TRUE))</f>
        <v>1</v>
      </c>
      <c r="N2116" s="9" t="str">
        <f>IF(F2116="","",IF($F$2=入力リスト!$Q$4,ROUNDDOWN(INT(F2116)+ROUNDDOWN((F2116-INT(F2116))*100,0)/60,2),従業員の給与情報!F2116))</f>
        <v/>
      </c>
      <c r="O2116" s="8"/>
      <c r="P2116" s="8"/>
    </row>
    <row r="2117" spans="1:16">
      <c r="A2117" s="119"/>
      <c r="B2117" s="2"/>
      <c r="C2117" s="3"/>
      <c r="D2117" s="3"/>
      <c r="E2117" s="3"/>
      <c r="F2117" s="9"/>
      <c r="G2117" s="248" t="str">
        <f t="shared" ref="G2117:G2180" si="165">IF(AND($B2117="",OR(B2117&lt;&gt;"",C2117&lt;&gt;"",D2117&lt;&gt;"",E2117&lt;&gt;"",F2117&lt;&gt;"")),"従業員番号が空白です。",IF($H2117=TRUE,"この従業員番号は、シート［従業員情報（給与以外）］に存在しません。",IF(I2117=FALSE,"「毎月の固定給与額」","")&amp;IF(AND(I2117=FALSE,OR(J2117=FALSE,K2117=FALSE,L2117=FALSE)),",","")&amp;IF(J2117=FALSE,"「賞与額等」","")&amp;IF(AND(J2117=FALSE,OR(K2117=FALSE,L2117=FALSE)),",","")&amp;IF(K2117=FALSE,"「残業手当」","")&amp;IF(AND(K2117=FALSE,L2117=FALSE),",","")&amp;IF(L2117=FALSE,"「残業時間」","")&amp;IF(OR(I2117=FALSE,J2117=FALSE,K2117=FALSE,L2117=FALSE),"に数値以外が入力されています。","")&amp;IF(M2117,"","「残業時間」を分単位で入力した場合、小数点以下の値は0.6未満にしてください。")))</f>
        <v/>
      </c>
      <c r="H2117" s="1" t="b">
        <f>IF(B2117="",FALSE,COUNTIF('従業員情報(給与以外)'!$A$4:$A$1000000,$B2117)=0)</f>
        <v>0</v>
      </c>
      <c r="I2117" s="9" t="b">
        <f t="shared" ref="I2117:I2180" si="166">OR(C2117="",ISNUMBER(C2117))</f>
        <v>1</v>
      </c>
      <c r="J2117" s="9" t="b">
        <f t="shared" ref="J2117:J2180" si="167">OR(D2117="",ISNUMBER(D2117))</f>
        <v>1</v>
      </c>
      <c r="K2117" s="9" t="b">
        <f t="shared" ref="K2117:K2180" si="168">OR(E2117="",ISNUMBER(E2117))</f>
        <v>1</v>
      </c>
      <c r="L2117" s="9" t="b">
        <f t="shared" ref="L2117:L2180" si="169">OR(F2117="",ISNUMBER(F2117))</f>
        <v>1</v>
      </c>
      <c r="M2117" s="1" t="b">
        <f>IF(OR(入力シート!$C$5&lt;&gt;入力リスト!$N$4,入力シート!$J$22&lt;&gt;入力リスト!$K$4),TRUE,IF($F$2=入力リスト!$Q$4,IF(F2117-INT(F2117)&lt;0.6,TRUE,FALSE),TRUE))</f>
        <v>1</v>
      </c>
      <c r="N2117" s="9" t="str">
        <f>IF(F2117="","",IF($F$2=入力リスト!$Q$4,ROUNDDOWN(INT(F2117)+ROUNDDOWN((F2117-INT(F2117))*100,0)/60,2),従業員の給与情報!F2117))</f>
        <v/>
      </c>
      <c r="O2117" s="8"/>
      <c r="P2117" s="8"/>
    </row>
    <row r="2118" spans="1:16">
      <c r="A2118" s="119"/>
      <c r="B2118" s="2"/>
      <c r="C2118" s="3"/>
      <c r="D2118" s="3"/>
      <c r="E2118" s="3"/>
      <c r="F2118" s="9"/>
      <c r="G2118" s="248" t="str">
        <f t="shared" si="165"/>
        <v/>
      </c>
      <c r="H2118" s="1" t="b">
        <f>IF(B2118="",FALSE,COUNTIF('従業員情報(給与以外)'!$A$4:$A$1000000,$B2118)=0)</f>
        <v>0</v>
      </c>
      <c r="I2118" s="9" t="b">
        <f t="shared" si="166"/>
        <v>1</v>
      </c>
      <c r="J2118" s="9" t="b">
        <f t="shared" si="167"/>
        <v>1</v>
      </c>
      <c r="K2118" s="9" t="b">
        <f t="shared" si="168"/>
        <v>1</v>
      </c>
      <c r="L2118" s="9" t="b">
        <f t="shared" si="169"/>
        <v>1</v>
      </c>
      <c r="M2118" s="1" t="b">
        <f>IF(OR(入力シート!$C$5&lt;&gt;入力リスト!$N$4,入力シート!$J$22&lt;&gt;入力リスト!$K$4),TRUE,IF($F$2=入力リスト!$Q$4,IF(F2118-INT(F2118)&lt;0.6,TRUE,FALSE),TRUE))</f>
        <v>1</v>
      </c>
      <c r="N2118" s="9" t="str">
        <f>IF(F2118="","",IF($F$2=入力リスト!$Q$4,ROUNDDOWN(INT(F2118)+ROUNDDOWN((F2118-INT(F2118))*100,0)/60,2),従業員の給与情報!F2118))</f>
        <v/>
      </c>
      <c r="O2118" s="8"/>
      <c r="P2118" s="8"/>
    </row>
    <row r="2119" spans="1:16">
      <c r="A2119" s="119"/>
      <c r="B2119" s="2"/>
      <c r="C2119" s="3"/>
      <c r="D2119" s="3"/>
      <c r="E2119" s="3"/>
      <c r="F2119" s="9"/>
      <c r="G2119" s="248" t="str">
        <f t="shared" si="165"/>
        <v/>
      </c>
      <c r="H2119" s="1" t="b">
        <f>IF(B2119="",FALSE,COUNTIF('従業員情報(給与以外)'!$A$4:$A$1000000,$B2119)=0)</f>
        <v>0</v>
      </c>
      <c r="I2119" s="9" t="b">
        <f t="shared" si="166"/>
        <v>1</v>
      </c>
      <c r="J2119" s="9" t="b">
        <f t="shared" si="167"/>
        <v>1</v>
      </c>
      <c r="K2119" s="9" t="b">
        <f t="shared" si="168"/>
        <v>1</v>
      </c>
      <c r="L2119" s="9" t="b">
        <f t="shared" si="169"/>
        <v>1</v>
      </c>
      <c r="M2119" s="1" t="b">
        <f>IF(OR(入力シート!$C$5&lt;&gt;入力リスト!$N$4,入力シート!$J$22&lt;&gt;入力リスト!$K$4),TRUE,IF($F$2=入力リスト!$Q$4,IF(F2119-INT(F2119)&lt;0.6,TRUE,FALSE),TRUE))</f>
        <v>1</v>
      </c>
      <c r="N2119" s="9" t="str">
        <f>IF(F2119="","",IF($F$2=入力リスト!$Q$4,ROUNDDOWN(INT(F2119)+ROUNDDOWN((F2119-INT(F2119))*100,0)/60,2),従業員の給与情報!F2119))</f>
        <v/>
      </c>
      <c r="O2119" s="8"/>
      <c r="P2119" s="8"/>
    </row>
    <row r="2120" spans="1:16">
      <c r="A2120" s="119"/>
      <c r="B2120" s="2"/>
      <c r="C2120" s="3"/>
      <c r="D2120" s="3"/>
      <c r="E2120" s="3"/>
      <c r="F2120" s="9"/>
      <c r="G2120" s="248" t="str">
        <f t="shared" si="165"/>
        <v/>
      </c>
      <c r="H2120" s="1" t="b">
        <f>IF(B2120="",FALSE,COUNTIF('従業員情報(給与以外)'!$A$4:$A$1000000,$B2120)=0)</f>
        <v>0</v>
      </c>
      <c r="I2120" s="9" t="b">
        <f t="shared" si="166"/>
        <v>1</v>
      </c>
      <c r="J2120" s="9" t="b">
        <f t="shared" si="167"/>
        <v>1</v>
      </c>
      <c r="K2120" s="9" t="b">
        <f t="shared" si="168"/>
        <v>1</v>
      </c>
      <c r="L2120" s="9" t="b">
        <f t="shared" si="169"/>
        <v>1</v>
      </c>
      <c r="M2120" s="1" t="b">
        <f>IF(OR(入力シート!$C$5&lt;&gt;入力リスト!$N$4,入力シート!$J$22&lt;&gt;入力リスト!$K$4),TRUE,IF($F$2=入力リスト!$Q$4,IF(F2120-INT(F2120)&lt;0.6,TRUE,FALSE),TRUE))</f>
        <v>1</v>
      </c>
      <c r="N2120" s="9" t="str">
        <f>IF(F2120="","",IF($F$2=入力リスト!$Q$4,ROUNDDOWN(INT(F2120)+ROUNDDOWN((F2120-INT(F2120))*100,0)/60,2),従業員の給与情報!F2120))</f>
        <v/>
      </c>
      <c r="O2120" s="8"/>
      <c r="P2120" s="8"/>
    </row>
    <row r="2121" spans="1:16">
      <c r="A2121" s="119"/>
      <c r="B2121" s="2"/>
      <c r="C2121" s="3"/>
      <c r="D2121" s="3"/>
      <c r="E2121" s="3"/>
      <c r="F2121" s="9"/>
      <c r="G2121" s="248" t="str">
        <f t="shared" si="165"/>
        <v/>
      </c>
      <c r="H2121" s="1" t="b">
        <f>IF(B2121="",FALSE,COUNTIF('従業員情報(給与以外)'!$A$4:$A$1000000,$B2121)=0)</f>
        <v>0</v>
      </c>
      <c r="I2121" s="9" t="b">
        <f t="shared" si="166"/>
        <v>1</v>
      </c>
      <c r="J2121" s="9" t="b">
        <f t="shared" si="167"/>
        <v>1</v>
      </c>
      <c r="K2121" s="9" t="b">
        <f t="shared" si="168"/>
        <v>1</v>
      </c>
      <c r="L2121" s="9" t="b">
        <f t="shared" si="169"/>
        <v>1</v>
      </c>
      <c r="M2121" s="1" t="b">
        <f>IF(OR(入力シート!$C$5&lt;&gt;入力リスト!$N$4,入力シート!$J$22&lt;&gt;入力リスト!$K$4),TRUE,IF($F$2=入力リスト!$Q$4,IF(F2121-INT(F2121)&lt;0.6,TRUE,FALSE),TRUE))</f>
        <v>1</v>
      </c>
      <c r="N2121" s="9" t="str">
        <f>IF(F2121="","",IF($F$2=入力リスト!$Q$4,ROUNDDOWN(INT(F2121)+ROUNDDOWN((F2121-INT(F2121))*100,0)/60,2),従業員の給与情報!F2121))</f>
        <v/>
      </c>
      <c r="O2121" s="8"/>
      <c r="P2121" s="8"/>
    </row>
    <row r="2122" spans="1:16">
      <c r="A2122" s="119"/>
      <c r="B2122" s="2"/>
      <c r="C2122" s="3"/>
      <c r="D2122" s="3"/>
      <c r="E2122" s="3"/>
      <c r="F2122" s="9"/>
      <c r="G2122" s="248" t="str">
        <f t="shared" si="165"/>
        <v/>
      </c>
      <c r="H2122" s="1" t="b">
        <f>IF(B2122="",FALSE,COUNTIF('従業員情報(給与以外)'!$A$4:$A$1000000,$B2122)=0)</f>
        <v>0</v>
      </c>
      <c r="I2122" s="9" t="b">
        <f t="shared" si="166"/>
        <v>1</v>
      </c>
      <c r="J2122" s="9" t="b">
        <f t="shared" si="167"/>
        <v>1</v>
      </c>
      <c r="K2122" s="9" t="b">
        <f t="shared" si="168"/>
        <v>1</v>
      </c>
      <c r="L2122" s="9" t="b">
        <f t="shared" si="169"/>
        <v>1</v>
      </c>
      <c r="M2122" s="1" t="b">
        <f>IF(OR(入力シート!$C$5&lt;&gt;入力リスト!$N$4,入力シート!$J$22&lt;&gt;入力リスト!$K$4),TRUE,IF($F$2=入力リスト!$Q$4,IF(F2122-INT(F2122)&lt;0.6,TRUE,FALSE),TRUE))</f>
        <v>1</v>
      </c>
      <c r="N2122" s="9" t="str">
        <f>IF(F2122="","",IF($F$2=入力リスト!$Q$4,ROUNDDOWN(INT(F2122)+ROUNDDOWN((F2122-INT(F2122))*100,0)/60,2),従業員の給与情報!F2122))</f>
        <v/>
      </c>
      <c r="O2122" s="8"/>
      <c r="P2122" s="8"/>
    </row>
    <row r="2123" spans="1:16">
      <c r="A2123" s="119"/>
      <c r="B2123" s="2"/>
      <c r="C2123" s="3"/>
      <c r="D2123" s="3"/>
      <c r="E2123" s="3"/>
      <c r="F2123" s="9"/>
      <c r="G2123" s="248" t="str">
        <f t="shared" si="165"/>
        <v/>
      </c>
      <c r="H2123" s="1" t="b">
        <f>IF(B2123="",FALSE,COUNTIF('従業員情報(給与以外)'!$A$4:$A$1000000,$B2123)=0)</f>
        <v>0</v>
      </c>
      <c r="I2123" s="9" t="b">
        <f t="shared" si="166"/>
        <v>1</v>
      </c>
      <c r="J2123" s="9" t="b">
        <f t="shared" si="167"/>
        <v>1</v>
      </c>
      <c r="K2123" s="9" t="b">
        <f t="shared" si="168"/>
        <v>1</v>
      </c>
      <c r="L2123" s="9" t="b">
        <f t="shared" si="169"/>
        <v>1</v>
      </c>
      <c r="M2123" s="1" t="b">
        <f>IF(OR(入力シート!$C$5&lt;&gt;入力リスト!$N$4,入力シート!$J$22&lt;&gt;入力リスト!$K$4),TRUE,IF($F$2=入力リスト!$Q$4,IF(F2123-INT(F2123)&lt;0.6,TRUE,FALSE),TRUE))</f>
        <v>1</v>
      </c>
      <c r="N2123" s="9" t="str">
        <f>IF(F2123="","",IF($F$2=入力リスト!$Q$4,ROUNDDOWN(INT(F2123)+ROUNDDOWN((F2123-INT(F2123))*100,0)/60,2),従業員の給与情報!F2123))</f>
        <v/>
      </c>
      <c r="O2123" s="8"/>
      <c r="P2123" s="8"/>
    </row>
    <row r="2124" spans="1:16">
      <c r="A2124" s="119"/>
      <c r="B2124" s="2"/>
      <c r="C2124" s="3"/>
      <c r="D2124" s="3"/>
      <c r="E2124" s="3"/>
      <c r="F2124" s="9"/>
      <c r="G2124" s="248" t="str">
        <f t="shared" si="165"/>
        <v/>
      </c>
      <c r="H2124" s="1" t="b">
        <f>IF(B2124="",FALSE,COUNTIF('従業員情報(給与以外)'!$A$4:$A$1000000,$B2124)=0)</f>
        <v>0</v>
      </c>
      <c r="I2124" s="9" t="b">
        <f t="shared" si="166"/>
        <v>1</v>
      </c>
      <c r="J2124" s="9" t="b">
        <f t="shared" si="167"/>
        <v>1</v>
      </c>
      <c r="K2124" s="9" t="b">
        <f t="shared" si="168"/>
        <v>1</v>
      </c>
      <c r="L2124" s="9" t="b">
        <f t="shared" si="169"/>
        <v>1</v>
      </c>
      <c r="M2124" s="1" t="b">
        <f>IF(OR(入力シート!$C$5&lt;&gt;入力リスト!$N$4,入力シート!$J$22&lt;&gt;入力リスト!$K$4),TRUE,IF($F$2=入力リスト!$Q$4,IF(F2124-INT(F2124)&lt;0.6,TRUE,FALSE),TRUE))</f>
        <v>1</v>
      </c>
      <c r="N2124" s="9" t="str">
        <f>IF(F2124="","",IF($F$2=入力リスト!$Q$4,ROUNDDOWN(INT(F2124)+ROUNDDOWN((F2124-INT(F2124))*100,0)/60,2),従業員の給与情報!F2124))</f>
        <v/>
      </c>
      <c r="O2124" s="8"/>
      <c r="P2124" s="8"/>
    </row>
    <row r="2125" spans="1:16">
      <c r="A2125" s="119"/>
      <c r="B2125" s="2"/>
      <c r="C2125" s="3"/>
      <c r="D2125" s="3"/>
      <c r="E2125" s="3"/>
      <c r="F2125" s="9"/>
      <c r="G2125" s="248" t="str">
        <f t="shared" si="165"/>
        <v/>
      </c>
      <c r="H2125" s="1" t="b">
        <f>IF(B2125="",FALSE,COUNTIF('従業員情報(給与以外)'!$A$4:$A$1000000,$B2125)=0)</f>
        <v>0</v>
      </c>
      <c r="I2125" s="9" t="b">
        <f t="shared" si="166"/>
        <v>1</v>
      </c>
      <c r="J2125" s="9" t="b">
        <f t="shared" si="167"/>
        <v>1</v>
      </c>
      <c r="K2125" s="9" t="b">
        <f t="shared" si="168"/>
        <v>1</v>
      </c>
      <c r="L2125" s="9" t="b">
        <f t="shared" si="169"/>
        <v>1</v>
      </c>
      <c r="M2125" s="1" t="b">
        <f>IF(OR(入力シート!$C$5&lt;&gt;入力リスト!$N$4,入力シート!$J$22&lt;&gt;入力リスト!$K$4),TRUE,IF($F$2=入力リスト!$Q$4,IF(F2125-INT(F2125)&lt;0.6,TRUE,FALSE),TRUE))</f>
        <v>1</v>
      </c>
      <c r="N2125" s="9" t="str">
        <f>IF(F2125="","",IF($F$2=入力リスト!$Q$4,ROUNDDOWN(INT(F2125)+ROUNDDOWN((F2125-INT(F2125))*100,0)/60,2),従業員の給与情報!F2125))</f>
        <v/>
      </c>
      <c r="O2125" s="8"/>
      <c r="P2125" s="8"/>
    </row>
    <row r="2126" spans="1:16">
      <c r="A2126" s="119"/>
      <c r="B2126" s="2"/>
      <c r="C2126" s="3"/>
      <c r="D2126" s="3"/>
      <c r="E2126" s="3"/>
      <c r="F2126" s="9"/>
      <c r="G2126" s="248" t="str">
        <f t="shared" si="165"/>
        <v/>
      </c>
      <c r="H2126" s="1" t="b">
        <f>IF(B2126="",FALSE,COUNTIF('従業員情報(給与以外)'!$A$4:$A$1000000,$B2126)=0)</f>
        <v>0</v>
      </c>
      <c r="I2126" s="9" t="b">
        <f t="shared" si="166"/>
        <v>1</v>
      </c>
      <c r="J2126" s="9" t="b">
        <f t="shared" si="167"/>
        <v>1</v>
      </c>
      <c r="K2126" s="9" t="b">
        <f t="shared" si="168"/>
        <v>1</v>
      </c>
      <c r="L2126" s="9" t="b">
        <f t="shared" si="169"/>
        <v>1</v>
      </c>
      <c r="M2126" s="1" t="b">
        <f>IF(OR(入力シート!$C$5&lt;&gt;入力リスト!$N$4,入力シート!$J$22&lt;&gt;入力リスト!$K$4),TRUE,IF($F$2=入力リスト!$Q$4,IF(F2126-INT(F2126)&lt;0.6,TRUE,FALSE),TRUE))</f>
        <v>1</v>
      </c>
      <c r="N2126" s="9" t="str">
        <f>IF(F2126="","",IF($F$2=入力リスト!$Q$4,ROUNDDOWN(INT(F2126)+ROUNDDOWN((F2126-INT(F2126))*100,0)/60,2),従業員の給与情報!F2126))</f>
        <v/>
      </c>
      <c r="O2126" s="8"/>
      <c r="P2126" s="8"/>
    </row>
    <row r="2127" spans="1:16">
      <c r="A2127" s="119"/>
      <c r="B2127" s="2"/>
      <c r="C2127" s="3"/>
      <c r="D2127" s="3"/>
      <c r="E2127" s="3"/>
      <c r="F2127" s="9"/>
      <c r="G2127" s="248" t="str">
        <f t="shared" si="165"/>
        <v/>
      </c>
      <c r="H2127" s="1" t="b">
        <f>IF(B2127="",FALSE,COUNTIF('従業員情報(給与以外)'!$A$4:$A$1000000,$B2127)=0)</f>
        <v>0</v>
      </c>
      <c r="I2127" s="9" t="b">
        <f t="shared" si="166"/>
        <v>1</v>
      </c>
      <c r="J2127" s="9" t="b">
        <f t="shared" si="167"/>
        <v>1</v>
      </c>
      <c r="K2127" s="9" t="b">
        <f t="shared" si="168"/>
        <v>1</v>
      </c>
      <c r="L2127" s="9" t="b">
        <f t="shared" si="169"/>
        <v>1</v>
      </c>
      <c r="M2127" s="1" t="b">
        <f>IF(OR(入力シート!$C$5&lt;&gt;入力リスト!$N$4,入力シート!$J$22&lt;&gt;入力リスト!$K$4),TRUE,IF($F$2=入力リスト!$Q$4,IF(F2127-INT(F2127)&lt;0.6,TRUE,FALSE),TRUE))</f>
        <v>1</v>
      </c>
      <c r="N2127" s="9" t="str">
        <f>IF(F2127="","",IF($F$2=入力リスト!$Q$4,ROUNDDOWN(INT(F2127)+ROUNDDOWN((F2127-INT(F2127))*100,0)/60,2),従業員の給与情報!F2127))</f>
        <v/>
      </c>
      <c r="O2127" s="8"/>
      <c r="P2127" s="8"/>
    </row>
    <row r="2128" spans="1:16">
      <c r="A2128" s="119"/>
      <c r="B2128" s="2"/>
      <c r="C2128" s="3"/>
      <c r="D2128" s="3"/>
      <c r="E2128" s="3"/>
      <c r="F2128" s="9"/>
      <c r="G2128" s="248" t="str">
        <f t="shared" si="165"/>
        <v/>
      </c>
      <c r="H2128" s="1" t="b">
        <f>IF(B2128="",FALSE,COUNTIF('従業員情報(給与以外)'!$A$4:$A$1000000,$B2128)=0)</f>
        <v>0</v>
      </c>
      <c r="I2128" s="9" t="b">
        <f t="shared" si="166"/>
        <v>1</v>
      </c>
      <c r="J2128" s="9" t="b">
        <f t="shared" si="167"/>
        <v>1</v>
      </c>
      <c r="K2128" s="9" t="b">
        <f t="shared" si="168"/>
        <v>1</v>
      </c>
      <c r="L2128" s="9" t="b">
        <f t="shared" si="169"/>
        <v>1</v>
      </c>
      <c r="M2128" s="1" t="b">
        <f>IF(OR(入力シート!$C$5&lt;&gt;入力リスト!$N$4,入力シート!$J$22&lt;&gt;入力リスト!$K$4),TRUE,IF($F$2=入力リスト!$Q$4,IF(F2128-INT(F2128)&lt;0.6,TRUE,FALSE),TRUE))</f>
        <v>1</v>
      </c>
      <c r="N2128" s="9" t="str">
        <f>IF(F2128="","",IF($F$2=入力リスト!$Q$4,ROUNDDOWN(INT(F2128)+ROUNDDOWN((F2128-INT(F2128))*100,0)/60,2),従業員の給与情報!F2128))</f>
        <v/>
      </c>
      <c r="O2128" s="8"/>
      <c r="P2128" s="8"/>
    </row>
    <row r="2129" spans="1:16">
      <c r="A2129" s="119"/>
      <c r="B2129" s="2"/>
      <c r="C2129" s="3"/>
      <c r="D2129" s="3"/>
      <c r="E2129" s="3"/>
      <c r="F2129" s="9"/>
      <c r="G2129" s="248" t="str">
        <f t="shared" si="165"/>
        <v/>
      </c>
      <c r="H2129" s="1" t="b">
        <f>IF(B2129="",FALSE,COUNTIF('従業員情報(給与以外)'!$A$4:$A$1000000,$B2129)=0)</f>
        <v>0</v>
      </c>
      <c r="I2129" s="9" t="b">
        <f t="shared" si="166"/>
        <v>1</v>
      </c>
      <c r="J2129" s="9" t="b">
        <f t="shared" si="167"/>
        <v>1</v>
      </c>
      <c r="K2129" s="9" t="b">
        <f t="shared" si="168"/>
        <v>1</v>
      </c>
      <c r="L2129" s="9" t="b">
        <f t="shared" si="169"/>
        <v>1</v>
      </c>
      <c r="M2129" s="1" t="b">
        <f>IF(OR(入力シート!$C$5&lt;&gt;入力リスト!$N$4,入力シート!$J$22&lt;&gt;入力リスト!$K$4),TRUE,IF($F$2=入力リスト!$Q$4,IF(F2129-INT(F2129)&lt;0.6,TRUE,FALSE),TRUE))</f>
        <v>1</v>
      </c>
      <c r="N2129" s="9" t="str">
        <f>IF(F2129="","",IF($F$2=入力リスト!$Q$4,ROUNDDOWN(INT(F2129)+ROUNDDOWN((F2129-INT(F2129))*100,0)/60,2),従業員の給与情報!F2129))</f>
        <v/>
      </c>
      <c r="O2129" s="8"/>
      <c r="P2129" s="8"/>
    </row>
    <row r="2130" spans="1:16">
      <c r="A2130" s="119"/>
      <c r="B2130" s="2"/>
      <c r="C2130" s="3"/>
      <c r="D2130" s="3"/>
      <c r="E2130" s="3"/>
      <c r="F2130" s="9"/>
      <c r="G2130" s="248" t="str">
        <f t="shared" si="165"/>
        <v/>
      </c>
      <c r="H2130" s="1" t="b">
        <f>IF(B2130="",FALSE,COUNTIF('従業員情報(給与以外)'!$A$4:$A$1000000,$B2130)=0)</f>
        <v>0</v>
      </c>
      <c r="I2130" s="9" t="b">
        <f t="shared" si="166"/>
        <v>1</v>
      </c>
      <c r="J2130" s="9" t="b">
        <f t="shared" si="167"/>
        <v>1</v>
      </c>
      <c r="K2130" s="9" t="b">
        <f t="shared" si="168"/>
        <v>1</v>
      </c>
      <c r="L2130" s="9" t="b">
        <f t="shared" si="169"/>
        <v>1</v>
      </c>
      <c r="M2130" s="1" t="b">
        <f>IF(OR(入力シート!$C$5&lt;&gt;入力リスト!$N$4,入力シート!$J$22&lt;&gt;入力リスト!$K$4),TRUE,IF($F$2=入力リスト!$Q$4,IF(F2130-INT(F2130)&lt;0.6,TRUE,FALSE),TRUE))</f>
        <v>1</v>
      </c>
      <c r="N2130" s="9" t="str">
        <f>IF(F2130="","",IF($F$2=入力リスト!$Q$4,ROUNDDOWN(INT(F2130)+ROUNDDOWN((F2130-INT(F2130))*100,0)/60,2),従業員の給与情報!F2130))</f>
        <v/>
      </c>
      <c r="O2130" s="8"/>
      <c r="P2130" s="8"/>
    </row>
    <row r="2131" spans="1:16">
      <c r="A2131" s="119"/>
      <c r="B2131" s="2"/>
      <c r="C2131" s="3"/>
      <c r="D2131" s="3"/>
      <c r="E2131" s="3"/>
      <c r="F2131" s="9"/>
      <c r="G2131" s="248" t="str">
        <f t="shared" si="165"/>
        <v/>
      </c>
      <c r="H2131" s="1" t="b">
        <f>IF(B2131="",FALSE,COUNTIF('従業員情報(給与以外)'!$A$4:$A$1000000,$B2131)=0)</f>
        <v>0</v>
      </c>
      <c r="I2131" s="9" t="b">
        <f t="shared" si="166"/>
        <v>1</v>
      </c>
      <c r="J2131" s="9" t="b">
        <f t="shared" si="167"/>
        <v>1</v>
      </c>
      <c r="K2131" s="9" t="b">
        <f t="shared" si="168"/>
        <v>1</v>
      </c>
      <c r="L2131" s="9" t="b">
        <f t="shared" si="169"/>
        <v>1</v>
      </c>
      <c r="M2131" s="1" t="b">
        <f>IF(OR(入力シート!$C$5&lt;&gt;入力リスト!$N$4,入力シート!$J$22&lt;&gt;入力リスト!$K$4),TRUE,IF($F$2=入力リスト!$Q$4,IF(F2131-INT(F2131)&lt;0.6,TRUE,FALSE),TRUE))</f>
        <v>1</v>
      </c>
      <c r="N2131" s="9" t="str">
        <f>IF(F2131="","",IF($F$2=入力リスト!$Q$4,ROUNDDOWN(INT(F2131)+ROUNDDOWN((F2131-INT(F2131))*100,0)/60,2),従業員の給与情報!F2131))</f>
        <v/>
      </c>
      <c r="O2131" s="8"/>
      <c r="P2131" s="8"/>
    </row>
    <row r="2132" spans="1:16">
      <c r="A2132" s="119"/>
      <c r="B2132" s="2"/>
      <c r="C2132" s="3"/>
      <c r="D2132" s="3"/>
      <c r="E2132" s="3"/>
      <c r="F2132" s="9"/>
      <c r="G2132" s="248" t="str">
        <f t="shared" si="165"/>
        <v/>
      </c>
      <c r="H2132" s="1" t="b">
        <f>IF(B2132="",FALSE,COUNTIF('従業員情報(給与以外)'!$A$4:$A$1000000,$B2132)=0)</f>
        <v>0</v>
      </c>
      <c r="I2132" s="9" t="b">
        <f t="shared" si="166"/>
        <v>1</v>
      </c>
      <c r="J2132" s="9" t="b">
        <f t="shared" si="167"/>
        <v>1</v>
      </c>
      <c r="K2132" s="9" t="b">
        <f t="shared" si="168"/>
        <v>1</v>
      </c>
      <c r="L2132" s="9" t="b">
        <f t="shared" si="169"/>
        <v>1</v>
      </c>
      <c r="M2132" s="1" t="b">
        <f>IF(OR(入力シート!$C$5&lt;&gt;入力リスト!$N$4,入力シート!$J$22&lt;&gt;入力リスト!$K$4),TRUE,IF($F$2=入力リスト!$Q$4,IF(F2132-INT(F2132)&lt;0.6,TRUE,FALSE),TRUE))</f>
        <v>1</v>
      </c>
      <c r="N2132" s="9" t="str">
        <f>IF(F2132="","",IF($F$2=入力リスト!$Q$4,ROUNDDOWN(INT(F2132)+ROUNDDOWN((F2132-INT(F2132))*100,0)/60,2),従業員の給与情報!F2132))</f>
        <v/>
      </c>
      <c r="O2132" s="8"/>
      <c r="P2132" s="8"/>
    </row>
    <row r="2133" spans="1:16">
      <c r="A2133" s="119"/>
      <c r="B2133" s="2"/>
      <c r="C2133" s="3"/>
      <c r="D2133" s="3"/>
      <c r="E2133" s="3"/>
      <c r="F2133" s="9"/>
      <c r="G2133" s="248" t="str">
        <f t="shared" si="165"/>
        <v/>
      </c>
      <c r="H2133" s="1" t="b">
        <f>IF(B2133="",FALSE,COUNTIF('従業員情報(給与以外)'!$A$4:$A$1000000,$B2133)=0)</f>
        <v>0</v>
      </c>
      <c r="I2133" s="9" t="b">
        <f t="shared" si="166"/>
        <v>1</v>
      </c>
      <c r="J2133" s="9" t="b">
        <f t="shared" si="167"/>
        <v>1</v>
      </c>
      <c r="K2133" s="9" t="b">
        <f t="shared" si="168"/>
        <v>1</v>
      </c>
      <c r="L2133" s="9" t="b">
        <f t="shared" si="169"/>
        <v>1</v>
      </c>
      <c r="M2133" s="1" t="b">
        <f>IF(OR(入力シート!$C$5&lt;&gt;入力リスト!$N$4,入力シート!$J$22&lt;&gt;入力リスト!$K$4),TRUE,IF($F$2=入力リスト!$Q$4,IF(F2133-INT(F2133)&lt;0.6,TRUE,FALSE),TRUE))</f>
        <v>1</v>
      </c>
      <c r="N2133" s="9" t="str">
        <f>IF(F2133="","",IF($F$2=入力リスト!$Q$4,ROUNDDOWN(INT(F2133)+ROUNDDOWN((F2133-INT(F2133))*100,0)/60,2),従業員の給与情報!F2133))</f>
        <v/>
      </c>
      <c r="O2133" s="8"/>
      <c r="P2133" s="8"/>
    </row>
    <row r="2134" spans="1:16">
      <c r="A2134" s="119"/>
      <c r="B2134" s="2"/>
      <c r="C2134" s="3"/>
      <c r="D2134" s="3"/>
      <c r="E2134" s="3"/>
      <c r="F2134" s="9"/>
      <c r="G2134" s="248" t="str">
        <f t="shared" si="165"/>
        <v/>
      </c>
      <c r="H2134" s="1" t="b">
        <f>IF(B2134="",FALSE,COUNTIF('従業員情報(給与以外)'!$A$4:$A$1000000,$B2134)=0)</f>
        <v>0</v>
      </c>
      <c r="I2134" s="9" t="b">
        <f t="shared" si="166"/>
        <v>1</v>
      </c>
      <c r="J2134" s="9" t="b">
        <f t="shared" si="167"/>
        <v>1</v>
      </c>
      <c r="K2134" s="9" t="b">
        <f t="shared" si="168"/>
        <v>1</v>
      </c>
      <c r="L2134" s="9" t="b">
        <f t="shared" si="169"/>
        <v>1</v>
      </c>
      <c r="M2134" s="1" t="b">
        <f>IF(OR(入力シート!$C$5&lt;&gt;入力リスト!$N$4,入力シート!$J$22&lt;&gt;入力リスト!$K$4),TRUE,IF($F$2=入力リスト!$Q$4,IF(F2134-INT(F2134)&lt;0.6,TRUE,FALSE),TRUE))</f>
        <v>1</v>
      </c>
      <c r="N2134" s="9" t="str">
        <f>IF(F2134="","",IF($F$2=入力リスト!$Q$4,ROUNDDOWN(INT(F2134)+ROUNDDOWN((F2134-INT(F2134))*100,0)/60,2),従業員の給与情報!F2134))</f>
        <v/>
      </c>
      <c r="O2134" s="8"/>
      <c r="P2134" s="8"/>
    </row>
    <row r="2135" spans="1:16">
      <c r="A2135" s="119"/>
      <c r="B2135" s="2"/>
      <c r="C2135" s="3"/>
      <c r="D2135" s="3"/>
      <c r="E2135" s="3"/>
      <c r="F2135" s="9"/>
      <c r="G2135" s="248" t="str">
        <f t="shared" si="165"/>
        <v/>
      </c>
      <c r="H2135" s="1" t="b">
        <f>IF(B2135="",FALSE,COUNTIF('従業員情報(給与以外)'!$A$4:$A$1000000,$B2135)=0)</f>
        <v>0</v>
      </c>
      <c r="I2135" s="9" t="b">
        <f t="shared" si="166"/>
        <v>1</v>
      </c>
      <c r="J2135" s="9" t="b">
        <f t="shared" si="167"/>
        <v>1</v>
      </c>
      <c r="K2135" s="9" t="b">
        <f t="shared" si="168"/>
        <v>1</v>
      </c>
      <c r="L2135" s="9" t="b">
        <f t="shared" si="169"/>
        <v>1</v>
      </c>
      <c r="M2135" s="1" t="b">
        <f>IF(OR(入力シート!$C$5&lt;&gt;入力リスト!$N$4,入力シート!$J$22&lt;&gt;入力リスト!$K$4),TRUE,IF($F$2=入力リスト!$Q$4,IF(F2135-INT(F2135)&lt;0.6,TRUE,FALSE),TRUE))</f>
        <v>1</v>
      </c>
      <c r="N2135" s="9" t="str">
        <f>IF(F2135="","",IF($F$2=入力リスト!$Q$4,ROUNDDOWN(INT(F2135)+ROUNDDOWN((F2135-INT(F2135))*100,0)/60,2),従業員の給与情報!F2135))</f>
        <v/>
      </c>
      <c r="O2135" s="8"/>
      <c r="P2135" s="8"/>
    </row>
    <row r="2136" spans="1:16">
      <c r="A2136" s="119"/>
      <c r="B2136" s="2"/>
      <c r="C2136" s="3"/>
      <c r="D2136" s="3"/>
      <c r="E2136" s="3"/>
      <c r="F2136" s="9"/>
      <c r="G2136" s="248" t="str">
        <f t="shared" si="165"/>
        <v/>
      </c>
      <c r="H2136" s="1" t="b">
        <f>IF(B2136="",FALSE,COUNTIF('従業員情報(給与以外)'!$A$4:$A$1000000,$B2136)=0)</f>
        <v>0</v>
      </c>
      <c r="I2136" s="9" t="b">
        <f t="shared" si="166"/>
        <v>1</v>
      </c>
      <c r="J2136" s="9" t="b">
        <f t="shared" si="167"/>
        <v>1</v>
      </c>
      <c r="K2136" s="9" t="b">
        <f t="shared" si="168"/>
        <v>1</v>
      </c>
      <c r="L2136" s="9" t="b">
        <f t="shared" si="169"/>
        <v>1</v>
      </c>
      <c r="M2136" s="1" t="b">
        <f>IF(OR(入力シート!$C$5&lt;&gt;入力リスト!$N$4,入力シート!$J$22&lt;&gt;入力リスト!$K$4),TRUE,IF($F$2=入力リスト!$Q$4,IF(F2136-INT(F2136)&lt;0.6,TRUE,FALSE),TRUE))</f>
        <v>1</v>
      </c>
      <c r="N2136" s="9" t="str">
        <f>IF(F2136="","",IF($F$2=入力リスト!$Q$4,ROUNDDOWN(INT(F2136)+ROUNDDOWN((F2136-INT(F2136))*100,0)/60,2),従業員の給与情報!F2136))</f>
        <v/>
      </c>
      <c r="O2136" s="8"/>
      <c r="P2136" s="8"/>
    </row>
    <row r="2137" spans="1:16">
      <c r="A2137" s="119"/>
      <c r="B2137" s="2"/>
      <c r="C2137" s="3"/>
      <c r="D2137" s="3"/>
      <c r="E2137" s="3"/>
      <c r="F2137" s="9"/>
      <c r="G2137" s="248" t="str">
        <f t="shared" si="165"/>
        <v/>
      </c>
      <c r="H2137" s="1" t="b">
        <f>IF(B2137="",FALSE,COUNTIF('従業員情報(給与以外)'!$A$4:$A$1000000,$B2137)=0)</f>
        <v>0</v>
      </c>
      <c r="I2137" s="9" t="b">
        <f t="shared" si="166"/>
        <v>1</v>
      </c>
      <c r="J2137" s="9" t="b">
        <f t="shared" si="167"/>
        <v>1</v>
      </c>
      <c r="K2137" s="9" t="b">
        <f t="shared" si="168"/>
        <v>1</v>
      </c>
      <c r="L2137" s="9" t="b">
        <f t="shared" si="169"/>
        <v>1</v>
      </c>
      <c r="M2137" s="1" t="b">
        <f>IF(OR(入力シート!$C$5&lt;&gt;入力リスト!$N$4,入力シート!$J$22&lt;&gt;入力リスト!$K$4),TRUE,IF($F$2=入力リスト!$Q$4,IF(F2137-INT(F2137)&lt;0.6,TRUE,FALSE),TRUE))</f>
        <v>1</v>
      </c>
      <c r="N2137" s="9" t="str">
        <f>IF(F2137="","",IF($F$2=入力リスト!$Q$4,ROUNDDOWN(INT(F2137)+ROUNDDOWN((F2137-INT(F2137))*100,0)/60,2),従業員の給与情報!F2137))</f>
        <v/>
      </c>
      <c r="O2137" s="8"/>
      <c r="P2137" s="8"/>
    </row>
    <row r="2138" spans="1:16">
      <c r="A2138" s="119"/>
      <c r="B2138" s="2"/>
      <c r="C2138" s="3"/>
      <c r="D2138" s="3"/>
      <c r="E2138" s="3"/>
      <c r="F2138" s="9"/>
      <c r="G2138" s="248" t="str">
        <f t="shared" si="165"/>
        <v/>
      </c>
      <c r="H2138" s="1" t="b">
        <f>IF(B2138="",FALSE,COUNTIF('従業員情報(給与以外)'!$A$4:$A$1000000,$B2138)=0)</f>
        <v>0</v>
      </c>
      <c r="I2138" s="9" t="b">
        <f t="shared" si="166"/>
        <v>1</v>
      </c>
      <c r="J2138" s="9" t="b">
        <f t="shared" si="167"/>
        <v>1</v>
      </c>
      <c r="K2138" s="9" t="b">
        <f t="shared" si="168"/>
        <v>1</v>
      </c>
      <c r="L2138" s="9" t="b">
        <f t="shared" si="169"/>
        <v>1</v>
      </c>
      <c r="M2138" s="1" t="b">
        <f>IF(OR(入力シート!$C$5&lt;&gt;入力リスト!$N$4,入力シート!$J$22&lt;&gt;入力リスト!$K$4),TRUE,IF($F$2=入力リスト!$Q$4,IF(F2138-INT(F2138)&lt;0.6,TRUE,FALSE),TRUE))</f>
        <v>1</v>
      </c>
      <c r="N2138" s="9" t="str">
        <f>IF(F2138="","",IF($F$2=入力リスト!$Q$4,ROUNDDOWN(INT(F2138)+ROUNDDOWN((F2138-INT(F2138))*100,0)/60,2),従業員の給与情報!F2138))</f>
        <v/>
      </c>
      <c r="O2138" s="8"/>
      <c r="P2138" s="8"/>
    </row>
    <row r="2139" spans="1:16">
      <c r="A2139" s="119"/>
      <c r="B2139" s="2"/>
      <c r="C2139" s="3"/>
      <c r="D2139" s="3"/>
      <c r="E2139" s="3"/>
      <c r="F2139" s="9"/>
      <c r="G2139" s="248" t="str">
        <f t="shared" si="165"/>
        <v/>
      </c>
      <c r="H2139" s="1" t="b">
        <f>IF(B2139="",FALSE,COUNTIF('従業員情報(給与以外)'!$A$4:$A$1000000,$B2139)=0)</f>
        <v>0</v>
      </c>
      <c r="I2139" s="9" t="b">
        <f t="shared" si="166"/>
        <v>1</v>
      </c>
      <c r="J2139" s="9" t="b">
        <f t="shared" si="167"/>
        <v>1</v>
      </c>
      <c r="K2139" s="9" t="b">
        <f t="shared" si="168"/>
        <v>1</v>
      </c>
      <c r="L2139" s="9" t="b">
        <f t="shared" si="169"/>
        <v>1</v>
      </c>
      <c r="M2139" s="1" t="b">
        <f>IF(OR(入力シート!$C$5&lt;&gt;入力リスト!$N$4,入力シート!$J$22&lt;&gt;入力リスト!$K$4),TRUE,IF($F$2=入力リスト!$Q$4,IF(F2139-INT(F2139)&lt;0.6,TRUE,FALSE),TRUE))</f>
        <v>1</v>
      </c>
      <c r="N2139" s="9" t="str">
        <f>IF(F2139="","",IF($F$2=入力リスト!$Q$4,ROUNDDOWN(INT(F2139)+ROUNDDOWN((F2139-INT(F2139))*100,0)/60,2),従業員の給与情報!F2139))</f>
        <v/>
      </c>
      <c r="O2139" s="8"/>
      <c r="P2139" s="8"/>
    </row>
    <row r="2140" spans="1:16">
      <c r="A2140" s="119"/>
      <c r="B2140" s="2"/>
      <c r="C2140" s="3"/>
      <c r="D2140" s="3"/>
      <c r="E2140" s="3"/>
      <c r="F2140" s="9"/>
      <c r="G2140" s="248" t="str">
        <f t="shared" si="165"/>
        <v/>
      </c>
      <c r="H2140" s="1" t="b">
        <f>IF(B2140="",FALSE,COUNTIF('従業員情報(給与以外)'!$A$4:$A$1000000,$B2140)=0)</f>
        <v>0</v>
      </c>
      <c r="I2140" s="9" t="b">
        <f t="shared" si="166"/>
        <v>1</v>
      </c>
      <c r="J2140" s="9" t="b">
        <f t="shared" si="167"/>
        <v>1</v>
      </c>
      <c r="K2140" s="9" t="b">
        <f t="shared" si="168"/>
        <v>1</v>
      </c>
      <c r="L2140" s="9" t="b">
        <f t="shared" si="169"/>
        <v>1</v>
      </c>
      <c r="M2140" s="1" t="b">
        <f>IF(OR(入力シート!$C$5&lt;&gt;入力リスト!$N$4,入力シート!$J$22&lt;&gt;入力リスト!$K$4),TRUE,IF($F$2=入力リスト!$Q$4,IF(F2140-INT(F2140)&lt;0.6,TRUE,FALSE),TRUE))</f>
        <v>1</v>
      </c>
      <c r="N2140" s="9" t="str">
        <f>IF(F2140="","",IF($F$2=入力リスト!$Q$4,ROUNDDOWN(INT(F2140)+ROUNDDOWN((F2140-INT(F2140))*100,0)/60,2),従業員の給与情報!F2140))</f>
        <v/>
      </c>
      <c r="O2140" s="8"/>
      <c r="P2140" s="8"/>
    </row>
    <row r="2141" spans="1:16">
      <c r="A2141" s="119"/>
      <c r="B2141" s="2"/>
      <c r="C2141" s="3"/>
      <c r="D2141" s="3"/>
      <c r="E2141" s="3"/>
      <c r="F2141" s="9"/>
      <c r="G2141" s="248" t="str">
        <f t="shared" si="165"/>
        <v/>
      </c>
      <c r="H2141" s="1" t="b">
        <f>IF(B2141="",FALSE,COUNTIF('従業員情報(給与以外)'!$A$4:$A$1000000,$B2141)=0)</f>
        <v>0</v>
      </c>
      <c r="I2141" s="9" t="b">
        <f t="shared" si="166"/>
        <v>1</v>
      </c>
      <c r="J2141" s="9" t="b">
        <f t="shared" si="167"/>
        <v>1</v>
      </c>
      <c r="K2141" s="9" t="b">
        <f t="shared" si="168"/>
        <v>1</v>
      </c>
      <c r="L2141" s="9" t="b">
        <f t="shared" si="169"/>
        <v>1</v>
      </c>
      <c r="M2141" s="1" t="b">
        <f>IF(OR(入力シート!$C$5&lt;&gt;入力リスト!$N$4,入力シート!$J$22&lt;&gt;入力リスト!$K$4),TRUE,IF($F$2=入力リスト!$Q$4,IF(F2141-INT(F2141)&lt;0.6,TRUE,FALSE),TRUE))</f>
        <v>1</v>
      </c>
      <c r="N2141" s="9" t="str">
        <f>IF(F2141="","",IF($F$2=入力リスト!$Q$4,ROUNDDOWN(INT(F2141)+ROUNDDOWN((F2141-INT(F2141))*100,0)/60,2),従業員の給与情報!F2141))</f>
        <v/>
      </c>
      <c r="O2141" s="8"/>
      <c r="P2141" s="8"/>
    </row>
    <row r="2142" spans="1:16">
      <c r="A2142" s="119"/>
      <c r="B2142" s="2"/>
      <c r="C2142" s="3"/>
      <c r="D2142" s="3"/>
      <c r="E2142" s="3"/>
      <c r="F2142" s="9"/>
      <c r="G2142" s="248" t="str">
        <f t="shared" si="165"/>
        <v/>
      </c>
      <c r="H2142" s="1" t="b">
        <f>IF(B2142="",FALSE,COUNTIF('従業員情報(給与以外)'!$A$4:$A$1000000,$B2142)=0)</f>
        <v>0</v>
      </c>
      <c r="I2142" s="9" t="b">
        <f t="shared" si="166"/>
        <v>1</v>
      </c>
      <c r="J2142" s="9" t="b">
        <f t="shared" si="167"/>
        <v>1</v>
      </c>
      <c r="K2142" s="9" t="b">
        <f t="shared" si="168"/>
        <v>1</v>
      </c>
      <c r="L2142" s="9" t="b">
        <f t="shared" si="169"/>
        <v>1</v>
      </c>
      <c r="M2142" s="1" t="b">
        <f>IF(OR(入力シート!$C$5&lt;&gt;入力リスト!$N$4,入力シート!$J$22&lt;&gt;入力リスト!$K$4),TRUE,IF($F$2=入力リスト!$Q$4,IF(F2142-INT(F2142)&lt;0.6,TRUE,FALSE),TRUE))</f>
        <v>1</v>
      </c>
      <c r="N2142" s="9" t="str">
        <f>IF(F2142="","",IF($F$2=入力リスト!$Q$4,ROUNDDOWN(INT(F2142)+ROUNDDOWN((F2142-INT(F2142))*100,0)/60,2),従業員の給与情報!F2142))</f>
        <v/>
      </c>
      <c r="O2142" s="8"/>
      <c r="P2142" s="8"/>
    </row>
    <row r="2143" spans="1:16">
      <c r="A2143" s="119"/>
      <c r="B2143" s="2"/>
      <c r="C2143" s="3"/>
      <c r="D2143" s="3"/>
      <c r="E2143" s="3"/>
      <c r="F2143" s="9"/>
      <c r="G2143" s="248" t="str">
        <f t="shared" si="165"/>
        <v/>
      </c>
      <c r="H2143" s="1" t="b">
        <f>IF(B2143="",FALSE,COUNTIF('従業員情報(給与以外)'!$A$4:$A$1000000,$B2143)=0)</f>
        <v>0</v>
      </c>
      <c r="I2143" s="9" t="b">
        <f t="shared" si="166"/>
        <v>1</v>
      </c>
      <c r="J2143" s="9" t="b">
        <f t="shared" si="167"/>
        <v>1</v>
      </c>
      <c r="K2143" s="9" t="b">
        <f t="shared" si="168"/>
        <v>1</v>
      </c>
      <c r="L2143" s="9" t="b">
        <f t="shared" si="169"/>
        <v>1</v>
      </c>
      <c r="M2143" s="1" t="b">
        <f>IF(OR(入力シート!$C$5&lt;&gt;入力リスト!$N$4,入力シート!$J$22&lt;&gt;入力リスト!$K$4),TRUE,IF($F$2=入力リスト!$Q$4,IF(F2143-INT(F2143)&lt;0.6,TRUE,FALSE),TRUE))</f>
        <v>1</v>
      </c>
      <c r="N2143" s="9" t="str">
        <f>IF(F2143="","",IF($F$2=入力リスト!$Q$4,ROUNDDOWN(INT(F2143)+ROUNDDOWN((F2143-INT(F2143))*100,0)/60,2),従業員の給与情報!F2143))</f>
        <v/>
      </c>
      <c r="O2143" s="8"/>
      <c r="P2143" s="8"/>
    </row>
    <row r="2144" spans="1:16">
      <c r="A2144" s="119"/>
      <c r="B2144" s="2"/>
      <c r="C2144" s="3"/>
      <c r="D2144" s="3"/>
      <c r="E2144" s="3"/>
      <c r="F2144" s="9"/>
      <c r="G2144" s="248" t="str">
        <f t="shared" si="165"/>
        <v/>
      </c>
      <c r="H2144" s="1" t="b">
        <f>IF(B2144="",FALSE,COUNTIF('従業員情報(給与以外)'!$A$4:$A$1000000,$B2144)=0)</f>
        <v>0</v>
      </c>
      <c r="I2144" s="9" t="b">
        <f t="shared" si="166"/>
        <v>1</v>
      </c>
      <c r="J2144" s="9" t="b">
        <f t="shared" si="167"/>
        <v>1</v>
      </c>
      <c r="K2144" s="9" t="b">
        <f t="shared" si="168"/>
        <v>1</v>
      </c>
      <c r="L2144" s="9" t="b">
        <f t="shared" si="169"/>
        <v>1</v>
      </c>
      <c r="M2144" s="1" t="b">
        <f>IF(OR(入力シート!$C$5&lt;&gt;入力リスト!$N$4,入力シート!$J$22&lt;&gt;入力リスト!$K$4),TRUE,IF($F$2=入力リスト!$Q$4,IF(F2144-INT(F2144)&lt;0.6,TRUE,FALSE),TRUE))</f>
        <v>1</v>
      </c>
      <c r="N2144" s="9" t="str">
        <f>IF(F2144="","",IF($F$2=入力リスト!$Q$4,ROUNDDOWN(INT(F2144)+ROUNDDOWN((F2144-INT(F2144))*100,0)/60,2),従業員の給与情報!F2144))</f>
        <v/>
      </c>
      <c r="O2144" s="8"/>
      <c r="P2144" s="8"/>
    </row>
    <row r="2145" spans="1:16">
      <c r="A2145" s="119"/>
      <c r="B2145" s="2"/>
      <c r="C2145" s="3"/>
      <c r="D2145" s="3"/>
      <c r="E2145" s="3"/>
      <c r="F2145" s="9"/>
      <c r="G2145" s="248" t="str">
        <f t="shared" si="165"/>
        <v/>
      </c>
      <c r="H2145" s="1" t="b">
        <f>IF(B2145="",FALSE,COUNTIF('従業員情報(給与以外)'!$A$4:$A$1000000,$B2145)=0)</f>
        <v>0</v>
      </c>
      <c r="I2145" s="9" t="b">
        <f t="shared" si="166"/>
        <v>1</v>
      </c>
      <c r="J2145" s="9" t="b">
        <f t="shared" si="167"/>
        <v>1</v>
      </c>
      <c r="K2145" s="9" t="b">
        <f t="shared" si="168"/>
        <v>1</v>
      </c>
      <c r="L2145" s="9" t="b">
        <f t="shared" si="169"/>
        <v>1</v>
      </c>
      <c r="M2145" s="1" t="b">
        <f>IF(OR(入力シート!$C$5&lt;&gt;入力リスト!$N$4,入力シート!$J$22&lt;&gt;入力リスト!$K$4),TRUE,IF($F$2=入力リスト!$Q$4,IF(F2145-INT(F2145)&lt;0.6,TRUE,FALSE),TRUE))</f>
        <v>1</v>
      </c>
      <c r="N2145" s="9" t="str">
        <f>IF(F2145="","",IF($F$2=入力リスト!$Q$4,ROUNDDOWN(INT(F2145)+ROUNDDOWN((F2145-INT(F2145))*100,0)/60,2),従業員の給与情報!F2145))</f>
        <v/>
      </c>
      <c r="O2145" s="8"/>
      <c r="P2145" s="8"/>
    </row>
    <row r="2146" spans="1:16">
      <c r="A2146" s="119"/>
      <c r="B2146" s="2"/>
      <c r="C2146" s="3"/>
      <c r="D2146" s="3"/>
      <c r="E2146" s="3"/>
      <c r="F2146" s="9"/>
      <c r="G2146" s="248" t="str">
        <f t="shared" si="165"/>
        <v/>
      </c>
      <c r="H2146" s="1" t="b">
        <f>IF(B2146="",FALSE,COUNTIF('従業員情報(給与以外)'!$A$4:$A$1000000,$B2146)=0)</f>
        <v>0</v>
      </c>
      <c r="I2146" s="9" t="b">
        <f t="shared" si="166"/>
        <v>1</v>
      </c>
      <c r="J2146" s="9" t="b">
        <f t="shared" si="167"/>
        <v>1</v>
      </c>
      <c r="K2146" s="9" t="b">
        <f t="shared" si="168"/>
        <v>1</v>
      </c>
      <c r="L2146" s="9" t="b">
        <f t="shared" si="169"/>
        <v>1</v>
      </c>
      <c r="M2146" s="1" t="b">
        <f>IF(OR(入力シート!$C$5&lt;&gt;入力リスト!$N$4,入力シート!$J$22&lt;&gt;入力リスト!$K$4),TRUE,IF($F$2=入力リスト!$Q$4,IF(F2146-INT(F2146)&lt;0.6,TRUE,FALSE),TRUE))</f>
        <v>1</v>
      </c>
      <c r="N2146" s="9" t="str">
        <f>IF(F2146="","",IF($F$2=入力リスト!$Q$4,ROUNDDOWN(INT(F2146)+ROUNDDOWN((F2146-INT(F2146))*100,0)/60,2),従業員の給与情報!F2146))</f>
        <v/>
      </c>
      <c r="O2146" s="8"/>
      <c r="P2146" s="8"/>
    </row>
    <row r="2147" spans="1:16">
      <c r="A2147" s="119"/>
      <c r="B2147" s="2"/>
      <c r="C2147" s="3"/>
      <c r="D2147" s="3"/>
      <c r="E2147" s="3"/>
      <c r="F2147" s="9"/>
      <c r="G2147" s="248" t="str">
        <f t="shared" si="165"/>
        <v/>
      </c>
      <c r="H2147" s="1" t="b">
        <f>IF(B2147="",FALSE,COUNTIF('従業員情報(給与以外)'!$A$4:$A$1000000,$B2147)=0)</f>
        <v>0</v>
      </c>
      <c r="I2147" s="9" t="b">
        <f t="shared" si="166"/>
        <v>1</v>
      </c>
      <c r="J2147" s="9" t="b">
        <f t="shared" si="167"/>
        <v>1</v>
      </c>
      <c r="K2147" s="9" t="b">
        <f t="shared" si="168"/>
        <v>1</v>
      </c>
      <c r="L2147" s="9" t="b">
        <f t="shared" si="169"/>
        <v>1</v>
      </c>
      <c r="M2147" s="1" t="b">
        <f>IF(OR(入力シート!$C$5&lt;&gt;入力リスト!$N$4,入力シート!$J$22&lt;&gt;入力リスト!$K$4),TRUE,IF($F$2=入力リスト!$Q$4,IF(F2147-INT(F2147)&lt;0.6,TRUE,FALSE),TRUE))</f>
        <v>1</v>
      </c>
      <c r="N2147" s="9" t="str">
        <f>IF(F2147="","",IF($F$2=入力リスト!$Q$4,ROUNDDOWN(INT(F2147)+ROUNDDOWN((F2147-INT(F2147))*100,0)/60,2),従業員の給与情報!F2147))</f>
        <v/>
      </c>
      <c r="O2147" s="8"/>
      <c r="P2147" s="8"/>
    </row>
    <row r="2148" spans="1:16">
      <c r="A2148" s="119"/>
      <c r="B2148" s="2"/>
      <c r="C2148" s="3"/>
      <c r="D2148" s="3"/>
      <c r="E2148" s="3"/>
      <c r="F2148" s="9"/>
      <c r="G2148" s="248" t="str">
        <f t="shared" si="165"/>
        <v/>
      </c>
      <c r="H2148" s="1" t="b">
        <f>IF(B2148="",FALSE,COUNTIF('従業員情報(給与以外)'!$A$4:$A$1000000,$B2148)=0)</f>
        <v>0</v>
      </c>
      <c r="I2148" s="9" t="b">
        <f t="shared" si="166"/>
        <v>1</v>
      </c>
      <c r="J2148" s="9" t="b">
        <f t="shared" si="167"/>
        <v>1</v>
      </c>
      <c r="K2148" s="9" t="b">
        <f t="shared" si="168"/>
        <v>1</v>
      </c>
      <c r="L2148" s="9" t="b">
        <f t="shared" si="169"/>
        <v>1</v>
      </c>
      <c r="M2148" s="1" t="b">
        <f>IF(OR(入力シート!$C$5&lt;&gt;入力リスト!$N$4,入力シート!$J$22&lt;&gt;入力リスト!$K$4),TRUE,IF($F$2=入力リスト!$Q$4,IF(F2148-INT(F2148)&lt;0.6,TRUE,FALSE),TRUE))</f>
        <v>1</v>
      </c>
      <c r="N2148" s="9" t="str">
        <f>IF(F2148="","",IF($F$2=入力リスト!$Q$4,ROUNDDOWN(INT(F2148)+ROUNDDOWN((F2148-INT(F2148))*100,0)/60,2),従業員の給与情報!F2148))</f>
        <v/>
      </c>
      <c r="O2148" s="8"/>
      <c r="P2148" s="8"/>
    </row>
    <row r="2149" spans="1:16">
      <c r="A2149" s="119"/>
      <c r="B2149" s="2"/>
      <c r="C2149" s="3"/>
      <c r="D2149" s="3"/>
      <c r="E2149" s="3"/>
      <c r="F2149" s="9"/>
      <c r="G2149" s="248" t="str">
        <f t="shared" si="165"/>
        <v/>
      </c>
      <c r="H2149" s="1" t="b">
        <f>IF(B2149="",FALSE,COUNTIF('従業員情報(給与以外)'!$A$4:$A$1000000,$B2149)=0)</f>
        <v>0</v>
      </c>
      <c r="I2149" s="9" t="b">
        <f t="shared" si="166"/>
        <v>1</v>
      </c>
      <c r="J2149" s="9" t="b">
        <f t="shared" si="167"/>
        <v>1</v>
      </c>
      <c r="K2149" s="9" t="b">
        <f t="shared" si="168"/>
        <v>1</v>
      </c>
      <c r="L2149" s="9" t="b">
        <f t="shared" si="169"/>
        <v>1</v>
      </c>
      <c r="M2149" s="1" t="b">
        <f>IF(OR(入力シート!$C$5&lt;&gt;入力リスト!$N$4,入力シート!$J$22&lt;&gt;入力リスト!$K$4),TRUE,IF($F$2=入力リスト!$Q$4,IF(F2149-INT(F2149)&lt;0.6,TRUE,FALSE),TRUE))</f>
        <v>1</v>
      </c>
      <c r="N2149" s="9" t="str">
        <f>IF(F2149="","",IF($F$2=入力リスト!$Q$4,ROUNDDOWN(INT(F2149)+ROUNDDOWN((F2149-INT(F2149))*100,0)/60,2),従業員の給与情報!F2149))</f>
        <v/>
      </c>
      <c r="O2149" s="8"/>
      <c r="P2149" s="8"/>
    </row>
    <row r="2150" spans="1:16">
      <c r="A2150" s="119"/>
      <c r="B2150" s="2"/>
      <c r="C2150" s="3"/>
      <c r="D2150" s="3"/>
      <c r="E2150" s="3"/>
      <c r="F2150" s="9"/>
      <c r="G2150" s="248" t="str">
        <f t="shared" si="165"/>
        <v/>
      </c>
      <c r="H2150" s="1" t="b">
        <f>IF(B2150="",FALSE,COUNTIF('従業員情報(給与以外)'!$A$4:$A$1000000,$B2150)=0)</f>
        <v>0</v>
      </c>
      <c r="I2150" s="9" t="b">
        <f t="shared" si="166"/>
        <v>1</v>
      </c>
      <c r="J2150" s="9" t="b">
        <f t="shared" si="167"/>
        <v>1</v>
      </c>
      <c r="K2150" s="9" t="b">
        <f t="shared" si="168"/>
        <v>1</v>
      </c>
      <c r="L2150" s="9" t="b">
        <f t="shared" si="169"/>
        <v>1</v>
      </c>
      <c r="M2150" s="1" t="b">
        <f>IF(OR(入力シート!$C$5&lt;&gt;入力リスト!$N$4,入力シート!$J$22&lt;&gt;入力リスト!$K$4),TRUE,IF($F$2=入力リスト!$Q$4,IF(F2150-INT(F2150)&lt;0.6,TRUE,FALSE),TRUE))</f>
        <v>1</v>
      </c>
      <c r="N2150" s="9" t="str">
        <f>IF(F2150="","",IF($F$2=入力リスト!$Q$4,ROUNDDOWN(INT(F2150)+ROUNDDOWN((F2150-INT(F2150))*100,0)/60,2),従業員の給与情報!F2150))</f>
        <v/>
      </c>
      <c r="O2150" s="8"/>
      <c r="P2150" s="8"/>
    </row>
    <row r="2151" spans="1:16">
      <c r="A2151" s="119"/>
      <c r="B2151" s="2"/>
      <c r="C2151" s="3"/>
      <c r="D2151" s="3"/>
      <c r="E2151" s="3"/>
      <c r="F2151" s="9"/>
      <c r="G2151" s="248" t="str">
        <f t="shared" si="165"/>
        <v/>
      </c>
      <c r="H2151" s="1" t="b">
        <f>IF(B2151="",FALSE,COUNTIF('従業員情報(給与以外)'!$A$4:$A$1000000,$B2151)=0)</f>
        <v>0</v>
      </c>
      <c r="I2151" s="9" t="b">
        <f t="shared" si="166"/>
        <v>1</v>
      </c>
      <c r="J2151" s="9" t="b">
        <f t="shared" si="167"/>
        <v>1</v>
      </c>
      <c r="K2151" s="9" t="b">
        <f t="shared" si="168"/>
        <v>1</v>
      </c>
      <c r="L2151" s="9" t="b">
        <f t="shared" si="169"/>
        <v>1</v>
      </c>
      <c r="M2151" s="1" t="b">
        <f>IF(OR(入力シート!$C$5&lt;&gt;入力リスト!$N$4,入力シート!$J$22&lt;&gt;入力リスト!$K$4),TRUE,IF($F$2=入力リスト!$Q$4,IF(F2151-INT(F2151)&lt;0.6,TRUE,FALSE),TRUE))</f>
        <v>1</v>
      </c>
      <c r="N2151" s="9" t="str">
        <f>IF(F2151="","",IF($F$2=入力リスト!$Q$4,ROUNDDOWN(INT(F2151)+ROUNDDOWN((F2151-INT(F2151))*100,0)/60,2),従業員の給与情報!F2151))</f>
        <v/>
      </c>
      <c r="O2151" s="8"/>
      <c r="P2151" s="8"/>
    </row>
    <row r="2152" spans="1:16">
      <c r="A2152" s="119"/>
      <c r="B2152" s="2"/>
      <c r="C2152" s="3"/>
      <c r="D2152" s="3"/>
      <c r="E2152" s="3"/>
      <c r="F2152" s="9"/>
      <c r="G2152" s="248" t="str">
        <f t="shared" si="165"/>
        <v/>
      </c>
      <c r="H2152" s="1" t="b">
        <f>IF(B2152="",FALSE,COUNTIF('従業員情報(給与以外)'!$A$4:$A$1000000,$B2152)=0)</f>
        <v>0</v>
      </c>
      <c r="I2152" s="9" t="b">
        <f t="shared" si="166"/>
        <v>1</v>
      </c>
      <c r="J2152" s="9" t="b">
        <f t="shared" si="167"/>
        <v>1</v>
      </c>
      <c r="K2152" s="9" t="b">
        <f t="shared" si="168"/>
        <v>1</v>
      </c>
      <c r="L2152" s="9" t="b">
        <f t="shared" si="169"/>
        <v>1</v>
      </c>
      <c r="M2152" s="1" t="b">
        <f>IF(OR(入力シート!$C$5&lt;&gt;入力リスト!$N$4,入力シート!$J$22&lt;&gt;入力リスト!$K$4),TRUE,IF($F$2=入力リスト!$Q$4,IF(F2152-INT(F2152)&lt;0.6,TRUE,FALSE),TRUE))</f>
        <v>1</v>
      </c>
      <c r="N2152" s="9" t="str">
        <f>IF(F2152="","",IF($F$2=入力リスト!$Q$4,ROUNDDOWN(INT(F2152)+ROUNDDOWN((F2152-INT(F2152))*100,0)/60,2),従業員の給与情報!F2152))</f>
        <v/>
      </c>
      <c r="O2152" s="8"/>
      <c r="P2152" s="8"/>
    </row>
    <row r="2153" spans="1:16">
      <c r="A2153" s="119"/>
      <c r="B2153" s="2"/>
      <c r="C2153" s="3"/>
      <c r="D2153" s="3"/>
      <c r="E2153" s="3"/>
      <c r="F2153" s="9"/>
      <c r="G2153" s="248" t="str">
        <f t="shared" si="165"/>
        <v/>
      </c>
      <c r="H2153" s="1" t="b">
        <f>IF(B2153="",FALSE,COUNTIF('従業員情報(給与以外)'!$A$4:$A$1000000,$B2153)=0)</f>
        <v>0</v>
      </c>
      <c r="I2153" s="9" t="b">
        <f t="shared" si="166"/>
        <v>1</v>
      </c>
      <c r="J2153" s="9" t="b">
        <f t="shared" si="167"/>
        <v>1</v>
      </c>
      <c r="K2153" s="9" t="b">
        <f t="shared" si="168"/>
        <v>1</v>
      </c>
      <c r="L2153" s="9" t="b">
        <f t="shared" si="169"/>
        <v>1</v>
      </c>
      <c r="M2153" s="1" t="b">
        <f>IF(OR(入力シート!$C$5&lt;&gt;入力リスト!$N$4,入力シート!$J$22&lt;&gt;入力リスト!$K$4),TRUE,IF($F$2=入力リスト!$Q$4,IF(F2153-INT(F2153)&lt;0.6,TRUE,FALSE),TRUE))</f>
        <v>1</v>
      </c>
      <c r="N2153" s="9" t="str">
        <f>IF(F2153="","",IF($F$2=入力リスト!$Q$4,ROUNDDOWN(INT(F2153)+ROUNDDOWN((F2153-INT(F2153))*100,0)/60,2),従業員の給与情報!F2153))</f>
        <v/>
      </c>
      <c r="O2153" s="8"/>
      <c r="P2153" s="8"/>
    </row>
    <row r="2154" spans="1:16">
      <c r="A2154" s="119"/>
      <c r="B2154" s="2"/>
      <c r="C2154" s="3"/>
      <c r="D2154" s="3"/>
      <c r="E2154" s="3"/>
      <c r="F2154" s="9"/>
      <c r="G2154" s="248" t="str">
        <f t="shared" si="165"/>
        <v/>
      </c>
      <c r="H2154" s="1" t="b">
        <f>IF(B2154="",FALSE,COUNTIF('従業員情報(給与以外)'!$A$4:$A$1000000,$B2154)=0)</f>
        <v>0</v>
      </c>
      <c r="I2154" s="9" t="b">
        <f t="shared" si="166"/>
        <v>1</v>
      </c>
      <c r="J2154" s="9" t="b">
        <f t="shared" si="167"/>
        <v>1</v>
      </c>
      <c r="K2154" s="9" t="b">
        <f t="shared" si="168"/>
        <v>1</v>
      </c>
      <c r="L2154" s="9" t="b">
        <f t="shared" si="169"/>
        <v>1</v>
      </c>
      <c r="M2154" s="1" t="b">
        <f>IF(OR(入力シート!$C$5&lt;&gt;入力リスト!$N$4,入力シート!$J$22&lt;&gt;入力リスト!$K$4),TRUE,IF($F$2=入力リスト!$Q$4,IF(F2154-INT(F2154)&lt;0.6,TRUE,FALSE),TRUE))</f>
        <v>1</v>
      </c>
      <c r="N2154" s="9" t="str">
        <f>IF(F2154="","",IF($F$2=入力リスト!$Q$4,ROUNDDOWN(INT(F2154)+ROUNDDOWN((F2154-INT(F2154))*100,0)/60,2),従業員の給与情報!F2154))</f>
        <v/>
      </c>
      <c r="O2154" s="8"/>
      <c r="P2154" s="8"/>
    </row>
    <row r="2155" spans="1:16">
      <c r="A2155" s="119"/>
      <c r="B2155" s="2"/>
      <c r="C2155" s="3"/>
      <c r="D2155" s="3"/>
      <c r="E2155" s="3"/>
      <c r="F2155" s="9"/>
      <c r="G2155" s="248" t="str">
        <f t="shared" si="165"/>
        <v/>
      </c>
      <c r="H2155" s="1" t="b">
        <f>IF(B2155="",FALSE,COUNTIF('従業員情報(給与以外)'!$A$4:$A$1000000,$B2155)=0)</f>
        <v>0</v>
      </c>
      <c r="I2155" s="9" t="b">
        <f t="shared" si="166"/>
        <v>1</v>
      </c>
      <c r="J2155" s="9" t="b">
        <f t="shared" si="167"/>
        <v>1</v>
      </c>
      <c r="K2155" s="9" t="b">
        <f t="shared" si="168"/>
        <v>1</v>
      </c>
      <c r="L2155" s="9" t="b">
        <f t="shared" si="169"/>
        <v>1</v>
      </c>
      <c r="M2155" s="1" t="b">
        <f>IF(OR(入力シート!$C$5&lt;&gt;入力リスト!$N$4,入力シート!$J$22&lt;&gt;入力リスト!$K$4),TRUE,IF($F$2=入力リスト!$Q$4,IF(F2155-INT(F2155)&lt;0.6,TRUE,FALSE),TRUE))</f>
        <v>1</v>
      </c>
      <c r="N2155" s="9" t="str">
        <f>IF(F2155="","",IF($F$2=入力リスト!$Q$4,ROUNDDOWN(INT(F2155)+ROUNDDOWN((F2155-INT(F2155))*100,0)/60,2),従業員の給与情報!F2155))</f>
        <v/>
      </c>
      <c r="O2155" s="8"/>
      <c r="P2155" s="8"/>
    </row>
    <row r="2156" spans="1:16">
      <c r="A2156" s="119"/>
      <c r="B2156" s="2"/>
      <c r="C2156" s="3"/>
      <c r="D2156" s="3"/>
      <c r="E2156" s="3"/>
      <c r="F2156" s="9"/>
      <c r="G2156" s="248" t="str">
        <f t="shared" si="165"/>
        <v/>
      </c>
      <c r="H2156" s="1" t="b">
        <f>IF(B2156="",FALSE,COUNTIF('従業員情報(給与以外)'!$A$4:$A$1000000,$B2156)=0)</f>
        <v>0</v>
      </c>
      <c r="I2156" s="9" t="b">
        <f t="shared" si="166"/>
        <v>1</v>
      </c>
      <c r="J2156" s="9" t="b">
        <f t="shared" si="167"/>
        <v>1</v>
      </c>
      <c r="K2156" s="9" t="b">
        <f t="shared" si="168"/>
        <v>1</v>
      </c>
      <c r="L2156" s="9" t="b">
        <f t="shared" si="169"/>
        <v>1</v>
      </c>
      <c r="M2156" s="1" t="b">
        <f>IF(OR(入力シート!$C$5&lt;&gt;入力リスト!$N$4,入力シート!$J$22&lt;&gt;入力リスト!$K$4),TRUE,IF($F$2=入力リスト!$Q$4,IF(F2156-INT(F2156)&lt;0.6,TRUE,FALSE),TRUE))</f>
        <v>1</v>
      </c>
      <c r="N2156" s="9" t="str">
        <f>IF(F2156="","",IF($F$2=入力リスト!$Q$4,ROUNDDOWN(INT(F2156)+ROUNDDOWN((F2156-INT(F2156))*100,0)/60,2),従業員の給与情報!F2156))</f>
        <v/>
      </c>
      <c r="O2156" s="8"/>
      <c r="P2156" s="8"/>
    </row>
    <row r="2157" spans="1:16">
      <c r="A2157" s="119"/>
      <c r="B2157" s="2"/>
      <c r="C2157" s="3"/>
      <c r="D2157" s="3"/>
      <c r="E2157" s="3"/>
      <c r="F2157" s="9"/>
      <c r="G2157" s="248" t="str">
        <f t="shared" si="165"/>
        <v/>
      </c>
      <c r="H2157" s="1" t="b">
        <f>IF(B2157="",FALSE,COUNTIF('従業員情報(給与以外)'!$A$4:$A$1000000,$B2157)=0)</f>
        <v>0</v>
      </c>
      <c r="I2157" s="9" t="b">
        <f t="shared" si="166"/>
        <v>1</v>
      </c>
      <c r="J2157" s="9" t="b">
        <f t="shared" si="167"/>
        <v>1</v>
      </c>
      <c r="K2157" s="9" t="b">
        <f t="shared" si="168"/>
        <v>1</v>
      </c>
      <c r="L2157" s="9" t="b">
        <f t="shared" si="169"/>
        <v>1</v>
      </c>
      <c r="M2157" s="1" t="b">
        <f>IF(OR(入力シート!$C$5&lt;&gt;入力リスト!$N$4,入力シート!$J$22&lt;&gt;入力リスト!$K$4),TRUE,IF($F$2=入力リスト!$Q$4,IF(F2157-INT(F2157)&lt;0.6,TRUE,FALSE),TRUE))</f>
        <v>1</v>
      </c>
      <c r="N2157" s="9" t="str">
        <f>IF(F2157="","",IF($F$2=入力リスト!$Q$4,ROUNDDOWN(INT(F2157)+ROUNDDOWN((F2157-INT(F2157))*100,0)/60,2),従業員の給与情報!F2157))</f>
        <v/>
      </c>
      <c r="O2157" s="8"/>
      <c r="P2157" s="8"/>
    </row>
    <row r="2158" spans="1:16">
      <c r="A2158" s="119"/>
      <c r="B2158" s="2"/>
      <c r="C2158" s="3"/>
      <c r="D2158" s="3"/>
      <c r="E2158" s="3"/>
      <c r="F2158" s="9"/>
      <c r="G2158" s="248" t="str">
        <f t="shared" si="165"/>
        <v/>
      </c>
      <c r="H2158" s="1" t="b">
        <f>IF(B2158="",FALSE,COUNTIF('従業員情報(給与以外)'!$A$4:$A$1000000,$B2158)=0)</f>
        <v>0</v>
      </c>
      <c r="I2158" s="9" t="b">
        <f t="shared" si="166"/>
        <v>1</v>
      </c>
      <c r="J2158" s="9" t="b">
        <f t="shared" si="167"/>
        <v>1</v>
      </c>
      <c r="K2158" s="9" t="b">
        <f t="shared" si="168"/>
        <v>1</v>
      </c>
      <c r="L2158" s="9" t="b">
        <f t="shared" si="169"/>
        <v>1</v>
      </c>
      <c r="M2158" s="1" t="b">
        <f>IF(OR(入力シート!$C$5&lt;&gt;入力リスト!$N$4,入力シート!$J$22&lt;&gt;入力リスト!$K$4),TRUE,IF($F$2=入力リスト!$Q$4,IF(F2158-INT(F2158)&lt;0.6,TRUE,FALSE),TRUE))</f>
        <v>1</v>
      </c>
      <c r="N2158" s="9" t="str">
        <f>IF(F2158="","",IF($F$2=入力リスト!$Q$4,ROUNDDOWN(INT(F2158)+ROUNDDOWN((F2158-INT(F2158))*100,0)/60,2),従業員の給与情報!F2158))</f>
        <v/>
      </c>
      <c r="O2158" s="8"/>
      <c r="P2158" s="8"/>
    </row>
    <row r="2159" spans="1:16">
      <c r="A2159" s="119"/>
      <c r="B2159" s="2"/>
      <c r="C2159" s="3"/>
      <c r="D2159" s="3"/>
      <c r="E2159" s="3"/>
      <c r="F2159" s="9"/>
      <c r="G2159" s="248" t="str">
        <f t="shared" si="165"/>
        <v/>
      </c>
      <c r="H2159" s="1" t="b">
        <f>IF(B2159="",FALSE,COUNTIF('従業員情報(給与以外)'!$A$4:$A$1000000,$B2159)=0)</f>
        <v>0</v>
      </c>
      <c r="I2159" s="9" t="b">
        <f t="shared" si="166"/>
        <v>1</v>
      </c>
      <c r="J2159" s="9" t="b">
        <f t="shared" si="167"/>
        <v>1</v>
      </c>
      <c r="K2159" s="9" t="b">
        <f t="shared" si="168"/>
        <v>1</v>
      </c>
      <c r="L2159" s="9" t="b">
        <f t="shared" si="169"/>
        <v>1</v>
      </c>
      <c r="M2159" s="1" t="b">
        <f>IF(OR(入力シート!$C$5&lt;&gt;入力リスト!$N$4,入力シート!$J$22&lt;&gt;入力リスト!$K$4),TRUE,IF($F$2=入力リスト!$Q$4,IF(F2159-INT(F2159)&lt;0.6,TRUE,FALSE),TRUE))</f>
        <v>1</v>
      </c>
      <c r="N2159" s="9" t="str">
        <f>IF(F2159="","",IF($F$2=入力リスト!$Q$4,ROUNDDOWN(INT(F2159)+ROUNDDOWN((F2159-INT(F2159))*100,0)/60,2),従業員の給与情報!F2159))</f>
        <v/>
      </c>
      <c r="O2159" s="8"/>
      <c r="P2159" s="8"/>
    </row>
    <row r="2160" spans="1:16">
      <c r="A2160" s="119"/>
      <c r="B2160" s="2"/>
      <c r="C2160" s="3"/>
      <c r="D2160" s="3"/>
      <c r="E2160" s="3"/>
      <c r="F2160" s="9"/>
      <c r="G2160" s="248" t="str">
        <f t="shared" si="165"/>
        <v/>
      </c>
      <c r="H2160" s="1" t="b">
        <f>IF(B2160="",FALSE,COUNTIF('従業員情報(給与以外)'!$A$4:$A$1000000,$B2160)=0)</f>
        <v>0</v>
      </c>
      <c r="I2160" s="9" t="b">
        <f t="shared" si="166"/>
        <v>1</v>
      </c>
      <c r="J2160" s="9" t="b">
        <f t="shared" si="167"/>
        <v>1</v>
      </c>
      <c r="K2160" s="9" t="b">
        <f t="shared" si="168"/>
        <v>1</v>
      </c>
      <c r="L2160" s="9" t="b">
        <f t="shared" si="169"/>
        <v>1</v>
      </c>
      <c r="M2160" s="1" t="b">
        <f>IF(OR(入力シート!$C$5&lt;&gt;入力リスト!$N$4,入力シート!$J$22&lt;&gt;入力リスト!$K$4),TRUE,IF($F$2=入力リスト!$Q$4,IF(F2160-INT(F2160)&lt;0.6,TRUE,FALSE),TRUE))</f>
        <v>1</v>
      </c>
      <c r="N2160" s="9" t="str">
        <f>IF(F2160="","",IF($F$2=入力リスト!$Q$4,ROUNDDOWN(INT(F2160)+ROUNDDOWN((F2160-INT(F2160))*100,0)/60,2),従業員の給与情報!F2160))</f>
        <v/>
      </c>
      <c r="O2160" s="8"/>
      <c r="P2160" s="8"/>
    </row>
    <row r="2161" spans="1:16">
      <c r="A2161" s="119"/>
      <c r="B2161" s="2"/>
      <c r="C2161" s="3"/>
      <c r="D2161" s="3"/>
      <c r="E2161" s="3"/>
      <c r="F2161" s="9"/>
      <c r="G2161" s="248" t="str">
        <f t="shared" si="165"/>
        <v/>
      </c>
      <c r="H2161" s="1" t="b">
        <f>IF(B2161="",FALSE,COUNTIF('従業員情報(給与以外)'!$A$4:$A$1000000,$B2161)=0)</f>
        <v>0</v>
      </c>
      <c r="I2161" s="9" t="b">
        <f t="shared" si="166"/>
        <v>1</v>
      </c>
      <c r="J2161" s="9" t="b">
        <f t="shared" si="167"/>
        <v>1</v>
      </c>
      <c r="K2161" s="9" t="b">
        <f t="shared" si="168"/>
        <v>1</v>
      </c>
      <c r="L2161" s="9" t="b">
        <f t="shared" si="169"/>
        <v>1</v>
      </c>
      <c r="M2161" s="1" t="b">
        <f>IF(OR(入力シート!$C$5&lt;&gt;入力リスト!$N$4,入力シート!$J$22&lt;&gt;入力リスト!$K$4),TRUE,IF($F$2=入力リスト!$Q$4,IF(F2161-INT(F2161)&lt;0.6,TRUE,FALSE),TRUE))</f>
        <v>1</v>
      </c>
      <c r="N2161" s="9" t="str">
        <f>IF(F2161="","",IF($F$2=入力リスト!$Q$4,ROUNDDOWN(INT(F2161)+ROUNDDOWN((F2161-INT(F2161))*100,0)/60,2),従業員の給与情報!F2161))</f>
        <v/>
      </c>
      <c r="O2161" s="8"/>
      <c r="P2161" s="8"/>
    </row>
    <row r="2162" spans="1:16">
      <c r="A2162" s="119"/>
      <c r="B2162" s="2"/>
      <c r="C2162" s="3"/>
      <c r="D2162" s="3"/>
      <c r="E2162" s="3"/>
      <c r="F2162" s="9"/>
      <c r="G2162" s="248" t="str">
        <f t="shared" si="165"/>
        <v/>
      </c>
      <c r="H2162" s="1" t="b">
        <f>IF(B2162="",FALSE,COUNTIF('従業員情報(給与以外)'!$A$4:$A$1000000,$B2162)=0)</f>
        <v>0</v>
      </c>
      <c r="I2162" s="9" t="b">
        <f t="shared" si="166"/>
        <v>1</v>
      </c>
      <c r="J2162" s="9" t="b">
        <f t="shared" si="167"/>
        <v>1</v>
      </c>
      <c r="K2162" s="9" t="b">
        <f t="shared" si="168"/>
        <v>1</v>
      </c>
      <c r="L2162" s="9" t="b">
        <f t="shared" si="169"/>
        <v>1</v>
      </c>
      <c r="M2162" s="1" t="b">
        <f>IF(OR(入力シート!$C$5&lt;&gt;入力リスト!$N$4,入力シート!$J$22&lt;&gt;入力リスト!$K$4),TRUE,IF($F$2=入力リスト!$Q$4,IF(F2162-INT(F2162)&lt;0.6,TRUE,FALSE),TRUE))</f>
        <v>1</v>
      </c>
      <c r="N2162" s="9" t="str">
        <f>IF(F2162="","",IF($F$2=入力リスト!$Q$4,ROUNDDOWN(INT(F2162)+ROUNDDOWN((F2162-INT(F2162))*100,0)/60,2),従業員の給与情報!F2162))</f>
        <v/>
      </c>
      <c r="O2162" s="8"/>
      <c r="P2162" s="8"/>
    </row>
    <row r="2163" spans="1:16">
      <c r="A2163" s="119"/>
      <c r="B2163" s="2"/>
      <c r="C2163" s="3"/>
      <c r="D2163" s="3"/>
      <c r="E2163" s="3"/>
      <c r="F2163" s="9"/>
      <c r="G2163" s="248" t="str">
        <f t="shared" si="165"/>
        <v/>
      </c>
      <c r="H2163" s="1" t="b">
        <f>IF(B2163="",FALSE,COUNTIF('従業員情報(給与以外)'!$A$4:$A$1000000,$B2163)=0)</f>
        <v>0</v>
      </c>
      <c r="I2163" s="9" t="b">
        <f t="shared" si="166"/>
        <v>1</v>
      </c>
      <c r="J2163" s="9" t="b">
        <f t="shared" si="167"/>
        <v>1</v>
      </c>
      <c r="K2163" s="9" t="b">
        <f t="shared" si="168"/>
        <v>1</v>
      </c>
      <c r="L2163" s="9" t="b">
        <f t="shared" si="169"/>
        <v>1</v>
      </c>
      <c r="M2163" s="1" t="b">
        <f>IF(OR(入力シート!$C$5&lt;&gt;入力リスト!$N$4,入力シート!$J$22&lt;&gt;入力リスト!$K$4),TRUE,IF($F$2=入力リスト!$Q$4,IF(F2163-INT(F2163)&lt;0.6,TRUE,FALSE),TRUE))</f>
        <v>1</v>
      </c>
      <c r="N2163" s="9" t="str">
        <f>IF(F2163="","",IF($F$2=入力リスト!$Q$4,ROUNDDOWN(INT(F2163)+ROUNDDOWN((F2163-INT(F2163))*100,0)/60,2),従業員の給与情報!F2163))</f>
        <v/>
      </c>
      <c r="O2163" s="8"/>
      <c r="P2163" s="8"/>
    </row>
    <row r="2164" spans="1:16">
      <c r="A2164" s="119"/>
      <c r="B2164" s="2"/>
      <c r="C2164" s="3"/>
      <c r="D2164" s="3"/>
      <c r="E2164" s="3"/>
      <c r="F2164" s="9"/>
      <c r="G2164" s="248" t="str">
        <f t="shared" si="165"/>
        <v/>
      </c>
      <c r="H2164" s="1" t="b">
        <f>IF(B2164="",FALSE,COUNTIF('従業員情報(給与以外)'!$A$4:$A$1000000,$B2164)=0)</f>
        <v>0</v>
      </c>
      <c r="I2164" s="9" t="b">
        <f t="shared" si="166"/>
        <v>1</v>
      </c>
      <c r="J2164" s="9" t="b">
        <f t="shared" si="167"/>
        <v>1</v>
      </c>
      <c r="K2164" s="9" t="b">
        <f t="shared" si="168"/>
        <v>1</v>
      </c>
      <c r="L2164" s="9" t="b">
        <f t="shared" si="169"/>
        <v>1</v>
      </c>
      <c r="M2164" s="1" t="b">
        <f>IF(OR(入力シート!$C$5&lt;&gt;入力リスト!$N$4,入力シート!$J$22&lt;&gt;入力リスト!$K$4),TRUE,IF($F$2=入力リスト!$Q$4,IF(F2164-INT(F2164)&lt;0.6,TRUE,FALSE),TRUE))</f>
        <v>1</v>
      </c>
      <c r="N2164" s="9" t="str">
        <f>IF(F2164="","",IF($F$2=入力リスト!$Q$4,ROUNDDOWN(INT(F2164)+ROUNDDOWN((F2164-INT(F2164))*100,0)/60,2),従業員の給与情報!F2164))</f>
        <v/>
      </c>
      <c r="O2164" s="8"/>
      <c r="P2164" s="8"/>
    </row>
    <row r="2165" spans="1:16">
      <c r="A2165" s="119"/>
      <c r="B2165" s="2"/>
      <c r="C2165" s="3"/>
      <c r="D2165" s="3"/>
      <c r="E2165" s="3"/>
      <c r="F2165" s="9"/>
      <c r="G2165" s="248" t="str">
        <f t="shared" si="165"/>
        <v/>
      </c>
      <c r="H2165" s="1" t="b">
        <f>IF(B2165="",FALSE,COUNTIF('従業員情報(給与以外)'!$A$4:$A$1000000,$B2165)=0)</f>
        <v>0</v>
      </c>
      <c r="I2165" s="9" t="b">
        <f t="shared" si="166"/>
        <v>1</v>
      </c>
      <c r="J2165" s="9" t="b">
        <f t="shared" si="167"/>
        <v>1</v>
      </c>
      <c r="K2165" s="9" t="b">
        <f t="shared" si="168"/>
        <v>1</v>
      </c>
      <c r="L2165" s="9" t="b">
        <f t="shared" si="169"/>
        <v>1</v>
      </c>
      <c r="M2165" s="1" t="b">
        <f>IF(OR(入力シート!$C$5&lt;&gt;入力リスト!$N$4,入力シート!$J$22&lt;&gt;入力リスト!$K$4),TRUE,IF($F$2=入力リスト!$Q$4,IF(F2165-INT(F2165)&lt;0.6,TRUE,FALSE),TRUE))</f>
        <v>1</v>
      </c>
      <c r="N2165" s="9" t="str">
        <f>IF(F2165="","",IF($F$2=入力リスト!$Q$4,ROUNDDOWN(INT(F2165)+ROUNDDOWN((F2165-INT(F2165))*100,0)/60,2),従業員の給与情報!F2165))</f>
        <v/>
      </c>
      <c r="O2165" s="8"/>
      <c r="P2165" s="8"/>
    </row>
    <row r="2166" spans="1:16">
      <c r="A2166" s="119"/>
      <c r="B2166" s="2"/>
      <c r="C2166" s="3"/>
      <c r="D2166" s="3"/>
      <c r="E2166" s="3"/>
      <c r="F2166" s="9"/>
      <c r="G2166" s="248" t="str">
        <f t="shared" si="165"/>
        <v/>
      </c>
      <c r="H2166" s="1" t="b">
        <f>IF(B2166="",FALSE,COUNTIF('従業員情報(給与以外)'!$A$4:$A$1000000,$B2166)=0)</f>
        <v>0</v>
      </c>
      <c r="I2166" s="9" t="b">
        <f t="shared" si="166"/>
        <v>1</v>
      </c>
      <c r="J2166" s="9" t="b">
        <f t="shared" si="167"/>
        <v>1</v>
      </c>
      <c r="K2166" s="9" t="b">
        <f t="shared" si="168"/>
        <v>1</v>
      </c>
      <c r="L2166" s="9" t="b">
        <f t="shared" si="169"/>
        <v>1</v>
      </c>
      <c r="M2166" s="1" t="b">
        <f>IF(OR(入力シート!$C$5&lt;&gt;入力リスト!$N$4,入力シート!$J$22&lt;&gt;入力リスト!$K$4),TRUE,IF($F$2=入力リスト!$Q$4,IF(F2166-INT(F2166)&lt;0.6,TRUE,FALSE),TRUE))</f>
        <v>1</v>
      </c>
      <c r="N2166" s="9" t="str">
        <f>IF(F2166="","",IF($F$2=入力リスト!$Q$4,ROUNDDOWN(INT(F2166)+ROUNDDOWN((F2166-INT(F2166))*100,0)/60,2),従業員の給与情報!F2166))</f>
        <v/>
      </c>
      <c r="O2166" s="8"/>
      <c r="P2166" s="8"/>
    </row>
    <row r="2167" spans="1:16">
      <c r="A2167" s="119"/>
      <c r="B2167" s="2"/>
      <c r="C2167" s="3"/>
      <c r="D2167" s="3"/>
      <c r="E2167" s="3"/>
      <c r="F2167" s="9"/>
      <c r="G2167" s="248" t="str">
        <f t="shared" si="165"/>
        <v/>
      </c>
      <c r="H2167" s="1" t="b">
        <f>IF(B2167="",FALSE,COUNTIF('従業員情報(給与以外)'!$A$4:$A$1000000,$B2167)=0)</f>
        <v>0</v>
      </c>
      <c r="I2167" s="9" t="b">
        <f t="shared" si="166"/>
        <v>1</v>
      </c>
      <c r="J2167" s="9" t="b">
        <f t="shared" si="167"/>
        <v>1</v>
      </c>
      <c r="K2167" s="9" t="b">
        <f t="shared" si="168"/>
        <v>1</v>
      </c>
      <c r="L2167" s="9" t="b">
        <f t="shared" si="169"/>
        <v>1</v>
      </c>
      <c r="M2167" s="1" t="b">
        <f>IF(OR(入力シート!$C$5&lt;&gt;入力リスト!$N$4,入力シート!$J$22&lt;&gt;入力リスト!$K$4),TRUE,IF($F$2=入力リスト!$Q$4,IF(F2167-INT(F2167)&lt;0.6,TRUE,FALSE),TRUE))</f>
        <v>1</v>
      </c>
      <c r="N2167" s="9" t="str">
        <f>IF(F2167="","",IF($F$2=入力リスト!$Q$4,ROUNDDOWN(INT(F2167)+ROUNDDOWN((F2167-INT(F2167))*100,0)/60,2),従業員の給与情報!F2167))</f>
        <v/>
      </c>
      <c r="O2167" s="8"/>
      <c r="P2167" s="8"/>
    </row>
    <row r="2168" spans="1:16">
      <c r="A2168" s="119"/>
      <c r="B2168" s="2"/>
      <c r="C2168" s="3"/>
      <c r="D2168" s="3"/>
      <c r="E2168" s="3"/>
      <c r="F2168" s="9"/>
      <c r="G2168" s="248" t="str">
        <f t="shared" si="165"/>
        <v/>
      </c>
      <c r="H2168" s="1" t="b">
        <f>IF(B2168="",FALSE,COUNTIF('従業員情報(給与以外)'!$A$4:$A$1000000,$B2168)=0)</f>
        <v>0</v>
      </c>
      <c r="I2168" s="9" t="b">
        <f t="shared" si="166"/>
        <v>1</v>
      </c>
      <c r="J2168" s="9" t="b">
        <f t="shared" si="167"/>
        <v>1</v>
      </c>
      <c r="K2168" s="9" t="b">
        <f t="shared" si="168"/>
        <v>1</v>
      </c>
      <c r="L2168" s="9" t="b">
        <f t="shared" si="169"/>
        <v>1</v>
      </c>
      <c r="M2168" s="1" t="b">
        <f>IF(OR(入力シート!$C$5&lt;&gt;入力リスト!$N$4,入力シート!$J$22&lt;&gt;入力リスト!$K$4),TRUE,IF($F$2=入力リスト!$Q$4,IF(F2168-INT(F2168)&lt;0.6,TRUE,FALSE),TRUE))</f>
        <v>1</v>
      </c>
      <c r="N2168" s="9" t="str">
        <f>IF(F2168="","",IF($F$2=入力リスト!$Q$4,ROUNDDOWN(INT(F2168)+ROUNDDOWN((F2168-INT(F2168))*100,0)/60,2),従業員の給与情報!F2168))</f>
        <v/>
      </c>
      <c r="O2168" s="8"/>
      <c r="P2168" s="8"/>
    </row>
    <row r="2169" spans="1:16">
      <c r="A2169" s="119"/>
      <c r="B2169" s="2"/>
      <c r="C2169" s="3"/>
      <c r="D2169" s="3"/>
      <c r="E2169" s="3"/>
      <c r="F2169" s="9"/>
      <c r="G2169" s="248" t="str">
        <f t="shared" si="165"/>
        <v/>
      </c>
      <c r="H2169" s="1" t="b">
        <f>IF(B2169="",FALSE,COUNTIF('従業員情報(給与以外)'!$A$4:$A$1000000,$B2169)=0)</f>
        <v>0</v>
      </c>
      <c r="I2169" s="9" t="b">
        <f t="shared" si="166"/>
        <v>1</v>
      </c>
      <c r="J2169" s="9" t="b">
        <f t="shared" si="167"/>
        <v>1</v>
      </c>
      <c r="K2169" s="9" t="b">
        <f t="shared" si="168"/>
        <v>1</v>
      </c>
      <c r="L2169" s="9" t="b">
        <f t="shared" si="169"/>
        <v>1</v>
      </c>
      <c r="M2169" s="1" t="b">
        <f>IF(OR(入力シート!$C$5&lt;&gt;入力リスト!$N$4,入力シート!$J$22&lt;&gt;入力リスト!$K$4),TRUE,IF($F$2=入力リスト!$Q$4,IF(F2169-INT(F2169)&lt;0.6,TRUE,FALSE),TRUE))</f>
        <v>1</v>
      </c>
      <c r="N2169" s="9" t="str">
        <f>IF(F2169="","",IF($F$2=入力リスト!$Q$4,ROUNDDOWN(INT(F2169)+ROUNDDOWN((F2169-INT(F2169))*100,0)/60,2),従業員の給与情報!F2169))</f>
        <v/>
      </c>
      <c r="O2169" s="8"/>
      <c r="P2169" s="8"/>
    </row>
    <row r="2170" spans="1:16">
      <c r="A2170" s="119"/>
      <c r="B2170" s="2"/>
      <c r="C2170" s="3"/>
      <c r="D2170" s="3"/>
      <c r="E2170" s="3"/>
      <c r="F2170" s="9"/>
      <c r="G2170" s="248" t="str">
        <f t="shared" si="165"/>
        <v/>
      </c>
      <c r="H2170" s="1" t="b">
        <f>IF(B2170="",FALSE,COUNTIF('従業員情報(給与以外)'!$A$4:$A$1000000,$B2170)=0)</f>
        <v>0</v>
      </c>
      <c r="I2170" s="9" t="b">
        <f t="shared" si="166"/>
        <v>1</v>
      </c>
      <c r="J2170" s="9" t="b">
        <f t="shared" si="167"/>
        <v>1</v>
      </c>
      <c r="K2170" s="9" t="b">
        <f t="shared" si="168"/>
        <v>1</v>
      </c>
      <c r="L2170" s="9" t="b">
        <f t="shared" si="169"/>
        <v>1</v>
      </c>
      <c r="M2170" s="1" t="b">
        <f>IF(OR(入力シート!$C$5&lt;&gt;入力リスト!$N$4,入力シート!$J$22&lt;&gt;入力リスト!$K$4),TRUE,IF($F$2=入力リスト!$Q$4,IF(F2170-INT(F2170)&lt;0.6,TRUE,FALSE),TRUE))</f>
        <v>1</v>
      </c>
      <c r="N2170" s="9" t="str">
        <f>IF(F2170="","",IF($F$2=入力リスト!$Q$4,ROUNDDOWN(INT(F2170)+ROUNDDOWN((F2170-INT(F2170))*100,0)/60,2),従業員の給与情報!F2170))</f>
        <v/>
      </c>
      <c r="O2170" s="8"/>
      <c r="P2170" s="8"/>
    </row>
    <row r="2171" spans="1:16">
      <c r="A2171" s="119"/>
      <c r="B2171" s="2"/>
      <c r="C2171" s="3"/>
      <c r="D2171" s="3"/>
      <c r="E2171" s="3"/>
      <c r="F2171" s="9"/>
      <c r="G2171" s="248" t="str">
        <f t="shared" si="165"/>
        <v/>
      </c>
      <c r="H2171" s="1" t="b">
        <f>IF(B2171="",FALSE,COUNTIF('従業員情報(給与以外)'!$A$4:$A$1000000,$B2171)=0)</f>
        <v>0</v>
      </c>
      <c r="I2171" s="9" t="b">
        <f t="shared" si="166"/>
        <v>1</v>
      </c>
      <c r="J2171" s="9" t="b">
        <f t="shared" si="167"/>
        <v>1</v>
      </c>
      <c r="K2171" s="9" t="b">
        <f t="shared" si="168"/>
        <v>1</v>
      </c>
      <c r="L2171" s="9" t="b">
        <f t="shared" si="169"/>
        <v>1</v>
      </c>
      <c r="M2171" s="1" t="b">
        <f>IF(OR(入力シート!$C$5&lt;&gt;入力リスト!$N$4,入力シート!$J$22&lt;&gt;入力リスト!$K$4),TRUE,IF($F$2=入力リスト!$Q$4,IF(F2171-INT(F2171)&lt;0.6,TRUE,FALSE),TRUE))</f>
        <v>1</v>
      </c>
      <c r="N2171" s="9" t="str">
        <f>IF(F2171="","",IF($F$2=入力リスト!$Q$4,ROUNDDOWN(INT(F2171)+ROUNDDOWN((F2171-INT(F2171))*100,0)/60,2),従業員の給与情報!F2171))</f>
        <v/>
      </c>
      <c r="O2171" s="8"/>
      <c r="P2171" s="8"/>
    </row>
    <row r="2172" spans="1:16">
      <c r="A2172" s="119"/>
      <c r="B2172" s="2"/>
      <c r="C2172" s="3"/>
      <c r="D2172" s="3"/>
      <c r="E2172" s="3"/>
      <c r="F2172" s="9"/>
      <c r="G2172" s="248" t="str">
        <f t="shared" si="165"/>
        <v/>
      </c>
      <c r="H2172" s="1" t="b">
        <f>IF(B2172="",FALSE,COUNTIF('従業員情報(給与以外)'!$A$4:$A$1000000,$B2172)=0)</f>
        <v>0</v>
      </c>
      <c r="I2172" s="9" t="b">
        <f t="shared" si="166"/>
        <v>1</v>
      </c>
      <c r="J2172" s="9" t="b">
        <f t="shared" si="167"/>
        <v>1</v>
      </c>
      <c r="K2172" s="9" t="b">
        <f t="shared" si="168"/>
        <v>1</v>
      </c>
      <c r="L2172" s="9" t="b">
        <f t="shared" si="169"/>
        <v>1</v>
      </c>
      <c r="M2172" s="1" t="b">
        <f>IF(OR(入力シート!$C$5&lt;&gt;入力リスト!$N$4,入力シート!$J$22&lt;&gt;入力リスト!$K$4),TRUE,IF($F$2=入力リスト!$Q$4,IF(F2172-INT(F2172)&lt;0.6,TRUE,FALSE),TRUE))</f>
        <v>1</v>
      </c>
      <c r="N2172" s="9" t="str">
        <f>IF(F2172="","",IF($F$2=入力リスト!$Q$4,ROUNDDOWN(INT(F2172)+ROUNDDOWN((F2172-INT(F2172))*100,0)/60,2),従業員の給与情報!F2172))</f>
        <v/>
      </c>
      <c r="O2172" s="8"/>
      <c r="P2172" s="8"/>
    </row>
    <row r="2173" spans="1:16">
      <c r="A2173" s="119"/>
      <c r="B2173" s="2"/>
      <c r="C2173" s="3"/>
      <c r="D2173" s="3"/>
      <c r="E2173" s="3"/>
      <c r="F2173" s="9"/>
      <c r="G2173" s="248" t="str">
        <f t="shared" si="165"/>
        <v/>
      </c>
      <c r="H2173" s="1" t="b">
        <f>IF(B2173="",FALSE,COUNTIF('従業員情報(給与以外)'!$A$4:$A$1000000,$B2173)=0)</f>
        <v>0</v>
      </c>
      <c r="I2173" s="9" t="b">
        <f t="shared" si="166"/>
        <v>1</v>
      </c>
      <c r="J2173" s="9" t="b">
        <f t="shared" si="167"/>
        <v>1</v>
      </c>
      <c r="K2173" s="9" t="b">
        <f t="shared" si="168"/>
        <v>1</v>
      </c>
      <c r="L2173" s="9" t="b">
        <f t="shared" si="169"/>
        <v>1</v>
      </c>
      <c r="M2173" s="1" t="b">
        <f>IF(OR(入力シート!$C$5&lt;&gt;入力リスト!$N$4,入力シート!$J$22&lt;&gt;入力リスト!$K$4),TRUE,IF($F$2=入力リスト!$Q$4,IF(F2173-INT(F2173)&lt;0.6,TRUE,FALSE),TRUE))</f>
        <v>1</v>
      </c>
      <c r="N2173" s="9" t="str">
        <f>IF(F2173="","",IF($F$2=入力リスト!$Q$4,ROUNDDOWN(INT(F2173)+ROUNDDOWN((F2173-INT(F2173))*100,0)/60,2),従業員の給与情報!F2173))</f>
        <v/>
      </c>
      <c r="O2173" s="8"/>
      <c r="P2173" s="8"/>
    </row>
    <row r="2174" spans="1:16">
      <c r="A2174" s="119"/>
      <c r="B2174" s="2"/>
      <c r="C2174" s="3"/>
      <c r="D2174" s="3"/>
      <c r="E2174" s="3"/>
      <c r="F2174" s="9"/>
      <c r="G2174" s="248" t="str">
        <f t="shared" si="165"/>
        <v/>
      </c>
      <c r="H2174" s="1" t="b">
        <f>IF(B2174="",FALSE,COUNTIF('従業員情報(給与以外)'!$A$4:$A$1000000,$B2174)=0)</f>
        <v>0</v>
      </c>
      <c r="I2174" s="9" t="b">
        <f t="shared" si="166"/>
        <v>1</v>
      </c>
      <c r="J2174" s="9" t="b">
        <f t="shared" si="167"/>
        <v>1</v>
      </c>
      <c r="K2174" s="9" t="b">
        <f t="shared" si="168"/>
        <v>1</v>
      </c>
      <c r="L2174" s="9" t="b">
        <f t="shared" si="169"/>
        <v>1</v>
      </c>
      <c r="M2174" s="1" t="b">
        <f>IF(OR(入力シート!$C$5&lt;&gt;入力リスト!$N$4,入力シート!$J$22&lt;&gt;入力リスト!$K$4),TRUE,IF($F$2=入力リスト!$Q$4,IF(F2174-INT(F2174)&lt;0.6,TRUE,FALSE),TRUE))</f>
        <v>1</v>
      </c>
      <c r="N2174" s="9" t="str">
        <f>IF(F2174="","",IF($F$2=入力リスト!$Q$4,ROUNDDOWN(INT(F2174)+ROUNDDOWN((F2174-INT(F2174))*100,0)/60,2),従業員の給与情報!F2174))</f>
        <v/>
      </c>
      <c r="O2174" s="8"/>
      <c r="P2174" s="8"/>
    </row>
    <row r="2175" spans="1:16">
      <c r="A2175" s="119"/>
      <c r="B2175" s="2"/>
      <c r="C2175" s="3"/>
      <c r="D2175" s="3"/>
      <c r="E2175" s="3"/>
      <c r="F2175" s="9"/>
      <c r="G2175" s="248" t="str">
        <f t="shared" si="165"/>
        <v/>
      </c>
      <c r="H2175" s="1" t="b">
        <f>IF(B2175="",FALSE,COUNTIF('従業員情報(給与以外)'!$A$4:$A$1000000,$B2175)=0)</f>
        <v>0</v>
      </c>
      <c r="I2175" s="9" t="b">
        <f t="shared" si="166"/>
        <v>1</v>
      </c>
      <c r="J2175" s="9" t="b">
        <f t="shared" si="167"/>
        <v>1</v>
      </c>
      <c r="K2175" s="9" t="b">
        <f t="shared" si="168"/>
        <v>1</v>
      </c>
      <c r="L2175" s="9" t="b">
        <f t="shared" si="169"/>
        <v>1</v>
      </c>
      <c r="M2175" s="1" t="b">
        <f>IF(OR(入力シート!$C$5&lt;&gt;入力リスト!$N$4,入力シート!$J$22&lt;&gt;入力リスト!$K$4),TRUE,IF($F$2=入力リスト!$Q$4,IF(F2175-INT(F2175)&lt;0.6,TRUE,FALSE),TRUE))</f>
        <v>1</v>
      </c>
      <c r="N2175" s="9" t="str">
        <f>IF(F2175="","",IF($F$2=入力リスト!$Q$4,ROUNDDOWN(INT(F2175)+ROUNDDOWN((F2175-INT(F2175))*100,0)/60,2),従業員の給与情報!F2175))</f>
        <v/>
      </c>
      <c r="O2175" s="8"/>
      <c r="P2175" s="8"/>
    </row>
    <row r="2176" spans="1:16">
      <c r="A2176" s="119"/>
      <c r="B2176" s="2"/>
      <c r="C2176" s="3"/>
      <c r="D2176" s="3"/>
      <c r="E2176" s="3"/>
      <c r="F2176" s="9"/>
      <c r="G2176" s="248" t="str">
        <f t="shared" si="165"/>
        <v/>
      </c>
      <c r="H2176" s="1" t="b">
        <f>IF(B2176="",FALSE,COUNTIF('従業員情報(給与以外)'!$A$4:$A$1000000,$B2176)=0)</f>
        <v>0</v>
      </c>
      <c r="I2176" s="9" t="b">
        <f t="shared" si="166"/>
        <v>1</v>
      </c>
      <c r="J2176" s="9" t="b">
        <f t="shared" si="167"/>
        <v>1</v>
      </c>
      <c r="K2176" s="9" t="b">
        <f t="shared" si="168"/>
        <v>1</v>
      </c>
      <c r="L2176" s="9" t="b">
        <f t="shared" si="169"/>
        <v>1</v>
      </c>
      <c r="M2176" s="1" t="b">
        <f>IF(OR(入力シート!$C$5&lt;&gt;入力リスト!$N$4,入力シート!$J$22&lt;&gt;入力リスト!$K$4),TRUE,IF($F$2=入力リスト!$Q$4,IF(F2176-INT(F2176)&lt;0.6,TRUE,FALSE),TRUE))</f>
        <v>1</v>
      </c>
      <c r="N2176" s="9" t="str">
        <f>IF(F2176="","",IF($F$2=入力リスト!$Q$4,ROUNDDOWN(INT(F2176)+ROUNDDOWN((F2176-INT(F2176))*100,0)/60,2),従業員の給与情報!F2176))</f>
        <v/>
      </c>
      <c r="O2176" s="8"/>
      <c r="P2176" s="8"/>
    </row>
    <row r="2177" spans="1:16">
      <c r="A2177" s="119"/>
      <c r="B2177" s="2"/>
      <c r="C2177" s="3"/>
      <c r="D2177" s="3"/>
      <c r="E2177" s="3"/>
      <c r="F2177" s="9"/>
      <c r="G2177" s="248" t="str">
        <f t="shared" si="165"/>
        <v/>
      </c>
      <c r="H2177" s="1" t="b">
        <f>IF(B2177="",FALSE,COUNTIF('従業員情報(給与以外)'!$A$4:$A$1000000,$B2177)=0)</f>
        <v>0</v>
      </c>
      <c r="I2177" s="9" t="b">
        <f t="shared" si="166"/>
        <v>1</v>
      </c>
      <c r="J2177" s="9" t="b">
        <f t="shared" si="167"/>
        <v>1</v>
      </c>
      <c r="K2177" s="9" t="b">
        <f t="shared" si="168"/>
        <v>1</v>
      </c>
      <c r="L2177" s="9" t="b">
        <f t="shared" si="169"/>
        <v>1</v>
      </c>
      <c r="M2177" s="1" t="b">
        <f>IF(OR(入力シート!$C$5&lt;&gt;入力リスト!$N$4,入力シート!$J$22&lt;&gt;入力リスト!$K$4),TRUE,IF($F$2=入力リスト!$Q$4,IF(F2177-INT(F2177)&lt;0.6,TRUE,FALSE),TRUE))</f>
        <v>1</v>
      </c>
      <c r="N2177" s="9" t="str">
        <f>IF(F2177="","",IF($F$2=入力リスト!$Q$4,ROUNDDOWN(INT(F2177)+ROUNDDOWN((F2177-INT(F2177))*100,0)/60,2),従業員の給与情報!F2177))</f>
        <v/>
      </c>
      <c r="O2177" s="8"/>
      <c r="P2177" s="8"/>
    </row>
    <row r="2178" spans="1:16">
      <c r="A2178" s="119"/>
      <c r="B2178" s="2"/>
      <c r="C2178" s="3"/>
      <c r="D2178" s="3"/>
      <c r="E2178" s="3"/>
      <c r="F2178" s="9"/>
      <c r="G2178" s="248" t="str">
        <f t="shared" si="165"/>
        <v/>
      </c>
      <c r="H2178" s="1" t="b">
        <f>IF(B2178="",FALSE,COUNTIF('従業員情報(給与以外)'!$A$4:$A$1000000,$B2178)=0)</f>
        <v>0</v>
      </c>
      <c r="I2178" s="9" t="b">
        <f t="shared" si="166"/>
        <v>1</v>
      </c>
      <c r="J2178" s="9" t="b">
        <f t="shared" si="167"/>
        <v>1</v>
      </c>
      <c r="K2178" s="9" t="b">
        <f t="shared" si="168"/>
        <v>1</v>
      </c>
      <c r="L2178" s="9" t="b">
        <f t="shared" si="169"/>
        <v>1</v>
      </c>
      <c r="M2178" s="1" t="b">
        <f>IF(OR(入力シート!$C$5&lt;&gt;入力リスト!$N$4,入力シート!$J$22&lt;&gt;入力リスト!$K$4),TRUE,IF($F$2=入力リスト!$Q$4,IF(F2178-INT(F2178)&lt;0.6,TRUE,FALSE),TRUE))</f>
        <v>1</v>
      </c>
      <c r="N2178" s="9" t="str">
        <f>IF(F2178="","",IF($F$2=入力リスト!$Q$4,ROUNDDOWN(INT(F2178)+ROUNDDOWN((F2178-INT(F2178))*100,0)/60,2),従業員の給与情報!F2178))</f>
        <v/>
      </c>
      <c r="O2178" s="8"/>
      <c r="P2178" s="8"/>
    </row>
    <row r="2179" spans="1:16">
      <c r="A2179" s="119"/>
      <c r="B2179" s="2"/>
      <c r="C2179" s="3"/>
      <c r="D2179" s="3"/>
      <c r="E2179" s="3"/>
      <c r="F2179" s="9"/>
      <c r="G2179" s="248" t="str">
        <f t="shared" si="165"/>
        <v/>
      </c>
      <c r="H2179" s="1" t="b">
        <f>IF(B2179="",FALSE,COUNTIF('従業員情報(給与以外)'!$A$4:$A$1000000,$B2179)=0)</f>
        <v>0</v>
      </c>
      <c r="I2179" s="9" t="b">
        <f t="shared" si="166"/>
        <v>1</v>
      </c>
      <c r="J2179" s="9" t="b">
        <f t="shared" si="167"/>
        <v>1</v>
      </c>
      <c r="K2179" s="9" t="b">
        <f t="shared" si="168"/>
        <v>1</v>
      </c>
      <c r="L2179" s="9" t="b">
        <f t="shared" si="169"/>
        <v>1</v>
      </c>
      <c r="M2179" s="1" t="b">
        <f>IF(OR(入力シート!$C$5&lt;&gt;入力リスト!$N$4,入力シート!$J$22&lt;&gt;入力リスト!$K$4),TRUE,IF($F$2=入力リスト!$Q$4,IF(F2179-INT(F2179)&lt;0.6,TRUE,FALSE),TRUE))</f>
        <v>1</v>
      </c>
      <c r="N2179" s="9" t="str">
        <f>IF(F2179="","",IF($F$2=入力リスト!$Q$4,ROUNDDOWN(INT(F2179)+ROUNDDOWN((F2179-INT(F2179))*100,0)/60,2),従業員の給与情報!F2179))</f>
        <v/>
      </c>
      <c r="O2179" s="8"/>
      <c r="P2179" s="8"/>
    </row>
    <row r="2180" spans="1:16">
      <c r="A2180" s="119"/>
      <c r="B2180" s="2"/>
      <c r="C2180" s="3"/>
      <c r="D2180" s="3"/>
      <c r="E2180" s="3"/>
      <c r="F2180" s="9"/>
      <c r="G2180" s="248" t="str">
        <f t="shared" si="165"/>
        <v/>
      </c>
      <c r="H2180" s="1" t="b">
        <f>IF(B2180="",FALSE,COUNTIF('従業員情報(給与以外)'!$A$4:$A$1000000,$B2180)=0)</f>
        <v>0</v>
      </c>
      <c r="I2180" s="9" t="b">
        <f t="shared" si="166"/>
        <v>1</v>
      </c>
      <c r="J2180" s="9" t="b">
        <f t="shared" si="167"/>
        <v>1</v>
      </c>
      <c r="K2180" s="9" t="b">
        <f t="shared" si="168"/>
        <v>1</v>
      </c>
      <c r="L2180" s="9" t="b">
        <f t="shared" si="169"/>
        <v>1</v>
      </c>
      <c r="M2180" s="1" t="b">
        <f>IF(OR(入力シート!$C$5&lt;&gt;入力リスト!$N$4,入力シート!$J$22&lt;&gt;入力リスト!$K$4),TRUE,IF($F$2=入力リスト!$Q$4,IF(F2180-INT(F2180)&lt;0.6,TRUE,FALSE),TRUE))</f>
        <v>1</v>
      </c>
      <c r="N2180" s="9" t="str">
        <f>IF(F2180="","",IF($F$2=入力リスト!$Q$4,ROUNDDOWN(INT(F2180)+ROUNDDOWN((F2180-INT(F2180))*100,0)/60,2),従業員の給与情報!F2180))</f>
        <v/>
      </c>
      <c r="O2180" s="8"/>
      <c r="P2180" s="8"/>
    </row>
    <row r="2181" spans="1:16">
      <c r="A2181" s="119"/>
      <c r="B2181" s="2"/>
      <c r="C2181" s="3"/>
      <c r="D2181" s="3"/>
      <c r="E2181" s="3"/>
      <c r="F2181" s="9"/>
      <c r="G2181" s="248" t="str">
        <f t="shared" ref="G2181:G2244" si="170">IF(AND($B2181="",OR(B2181&lt;&gt;"",C2181&lt;&gt;"",D2181&lt;&gt;"",E2181&lt;&gt;"",F2181&lt;&gt;"")),"従業員番号が空白です。",IF($H2181=TRUE,"この従業員番号は、シート［従業員情報（給与以外）］に存在しません。",IF(I2181=FALSE,"「毎月の固定給与額」","")&amp;IF(AND(I2181=FALSE,OR(J2181=FALSE,K2181=FALSE,L2181=FALSE)),",","")&amp;IF(J2181=FALSE,"「賞与額等」","")&amp;IF(AND(J2181=FALSE,OR(K2181=FALSE,L2181=FALSE)),",","")&amp;IF(K2181=FALSE,"「残業手当」","")&amp;IF(AND(K2181=FALSE,L2181=FALSE),",","")&amp;IF(L2181=FALSE,"「残業時間」","")&amp;IF(OR(I2181=FALSE,J2181=FALSE,K2181=FALSE,L2181=FALSE),"に数値以外が入力されています。","")&amp;IF(M2181,"","「残業時間」を分単位で入力した場合、小数点以下の値は0.6未満にしてください。")))</f>
        <v/>
      </c>
      <c r="H2181" s="1" t="b">
        <f>IF(B2181="",FALSE,COUNTIF('従業員情報(給与以外)'!$A$4:$A$1000000,$B2181)=0)</f>
        <v>0</v>
      </c>
      <c r="I2181" s="9" t="b">
        <f t="shared" ref="I2181:I2225" si="171">OR(C2181="",ISNUMBER(C2181))</f>
        <v>1</v>
      </c>
      <c r="J2181" s="9" t="b">
        <f t="shared" ref="J2181:J2225" si="172">OR(D2181="",ISNUMBER(D2181))</f>
        <v>1</v>
      </c>
      <c r="K2181" s="9" t="b">
        <f t="shared" ref="K2181:K2225" si="173">OR(E2181="",ISNUMBER(E2181))</f>
        <v>1</v>
      </c>
      <c r="L2181" s="9" t="b">
        <f t="shared" ref="L2181:L2225" si="174">OR(F2181="",ISNUMBER(F2181))</f>
        <v>1</v>
      </c>
      <c r="M2181" s="1" t="b">
        <f>IF(OR(入力シート!$C$5&lt;&gt;入力リスト!$N$4,入力シート!$J$22&lt;&gt;入力リスト!$K$4),TRUE,IF($F$2=入力リスト!$Q$4,IF(F2181-INT(F2181)&lt;0.6,TRUE,FALSE),TRUE))</f>
        <v>1</v>
      </c>
      <c r="N2181" s="9" t="str">
        <f>IF(F2181="","",IF($F$2=入力リスト!$Q$4,ROUNDDOWN(INT(F2181)+ROUNDDOWN((F2181-INT(F2181))*100,0)/60,2),従業員の給与情報!F2181))</f>
        <v/>
      </c>
      <c r="O2181" s="8"/>
      <c r="P2181" s="8"/>
    </row>
    <row r="2182" spans="1:16">
      <c r="A2182" s="119"/>
      <c r="B2182" s="2"/>
      <c r="C2182" s="3"/>
      <c r="D2182" s="3"/>
      <c r="E2182" s="3"/>
      <c r="F2182" s="9"/>
      <c r="G2182" s="248" t="str">
        <f t="shared" si="170"/>
        <v/>
      </c>
      <c r="H2182" s="1" t="b">
        <f>IF(B2182="",FALSE,COUNTIF('従業員情報(給与以外)'!$A$4:$A$1000000,$B2182)=0)</f>
        <v>0</v>
      </c>
      <c r="I2182" s="9" t="b">
        <f t="shared" si="171"/>
        <v>1</v>
      </c>
      <c r="J2182" s="9" t="b">
        <f t="shared" si="172"/>
        <v>1</v>
      </c>
      <c r="K2182" s="9" t="b">
        <f t="shared" si="173"/>
        <v>1</v>
      </c>
      <c r="L2182" s="9" t="b">
        <f t="shared" si="174"/>
        <v>1</v>
      </c>
      <c r="M2182" s="1" t="b">
        <f>IF(OR(入力シート!$C$5&lt;&gt;入力リスト!$N$4,入力シート!$J$22&lt;&gt;入力リスト!$K$4),TRUE,IF($F$2=入力リスト!$Q$4,IF(F2182-INT(F2182)&lt;0.6,TRUE,FALSE),TRUE))</f>
        <v>1</v>
      </c>
      <c r="N2182" s="9" t="str">
        <f>IF(F2182="","",IF($F$2=入力リスト!$Q$4,ROUNDDOWN(INT(F2182)+ROUNDDOWN((F2182-INT(F2182))*100,0)/60,2),従業員の給与情報!F2182))</f>
        <v/>
      </c>
      <c r="O2182" s="8"/>
      <c r="P2182" s="8"/>
    </row>
    <row r="2183" spans="1:16">
      <c r="A2183" s="119"/>
      <c r="B2183" s="2"/>
      <c r="C2183" s="3"/>
      <c r="D2183" s="3"/>
      <c r="E2183" s="3"/>
      <c r="F2183" s="9"/>
      <c r="G2183" s="248" t="str">
        <f t="shared" si="170"/>
        <v/>
      </c>
      <c r="H2183" s="1" t="b">
        <f>IF(B2183="",FALSE,COUNTIF('従業員情報(給与以外)'!$A$4:$A$1000000,$B2183)=0)</f>
        <v>0</v>
      </c>
      <c r="I2183" s="9" t="b">
        <f t="shared" si="171"/>
        <v>1</v>
      </c>
      <c r="J2183" s="9" t="b">
        <f t="shared" si="172"/>
        <v>1</v>
      </c>
      <c r="K2183" s="9" t="b">
        <f t="shared" si="173"/>
        <v>1</v>
      </c>
      <c r="L2183" s="9" t="b">
        <f t="shared" si="174"/>
        <v>1</v>
      </c>
      <c r="M2183" s="1" t="b">
        <f>IF(OR(入力シート!$C$5&lt;&gt;入力リスト!$N$4,入力シート!$J$22&lt;&gt;入力リスト!$K$4),TRUE,IF($F$2=入力リスト!$Q$4,IF(F2183-INT(F2183)&lt;0.6,TRUE,FALSE),TRUE))</f>
        <v>1</v>
      </c>
      <c r="N2183" s="9" t="str">
        <f>IF(F2183="","",IF($F$2=入力リスト!$Q$4,ROUNDDOWN(INT(F2183)+ROUNDDOWN((F2183-INT(F2183))*100,0)/60,2),従業員の給与情報!F2183))</f>
        <v/>
      </c>
      <c r="O2183" s="8"/>
      <c r="P2183" s="8"/>
    </row>
    <row r="2184" spans="1:16">
      <c r="A2184" s="119"/>
      <c r="B2184" s="2"/>
      <c r="C2184" s="3"/>
      <c r="D2184" s="3"/>
      <c r="E2184" s="3"/>
      <c r="F2184" s="9"/>
      <c r="G2184" s="248" t="str">
        <f t="shared" si="170"/>
        <v/>
      </c>
      <c r="H2184" s="1" t="b">
        <f>IF(B2184="",FALSE,COUNTIF('従業員情報(給与以外)'!$A$4:$A$1000000,$B2184)=0)</f>
        <v>0</v>
      </c>
      <c r="I2184" s="9" t="b">
        <f t="shared" si="171"/>
        <v>1</v>
      </c>
      <c r="J2184" s="9" t="b">
        <f t="shared" si="172"/>
        <v>1</v>
      </c>
      <c r="K2184" s="9" t="b">
        <f t="shared" si="173"/>
        <v>1</v>
      </c>
      <c r="L2184" s="9" t="b">
        <f t="shared" si="174"/>
        <v>1</v>
      </c>
      <c r="M2184" s="1" t="b">
        <f>IF(OR(入力シート!$C$5&lt;&gt;入力リスト!$N$4,入力シート!$J$22&lt;&gt;入力リスト!$K$4),TRUE,IF($F$2=入力リスト!$Q$4,IF(F2184-INT(F2184)&lt;0.6,TRUE,FALSE),TRUE))</f>
        <v>1</v>
      </c>
      <c r="N2184" s="9" t="str">
        <f>IF(F2184="","",IF($F$2=入力リスト!$Q$4,ROUNDDOWN(INT(F2184)+ROUNDDOWN((F2184-INT(F2184))*100,0)/60,2),従業員の給与情報!F2184))</f>
        <v/>
      </c>
      <c r="O2184" s="8"/>
      <c r="P2184" s="8"/>
    </row>
    <row r="2185" spans="1:16">
      <c r="A2185" s="119"/>
      <c r="B2185" s="2"/>
      <c r="C2185" s="3"/>
      <c r="D2185" s="3"/>
      <c r="E2185" s="3"/>
      <c r="F2185" s="9"/>
      <c r="G2185" s="248" t="str">
        <f t="shared" si="170"/>
        <v/>
      </c>
      <c r="H2185" s="1" t="b">
        <f>IF(B2185="",FALSE,COUNTIF('従業員情報(給与以外)'!$A$4:$A$1000000,$B2185)=0)</f>
        <v>0</v>
      </c>
      <c r="I2185" s="9" t="b">
        <f t="shared" si="171"/>
        <v>1</v>
      </c>
      <c r="J2185" s="9" t="b">
        <f t="shared" si="172"/>
        <v>1</v>
      </c>
      <c r="K2185" s="9" t="b">
        <f t="shared" si="173"/>
        <v>1</v>
      </c>
      <c r="L2185" s="9" t="b">
        <f t="shared" si="174"/>
        <v>1</v>
      </c>
      <c r="M2185" s="1" t="b">
        <f>IF(OR(入力シート!$C$5&lt;&gt;入力リスト!$N$4,入力シート!$J$22&lt;&gt;入力リスト!$K$4),TRUE,IF($F$2=入力リスト!$Q$4,IF(F2185-INT(F2185)&lt;0.6,TRUE,FALSE),TRUE))</f>
        <v>1</v>
      </c>
      <c r="N2185" s="9" t="str">
        <f>IF(F2185="","",IF($F$2=入力リスト!$Q$4,ROUNDDOWN(INT(F2185)+ROUNDDOWN((F2185-INT(F2185))*100,0)/60,2),従業員の給与情報!F2185))</f>
        <v/>
      </c>
      <c r="O2185" s="8"/>
      <c r="P2185" s="8"/>
    </row>
    <row r="2186" spans="1:16">
      <c r="A2186" s="119"/>
      <c r="B2186" s="2"/>
      <c r="C2186" s="3"/>
      <c r="D2186" s="3"/>
      <c r="E2186" s="3"/>
      <c r="F2186" s="9"/>
      <c r="G2186" s="248" t="str">
        <f t="shared" si="170"/>
        <v/>
      </c>
      <c r="H2186" s="1" t="b">
        <f>IF(B2186="",FALSE,COUNTIF('従業員情報(給与以外)'!$A$4:$A$1000000,$B2186)=0)</f>
        <v>0</v>
      </c>
      <c r="I2186" s="9" t="b">
        <f t="shared" si="171"/>
        <v>1</v>
      </c>
      <c r="J2186" s="9" t="b">
        <f t="shared" si="172"/>
        <v>1</v>
      </c>
      <c r="K2186" s="9" t="b">
        <f t="shared" si="173"/>
        <v>1</v>
      </c>
      <c r="L2186" s="9" t="b">
        <f t="shared" si="174"/>
        <v>1</v>
      </c>
      <c r="M2186" s="1" t="b">
        <f>IF(OR(入力シート!$C$5&lt;&gt;入力リスト!$N$4,入力シート!$J$22&lt;&gt;入力リスト!$K$4),TRUE,IF($F$2=入力リスト!$Q$4,IF(F2186-INT(F2186)&lt;0.6,TRUE,FALSE),TRUE))</f>
        <v>1</v>
      </c>
      <c r="N2186" s="9" t="str">
        <f>IF(F2186="","",IF($F$2=入力リスト!$Q$4,ROUNDDOWN(INT(F2186)+ROUNDDOWN((F2186-INT(F2186))*100,0)/60,2),従業員の給与情報!F2186))</f>
        <v/>
      </c>
      <c r="O2186" s="8"/>
      <c r="P2186" s="8"/>
    </row>
    <row r="2187" spans="1:16">
      <c r="A2187" s="119"/>
      <c r="B2187" s="2"/>
      <c r="C2187" s="3"/>
      <c r="D2187" s="3"/>
      <c r="E2187" s="3"/>
      <c r="F2187" s="9"/>
      <c r="G2187" s="248" t="str">
        <f t="shared" si="170"/>
        <v/>
      </c>
      <c r="H2187" s="1" t="b">
        <f>IF(B2187="",FALSE,COUNTIF('従業員情報(給与以外)'!$A$4:$A$1000000,$B2187)=0)</f>
        <v>0</v>
      </c>
      <c r="I2187" s="9" t="b">
        <f t="shared" si="171"/>
        <v>1</v>
      </c>
      <c r="J2187" s="9" t="b">
        <f t="shared" si="172"/>
        <v>1</v>
      </c>
      <c r="K2187" s="9" t="b">
        <f t="shared" si="173"/>
        <v>1</v>
      </c>
      <c r="L2187" s="9" t="b">
        <f t="shared" si="174"/>
        <v>1</v>
      </c>
      <c r="M2187" s="1" t="b">
        <f>IF(OR(入力シート!$C$5&lt;&gt;入力リスト!$N$4,入力シート!$J$22&lt;&gt;入力リスト!$K$4),TRUE,IF($F$2=入力リスト!$Q$4,IF(F2187-INT(F2187)&lt;0.6,TRUE,FALSE),TRUE))</f>
        <v>1</v>
      </c>
      <c r="N2187" s="9" t="str">
        <f>IF(F2187="","",IF($F$2=入力リスト!$Q$4,ROUNDDOWN(INT(F2187)+ROUNDDOWN((F2187-INT(F2187))*100,0)/60,2),従業員の給与情報!F2187))</f>
        <v/>
      </c>
      <c r="O2187" s="8"/>
      <c r="P2187" s="8"/>
    </row>
    <row r="2188" spans="1:16">
      <c r="A2188" s="119"/>
      <c r="B2188" s="2"/>
      <c r="C2188" s="3"/>
      <c r="D2188" s="3"/>
      <c r="E2188" s="3"/>
      <c r="F2188" s="9"/>
      <c r="G2188" s="248" t="str">
        <f t="shared" si="170"/>
        <v/>
      </c>
      <c r="H2188" s="1" t="b">
        <f>IF(B2188="",FALSE,COUNTIF('従業員情報(給与以外)'!$A$4:$A$1000000,$B2188)=0)</f>
        <v>0</v>
      </c>
      <c r="I2188" s="9" t="b">
        <f t="shared" si="171"/>
        <v>1</v>
      </c>
      <c r="J2188" s="9" t="b">
        <f t="shared" si="172"/>
        <v>1</v>
      </c>
      <c r="K2188" s="9" t="b">
        <f t="shared" si="173"/>
        <v>1</v>
      </c>
      <c r="L2188" s="9" t="b">
        <f t="shared" si="174"/>
        <v>1</v>
      </c>
      <c r="M2188" s="1" t="b">
        <f>IF(OR(入力シート!$C$5&lt;&gt;入力リスト!$N$4,入力シート!$J$22&lt;&gt;入力リスト!$K$4),TRUE,IF($F$2=入力リスト!$Q$4,IF(F2188-INT(F2188)&lt;0.6,TRUE,FALSE),TRUE))</f>
        <v>1</v>
      </c>
      <c r="N2188" s="9" t="str">
        <f>IF(F2188="","",IF($F$2=入力リスト!$Q$4,ROUNDDOWN(INT(F2188)+ROUNDDOWN((F2188-INT(F2188))*100,0)/60,2),従業員の給与情報!F2188))</f>
        <v/>
      </c>
      <c r="O2188" s="8"/>
      <c r="P2188" s="8"/>
    </row>
    <row r="2189" spans="1:16">
      <c r="A2189" s="119"/>
      <c r="B2189" s="2"/>
      <c r="C2189" s="3"/>
      <c r="D2189" s="3"/>
      <c r="E2189" s="3"/>
      <c r="F2189" s="9"/>
      <c r="G2189" s="248" t="str">
        <f t="shared" si="170"/>
        <v/>
      </c>
      <c r="H2189" s="1" t="b">
        <f>IF(B2189="",FALSE,COUNTIF('従業員情報(給与以外)'!$A$4:$A$1000000,$B2189)=0)</f>
        <v>0</v>
      </c>
      <c r="I2189" s="9" t="b">
        <f t="shared" si="171"/>
        <v>1</v>
      </c>
      <c r="J2189" s="9" t="b">
        <f t="shared" si="172"/>
        <v>1</v>
      </c>
      <c r="K2189" s="9" t="b">
        <f t="shared" si="173"/>
        <v>1</v>
      </c>
      <c r="L2189" s="9" t="b">
        <f t="shared" si="174"/>
        <v>1</v>
      </c>
      <c r="M2189" s="1" t="b">
        <f>IF(OR(入力シート!$C$5&lt;&gt;入力リスト!$N$4,入力シート!$J$22&lt;&gt;入力リスト!$K$4),TRUE,IF($F$2=入力リスト!$Q$4,IF(F2189-INT(F2189)&lt;0.6,TRUE,FALSE),TRUE))</f>
        <v>1</v>
      </c>
      <c r="N2189" s="9" t="str">
        <f>IF(F2189="","",IF($F$2=入力リスト!$Q$4,ROUNDDOWN(INT(F2189)+ROUNDDOWN((F2189-INT(F2189))*100,0)/60,2),従業員の給与情報!F2189))</f>
        <v/>
      </c>
      <c r="O2189" s="8"/>
      <c r="P2189" s="8"/>
    </row>
    <row r="2190" spans="1:16">
      <c r="A2190" s="119"/>
      <c r="B2190" s="2"/>
      <c r="C2190" s="3"/>
      <c r="D2190" s="3"/>
      <c r="E2190" s="3"/>
      <c r="F2190" s="9"/>
      <c r="G2190" s="248" t="str">
        <f t="shared" si="170"/>
        <v/>
      </c>
      <c r="H2190" s="1" t="b">
        <f>IF(B2190="",FALSE,COUNTIF('従業員情報(給与以外)'!$A$4:$A$1000000,$B2190)=0)</f>
        <v>0</v>
      </c>
      <c r="I2190" s="9" t="b">
        <f t="shared" si="171"/>
        <v>1</v>
      </c>
      <c r="J2190" s="9" t="b">
        <f t="shared" si="172"/>
        <v>1</v>
      </c>
      <c r="K2190" s="9" t="b">
        <f t="shared" si="173"/>
        <v>1</v>
      </c>
      <c r="L2190" s="9" t="b">
        <f t="shared" si="174"/>
        <v>1</v>
      </c>
      <c r="M2190" s="1" t="b">
        <f>IF(OR(入力シート!$C$5&lt;&gt;入力リスト!$N$4,入力シート!$J$22&lt;&gt;入力リスト!$K$4),TRUE,IF($F$2=入力リスト!$Q$4,IF(F2190-INT(F2190)&lt;0.6,TRUE,FALSE),TRUE))</f>
        <v>1</v>
      </c>
      <c r="N2190" s="9" t="str">
        <f>IF(F2190="","",IF($F$2=入力リスト!$Q$4,ROUNDDOWN(INT(F2190)+ROUNDDOWN((F2190-INT(F2190))*100,0)/60,2),従業員の給与情報!F2190))</f>
        <v/>
      </c>
      <c r="O2190" s="8"/>
      <c r="P2190" s="8"/>
    </row>
    <row r="2191" spans="1:16">
      <c r="A2191" s="119"/>
      <c r="B2191" s="2"/>
      <c r="C2191" s="3"/>
      <c r="D2191" s="3"/>
      <c r="E2191" s="3"/>
      <c r="F2191" s="9"/>
      <c r="G2191" s="248" t="str">
        <f t="shared" si="170"/>
        <v/>
      </c>
      <c r="H2191" s="1" t="b">
        <f>IF(B2191="",FALSE,COUNTIF('従業員情報(給与以外)'!$A$4:$A$1000000,$B2191)=0)</f>
        <v>0</v>
      </c>
      <c r="I2191" s="9" t="b">
        <f t="shared" si="171"/>
        <v>1</v>
      </c>
      <c r="J2191" s="9" t="b">
        <f t="shared" si="172"/>
        <v>1</v>
      </c>
      <c r="K2191" s="9" t="b">
        <f t="shared" si="173"/>
        <v>1</v>
      </c>
      <c r="L2191" s="9" t="b">
        <f t="shared" si="174"/>
        <v>1</v>
      </c>
      <c r="M2191" s="1" t="b">
        <f>IF(OR(入力シート!$C$5&lt;&gt;入力リスト!$N$4,入力シート!$J$22&lt;&gt;入力リスト!$K$4),TRUE,IF($F$2=入力リスト!$Q$4,IF(F2191-INT(F2191)&lt;0.6,TRUE,FALSE),TRUE))</f>
        <v>1</v>
      </c>
      <c r="N2191" s="9" t="str">
        <f>IF(F2191="","",IF($F$2=入力リスト!$Q$4,ROUNDDOWN(INT(F2191)+ROUNDDOWN((F2191-INT(F2191))*100,0)/60,2),従業員の給与情報!F2191))</f>
        <v/>
      </c>
      <c r="O2191" s="8"/>
      <c r="P2191" s="8"/>
    </row>
    <row r="2192" spans="1:16">
      <c r="A2192" s="119"/>
      <c r="B2192" s="2"/>
      <c r="C2192" s="3"/>
      <c r="D2192" s="3"/>
      <c r="E2192" s="3"/>
      <c r="F2192" s="9"/>
      <c r="G2192" s="248" t="str">
        <f t="shared" si="170"/>
        <v/>
      </c>
      <c r="H2192" s="1" t="b">
        <f>IF(B2192="",FALSE,COUNTIF('従業員情報(給与以外)'!$A$4:$A$1000000,$B2192)=0)</f>
        <v>0</v>
      </c>
      <c r="I2192" s="9" t="b">
        <f t="shared" si="171"/>
        <v>1</v>
      </c>
      <c r="J2192" s="9" t="b">
        <f t="shared" si="172"/>
        <v>1</v>
      </c>
      <c r="K2192" s="9" t="b">
        <f t="shared" si="173"/>
        <v>1</v>
      </c>
      <c r="L2192" s="9" t="b">
        <f t="shared" si="174"/>
        <v>1</v>
      </c>
      <c r="M2192" s="1" t="b">
        <f>IF(OR(入力シート!$C$5&lt;&gt;入力リスト!$N$4,入力シート!$J$22&lt;&gt;入力リスト!$K$4),TRUE,IF($F$2=入力リスト!$Q$4,IF(F2192-INT(F2192)&lt;0.6,TRUE,FALSE),TRUE))</f>
        <v>1</v>
      </c>
      <c r="N2192" s="9" t="str">
        <f>IF(F2192="","",IF($F$2=入力リスト!$Q$4,ROUNDDOWN(INT(F2192)+ROUNDDOWN((F2192-INT(F2192))*100,0)/60,2),従業員の給与情報!F2192))</f>
        <v/>
      </c>
      <c r="O2192" s="8"/>
      <c r="P2192" s="8"/>
    </row>
    <row r="2193" spans="1:16">
      <c r="A2193" s="119"/>
      <c r="B2193" s="2"/>
      <c r="C2193" s="3"/>
      <c r="D2193" s="3"/>
      <c r="E2193" s="3"/>
      <c r="F2193" s="9"/>
      <c r="G2193" s="248" t="str">
        <f t="shared" si="170"/>
        <v/>
      </c>
      <c r="H2193" s="1" t="b">
        <f>IF(B2193="",FALSE,COUNTIF('従業員情報(給与以外)'!$A$4:$A$1000000,$B2193)=0)</f>
        <v>0</v>
      </c>
      <c r="I2193" s="9" t="b">
        <f t="shared" si="171"/>
        <v>1</v>
      </c>
      <c r="J2193" s="9" t="b">
        <f t="shared" si="172"/>
        <v>1</v>
      </c>
      <c r="K2193" s="9" t="b">
        <f t="shared" si="173"/>
        <v>1</v>
      </c>
      <c r="L2193" s="9" t="b">
        <f t="shared" si="174"/>
        <v>1</v>
      </c>
      <c r="M2193" s="1" t="b">
        <f>IF(OR(入力シート!$C$5&lt;&gt;入力リスト!$N$4,入力シート!$J$22&lt;&gt;入力リスト!$K$4),TRUE,IF($F$2=入力リスト!$Q$4,IF(F2193-INT(F2193)&lt;0.6,TRUE,FALSE),TRUE))</f>
        <v>1</v>
      </c>
      <c r="N2193" s="9" t="str">
        <f>IF(F2193="","",IF($F$2=入力リスト!$Q$4,ROUNDDOWN(INT(F2193)+ROUNDDOWN((F2193-INT(F2193))*100,0)/60,2),従業員の給与情報!F2193))</f>
        <v/>
      </c>
      <c r="O2193" s="8"/>
      <c r="P2193" s="8"/>
    </row>
    <row r="2194" spans="1:16">
      <c r="A2194" s="119"/>
      <c r="B2194" s="2"/>
      <c r="C2194" s="3"/>
      <c r="D2194" s="3"/>
      <c r="E2194" s="3"/>
      <c r="F2194" s="9"/>
      <c r="G2194" s="248" t="str">
        <f t="shared" si="170"/>
        <v/>
      </c>
      <c r="H2194" s="1" t="b">
        <f>IF(B2194="",FALSE,COUNTIF('従業員情報(給与以外)'!$A$4:$A$1000000,$B2194)=0)</f>
        <v>0</v>
      </c>
      <c r="I2194" s="9" t="b">
        <f t="shared" si="171"/>
        <v>1</v>
      </c>
      <c r="J2194" s="9" t="b">
        <f t="shared" si="172"/>
        <v>1</v>
      </c>
      <c r="K2194" s="9" t="b">
        <f t="shared" si="173"/>
        <v>1</v>
      </c>
      <c r="L2194" s="9" t="b">
        <f t="shared" si="174"/>
        <v>1</v>
      </c>
      <c r="M2194" s="1" t="b">
        <f>IF(OR(入力シート!$C$5&lt;&gt;入力リスト!$N$4,入力シート!$J$22&lt;&gt;入力リスト!$K$4),TRUE,IF($F$2=入力リスト!$Q$4,IF(F2194-INT(F2194)&lt;0.6,TRUE,FALSE),TRUE))</f>
        <v>1</v>
      </c>
      <c r="N2194" s="9" t="str">
        <f>IF(F2194="","",IF($F$2=入力リスト!$Q$4,ROUNDDOWN(INT(F2194)+ROUNDDOWN((F2194-INT(F2194))*100,0)/60,2),従業員の給与情報!F2194))</f>
        <v/>
      </c>
      <c r="O2194" s="8"/>
      <c r="P2194" s="8"/>
    </row>
    <row r="2195" spans="1:16">
      <c r="A2195" s="119"/>
      <c r="B2195" s="2"/>
      <c r="C2195" s="3"/>
      <c r="D2195" s="3"/>
      <c r="E2195" s="3"/>
      <c r="F2195" s="9"/>
      <c r="G2195" s="248" t="str">
        <f t="shared" si="170"/>
        <v/>
      </c>
      <c r="H2195" s="1" t="b">
        <f>IF(B2195="",FALSE,COUNTIF('従業員情報(給与以外)'!$A$4:$A$1000000,$B2195)=0)</f>
        <v>0</v>
      </c>
      <c r="I2195" s="9" t="b">
        <f t="shared" si="171"/>
        <v>1</v>
      </c>
      <c r="J2195" s="9" t="b">
        <f t="shared" si="172"/>
        <v>1</v>
      </c>
      <c r="K2195" s="9" t="b">
        <f t="shared" si="173"/>
        <v>1</v>
      </c>
      <c r="L2195" s="9" t="b">
        <f t="shared" si="174"/>
        <v>1</v>
      </c>
      <c r="M2195" s="1" t="b">
        <f>IF(OR(入力シート!$C$5&lt;&gt;入力リスト!$N$4,入力シート!$J$22&lt;&gt;入力リスト!$K$4),TRUE,IF($F$2=入力リスト!$Q$4,IF(F2195-INT(F2195)&lt;0.6,TRUE,FALSE),TRUE))</f>
        <v>1</v>
      </c>
      <c r="N2195" s="9" t="str">
        <f>IF(F2195="","",IF($F$2=入力リスト!$Q$4,ROUNDDOWN(INT(F2195)+ROUNDDOWN((F2195-INT(F2195))*100,0)/60,2),従業員の給与情報!F2195))</f>
        <v/>
      </c>
      <c r="O2195" s="8"/>
      <c r="P2195" s="8"/>
    </row>
    <row r="2196" spans="1:16">
      <c r="A2196" s="119"/>
      <c r="B2196" s="2"/>
      <c r="C2196" s="3"/>
      <c r="D2196" s="3"/>
      <c r="E2196" s="3"/>
      <c r="F2196" s="9"/>
      <c r="G2196" s="248" t="str">
        <f t="shared" si="170"/>
        <v/>
      </c>
      <c r="H2196" s="1" t="b">
        <f>IF(B2196="",FALSE,COUNTIF('従業員情報(給与以外)'!$A$4:$A$1000000,$B2196)=0)</f>
        <v>0</v>
      </c>
      <c r="I2196" s="9" t="b">
        <f t="shared" si="171"/>
        <v>1</v>
      </c>
      <c r="J2196" s="9" t="b">
        <f t="shared" si="172"/>
        <v>1</v>
      </c>
      <c r="K2196" s="9" t="b">
        <f t="shared" si="173"/>
        <v>1</v>
      </c>
      <c r="L2196" s="9" t="b">
        <f t="shared" si="174"/>
        <v>1</v>
      </c>
      <c r="M2196" s="1" t="b">
        <f>IF(OR(入力シート!$C$5&lt;&gt;入力リスト!$N$4,入力シート!$J$22&lt;&gt;入力リスト!$K$4),TRUE,IF($F$2=入力リスト!$Q$4,IF(F2196-INT(F2196)&lt;0.6,TRUE,FALSE),TRUE))</f>
        <v>1</v>
      </c>
      <c r="N2196" s="9" t="str">
        <f>IF(F2196="","",IF($F$2=入力リスト!$Q$4,ROUNDDOWN(INT(F2196)+ROUNDDOWN((F2196-INT(F2196))*100,0)/60,2),従業員の給与情報!F2196))</f>
        <v/>
      </c>
      <c r="O2196" s="8"/>
      <c r="P2196" s="8"/>
    </row>
    <row r="2197" spans="1:16">
      <c r="A2197" s="119"/>
      <c r="B2197" s="2"/>
      <c r="C2197" s="3"/>
      <c r="D2197" s="3"/>
      <c r="E2197" s="3"/>
      <c r="F2197" s="9"/>
      <c r="G2197" s="248" t="str">
        <f t="shared" si="170"/>
        <v/>
      </c>
      <c r="H2197" s="1" t="b">
        <f>IF(B2197="",FALSE,COUNTIF('従業員情報(給与以外)'!$A$4:$A$1000000,$B2197)=0)</f>
        <v>0</v>
      </c>
      <c r="I2197" s="9" t="b">
        <f t="shared" si="171"/>
        <v>1</v>
      </c>
      <c r="J2197" s="9" t="b">
        <f t="shared" si="172"/>
        <v>1</v>
      </c>
      <c r="K2197" s="9" t="b">
        <f t="shared" si="173"/>
        <v>1</v>
      </c>
      <c r="L2197" s="9" t="b">
        <f t="shared" si="174"/>
        <v>1</v>
      </c>
      <c r="M2197" s="1" t="b">
        <f>IF(OR(入力シート!$C$5&lt;&gt;入力リスト!$N$4,入力シート!$J$22&lt;&gt;入力リスト!$K$4),TRUE,IF($F$2=入力リスト!$Q$4,IF(F2197-INT(F2197)&lt;0.6,TRUE,FALSE),TRUE))</f>
        <v>1</v>
      </c>
      <c r="N2197" s="9" t="str">
        <f>IF(F2197="","",IF($F$2=入力リスト!$Q$4,ROUNDDOWN(INT(F2197)+ROUNDDOWN((F2197-INT(F2197))*100,0)/60,2),従業員の給与情報!F2197))</f>
        <v/>
      </c>
      <c r="O2197" s="8"/>
      <c r="P2197" s="8"/>
    </row>
    <row r="2198" spans="1:16">
      <c r="A2198" s="119"/>
      <c r="B2198" s="2"/>
      <c r="C2198" s="3"/>
      <c r="D2198" s="3"/>
      <c r="E2198" s="3"/>
      <c r="F2198" s="9"/>
      <c r="G2198" s="248" t="str">
        <f t="shared" si="170"/>
        <v/>
      </c>
      <c r="H2198" s="1" t="b">
        <f>IF(B2198="",FALSE,COUNTIF('従業員情報(給与以外)'!$A$4:$A$1000000,$B2198)=0)</f>
        <v>0</v>
      </c>
      <c r="I2198" s="9" t="b">
        <f t="shared" si="171"/>
        <v>1</v>
      </c>
      <c r="J2198" s="9" t="b">
        <f t="shared" si="172"/>
        <v>1</v>
      </c>
      <c r="K2198" s="9" t="b">
        <f t="shared" si="173"/>
        <v>1</v>
      </c>
      <c r="L2198" s="9" t="b">
        <f t="shared" si="174"/>
        <v>1</v>
      </c>
      <c r="M2198" s="1" t="b">
        <f>IF(OR(入力シート!$C$5&lt;&gt;入力リスト!$N$4,入力シート!$J$22&lt;&gt;入力リスト!$K$4),TRUE,IF($F$2=入力リスト!$Q$4,IF(F2198-INT(F2198)&lt;0.6,TRUE,FALSE),TRUE))</f>
        <v>1</v>
      </c>
      <c r="N2198" s="9" t="str">
        <f>IF(F2198="","",IF($F$2=入力リスト!$Q$4,ROUNDDOWN(INT(F2198)+ROUNDDOWN((F2198-INT(F2198))*100,0)/60,2),従業員の給与情報!F2198))</f>
        <v/>
      </c>
      <c r="O2198" s="8"/>
      <c r="P2198" s="8"/>
    </row>
    <row r="2199" spans="1:16">
      <c r="A2199" s="119"/>
      <c r="B2199" s="2"/>
      <c r="C2199" s="3"/>
      <c r="D2199" s="3"/>
      <c r="E2199" s="3"/>
      <c r="F2199" s="9"/>
      <c r="G2199" s="248" t="str">
        <f t="shared" si="170"/>
        <v/>
      </c>
      <c r="H2199" s="1" t="b">
        <f>IF(B2199="",FALSE,COUNTIF('従業員情報(給与以外)'!$A$4:$A$1000000,$B2199)=0)</f>
        <v>0</v>
      </c>
      <c r="I2199" s="9" t="b">
        <f t="shared" si="171"/>
        <v>1</v>
      </c>
      <c r="J2199" s="9" t="b">
        <f t="shared" si="172"/>
        <v>1</v>
      </c>
      <c r="K2199" s="9" t="b">
        <f t="shared" si="173"/>
        <v>1</v>
      </c>
      <c r="L2199" s="9" t="b">
        <f t="shared" si="174"/>
        <v>1</v>
      </c>
      <c r="M2199" s="1" t="b">
        <f>IF(OR(入力シート!$C$5&lt;&gt;入力リスト!$N$4,入力シート!$J$22&lt;&gt;入力リスト!$K$4),TRUE,IF($F$2=入力リスト!$Q$4,IF(F2199-INT(F2199)&lt;0.6,TRUE,FALSE),TRUE))</f>
        <v>1</v>
      </c>
      <c r="N2199" s="9" t="str">
        <f>IF(F2199="","",IF($F$2=入力リスト!$Q$4,ROUNDDOWN(INT(F2199)+ROUNDDOWN((F2199-INT(F2199))*100,0)/60,2),従業員の給与情報!F2199))</f>
        <v/>
      </c>
      <c r="O2199" s="8"/>
      <c r="P2199" s="8"/>
    </row>
    <row r="2200" spans="1:16">
      <c r="A2200" s="119"/>
      <c r="B2200" s="2"/>
      <c r="C2200" s="3"/>
      <c r="D2200" s="3"/>
      <c r="E2200" s="3"/>
      <c r="F2200" s="9"/>
      <c r="G2200" s="248" t="str">
        <f t="shared" si="170"/>
        <v/>
      </c>
      <c r="H2200" s="1" t="b">
        <f>IF(B2200="",FALSE,COUNTIF('従業員情報(給与以外)'!$A$4:$A$1000000,$B2200)=0)</f>
        <v>0</v>
      </c>
      <c r="I2200" s="9" t="b">
        <f t="shared" si="171"/>
        <v>1</v>
      </c>
      <c r="J2200" s="9" t="b">
        <f t="shared" si="172"/>
        <v>1</v>
      </c>
      <c r="K2200" s="9" t="b">
        <f t="shared" si="173"/>
        <v>1</v>
      </c>
      <c r="L2200" s="9" t="b">
        <f t="shared" si="174"/>
        <v>1</v>
      </c>
      <c r="M2200" s="1" t="b">
        <f>IF(OR(入力シート!$C$5&lt;&gt;入力リスト!$N$4,入力シート!$J$22&lt;&gt;入力リスト!$K$4),TRUE,IF($F$2=入力リスト!$Q$4,IF(F2200-INT(F2200)&lt;0.6,TRUE,FALSE),TRUE))</f>
        <v>1</v>
      </c>
      <c r="N2200" s="9" t="str">
        <f>IF(F2200="","",IF($F$2=入力リスト!$Q$4,ROUNDDOWN(INT(F2200)+ROUNDDOWN((F2200-INT(F2200))*100,0)/60,2),従業員の給与情報!F2200))</f>
        <v/>
      </c>
      <c r="O2200" s="8"/>
      <c r="P2200" s="8"/>
    </row>
    <row r="2201" spans="1:16">
      <c r="A2201" s="119"/>
      <c r="B2201" s="2"/>
      <c r="C2201" s="3"/>
      <c r="D2201" s="3"/>
      <c r="E2201" s="3"/>
      <c r="F2201" s="9"/>
      <c r="G2201" s="248" t="str">
        <f t="shared" si="170"/>
        <v/>
      </c>
      <c r="H2201" s="1" t="b">
        <f>IF(B2201="",FALSE,COUNTIF('従業員情報(給与以外)'!$A$4:$A$1000000,$B2201)=0)</f>
        <v>0</v>
      </c>
      <c r="I2201" s="9" t="b">
        <f t="shared" si="171"/>
        <v>1</v>
      </c>
      <c r="J2201" s="9" t="b">
        <f t="shared" si="172"/>
        <v>1</v>
      </c>
      <c r="K2201" s="9" t="b">
        <f t="shared" si="173"/>
        <v>1</v>
      </c>
      <c r="L2201" s="9" t="b">
        <f t="shared" si="174"/>
        <v>1</v>
      </c>
      <c r="M2201" s="1" t="b">
        <f>IF(OR(入力シート!$C$5&lt;&gt;入力リスト!$N$4,入力シート!$J$22&lt;&gt;入力リスト!$K$4),TRUE,IF($F$2=入力リスト!$Q$4,IF(F2201-INT(F2201)&lt;0.6,TRUE,FALSE),TRUE))</f>
        <v>1</v>
      </c>
      <c r="N2201" s="9" t="str">
        <f>IF(F2201="","",IF($F$2=入力リスト!$Q$4,ROUNDDOWN(INT(F2201)+ROUNDDOWN((F2201-INT(F2201))*100,0)/60,2),従業員の給与情報!F2201))</f>
        <v/>
      </c>
      <c r="O2201" s="8"/>
      <c r="P2201" s="8"/>
    </row>
    <row r="2202" spans="1:16">
      <c r="A2202" s="119"/>
      <c r="B2202" s="2"/>
      <c r="C2202" s="3"/>
      <c r="D2202" s="3"/>
      <c r="E2202" s="3"/>
      <c r="F2202" s="9"/>
      <c r="G2202" s="248" t="str">
        <f t="shared" si="170"/>
        <v/>
      </c>
      <c r="H2202" s="1" t="b">
        <f>IF(B2202="",FALSE,COUNTIF('従業員情報(給与以外)'!$A$4:$A$1000000,$B2202)=0)</f>
        <v>0</v>
      </c>
      <c r="I2202" s="9" t="b">
        <f t="shared" si="171"/>
        <v>1</v>
      </c>
      <c r="J2202" s="9" t="b">
        <f t="shared" si="172"/>
        <v>1</v>
      </c>
      <c r="K2202" s="9" t="b">
        <f t="shared" si="173"/>
        <v>1</v>
      </c>
      <c r="L2202" s="9" t="b">
        <f t="shared" si="174"/>
        <v>1</v>
      </c>
      <c r="M2202" s="1" t="b">
        <f>IF(OR(入力シート!$C$5&lt;&gt;入力リスト!$N$4,入力シート!$J$22&lt;&gt;入力リスト!$K$4),TRUE,IF($F$2=入力リスト!$Q$4,IF(F2202-INT(F2202)&lt;0.6,TRUE,FALSE),TRUE))</f>
        <v>1</v>
      </c>
      <c r="N2202" s="9" t="str">
        <f>IF(F2202="","",IF($F$2=入力リスト!$Q$4,ROUNDDOWN(INT(F2202)+ROUNDDOWN((F2202-INT(F2202))*100,0)/60,2),従業員の給与情報!F2202))</f>
        <v/>
      </c>
      <c r="O2202" s="8"/>
      <c r="P2202" s="8"/>
    </row>
    <row r="2203" spans="1:16">
      <c r="A2203" s="119"/>
      <c r="B2203" s="2"/>
      <c r="C2203" s="3"/>
      <c r="D2203" s="3"/>
      <c r="E2203" s="3"/>
      <c r="F2203" s="9"/>
      <c r="G2203" s="248" t="str">
        <f t="shared" si="170"/>
        <v/>
      </c>
      <c r="H2203" s="1" t="b">
        <f>IF(B2203="",FALSE,COUNTIF('従業員情報(給与以外)'!$A$4:$A$1000000,$B2203)=0)</f>
        <v>0</v>
      </c>
      <c r="I2203" s="9" t="b">
        <f t="shared" si="171"/>
        <v>1</v>
      </c>
      <c r="J2203" s="9" t="b">
        <f t="shared" si="172"/>
        <v>1</v>
      </c>
      <c r="K2203" s="9" t="b">
        <f t="shared" si="173"/>
        <v>1</v>
      </c>
      <c r="L2203" s="9" t="b">
        <f t="shared" si="174"/>
        <v>1</v>
      </c>
      <c r="M2203" s="1" t="b">
        <f>IF(OR(入力シート!$C$5&lt;&gt;入力リスト!$N$4,入力シート!$J$22&lt;&gt;入力リスト!$K$4),TRUE,IF($F$2=入力リスト!$Q$4,IF(F2203-INT(F2203)&lt;0.6,TRUE,FALSE),TRUE))</f>
        <v>1</v>
      </c>
      <c r="N2203" s="9" t="str">
        <f>IF(F2203="","",IF($F$2=入力リスト!$Q$4,ROUNDDOWN(INT(F2203)+ROUNDDOWN((F2203-INT(F2203))*100,0)/60,2),従業員の給与情報!F2203))</f>
        <v/>
      </c>
      <c r="O2203" s="8"/>
      <c r="P2203" s="8"/>
    </row>
    <row r="2204" spans="1:16">
      <c r="A2204" s="119"/>
      <c r="B2204" s="2"/>
      <c r="C2204" s="3"/>
      <c r="D2204" s="3"/>
      <c r="E2204" s="3"/>
      <c r="F2204" s="9"/>
      <c r="G2204" s="248" t="str">
        <f t="shared" si="170"/>
        <v/>
      </c>
      <c r="H2204" s="1" t="b">
        <f>IF(B2204="",FALSE,COUNTIF('従業員情報(給与以外)'!$A$4:$A$1000000,$B2204)=0)</f>
        <v>0</v>
      </c>
      <c r="I2204" s="9" t="b">
        <f t="shared" si="171"/>
        <v>1</v>
      </c>
      <c r="J2204" s="9" t="b">
        <f t="shared" si="172"/>
        <v>1</v>
      </c>
      <c r="K2204" s="9" t="b">
        <f t="shared" si="173"/>
        <v>1</v>
      </c>
      <c r="L2204" s="9" t="b">
        <f t="shared" si="174"/>
        <v>1</v>
      </c>
      <c r="M2204" s="1" t="b">
        <f>IF(OR(入力シート!$C$5&lt;&gt;入力リスト!$N$4,入力シート!$J$22&lt;&gt;入力リスト!$K$4),TRUE,IF($F$2=入力リスト!$Q$4,IF(F2204-INT(F2204)&lt;0.6,TRUE,FALSE),TRUE))</f>
        <v>1</v>
      </c>
      <c r="N2204" s="9" t="str">
        <f>IF(F2204="","",IF($F$2=入力リスト!$Q$4,ROUNDDOWN(INT(F2204)+ROUNDDOWN((F2204-INT(F2204))*100,0)/60,2),従業員の給与情報!F2204))</f>
        <v/>
      </c>
      <c r="O2204" s="8"/>
      <c r="P2204" s="8"/>
    </row>
    <row r="2205" spans="1:16">
      <c r="A2205" s="119"/>
      <c r="B2205" s="2"/>
      <c r="C2205" s="3"/>
      <c r="D2205" s="3"/>
      <c r="E2205" s="3"/>
      <c r="F2205" s="9"/>
      <c r="G2205" s="248" t="str">
        <f t="shared" si="170"/>
        <v/>
      </c>
      <c r="H2205" s="1" t="b">
        <f>IF(B2205="",FALSE,COUNTIF('従業員情報(給与以外)'!$A$4:$A$1000000,$B2205)=0)</f>
        <v>0</v>
      </c>
      <c r="I2205" s="9" t="b">
        <f t="shared" si="171"/>
        <v>1</v>
      </c>
      <c r="J2205" s="9" t="b">
        <f t="shared" si="172"/>
        <v>1</v>
      </c>
      <c r="K2205" s="9" t="b">
        <f t="shared" si="173"/>
        <v>1</v>
      </c>
      <c r="L2205" s="9" t="b">
        <f t="shared" si="174"/>
        <v>1</v>
      </c>
      <c r="M2205" s="1" t="b">
        <f>IF(OR(入力シート!$C$5&lt;&gt;入力リスト!$N$4,入力シート!$J$22&lt;&gt;入力リスト!$K$4),TRUE,IF($F$2=入力リスト!$Q$4,IF(F2205-INT(F2205)&lt;0.6,TRUE,FALSE),TRUE))</f>
        <v>1</v>
      </c>
      <c r="N2205" s="9" t="str">
        <f>IF(F2205="","",IF($F$2=入力リスト!$Q$4,ROUNDDOWN(INT(F2205)+ROUNDDOWN((F2205-INT(F2205))*100,0)/60,2),従業員の給与情報!F2205))</f>
        <v/>
      </c>
      <c r="O2205" s="8"/>
      <c r="P2205" s="8"/>
    </row>
    <row r="2206" spans="1:16">
      <c r="A2206" s="119"/>
      <c r="B2206" s="2"/>
      <c r="C2206" s="3"/>
      <c r="D2206" s="3"/>
      <c r="E2206" s="3"/>
      <c r="F2206" s="9"/>
      <c r="G2206" s="248" t="str">
        <f t="shared" si="170"/>
        <v/>
      </c>
      <c r="H2206" s="1" t="b">
        <f>IF(B2206="",FALSE,COUNTIF('従業員情報(給与以外)'!$A$4:$A$1000000,$B2206)=0)</f>
        <v>0</v>
      </c>
      <c r="I2206" s="9" t="b">
        <f t="shared" si="171"/>
        <v>1</v>
      </c>
      <c r="J2206" s="9" t="b">
        <f t="shared" si="172"/>
        <v>1</v>
      </c>
      <c r="K2206" s="9" t="b">
        <f t="shared" si="173"/>
        <v>1</v>
      </c>
      <c r="L2206" s="9" t="b">
        <f t="shared" si="174"/>
        <v>1</v>
      </c>
      <c r="M2206" s="1" t="b">
        <f>IF(OR(入力シート!$C$5&lt;&gt;入力リスト!$N$4,入力シート!$J$22&lt;&gt;入力リスト!$K$4),TRUE,IF($F$2=入力リスト!$Q$4,IF(F2206-INT(F2206)&lt;0.6,TRUE,FALSE),TRUE))</f>
        <v>1</v>
      </c>
      <c r="N2206" s="9" t="str">
        <f>IF(F2206="","",IF($F$2=入力リスト!$Q$4,ROUNDDOWN(INT(F2206)+ROUNDDOWN((F2206-INT(F2206))*100,0)/60,2),従業員の給与情報!F2206))</f>
        <v/>
      </c>
      <c r="O2206" s="8"/>
      <c r="P2206" s="8"/>
    </row>
    <row r="2207" spans="1:16">
      <c r="A2207" s="119"/>
      <c r="B2207" s="2"/>
      <c r="C2207" s="3"/>
      <c r="D2207" s="3"/>
      <c r="E2207" s="3"/>
      <c r="F2207" s="9"/>
      <c r="G2207" s="248" t="str">
        <f t="shared" si="170"/>
        <v/>
      </c>
      <c r="H2207" s="1" t="b">
        <f>IF(B2207="",FALSE,COUNTIF('従業員情報(給与以外)'!$A$4:$A$1000000,$B2207)=0)</f>
        <v>0</v>
      </c>
      <c r="I2207" s="9" t="b">
        <f t="shared" si="171"/>
        <v>1</v>
      </c>
      <c r="J2207" s="9" t="b">
        <f t="shared" si="172"/>
        <v>1</v>
      </c>
      <c r="K2207" s="9" t="b">
        <f t="shared" si="173"/>
        <v>1</v>
      </c>
      <c r="L2207" s="9" t="b">
        <f t="shared" si="174"/>
        <v>1</v>
      </c>
      <c r="M2207" s="1" t="b">
        <f>IF(OR(入力シート!$C$5&lt;&gt;入力リスト!$N$4,入力シート!$J$22&lt;&gt;入力リスト!$K$4),TRUE,IF($F$2=入力リスト!$Q$4,IF(F2207-INT(F2207)&lt;0.6,TRUE,FALSE),TRUE))</f>
        <v>1</v>
      </c>
      <c r="N2207" s="9" t="str">
        <f>IF(F2207="","",IF($F$2=入力リスト!$Q$4,ROUNDDOWN(INT(F2207)+ROUNDDOWN((F2207-INT(F2207))*100,0)/60,2),従業員の給与情報!F2207))</f>
        <v/>
      </c>
      <c r="O2207" s="8"/>
      <c r="P2207" s="8"/>
    </row>
    <row r="2208" spans="1:16">
      <c r="A2208" s="119"/>
      <c r="B2208" s="2"/>
      <c r="C2208" s="3"/>
      <c r="D2208" s="3"/>
      <c r="E2208" s="3"/>
      <c r="F2208" s="9"/>
      <c r="G2208" s="248" t="str">
        <f t="shared" si="170"/>
        <v/>
      </c>
      <c r="H2208" s="1" t="b">
        <f>IF(B2208="",FALSE,COUNTIF('従業員情報(給与以外)'!$A$4:$A$1000000,$B2208)=0)</f>
        <v>0</v>
      </c>
      <c r="I2208" s="9" t="b">
        <f t="shared" si="171"/>
        <v>1</v>
      </c>
      <c r="J2208" s="9" t="b">
        <f t="shared" si="172"/>
        <v>1</v>
      </c>
      <c r="K2208" s="9" t="b">
        <f t="shared" si="173"/>
        <v>1</v>
      </c>
      <c r="L2208" s="9" t="b">
        <f t="shared" si="174"/>
        <v>1</v>
      </c>
      <c r="M2208" s="1" t="b">
        <f>IF(OR(入力シート!$C$5&lt;&gt;入力リスト!$N$4,入力シート!$J$22&lt;&gt;入力リスト!$K$4),TRUE,IF($F$2=入力リスト!$Q$4,IF(F2208-INT(F2208)&lt;0.6,TRUE,FALSE),TRUE))</f>
        <v>1</v>
      </c>
      <c r="N2208" s="9" t="str">
        <f>IF(F2208="","",IF($F$2=入力リスト!$Q$4,ROUNDDOWN(INT(F2208)+ROUNDDOWN((F2208-INT(F2208))*100,0)/60,2),従業員の給与情報!F2208))</f>
        <v/>
      </c>
      <c r="O2208" s="8"/>
      <c r="P2208" s="8"/>
    </row>
    <row r="2209" spans="1:16">
      <c r="A2209" s="119"/>
      <c r="B2209" s="2"/>
      <c r="C2209" s="3"/>
      <c r="D2209" s="3"/>
      <c r="E2209" s="3"/>
      <c r="F2209" s="9"/>
      <c r="G2209" s="248" t="str">
        <f t="shared" si="170"/>
        <v/>
      </c>
      <c r="H2209" s="1" t="b">
        <f>IF(B2209="",FALSE,COUNTIF('従業員情報(給与以外)'!$A$4:$A$1000000,$B2209)=0)</f>
        <v>0</v>
      </c>
      <c r="I2209" s="9" t="b">
        <f t="shared" si="171"/>
        <v>1</v>
      </c>
      <c r="J2209" s="9" t="b">
        <f t="shared" si="172"/>
        <v>1</v>
      </c>
      <c r="K2209" s="9" t="b">
        <f t="shared" si="173"/>
        <v>1</v>
      </c>
      <c r="L2209" s="9" t="b">
        <f t="shared" si="174"/>
        <v>1</v>
      </c>
      <c r="M2209" s="1" t="b">
        <f>IF(OR(入力シート!$C$5&lt;&gt;入力リスト!$N$4,入力シート!$J$22&lt;&gt;入力リスト!$K$4),TRUE,IF($F$2=入力リスト!$Q$4,IF(F2209-INT(F2209)&lt;0.6,TRUE,FALSE),TRUE))</f>
        <v>1</v>
      </c>
      <c r="N2209" s="9" t="str">
        <f>IF(F2209="","",IF($F$2=入力リスト!$Q$4,ROUNDDOWN(INT(F2209)+ROUNDDOWN((F2209-INT(F2209))*100,0)/60,2),従業員の給与情報!F2209))</f>
        <v/>
      </c>
      <c r="O2209" s="8"/>
      <c r="P2209" s="8"/>
    </row>
    <row r="2210" spans="1:16">
      <c r="A2210" s="119"/>
      <c r="B2210" s="2"/>
      <c r="C2210" s="3"/>
      <c r="D2210" s="3"/>
      <c r="E2210" s="3"/>
      <c r="F2210" s="9"/>
      <c r="G2210" s="248" t="str">
        <f t="shared" si="170"/>
        <v/>
      </c>
      <c r="H2210" s="1" t="b">
        <f>IF(B2210="",FALSE,COUNTIF('従業員情報(給与以外)'!$A$4:$A$1000000,$B2210)=0)</f>
        <v>0</v>
      </c>
      <c r="I2210" s="9" t="b">
        <f t="shared" si="171"/>
        <v>1</v>
      </c>
      <c r="J2210" s="9" t="b">
        <f t="shared" si="172"/>
        <v>1</v>
      </c>
      <c r="K2210" s="9" t="b">
        <f t="shared" si="173"/>
        <v>1</v>
      </c>
      <c r="L2210" s="9" t="b">
        <f t="shared" si="174"/>
        <v>1</v>
      </c>
      <c r="M2210" s="1" t="b">
        <f>IF(OR(入力シート!$C$5&lt;&gt;入力リスト!$N$4,入力シート!$J$22&lt;&gt;入力リスト!$K$4),TRUE,IF($F$2=入力リスト!$Q$4,IF(F2210-INT(F2210)&lt;0.6,TRUE,FALSE),TRUE))</f>
        <v>1</v>
      </c>
      <c r="N2210" s="9" t="str">
        <f>IF(F2210="","",IF($F$2=入力リスト!$Q$4,ROUNDDOWN(INT(F2210)+ROUNDDOWN((F2210-INT(F2210))*100,0)/60,2),従業員の給与情報!F2210))</f>
        <v/>
      </c>
      <c r="O2210" s="8"/>
      <c r="P2210" s="8"/>
    </row>
    <row r="2211" spans="1:16">
      <c r="A2211" s="119"/>
      <c r="B2211" s="2"/>
      <c r="C2211" s="3"/>
      <c r="D2211" s="3"/>
      <c r="E2211" s="3"/>
      <c r="F2211" s="9"/>
      <c r="G2211" s="248" t="str">
        <f t="shared" si="170"/>
        <v/>
      </c>
      <c r="H2211" s="1" t="b">
        <f>IF(B2211="",FALSE,COUNTIF('従業員情報(給与以外)'!$A$4:$A$1000000,$B2211)=0)</f>
        <v>0</v>
      </c>
      <c r="I2211" s="9" t="b">
        <f t="shared" si="171"/>
        <v>1</v>
      </c>
      <c r="J2211" s="9" t="b">
        <f t="shared" si="172"/>
        <v>1</v>
      </c>
      <c r="K2211" s="9" t="b">
        <f t="shared" si="173"/>
        <v>1</v>
      </c>
      <c r="L2211" s="9" t="b">
        <f t="shared" si="174"/>
        <v>1</v>
      </c>
      <c r="M2211" s="1" t="b">
        <f>IF(OR(入力シート!$C$5&lt;&gt;入力リスト!$N$4,入力シート!$J$22&lt;&gt;入力リスト!$K$4),TRUE,IF($F$2=入力リスト!$Q$4,IF(F2211-INT(F2211)&lt;0.6,TRUE,FALSE),TRUE))</f>
        <v>1</v>
      </c>
      <c r="N2211" s="9" t="str">
        <f>IF(F2211="","",IF($F$2=入力リスト!$Q$4,ROUNDDOWN(INT(F2211)+ROUNDDOWN((F2211-INT(F2211))*100,0)/60,2),従業員の給与情報!F2211))</f>
        <v/>
      </c>
      <c r="O2211" s="8"/>
      <c r="P2211" s="8"/>
    </row>
    <row r="2212" spans="1:16">
      <c r="A2212" s="119"/>
      <c r="B2212" s="2"/>
      <c r="C2212" s="3"/>
      <c r="D2212" s="3"/>
      <c r="E2212" s="3"/>
      <c r="F2212" s="9"/>
      <c r="G2212" s="248" t="str">
        <f t="shared" si="170"/>
        <v/>
      </c>
      <c r="H2212" s="1" t="b">
        <f>IF(B2212="",FALSE,COUNTIF('従業員情報(給与以外)'!$A$4:$A$1000000,$B2212)=0)</f>
        <v>0</v>
      </c>
      <c r="I2212" s="9" t="b">
        <f t="shared" si="171"/>
        <v>1</v>
      </c>
      <c r="J2212" s="9" t="b">
        <f t="shared" si="172"/>
        <v>1</v>
      </c>
      <c r="K2212" s="9" t="b">
        <f t="shared" si="173"/>
        <v>1</v>
      </c>
      <c r="L2212" s="9" t="b">
        <f t="shared" si="174"/>
        <v>1</v>
      </c>
      <c r="M2212" s="1" t="b">
        <f>IF(OR(入力シート!$C$5&lt;&gt;入力リスト!$N$4,入力シート!$J$22&lt;&gt;入力リスト!$K$4),TRUE,IF($F$2=入力リスト!$Q$4,IF(F2212-INT(F2212)&lt;0.6,TRUE,FALSE),TRUE))</f>
        <v>1</v>
      </c>
      <c r="N2212" s="9" t="str">
        <f>IF(F2212="","",IF($F$2=入力リスト!$Q$4,ROUNDDOWN(INT(F2212)+ROUNDDOWN((F2212-INT(F2212))*100,0)/60,2),従業員の給与情報!F2212))</f>
        <v/>
      </c>
      <c r="O2212" s="8"/>
      <c r="P2212" s="8"/>
    </row>
    <row r="2213" spans="1:16">
      <c r="A2213" s="119"/>
      <c r="B2213" s="2"/>
      <c r="C2213" s="3"/>
      <c r="D2213" s="3"/>
      <c r="E2213" s="3"/>
      <c r="F2213" s="9"/>
      <c r="G2213" s="248" t="str">
        <f t="shared" si="170"/>
        <v/>
      </c>
      <c r="H2213" s="1" t="b">
        <f>IF(B2213="",FALSE,COUNTIF('従業員情報(給与以外)'!$A$4:$A$1000000,$B2213)=0)</f>
        <v>0</v>
      </c>
      <c r="I2213" s="9" t="b">
        <f t="shared" si="171"/>
        <v>1</v>
      </c>
      <c r="J2213" s="9" t="b">
        <f t="shared" si="172"/>
        <v>1</v>
      </c>
      <c r="K2213" s="9" t="b">
        <f t="shared" si="173"/>
        <v>1</v>
      </c>
      <c r="L2213" s="9" t="b">
        <f t="shared" si="174"/>
        <v>1</v>
      </c>
      <c r="M2213" s="1" t="b">
        <f>IF(OR(入力シート!$C$5&lt;&gt;入力リスト!$N$4,入力シート!$J$22&lt;&gt;入力リスト!$K$4),TRUE,IF($F$2=入力リスト!$Q$4,IF(F2213-INT(F2213)&lt;0.6,TRUE,FALSE),TRUE))</f>
        <v>1</v>
      </c>
      <c r="N2213" s="9" t="str">
        <f>IF(F2213="","",IF($F$2=入力リスト!$Q$4,ROUNDDOWN(INT(F2213)+ROUNDDOWN((F2213-INT(F2213))*100,0)/60,2),従業員の給与情報!F2213))</f>
        <v/>
      </c>
      <c r="O2213" s="8"/>
      <c r="P2213" s="8"/>
    </row>
    <row r="2214" spans="1:16">
      <c r="A2214" s="119"/>
      <c r="B2214" s="2"/>
      <c r="C2214" s="3"/>
      <c r="D2214" s="3"/>
      <c r="E2214" s="3"/>
      <c r="F2214" s="9"/>
      <c r="G2214" s="248" t="str">
        <f t="shared" si="170"/>
        <v/>
      </c>
      <c r="H2214" s="1" t="b">
        <f>IF(B2214="",FALSE,COUNTIF('従業員情報(給与以外)'!$A$4:$A$1000000,$B2214)=0)</f>
        <v>0</v>
      </c>
      <c r="I2214" s="9" t="b">
        <f t="shared" si="171"/>
        <v>1</v>
      </c>
      <c r="J2214" s="9" t="b">
        <f t="shared" si="172"/>
        <v>1</v>
      </c>
      <c r="K2214" s="9" t="b">
        <f t="shared" si="173"/>
        <v>1</v>
      </c>
      <c r="L2214" s="9" t="b">
        <f t="shared" si="174"/>
        <v>1</v>
      </c>
      <c r="M2214" s="1" t="b">
        <f>IF(OR(入力シート!$C$5&lt;&gt;入力リスト!$N$4,入力シート!$J$22&lt;&gt;入力リスト!$K$4),TRUE,IF($F$2=入力リスト!$Q$4,IF(F2214-INT(F2214)&lt;0.6,TRUE,FALSE),TRUE))</f>
        <v>1</v>
      </c>
      <c r="N2214" s="9" t="str">
        <f>IF(F2214="","",IF($F$2=入力リスト!$Q$4,ROUNDDOWN(INT(F2214)+ROUNDDOWN((F2214-INT(F2214))*100,0)/60,2),従業員の給与情報!F2214))</f>
        <v/>
      </c>
      <c r="O2214" s="8"/>
      <c r="P2214" s="8"/>
    </row>
    <row r="2215" spans="1:16">
      <c r="A2215" s="119"/>
      <c r="B2215" s="2"/>
      <c r="C2215" s="3"/>
      <c r="D2215" s="3"/>
      <c r="E2215" s="3"/>
      <c r="F2215" s="9"/>
      <c r="G2215" s="248" t="str">
        <f t="shared" si="170"/>
        <v/>
      </c>
      <c r="H2215" s="1" t="b">
        <f>IF(B2215="",FALSE,COUNTIF('従業員情報(給与以外)'!$A$4:$A$1000000,$B2215)=0)</f>
        <v>0</v>
      </c>
      <c r="I2215" s="9" t="b">
        <f t="shared" si="171"/>
        <v>1</v>
      </c>
      <c r="J2215" s="9" t="b">
        <f t="shared" si="172"/>
        <v>1</v>
      </c>
      <c r="K2215" s="9" t="b">
        <f t="shared" si="173"/>
        <v>1</v>
      </c>
      <c r="L2215" s="9" t="b">
        <f t="shared" si="174"/>
        <v>1</v>
      </c>
      <c r="M2215" s="1" t="b">
        <f>IF(OR(入力シート!$C$5&lt;&gt;入力リスト!$N$4,入力シート!$J$22&lt;&gt;入力リスト!$K$4),TRUE,IF($F$2=入力リスト!$Q$4,IF(F2215-INT(F2215)&lt;0.6,TRUE,FALSE),TRUE))</f>
        <v>1</v>
      </c>
      <c r="N2215" s="9" t="str">
        <f>IF(F2215="","",IF($F$2=入力リスト!$Q$4,ROUNDDOWN(INT(F2215)+ROUNDDOWN((F2215-INT(F2215))*100,0)/60,2),従業員の給与情報!F2215))</f>
        <v/>
      </c>
      <c r="O2215" s="8"/>
      <c r="P2215" s="8"/>
    </row>
    <row r="2216" spans="1:16">
      <c r="A2216" s="119"/>
      <c r="B2216" s="2"/>
      <c r="C2216" s="3"/>
      <c r="D2216" s="3"/>
      <c r="E2216" s="3"/>
      <c r="F2216" s="9"/>
      <c r="G2216" s="248" t="str">
        <f t="shared" si="170"/>
        <v/>
      </c>
      <c r="H2216" s="1" t="b">
        <f>IF(B2216="",FALSE,COUNTIF('従業員情報(給与以外)'!$A$4:$A$1000000,$B2216)=0)</f>
        <v>0</v>
      </c>
      <c r="I2216" s="9" t="b">
        <f t="shared" si="171"/>
        <v>1</v>
      </c>
      <c r="J2216" s="9" t="b">
        <f t="shared" si="172"/>
        <v>1</v>
      </c>
      <c r="K2216" s="9" t="b">
        <f t="shared" si="173"/>
        <v>1</v>
      </c>
      <c r="L2216" s="9" t="b">
        <f t="shared" si="174"/>
        <v>1</v>
      </c>
      <c r="M2216" s="1" t="b">
        <f>IF(OR(入力シート!$C$5&lt;&gt;入力リスト!$N$4,入力シート!$J$22&lt;&gt;入力リスト!$K$4),TRUE,IF($F$2=入力リスト!$Q$4,IF(F2216-INT(F2216)&lt;0.6,TRUE,FALSE),TRUE))</f>
        <v>1</v>
      </c>
      <c r="N2216" s="9" t="str">
        <f>IF(F2216="","",IF($F$2=入力リスト!$Q$4,ROUNDDOWN(INT(F2216)+ROUNDDOWN((F2216-INT(F2216))*100,0)/60,2),従業員の給与情報!F2216))</f>
        <v/>
      </c>
      <c r="O2216" s="8"/>
      <c r="P2216" s="8"/>
    </row>
    <row r="2217" spans="1:16">
      <c r="A2217" s="119"/>
      <c r="B2217" s="2"/>
      <c r="C2217" s="3"/>
      <c r="D2217" s="3"/>
      <c r="E2217" s="3"/>
      <c r="F2217" s="9"/>
      <c r="G2217" s="248" t="str">
        <f t="shared" si="170"/>
        <v/>
      </c>
      <c r="H2217" s="1" t="b">
        <f>IF(B2217="",FALSE,COUNTIF('従業員情報(給与以外)'!$A$4:$A$1000000,$B2217)=0)</f>
        <v>0</v>
      </c>
      <c r="I2217" s="9" t="b">
        <f t="shared" si="171"/>
        <v>1</v>
      </c>
      <c r="J2217" s="9" t="b">
        <f t="shared" si="172"/>
        <v>1</v>
      </c>
      <c r="K2217" s="9" t="b">
        <f t="shared" si="173"/>
        <v>1</v>
      </c>
      <c r="L2217" s="9" t="b">
        <f t="shared" si="174"/>
        <v>1</v>
      </c>
      <c r="M2217" s="1" t="b">
        <f>IF(OR(入力シート!$C$5&lt;&gt;入力リスト!$N$4,入力シート!$J$22&lt;&gt;入力リスト!$K$4),TRUE,IF($F$2=入力リスト!$Q$4,IF(F2217-INT(F2217)&lt;0.6,TRUE,FALSE),TRUE))</f>
        <v>1</v>
      </c>
      <c r="N2217" s="9" t="str">
        <f>IF(F2217="","",IF($F$2=入力リスト!$Q$4,ROUNDDOWN(INT(F2217)+ROUNDDOWN((F2217-INT(F2217))*100,0)/60,2),従業員の給与情報!F2217))</f>
        <v/>
      </c>
      <c r="O2217" s="8"/>
      <c r="P2217" s="8"/>
    </row>
    <row r="2218" spans="1:16">
      <c r="A2218" s="119"/>
      <c r="B2218" s="2"/>
      <c r="C2218" s="3"/>
      <c r="D2218" s="3"/>
      <c r="E2218" s="3"/>
      <c r="F2218" s="9"/>
      <c r="G2218" s="248" t="str">
        <f t="shared" si="170"/>
        <v/>
      </c>
      <c r="H2218" s="1" t="b">
        <f>IF(B2218="",FALSE,COUNTIF('従業員情報(給与以外)'!$A$4:$A$1000000,$B2218)=0)</f>
        <v>0</v>
      </c>
      <c r="I2218" s="9" t="b">
        <f t="shared" si="171"/>
        <v>1</v>
      </c>
      <c r="J2218" s="9" t="b">
        <f t="shared" si="172"/>
        <v>1</v>
      </c>
      <c r="K2218" s="9" t="b">
        <f t="shared" si="173"/>
        <v>1</v>
      </c>
      <c r="L2218" s="9" t="b">
        <f t="shared" si="174"/>
        <v>1</v>
      </c>
      <c r="M2218" s="1" t="b">
        <f>IF(OR(入力シート!$C$5&lt;&gt;入力リスト!$N$4,入力シート!$J$22&lt;&gt;入力リスト!$K$4),TRUE,IF($F$2=入力リスト!$Q$4,IF(F2218-INT(F2218)&lt;0.6,TRUE,FALSE),TRUE))</f>
        <v>1</v>
      </c>
      <c r="N2218" s="9" t="str">
        <f>IF(F2218="","",IF($F$2=入力リスト!$Q$4,ROUNDDOWN(INT(F2218)+ROUNDDOWN((F2218-INT(F2218))*100,0)/60,2),従業員の給与情報!F2218))</f>
        <v/>
      </c>
      <c r="O2218" s="8"/>
      <c r="P2218" s="8"/>
    </row>
    <row r="2219" spans="1:16">
      <c r="A2219" s="119"/>
      <c r="B2219" s="2"/>
      <c r="C2219" s="3"/>
      <c r="D2219" s="3"/>
      <c r="E2219" s="3"/>
      <c r="F2219" s="9"/>
      <c r="G2219" s="248" t="str">
        <f t="shared" si="170"/>
        <v/>
      </c>
      <c r="H2219" s="1" t="b">
        <f>IF(B2219="",FALSE,COUNTIF('従業員情報(給与以外)'!$A$4:$A$1000000,$B2219)=0)</f>
        <v>0</v>
      </c>
      <c r="I2219" s="9" t="b">
        <f t="shared" si="171"/>
        <v>1</v>
      </c>
      <c r="J2219" s="9" t="b">
        <f t="shared" si="172"/>
        <v>1</v>
      </c>
      <c r="K2219" s="9" t="b">
        <f t="shared" si="173"/>
        <v>1</v>
      </c>
      <c r="L2219" s="9" t="b">
        <f t="shared" si="174"/>
        <v>1</v>
      </c>
      <c r="M2219" s="1" t="b">
        <f>IF(OR(入力シート!$C$5&lt;&gt;入力リスト!$N$4,入力シート!$J$22&lt;&gt;入力リスト!$K$4),TRUE,IF($F$2=入力リスト!$Q$4,IF(F2219-INT(F2219)&lt;0.6,TRUE,FALSE),TRUE))</f>
        <v>1</v>
      </c>
      <c r="N2219" s="9" t="str">
        <f>IF(F2219="","",IF($F$2=入力リスト!$Q$4,ROUNDDOWN(INT(F2219)+ROUNDDOWN((F2219-INT(F2219))*100,0)/60,2),従業員の給与情報!F2219))</f>
        <v/>
      </c>
      <c r="O2219" s="8"/>
      <c r="P2219" s="8"/>
    </row>
    <row r="2220" spans="1:16">
      <c r="A2220" s="119"/>
      <c r="B2220" s="2"/>
      <c r="C2220" s="3"/>
      <c r="D2220" s="3"/>
      <c r="E2220" s="3"/>
      <c r="F2220" s="9"/>
      <c r="G2220" s="248" t="str">
        <f t="shared" si="170"/>
        <v/>
      </c>
      <c r="H2220" s="1" t="b">
        <f>IF(B2220="",FALSE,COUNTIF('従業員情報(給与以外)'!$A$4:$A$1000000,$B2220)=0)</f>
        <v>0</v>
      </c>
      <c r="I2220" s="9" t="b">
        <f t="shared" si="171"/>
        <v>1</v>
      </c>
      <c r="J2220" s="9" t="b">
        <f t="shared" si="172"/>
        <v>1</v>
      </c>
      <c r="K2220" s="9" t="b">
        <f t="shared" si="173"/>
        <v>1</v>
      </c>
      <c r="L2220" s="9" t="b">
        <f t="shared" si="174"/>
        <v>1</v>
      </c>
      <c r="M2220" s="1" t="b">
        <f>IF(OR(入力シート!$C$5&lt;&gt;入力リスト!$N$4,入力シート!$J$22&lt;&gt;入力リスト!$K$4),TRUE,IF($F$2=入力リスト!$Q$4,IF(F2220-INT(F2220)&lt;0.6,TRUE,FALSE),TRUE))</f>
        <v>1</v>
      </c>
      <c r="N2220" s="9" t="str">
        <f>IF(F2220="","",IF($F$2=入力リスト!$Q$4,ROUNDDOWN(INT(F2220)+ROUNDDOWN((F2220-INT(F2220))*100,0)/60,2),従業員の給与情報!F2220))</f>
        <v/>
      </c>
      <c r="O2220" s="8"/>
      <c r="P2220" s="8"/>
    </row>
    <row r="2221" spans="1:16">
      <c r="A2221" s="119"/>
      <c r="B2221" s="2"/>
      <c r="C2221" s="3"/>
      <c r="D2221" s="3"/>
      <c r="E2221" s="3"/>
      <c r="F2221" s="9"/>
      <c r="G2221" s="248" t="str">
        <f t="shared" si="170"/>
        <v/>
      </c>
      <c r="H2221" s="1" t="b">
        <f>IF(B2221="",FALSE,COUNTIF('従業員情報(給与以外)'!$A$4:$A$1000000,$B2221)=0)</f>
        <v>0</v>
      </c>
      <c r="I2221" s="9" t="b">
        <f t="shared" si="171"/>
        <v>1</v>
      </c>
      <c r="J2221" s="9" t="b">
        <f t="shared" si="172"/>
        <v>1</v>
      </c>
      <c r="K2221" s="9" t="b">
        <f t="shared" si="173"/>
        <v>1</v>
      </c>
      <c r="L2221" s="9" t="b">
        <f t="shared" si="174"/>
        <v>1</v>
      </c>
      <c r="M2221" s="1" t="b">
        <f>IF(OR(入力シート!$C$5&lt;&gt;入力リスト!$N$4,入力シート!$J$22&lt;&gt;入力リスト!$K$4),TRUE,IF($F$2=入力リスト!$Q$4,IF(F2221-INT(F2221)&lt;0.6,TRUE,FALSE),TRUE))</f>
        <v>1</v>
      </c>
      <c r="N2221" s="9" t="str">
        <f>IF(F2221="","",IF($F$2=入力リスト!$Q$4,ROUNDDOWN(INT(F2221)+ROUNDDOWN((F2221-INT(F2221))*100,0)/60,2),従業員の給与情報!F2221))</f>
        <v/>
      </c>
      <c r="O2221" s="8"/>
      <c r="P2221" s="8"/>
    </row>
    <row r="2222" spans="1:16">
      <c r="A2222" s="119"/>
      <c r="B2222" s="2"/>
      <c r="C2222" s="3"/>
      <c r="D2222" s="3"/>
      <c r="E2222" s="3"/>
      <c r="F2222" s="9"/>
      <c r="G2222" s="248" t="str">
        <f t="shared" si="170"/>
        <v/>
      </c>
      <c r="H2222" s="1" t="b">
        <f>IF(B2222="",FALSE,COUNTIF('従業員情報(給与以外)'!$A$4:$A$1000000,$B2222)=0)</f>
        <v>0</v>
      </c>
      <c r="I2222" s="9" t="b">
        <f t="shared" si="171"/>
        <v>1</v>
      </c>
      <c r="J2222" s="9" t="b">
        <f t="shared" si="172"/>
        <v>1</v>
      </c>
      <c r="K2222" s="9" t="b">
        <f t="shared" si="173"/>
        <v>1</v>
      </c>
      <c r="L2222" s="9" t="b">
        <f t="shared" si="174"/>
        <v>1</v>
      </c>
      <c r="M2222" s="1" t="b">
        <f>IF(OR(入力シート!$C$5&lt;&gt;入力リスト!$N$4,入力シート!$J$22&lt;&gt;入力リスト!$K$4),TRUE,IF($F$2=入力リスト!$Q$4,IF(F2222-INT(F2222)&lt;0.6,TRUE,FALSE),TRUE))</f>
        <v>1</v>
      </c>
      <c r="N2222" s="9" t="str">
        <f>IF(F2222="","",IF($F$2=入力リスト!$Q$4,ROUNDDOWN(INT(F2222)+ROUNDDOWN((F2222-INT(F2222))*100,0)/60,2),従業員の給与情報!F2222))</f>
        <v/>
      </c>
      <c r="O2222" s="8"/>
      <c r="P2222" s="8"/>
    </row>
    <row r="2223" spans="1:16">
      <c r="A2223" s="119"/>
      <c r="B2223" s="2"/>
      <c r="C2223" s="3"/>
      <c r="D2223" s="3"/>
      <c r="E2223" s="3"/>
      <c r="F2223" s="9"/>
      <c r="G2223" s="248" t="str">
        <f t="shared" si="170"/>
        <v/>
      </c>
      <c r="H2223" s="1" t="b">
        <f>IF(B2223="",FALSE,COUNTIF('従業員情報(給与以外)'!$A$4:$A$1000000,$B2223)=0)</f>
        <v>0</v>
      </c>
      <c r="I2223" s="9" t="b">
        <f t="shared" si="171"/>
        <v>1</v>
      </c>
      <c r="J2223" s="9" t="b">
        <f t="shared" si="172"/>
        <v>1</v>
      </c>
      <c r="K2223" s="9" t="b">
        <f t="shared" si="173"/>
        <v>1</v>
      </c>
      <c r="L2223" s="9" t="b">
        <f t="shared" si="174"/>
        <v>1</v>
      </c>
      <c r="M2223" s="1" t="b">
        <f>IF(OR(入力シート!$C$5&lt;&gt;入力リスト!$N$4,入力シート!$J$22&lt;&gt;入力リスト!$K$4),TRUE,IF($F$2=入力リスト!$Q$4,IF(F2223-INT(F2223)&lt;0.6,TRUE,FALSE),TRUE))</f>
        <v>1</v>
      </c>
      <c r="N2223" s="9" t="str">
        <f>IF(F2223="","",IF($F$2=入力リスト!$Q$4,ROUNDDOWN(INT(F2223)+ROUNDDOWN((F2223-INT(F2223))*100,0)/60,2),従業員の給与情報!F2223))</f>
        <v/>
      </c>
      <c r="O2223" s="8"/>
      <c r="P2223" s="8"/>
    </row>
    <row r="2224" spans="1:16">
      <c r="A2224" s="119"/>
      <c r="B2224" s="2"/>
      <c r="C2224" s="3"/>
      <c r="D2224" s="3"/>
      <c r="E2224" s="3"/>
      <c r="F2224" s="9"/>
      <c r="G2224" s="248" t="str">
        <f t="shared" si="170"/>
        <v/>
      </c>
      <c r="H2224" s="1" t="b">
        <f>IF(B2224="",FALSE,COUNTIF('従業員情報(給与以外)'!$A$4:$A$1000000,$B2224)=0)</f>
        <v>0</v>
      </c>
      <c r="I2224" s="9" t="b">
        <f t="shared" si="171"/>
        <v>1</v>
      </c>
      <c r="J2224" s="9" t="b">
        <f t="shared" si="172"/>
        <v>1</v>
      </c>
      <c r="K2224" s="9" t="b">
        <f t="shared" si="173"/>
        <v>1</v>
      </c>
      <c r="L2224" s="9" t="b">
        <f t="shared" si="174"/>
        <v>1</v>
      </c>
      <c r="M2224" s="1" t="b">
        <f>IF(OR(入力シート!$C$5&lt;&gt;入力リスト!$N$4,入力シート!$J$22&lt;&gt;入力リスト!$K$4),TRUE,IF($F$2=入力リスト!$Q$4,IF(F2224-INT(F2224)&lt;0.6,TRUE,FALSE),TRUE))</f>
        <v>1</v>
      </c>
      <c r="N2224" s="9" t="str">
        <f>IF(F2224="","",IF($F$2=入力リスト!$Q$4,ROUNDDOWN(INT(F2224)+ROUNDDOWN((F2224-INT(F2224))*100,0)/60,2),従業員の給与情報!F2224))</f>
        <v/>
      </c>
      <c r="O2224" s="8"/>
      <c r="P2224" s="8"/>
    </row>
    <row r="2225" spans="1:16">
      <c r="A2225" s="119"/>
      <c r="B2225" s="2"/>
      <c r="C2225" s="3"/>
      <c r="D2225" s="3"/>
      <c r="E2225" s="3"/>
      <c r="F2225" s="9"/>
      <c r="G2225" s="248" t="str">
        <f t="shared" si="170"/>
        <v/>
      </c>
      <c r="H2225" s="1" t="b">
        <f>IF(B2225="",FALSE,COUNTIF('従業員情報(給与以外)'!$A$4:$A$1000000,$B2225)=0)</f>
        <v>0</v>
      </c>
      <c r="I2225" s="9" t="b">
        <f t="shared" si="171"/>
        <v>1</v>
      </c>
      <c r="J2225" s="9" t="b">
        <f t="shared" si="172"/>
        <v>1</v>
      </c>
      <c r="K2225" s="9" t="b">
        <f t="shared" si="173"/>
        <v>1</v>
      </c>
      <c r="L2225" s="9" t="b">
        <f t="shared" si="174"/>
        <v>1</v>
      </c>
      <c r="M2225" s="1" t="b">
        <f>IF(OR(入力シート!$C$5&lt;&gt;入力リスト!$N$4,入力シート!$J$22&lt;&gt;入力リスト!$K$4),TRUE,IF($F$2=入力リスト!$Q$4,IF(F2225-INT(F2225)&lt;0.6,TRUE,FALSE),TRUE))</f>
        <v>1</v>
      </c>
      <c r="N2225" s="9" t="str">
        <f>IF(F2225="","",IF($F$2=入力リスト!$Q$4,ROUNDDOWN(INT(F2225)+ROUNDDOWN((F2225-INT(F2225))*100,0)/60,2),従業員の給与情報!F2225))</f>
        <v/>
      </c>
      <c r="O2225" s="8"/>
      <c r="P2225" s="8"/>
    </row>
    <row r="2226" spans="1:16">
      <c r="A2226" s="336"/>
      <c r="B2226" s="337"/>
      <c r="C2226" s="337"/>
      <c r="D2226" s="3"/>
      <c r="E2226" s="337"/>
      <c r="F2226" s="338"/>
      <c r="G2226" s="248" t="str">
        <f t="shared" si="170"/>
        <v/>
      </c>
      <c r="H2226" s="1" t="b">
        <f>IF(B2226="",FALSE,COUNTIF('従業員情報(給与以外)'!$A$4:$A$1000000,$B2226)=0)</f>
        <v>0</v>
      </c>
      <c r="I2226" s="9" t="b">
        <f t="shared" ref="I2226:I2289" si="175">OR(C2226="",ISNUMBER(C2226))</f>
        <v>1</v>
      </c>
      <c r="J2226" s="9" t="b">
        <f t="shared" ref="J2226:J2289" si="176">OR(D2226="",ISNUMBER(D2226))</f>
        <v>1</v>
      </c>
      <c r="K2226" s="9" t="b">
        <f t="shared" ref="K2226:K2289" si="177">OR(E2226="",ISNUMBER(E2226))</f>
        <v>1</v>
      </c>
      <c r="L2226" s="9" t="b">
        <f t="shared" ref="L2226:L2289" si="178">OR(F2226="",ISNUMBER(F2226))</f>
        <v>1</v>
      </c>
      <c r="M2226" s="1" t="b">
        <f>IF(OR(入力シート!$C$5&lt;&gt;入力リスト!$N$4,入力シート!$J$22&lt;&gt;入力リスト!$K$4),TRUE,IF($F$2=入力リスト!$Q$4,IF(F2226-INT(F2226)&lt;0.6,TRUE,FALSE),TRUE))</f>
        <v>1</v>
      </c>
      <c r="N2226" s="9" t="str">
        <f>IF(F2226="","",IF($F$2=入力リスト!$Q$4,ROUNDDOWN(INT(F2226)+ROUNDDOWN((F2226-INT(F2226))*100,0)/60,2),従業員の給与情報!F2226))</f>
        <v/>
      </c>
      <c r="O2226" s="8"/>
      <c r="P2226" s="8"/>
    </row>
    <row r="2227" spans="1:16">
      <c r="A2227" s="336"/>
      <c r="B2227" s="337"/>
      <c r="C2227" s="337"/>
      <c r="D2227" s="3"/>
      <c r="E2227" s="337"/>
      <c r="F2227" s="338"/>
      <c r="G2227" s="248" t="str">
        <f t="shared" si="170"/>
        <v/>
      </c>
      <c r="H2227" s="1" t="b">
        <f>IF(B2227="",FALSE,COUNTIF('従業員情報(給与以外)'!$A$4:$A$1000000,$B2227)=0)</f>
        <v>0</v>
      </c>
      <c r="I2227" s="9" t="b">
        <f t="shared" si="175"/>
        <v>1</v>
      </c>
      <c r="J2227" s="9" t="b">
        <f t="shared" si="176"/>
        <v>1</v>
      </c>
      <c r="K2227" s="9" t="b">
        <f t="shared" si="177"/>
        <v>1</v>
      </c>
      <c r="L2227" s="9" t="b">
        <f t="shared" si="178"/>
        <v>1</v>
      </c>
      <c r="M2227" s="1" t="b">
        <f>IF(OR(入力シート!$C$5&lt;&gt;入力リスト!$N$4,入力シート!$J$22&lt;&gt;入力リスト!$K$4),TRUE,IF($F$2=入力リスト!$Q$4,IF(F2227-INT(F2227)&lt;0.6,TRUE,FALSE),TRUE))</f>
        <v>1</v>
      </c>
      <c r="N2227" s="9" t="str">
        <f>IF(F2227="","",IF($F$2=入力リスト!$Q$4,ROUNDDOWN(INT(F2227)+ROUNDDOWN((F2227-INT(F2227))*100,0)/60,2),従業員の給与情報!F2227))</f>
        <v/>
      </c>
      <c r="O2227" s="8"/>
      <c r="P2227" s="8"/>
    </row>
    <row r="2228" spans="1:16">
      <c r="A2228" s="336"/>
      <c r="B2228" s="337"/>
      <c r="C2228" s="337"/>
      <c r="D2228" s="3"/>
      <c r="E2228" s="337"/>
      <c r="F2228" s="338"/>
      <c r="G2228" s="248" t="str">
        <f t="shared" si="170"/>
        <v/>
      </c>
      <c r="H2228" s="1" t="b">
        <f>IF(B2228="",FALSE,COUNTIF('従業員情報(給与以外)'!$A$4:$A$1000000,$B2228)=0)</f>
        <v>0</v>
      </c>
      <c r="I2228" s="9" t="b">
        <f t="shared" si="175"/>
        <v>1</v>
      </c>
      <c r="J2228" s="9" t="b">
        <f t="shared" si="176"/>
        <v>1</v>
      </c>
      <c r="K2228" s="9" t="b">
        <f t="shared" si="177"/>
        <v>1</v>
      </c>
      <c r="L2228" s="9" t="b">
        <f t="shared" si="178"/>
        <v>1</v>
      </c>
      <c r="M2228" s="1" t="b">
        <f>IF(OR(入力シート!$C$5&lt;&gt;入力リスト!$N$4,入力シート!$J$22&lt;&gt;入力リスト!$K$4),TRUE,IF($F$2=入力リスト!$Q$4,IF(F2228-INT(F2228)&lt;0.6,TRUE,FALSE),TRUE))</f>
        <v>1</v>
      </c>
      <c r="N2228" s="9" t="str">
        <f>IF(F2228="","",IF($F$2=入力リスト!$Q$4,ROUNDDOWN(INT(F2228)+ROUNDDOWN((F2228-INT(F2228))*100,0)/60,2),従業員の給与情報!F2228))</f>
        <v/>
      </c>
      <c r="O2228" s="8"/>
      <c r="P2228" s="8"/>
    </row>
    <row r="2229" spans="1:16">
      <c r="A2229" s="336"/>
      <c r="B2229" s="337"/>
      <c r="C2229" s="337"/>
      <c r="D2229" s="3"/>
      <c r="E2229" s="337"/>
      <c r="F2229" s="338"/>
      <c r="G2229" s="248" t="str">
        <f t="shared" si="170"/>
        <v/>
      </c>
      <c r="H2229" s="1" t="b">
        <f>IF(B2229="",FALSE,COUNTIF('従業員情報(給与以外)'!$A$4:$A$1000000,$B2229)=0)</f>
        <v>0</v>
      </c>
      <c r="I2229" s="9" t="b">
        <f t="shared" si="175"/>
        <v>1</v>
      </c>
      <c r="J2229" s="9" t="b">
        <f t="shared" si="176"/>
        <v>1</v>
      </c>
      <c r="K2229" s="9" t="b">
        <f t="shared" si="177"/>
        <v>1</v>
      </c>
      <c r="L2229" s="9" t="b">
        <f t="shared" si="178"/>
        <v>1</v>
      </c>
      <c r="M2229" s="1" t="b">
        <f>IF(OR(入力シート!$C$5&lt;&gt;入力リスト!$N$4,入力シート!$J$22&lt;&gt;入力リスト!$K$4),TRUE,IF($F$2=入力リスト!$Q$4,IF(F2229-INT(F2229)&lt;0.6,TRUE,FALSE),TRUE))</f>
        <v>1</v>
      </c>
      <c r="N2229" s="9" t="str">
        <f>IF(F2229="","",IF($F$2=入力リスト!$Q$4,ROUNDDOWN(INT(F2229)+ROUNDDOWN((F2229-INT(F2229))*100,0)/60,2),従業員の給与情報!F2229))</f>
        <v/>
      </c>
      <c r="O2229" s="8"/>
      <c r="P2229" s="8"/>
    </row>
    <row r="2230" spans="1:16">
      <c r="A2230" s="336"/>
      <c r="B2230" s="337"/>
      <c r="C2230" s="337"/>
      <c r="D2230" s="3"/>
      <c r="E2230" s="337"/>
      <c r="F2230" s="338"/>
      <c r="G2230" s="248" t="str">
        <f t="shared" si="170"/>
        <v/>
      </c>
      <c r="H2230" s="1" t="b">
        <f>IF(B2230="",FALSE,COUNTIF('従業員情報(給与以外)'!$A$4:$A$1000000,$B2230)=0)</f>
        <v>0</v>
      </c>
      <c r="I2230" s="9" t="b">
        <f t="shared" si="175"/>
        <v>1</v>
      </c>
      <c r="J2230" s="9" t="b">
        <f t="shared" si="176"/>
        <v>1</v>
      </c>
      <c r="K2230" s="9" t="b">
        <f t="shared" si="177"/>
        <v>1</v>
      </c>
      <c r="L2230" s="9" t="b">
        <f t="shared" si="178"/>
        <v>1</v>
      </c>
      <c r="M2230" s="1" t="b">
        <f>IF(OR(入力シート!$C$5&lt;&gt;入力リスト!$N$4,入力シート!$J$22&lt;&gt;入力リスト!$K$4),TRUE,IF($F$2=入力リスト!$Q$4,IF(F2230-INT(F2230)&lt;0.6,TRUE,FALSE),TRUE))</f>
        <v>1</v>
      </c>
      <c r="N2230" s="9" t="str">
        <f>IF(F2230="","",IF($F$2=入力リスト!$Q$4,ROUNDDOWN(INT(F2230)+ROUNDDOWN((F2230-INT(F2230))*100,0)/60,2),従業員の給与情報!F2230))</f>
        <v/>
      </c>
      <c r="O2230" s="8"/>
      <c r="P2230" s="8"/>
    </row>
    <row r="2231" spans="1:16">
      <c r="A2231" s="336"/>
      <c r="B2231" s="337"/>
      <c r="C2231" s="337"/>
      <c r="D2231" s="3"/>
      <c r="E2231" s="337"/>
      <c r="F2231" s="338"/>
      <c r="G2231" s="248" t="str">
        <f t="shared" si="170"/>
        <v/>
      </c>
      <c r="H2231" s="1" t="b">
        <f>IF(B2231="",FALSE,COUNTIF('従業員情報(給与以外)'!$A$4:$A$1000000,$B2231)=0)</f>
        <v>0</v>
      </c>
      <c r="I2231" s="9" t="b">
        <f t="shared" si="175"/>
        <v>1</v>
      </c>
      <c r="J2231" s="9" t="b">
        <f t="shared" si="176"/>
        <v>1</v>
      </c>
      <c r="K2231" s="9" t="b">
        <f t="shared" si="177"/>
        <v>1</v>
      </c>
      <c r="L2231" s="9" t="b">
        <f t="shared" si="178"/>
        <v>1</v>
      </c>
      <c r="M2231" s="1" t="b">
        <f>IF(OR(入力シート!$C$5&lt;&gt;入力リスト!$N$4,入力シート!$J$22&lt;&gt;入力リスト!$K$4),TRUE,IF($F$2=入力リスト!$Q$4,IF(F2231-INT(F2231)&lt;0.6,TRUE,FALSE),TRUE))</f>
        <v>1</v>
      </c>
      <c r="N2231" s="9" t="str">
        <f>IF(F2231="","",IF($F$2=入力リスト!$Q$4,ROUNDDOWN(INT(F2231)+ROUNDDOWN((F2231-INT(F2231))*100,0)/60,2),従業員の給与情報!F2231))</f>
        <v/>
      </c>
      <c r="O2231" s="8"/>
      <c r="P2231" s="8"/>
    </row>
    <row r="2232" spans="1:16">
      <c r="A2232" s="336"/>
      <c r="B2232" s="337"/>
      <c r="C2232" s="337"/>
      <c r="D2232" s="3"/>
      <c r="E2232" s="337"/>
      <c r="F2232" s="338"/>
      <c r="G2232" s="248" t="str">
        <f t="shared" si="170"/>
        <v/>
      </c>
      <c r="H2232" s="1" t="b">
        <f>IF(B2232="",FALSE,COUNTIF('従業員情報(給与以外)'!$A$4:$A$1000000,$B2232)=0)</f>
        <v>0</v>
      </c>
      <c r="I2232" s="9" t="b">
        <f t="shared" si="175"/>
        <v>1</v>
      </c>
      <c r="J2232" s="9" t="b">
        <f t="shared" si="176"/>
        <v>1</v>
      </c>
      <c r="K2232" s="9" t="b">
        <f t="shared" si="177"/>
        <v>1</v>
      </c>
      <c r="L2232" s="9" t="b">
        <f t="shared" si="178"/>
        <v>1</v>
      </c>
      <c r="M2232" s="1" t="b">
        <f>IF(OR(入力シート!$C$5&lt;&gt;入力リスト!$N$4,入力シート!$J$22&lt;&gt;入力リスト!$K$4),TRUE,IF($F$2=入力リスト!$Q$4,IF(F2232-INT(F2232)&lt;0.6,TRUE,FALSE),TRUE))</f>
        <v>1</v>
      </c>
      <c r="N2232" s="9" t="str">
        <f>IF(F2232="","",IF($F$2=入力リスト!$Q$4,ROUNDDOWN(INT(F2232)+ROUNDDOWN((F2232-INT(F2232))*100,0)/60,2),従業員の給与情報!F2232))</f>
        <v/>
      </c>
      <c r="O2232" s="8"/>
      <c r="P2232" s="8"/>
    </row>
    <row r="2233" spans="1:16">
      <c r="A2233" s="336"/>
      <c r="B2233" s="337"/>
      <c r="C2233" s="337"/>
      <c r="D2233" s="3"/>
      <c r="E2233" s="337"/>
      <c r="F2233" s="338"/>
      <c r="G2233" s="248" t="str">
        <f t="shared" si="170"/>
        <v/>
      </c>
      <c r="H2233" s="1" t="b">
        <f>IF(B2233="",FALSE,COUNTIF('従業員情報(給与以外)'!$A$4:$A$1000000,$B2233)=0)</f>
        <v>0</v>
      </c>
      <c r="I2233" s="9" t="b">
        <f t="shared" si="175"/>
        <v>1</v>
      </c>
      <c r="J2233" s="9" t="b">
        <f t="shared" si="176"/>
        <v>1</v>
      </c>
      <c r="K2233" s="9" t="b">
        <f t="shared" si="177"/>
        <v>1</v>
      </c>
      <c r="L2233" s="9" t="b">
        <f t="shared" si="178"/>
        <v>1</v>
      </c>
      <c r="M2233" s="1" t="b">
        <f>IF(OR(入力シート!$C$5&lt;&gt;入力リスト!$N$4,入力シート!$J$22&lt;&gt;入力リスト!$K$4),TRUE,IF($F$2=入力リスト!$Q$4,IF(F2233-INT(F2233)&lt;0.6,TRUE,FALSE),TRUE))</f>
        <v>1</v>
      </c>
      <c r="N2233" s="9" t="str">
        <f>IF(F2233="","",IF($F$2=入力リスト!$Q$4,ROUNDDOWN(INT(F2233)+ROUNDDOWN((F2233-INT(F2233))*100,0)/60,2),従業員の給与情報!F2233))</f>
        <v/>
      </c>
      <c r="O2233" s="8"/>
      <c r="P2233" s="8"/>
    </row>
    <row r="2234" spans="1:16">
      <c r="A2234" s="336"/>
      <c r="B2234" s="337"/>
      <c r="C2234" s="337"/>
      <c r="D2234" s="3"/>
      <c r="E2234" s="337"/>
      <c r="F2234" s="338"/>
      <c r="G2234" s="248" t="str">
        <f t="shared" si="170"/>
        <v/>
      </c>
      <c r="H2234" s="1" t="b">
        <f>IF(B2234="",FALSE,COUNTIF('従業員情報(給与以外)'!$A$4:$A$1000000,$B2234)=0)</f>
        <v>0</v>
      </c>
      <c r="I2234" s="9" t="b">
        <f t="shared" si="175"/>
        <v>1</v>
      </c>
      <c r="J2234" s="9" t="b">
        <f t="shared" si="176"/>
        <v>1</v>
      </c>
      <c r="K2234" s="9" t="b">
        <f t="shared" si="177"/>
        <v>1</v>
      </c>
      <c r="L2234" s="9" t="b">
        <f t="shared" si="178"/>
        <v>1</v>
      </c>
      <c r="M2234" s="1" t="b">
        <f>IF(OR(入力シート!$C$5&lt;&gt;入力リスト!$N$4,入力シート!$J$22&lt;&gt;入力リスト!$K$4),TRUE,IF($F$2=入力リスト!$Q$4,IF(F2234-INT(F2234)&lt;0.6,TRUE,FALSE),TRUE))</f>
        <v>1</v>
      </c>
      <c r="N2234" s="9" t="str">
        <f>IF(F2234="","",IF($F$2=入力リスト!$Q$4,ROUNDDOWN(INT(F2234)+ROUNDDOWN((F2234-INT(F2234))*100,0)/60,2),従業員の給与情報!F2234))</f>
        <v/>
      </c>
      <c r="O2234" s="8"/>
      <c r="P2234" s="8"/>
    </row>
    <row r="2235" spans="1:16">
      <c r="A2235" s="336"/>
      <c r="B2235" s="337"/>
      <c r="C2235" s="337"/>
      <c r="D2235" s="3"/>
      <c r="E2235" s="337"/>
      <c r="F2235" s="338"/>
      <c r="G2235" s="248" t="str">
        <f t="shared" si="170"/>
        <v/>
      </c>
      <c r="H2235" s="1" t="b">
        <f>IF(B2235="",FALSE,COUNTIF('従業員情報(給与以外)'!$A$4:$A$1000000,$B2235)=0)</f>
        <v>0</v>
      </c>
      <c r="I2235" s="9" t="b">
        <f t="shared" si="175"/>
        <v>1</v>
      </c>
      <c r="J2235" s="9" t="b">
        <f t="shared" si="176"/>
        <v>1</v>
      </c>
      <c r="K2235" s="9" t="b">
        <f t="shared" si="177"/>
        <v>1</v>
      </c>
      <c r="L2235" s="9" t="b">
        <f t="shared" si="178"/>
        <v>1</v>
      </c>
      <c r="M2235" s="1" t="b">
        <f>IF(OR(入力シート!$C$5&lt;&gt;入力リスト!$N$4,入力シート!$J$22&lt;&gt;入力リスト!$K$4),TRUE,IF($F$2=入力リスト!$Q$4,IF(F2235-INT(F2235)&lt;0.6,TRUE,FALSE),TRUE))</f>
        <v>1</v>
      </c>
      <c r="N2235" s="9" t="str">
        <f>IF(F2235="","",IF($F$2=入力リスト!$Q$4,ROUNDDOWN(INT(F2235)+ROUNDDOWN((F2235-INT(F2235))*100,0)/60,2),従業員の給与情報!F2235))</f>
        <v/>
      </c>
      <c r="O2235" s="8"/>
      <c r="P2235" s="8"/>
    </row>
    <row r="2236" spans="1:16">
      <c r="A2236" s="336"/>
      <c r="B2236" s="337"/>
      <c r="C2236" s="337"/>
      <c r="D2236" s="3"/>
      <c r="E2236" s="337"/>
      <c r="F2236" s="338"/>
      <c r="G2236" s="248" t="str">
        <f t="shared" si="170"/>
        <v/>
      </c>
      <c r="H2236" s="1" t="b">
        <f>IF(B2236="",FALSE,COUNTIF('従業員情報(給与以外)'!$A$4:$A$1000000,$B2236)=0)</f>
        <v>0</v>
      </c>
      <c r="I2236" s="9" t="b">
        <f t="shared" si="175"/>
        <v>1</v>
      </c>
      <c r="J2236" s="9" t="b">
        <f t="shared" si="176"/>
        <v>1</v>
      </c>
      <c r="K2236" s="9" t="b">
        <f t="shared" si="177"/>
        <v>1</v>
      </c>
      <c r="L2236" s="9" t="b">
        <f t="shared" si="178"/>
        <v>1</v>
      </c>
      <c r="M2236" s="1" t="b">
        <f>IF(OR(入力シート!$C$5&lt;&gt;入力リスト!$N$4,入力シート!$J$22&lt;&gt;入力リスト!$K$4),TRUE,IF($F$2=入力リスト!$Q$4,IF(F2236-INT(F2236)&lt;0.6,TRUE,FALSE),TRUE))</f>
        <v>1</v>
      </c>
      <c r="N2236" s="9" t="str">
        <f>IF(F2236="","",IF($F$2=入力リスト!$Q$4,ROUNDDOWN(INT(F2236)+ROUNDDOWN((F2236-INT(F2236))*100,0)/60,2),従業員の給与情報!F2236))</f>
        <v/>
      </c>
      <c r="O2236" s="8"/>
      <c r="P2236" s="8"/>
    </row>
    <row r="2237" spans="1:16">
      <c r="A2237" s="336"/>
      <c r="B2237" s="337"/>
      <c r="C2237" s="337"/>
      <c r="D2237" s="3"/>
      <c r="E2237" s="337"/>
      <c r="F2237" s="338"/>
      <c r="G2237" s="248" t="str">
        <f t="shared" si="170"/>
        <v/>
      </c>
      <c r="H2237" s="1" t="b">
        <f>IF(B2237="",FALSE,COUNTIF('従業員情報(給与以外)'!$A$4:$A$1000000,$B2237)=0)</f>
        <v>0</v>
      </c>
      <c r="I2237" s="9" t="b">
        <f t="shared" si="175"/>
        <v>1</v>
      </c>
      <c r="J2237" s="9" t="b">
        <f t="shared" si="176"/>
        <v>1</v>
      </c>
      <c r="K2237" s="9" t="b">
        <f t="shared" si="177"/>
        <v>1</v>
      </c>
      <c r="L2237" s="9" t="b">
        <f t="shared" si="178"/>
        <v>1</v>
      </c>
      <c r="M2237" s="1" t="b">
        <f>IF(OR(入力シート!$C$5&lt;&gt;入力リスト!$N$4,入力シート!$J$22&lt;&gt;入力リスト!$K$4),TRUE,IF($F$2=入力リスト!$Q$4,IF(F2237-INT(F2237)&lt;0.6,TRUE,FALSE),TRUE))</f>
        <v>1</v>
      </c>
      <c r="N2237" s="9" t="str">
        <f>IF(F2237="","",IF($F$2=入力リスト!$Q$4,ROUNDDOWN(INT(F2237)+ROUNDDOWN((F2237-INT(F2237))*100,0)/60,2),従業員の給与情報!F2237))</f>
        <v/>
      </c>
      <c r="O2237" s="8"/>
      <c r="P2237" s="8"/>
    </row>
    <row r="2238" spans="1:16">
      <c r="A2238" s="336"/>
      <c r="B2238" s="337"/>
      <c r="C2238" s="337"/>
      <c r="D2238" s="3"/>
      <c r="E2238" s="337"/>
      <c r="F2238" s="338"/>
      <c r="G2238" s="248" t="str">
        <f t="shared" si="170"/>
        <v/>
      </c>
      <c r="H2238" s="1" t="b">
        <f>IF(B2238="",FALSE,COUNTIF('従業員情報(給与以外)'!$A$4:$A$1000000,$B2238)=0)</f>
        <v>0</v>
      </c>
      <c r="I2238" s="9" t="b">
        <f t="shared" si="175"/>
        <v>1</v>
      </c>
      <c r="J2238" s="9" t="b">
        <f t="shared" si="176"/>
        <v>1</v>
      </c>
      <c r="K2238" s="9" t="b">
        <f t="shared" si="177"/>
        <v>1</v>
      </c>
      <c r="L2238" s="9" t="b">
        <f t="shared" si="178"/>
        <v>1</v>
      </c>
      <c r="M2238" s="1" t="b">
        <f>IF(OR(入力シート!$C$5&lt;&gt;入力リスト!$N$4,入力シート!$J$22&lt;&gt;入力リスト!$K$4),TRUE,IF($F$2=入力リスト!$Q$4,IF(F2238-INT(F2238)&lt;0.6,TRUE,FALSE),TRUE))</f>
        <v>1</v>
      </c>
      <c r="N2238" s="9" t="str">
        <f>IF(F2238="","",IF($F$2=入力リスト!$Q$4,ROUNDDOWN(INT(F2238)+ROUNDDOWN((F2238-INT(F2238))*100,0)/60,2),従業員の給与情報!F2238))</f>
        <v/>
      </c>
      <c r="O2238" s="8"/>
      <c r="P2238" s="8"/>
    </row>
    <row r="2239" spans="1:16">
      <c r="A2239" s="336"/>
      <c r="B2239" s="337"/>
      <c r="C2239" s="337"/>
      <c r="D2239" s="3"/>
      <c r="E2239" s="337"/>
      <c r="F2239" s="338"/>
      <c r="G2239" s="248" t="str">
        <f t="shared" si="170"/>
        <v/>
      </c>
      <c r="H2239" s="1" t="b">
        <f>IF(B2239="",FALSE,COUNTIF('従業員情報(給与以外)'!$A$4:$A$1000000,$B2239)=0)</f>
        <v>0</v>
      </c>
      <c r="I2239" s="9" t="b">
        <f t="shared" si="175"/>
        <v>1</v>
      </c>
      <c r="J2239" s="9" t="b">
        <f t="shared" si="176"/>
        <v>1</v>
      </c>
      <c r="K2239" s="9" t="b">
        <f t="shared" si="177"/>
        <v>1</v>
      </c>
      <c r="L2239" s="9" t="b">
        <f t="shared" si="178"/>
        <v>1</v>
      </c>
      <c r="M2239" s="1" t="b">
        <f>IF(OR(入力シート!$C$5&lt;&gt;入力リスト!$N$4,入力シート!$J$22&lt;&gt;入力リスト!$K$4),TRUE,IF($F$2=入力リスト!$Q$4,IF(F2239-INT(F2239)&lt;0.6,TRUE,FALSE),TRUE))</f>
        <v>1</v>
      </c>
      <c r="N2239" s="9" t="str">
        <f>IF(F2239="","",IF($F$2=入力リスト!$Q$4,ROUNDDOWN(INT(F2239)+ROUNDDOWN((F2239-INT(F2239))*100,0)/60,2),従業員の給与情報!F2239))</f>
        <v/>
      </c>
      <c r="O2239" s="8"/>
      <c r="P2239" s="8"/>
    </row>
    <row r="2240" spans="1:16">
      <c r="A2240" s="336"/>
      <c r="B2240" s="337"/>
      <c r="C2240" s="337"/>
      <c r="D2240" s="3"/>
      <c r="E2240" s="337"/>
      <c r="F2240" s="338"/>
      <c r="G2240" s="248" t="str">
        <f t="shared" si="170"/>
        <v/>
      </c>
      <c r="H2240" s="1" t="b">
        <f>IF(B2240="",FALSE,COUNTIF('従業員情報(給与以外)'!$A$4:$A$1000000,$B2240)=0)</f>
        <v>0</v>
      </c>
      <c r="I2240" s="9" t="b">
        <f t="shared" si="175"/>
        <v>1</v>
      </c>
      <c r="J2240" s="9" t="b">
        <f t="shared" si="176"/>
        <v>1</v>
      </c>
      <c r="K2240" s="9" t="b">
        <f t="shared" si="177"/>
        <v>1</v>
      </c>
      <c r="L2240" s="9" t="b">
        <f t="shared" si="178"/>
        <v>1</v>
      </c>
      <c r="M2240" s="1" t="b">
        <f>IF(OR(入力シート!$C$5&lt;&gt;入力リスト!$N$4,入力シート!$J$22&lt;&gt;入力リスト!$K$4),TRUE,IF($F$2=入力リスト!$Q$4,IF(F2240-INT(F2240)&lt;0.6,TRUE,FALSE),TRUE))</f>
        <v>1</v>
      </c>
      <c r="N2240" s="9" t="str">
        <f>IF(F2240="","",IF($F$2=入力リスト!$Q$4,ROUNDDOWN(INT(F2240)+ROUNDDOWN((F2240-INT(F2240))*100,0)/60,2),従業員の給与情報!F2240))</f>
        <v/>
      </c>
      <c r="O2240" s="8"/>
      <c r="P2240" s="8"/>
    </row>
    <row r="2241" spans="1:16">
      <c r="A2241" s="336"/>
      <c r="B2241" s="337"/>
      <c r="C2241" s="337"/>
      <c r="D2241" s="3"/>
      <c r="E2241" s="337"/>
      <c r="F2241" s="338"/>
      <c r="G2241" s="248" t="str">
        <f t="shared" si="170"/>
        <v/>
      </c>
      <c r="H2241" s="1" t="b">
        <f>IF(B2241="",FALSE,COUNTIF('従業員情報(給与以外)'!$A$4:$A$1000000,$B2241)=0)</f>
        <v>0</v>
      </c>
      <c r="I2241" s="9" t="b">
        <f t="shared" si="175"/>
        <v>1</v>
      </c>
      <c r="J2241" s="9" t="b">
        <f t="shared" si="176"/>
        <v>1</v>
      </c>
      <c r="K2241" s="9" t="b">
        <f t="shared" si="177"/>
        <v>1</v>
      </c>
      <c r="L2241" s="9" t="b">
        <f t="shared" si="178"/>
        <v>1</v>
      </c>
      <c r="M2241" s="1" t="b">
        <f>IF(OR(入力シート!$C$5&lt;&gt;入力リスト!$N$4,入力シート!$J$22&lt;&gt;入力リスト!$K$4),TRUE,IF($F$2=入力リスト!$Q$4,IF(F2241-INT(F2241)&lt;0.6,TRUE,FALSE),TRUE))</f>
        <v>1</v>
      </c>
      <c r="N2241" s="9" t="str">
        <f>IF(F2241="","",IF($F$2=入力リスト!$Q$4,ROUNDDOWN(INT(F2241)+ROUNDDOWN((F2241-INT(F2241))*100,0)/60,2),従業員の給与情報!F2241))</f>
        <v/>
      </c>
      <c r="O2241" s="8"/>
      <c r="P2241" s="8"/>
    </row>
    <row r="2242" spans="1:16">
      <c r="A2242" s="336"/>
      <c r="B2242" s="337"/>
      <c r="C2242" s="337"/>
      <c r="D2242" s="3"/>
      <c r="E2242" s="337"/>
      <c r="F2242" s="338"/>
      <c r="G2242" s="248" t="str">
        <f t="shared" si="170"/>
        <v/>
      </c>
      <c r="H2242" s="1" t="b">
        <f>IF(B2242="",FALSE,COUNTIF('従業員情報(給与以外)'!$A$4:$A$1000000,$B2242)=0)</f>
        <v>0</v>
      </c>
      <c r="I2242" s="9" t="b">
        <f t="shared" si="175"/>
        <v>1</v>
      </c>
      <c r="J2242" s="9" t="b">
        <f t="shared" si="176"/>
        <v>1</v>
      </c>
      <c r="K2242" s="9" t="b">
        <f t="shared" si="177"/>
        <v>1</v>
      </c>
      <c r="L2242" s="9" t="b">
        <f t="shared" si="178"/>
        <v>1</v>
      </c>
      <c r="M2242" s="1" t="b">
        <f>IF(OR(入力シート!$C$5&lt;&gt;入力リスト!$N$4,入力シート!$J$22&lt;&gt;入力リスト!$K$4),TRUE,IF($F$2=入力リスト!$Q$4,IF(F2242-INT(F2242)&lt;0.6,TRUE,FALSE),TRUE))</f>
        <v>1</v>
      </c>
      <c r="N2242" s="9" t="str">
        <f>IF(F2242="","",IF($F$2=入力リスト!$Q$4,ROUNDDOWN(INT(F2242)+ROUNDDOWN((F2242-INT(F2242))*100,0)/60,2),従業員の給与情報!F2242))</f>
        <v/>
      </c>
      <c r="O2242" s="8"/>
      <c r="P2242" s="8"/>
    </row>
    <row r="2243" spans="1:16">
      <c r="A2243" s="336"/>
      <c r="B2243" s="337"/>
      <c r="C2243" s="337"/>
      <c r="D2243" s="3"/>
      <c r="E2243" s="337"/>
      <c r="F2243" s="338"/>
      <c r="G2243" s="248" t="str">
        <f t="shared" si="170"/>
        <v/>
      </c>
      <c r="H2243" s="1" t="b">
        <f>IF(B2243="",FALSE,COUNTIF('従業員情報(給与以外)'!$A$4:$A$1000000,$B2243)=0)</f>
        <v>0</v>
      </c>
      <c r="I2243" s="9" t="b">
        <f t="shared" si="175"/>
        <v>1</v>
      </c>
      <c r="J2243" s="9" t="b">
        <f t="shared" si="176"/>
        <v>1</v>
      </c>
      <c r="K2243" s="9" t="b">
        <f t="shared" si="177"/>
        <v>1</v>
      </c>
      <c r="L2243" s="9" t="b">
        <f t="shared" si="178"/>
        <v>1</v>
      </c>
      <c r="M2243" s="1" t="b">
        <f>IF(OR(入力シート!$C$5&lt;&gt;入力リスト!$N$4,入力シート!$J$22&lt;&gt;入力リスト!$K$4),TRUE,IF($F$2=入力リスト!$Q$4,IF(F2243-INT(F2243)&lt;0.6,TRUE,FALSE),TRUE))</f>
        <v>1</v>
      </c>
      <c r="N2243" s="9" t="str">
        <f>IF(F2243="","",IF($F$2=入力リスト!$Q$4,ROUNDDOWN(INT(F2243)+ROUNDDOWN((F2243-INT(F2243))*100,0)/60,2),従業員の給与情報!F2243))</f>
        <v/>
      </c>
      <c r="O2243" s="8"/>
      <c r="P2243" s="8"/>
    </row>
    <row r="2244" spans="1:16">
      <c r="A2244" s="336"/>
      <c r="B2244" s="337"/>
      <c r="C2244" s="337"/>
      <c r="D2244" s="3"/>
      <c r="E2244" s="337"/>
      <c r="F2244" s="338"/>
      <c r="G2244" s="248" t="str">
        <f t="shared" si="170"/>
        <v/>
      </c>
      <c r="H2244" s="1" t="b">
        <f>IF(B2244="",FALSE,COUNTIF('従業員情報(給与以外)'!$A$4:$A$1000000,$B2244)=0)</f>
        <v>0</v>
      </c>
      <c r="I2244" s="9" t="b">
        <f t="shared" si="175"/>
        <v>1</v>
      </c>
      <c r="J2244" s="9" t="b">
        <f t="shared" si="176"/>
        <v>1</v>
      </c>
      <c r="K2244" s="9" t="b">
        <f t="shared" si="177"/>
        <v>1</v>
      </c>
      <c r="L2244" s="9" t="b">
        <f t="shared" si="178"/>
        <v>1</v>
      </c>
      <c r="M2244" s="1" t="b">
        <f>IF(OR(入力シート!$C$5&lt;&gt;入力リスト!$N$4,入力シート!$J$22&lt;&gt;入力リスト!$K$4),TRUE,IF($F$2=入力リスト!$Q$4,IF(F2244-INT(F2244)&lt;0.6,TRUE,FALSE),TRUE))</f>
        <v>1</v>
      </c>
      <c r="N2244" s="9" t="str">
        <f>IF(F2244="","",IF($F$2=入力リスト!$Q$4,ROUNDDOWN(INT(F2244)+ROUNDDOWN((F2244-INT(F2244))*100,0)/60,2),従業員の給与情報!F2244))</f>
        <v/>
      </c>
      <c r="O2244" s="8"/>
      <c r="P2244" s="8"/>
    </row>
    <row r="2245" spans="1:16">
      <c r="A2245" s="336"/>
      <c r="B2245" s="337"/>
      <c r="C2245" s="337"/>
      <c r="D2245" s="3"/>
      <c r="E2245" s="337"/>
      <c r="F2245" s="338"/>
      <c r="G2245" s="248" t="str">
        <f t="shared" ref="G2245:G2308" si="179">IF(AND($B2245="",OR(B2245&lt;&gt;"",C2245&lt;&gt;"",D2245&lt;&gt;"",E2245&lt;&gt;"",F2245&lt;&gt;"")),"従業員番号が空白です。",IF($H2245=TRUE,"この従業員番号は、シート［従業員情報（給与以外）］に存在しません。",IF(I2245=FALSE,"「毎月の固定給与額」","")&amp;IF(AND(I2245=FALSE,OR(J2245=FALSE,K2245=FALSE,L2245=FALSE)),",","")&amp;IF(J2245=FALSE,"「賞与額等」","")&amp;IF(AND(J2245=FALSE,OR(K2245=FALSE,L2245=FALSE)),",","")&amp;IF(K2245=FALSE,"「残業手当」","")&amp;IF(AND(K2245=FALSE,L2245=FALSE),",","")&amp;IF(L2245=FALSE,"「残業時間」","")&amp;IF(OR(I2245=FALSE,J2245=FALSE,K2245=FALSE,L2245=FALSE),"に数値以外が入力されています。","")&amp;IF(M2245,"","「残業時間」を分単位で入力した場合、小数点以下の値は0.6未満にしてください。")))</f>
        <v/>
      </c>
      <c r="H2245" s="1" t="b">
        <f>IF(B2245="",FALSE,COUNTIF('従業員情報(給与以外)'!$A$4:$A$1000000,$B2245)=0)</f>
        <v>0</v>
      </c>
      <c r="I2245" s="9" t="b">
        <f t="shared" si="175"/>
        <v>1</v>
      </c>
      <c r="J2245" s="9" t="b">
        <f t="shared" si="176"/>
        <v>1</v>
      </c>
      <c r="K2245" s="9" t="b">
        <f t="shared" si="177"/>
        <v>1</v>
      </c>
      <c r="L2245" s="9" t="b">
        <f t="shared" si="178"/>
        <v>1</v>
      </c>
      <c r="M2245" s="1" t="b">
        <f>IF(OR(入力シート!$C$5&lt;&gt;入力リスト!$N$4,入力シート!$J$22&lt;&gt;入力リスト!$K$4),TRUE,IF($F$2=入力リスト!$Q$4,IF(F2245-INT(F2245)&lt;0.6,TRUE,FALSE),TRUE))</f>
        <v>1</v>
      </c>
      <c r="N2245" s="9" t="str">
        <f>IF(F2245="","",IF($F$2=入力リスト!$Q$4,ROUNDDOWN(INT(F2245)+ROUNDDOWN((F2245-INT(F2245))*100,0)/60,2),従業員の給与情報!F2245))</f>
        <v/>
      </c>
      <c r="O2245" s="8"/>
      <c r="P2245" s="8"/>
    </row>
    <row r="2246" spans="1:16">
      <c r="A2246" s="336"/>
      <c r="B2246" s="337"/>
      <c r="C2246" s="337"/>
      <c r="D2246" s="3"/>
      <c r="E2246" s="337"/>
      <c r="F2246" s="338"/>
      <c r="G2246" s="248" t="str">
        <f t="shared" si="179"/>
        <v/>
      </c>
      <c r="H2246" s="1" t="b">
        <f>IF(B2246="",FALSE,COUNTIF('従業員情報(給与以外)'!$A$4:$A$1000000,$B2246)=0)</f>
        <v>0</v>
      </c>
      <c r="I2246" s="9" t="b">
        <f t="shared" si="175"/>
        <v>1</v>
      </c>
      <c r="J2246" s="9" t="b">
        <f t="shared" si="176"/>
        <v>1</v>
      </c>
      <c r="K2246" s="9" t="b">
        <f t="shared" si="177"/>
        <v>1</v>
      </c>
      <c r="L2246" s="9" t="b">
        <f t="shared" si="178"/>
        <v>1</v>
      </c>
      <c r="M2246" s="1" t="b">
        <f>IF(OR(入力シート!$C$5&lt;&gt;入力リスト!$N$4,入力シート!$J$22&lt;&gt;入力リスト!$K$4),TRUE,IF($F$2=入力リスト!$Q$4,IF(F2246-INT(F2246)&lt;0.6,TRUE,FALSE),TRUE))</f>
        <v>1</v>
      </c>
      <c r="N2246" s="9" t="str">
        <f>IF(F2246="","",IF($F$2=入力リスト!$Q$4,ROUNDDOWN(INT(F2246)+ROUNDDOWN((F2246-INT(F2246))*100,0)/60,2),従業員の給与情報!F2246))</f>
        <v/>
      </c>
      <c r="O2246" s="8"/>
      <c r="P2246" s="8"/>
    </row>
    <row r="2247" spans="1:16">
      <c r="A2247" s="336"/>
      <c r="B2247" s="337"/>
      <c r="C2247" s="337"/>
      <c r="D2247" s="3"/>
      <c r="E2247" s="337"/>
      <c r="F2247" s="338"/>
      <c r="G2247" s="248" t="str">
        <f t="shared" si="179"/>
        <v/>
      </c>
      <c r="H2247" s="1" t="b">
        <f>IF(B2247="",FALSE,COUNTIF('従業員情報(給与以外)'!$A$4:$A$1000000,$B2247)=0)</f>
        <v>0</v>
      </c>
      <c r="I2247" s="9" t="b">
        <f t="shared" si="175"/>
        <v>1</v>
      </c>
      <c r="J2247" s="9" t="b">
        <f t="shared" si="176"/>
        <v>1</v>
      </c>
      <c r="K2247" s="9" t="b">
        <f t="shared" si="177"/>
        <v>1</v>
      </c>
      <c r="L2247" s="9" t="b">
        <f t="shared" si="178"/>
        <v>1</v>
      </c>
      <c r="M2247" s="1" t="b">
        <f>IF(OR(入力シート!$C$5&lt;&gt;入力リスト!$N$4,入力シート!$J$22&lt;&gt;入力リスト!$K$4),TRUE,IF($F$2=入力リスト!$Q$4,IF(F2247-INT(F2247)&lt;0.6,TRUE,FALSE),TRUE))</f>
        <v>1</v>
      </c>
      <c r="N2247" s="9" t="str">
        <f>IF(F2247="","",IF($F$2=入力リスト!$Q$4,ROUNDDOWN(INT(F2247)+ROUNDDOWN((F2247-INT(F2247))*100,0)/60,2),従業員の給与情報!F2247))</f>
        <v/>
      </c>
      <c r="O2247" s="8"/>
      <c r="P2247" s="8"/>
    </row>
    <row r="2248" spans="1:16">
      <c r="A2248" s="336"/>
      <c r="B2248" s="337"/>
      <c r="C2248" s="337"/>
      <c r="D2248" s="3"/>
      <c r="E2248" s="337"/>
      <c r="F2248" s="338"/>
      <c r="G2248" s="248" t="str">
        <f t="shared" si="179"/>
        <v/>
      </c>
      <c r="H2248" s="1" t="b">
        <f>IF(B2248="",FALSE,COUNTIF('従業員情報(給与以外)'!$A$4:$A$1000000,$B2248)=0)</f>
        <v>0</v>
      </c>
      <c r="I2248" s="9" t="b">
        <f t="shared" si="175"/>
        <v>1</v>
      </c>
      <c r="J2248" s="9" t="b">
        <f t="shared" si="176"/>
        <v>1</v>
      </c>
      <c r="K2248" s="9" t="b">
        <f t="shared" si="177"/>
        <v>1</v>
      </c>
      <c r="L2248" s="9" t="b">
        <f t="shared" si="178"/>
        <v>1</v>
      </c>
      <c r="M2248" s="1" t="b">
        <f>IF(OR(入力シート!$C$5&lt;&gt;入力リスト!$N$4,入力シート!$J$22&lt;&gt;入力リスト!$K$4),TRUE,IF($F$2=入力リスト!$Q$4,IF(F2248-INT(F2248)&lt;0.6,TRUE,FALSE),TRUE))</f>
        <v>1</v>
      </c>
      <c r="N2248" s="9" t="str">
        <f>IF(F2248="","",IF($F$2=入力リスト!$Q$4,ROUNDDOWN(INT(F2248)+ROUNDDOWN((F2248-INT(F2248))*100,0)/60,2),従業員の給与情報!F2248))</f>
        <v/>
      </c>
      <c r="O2248" s="8"/>
      <c r="P2248" s="8"/>
    </row>
    <row r="2249" spans="1:16">
      <c r="A2249" s="336"/>
      <c r="B2249" s="337"/>
      <c r="C2249" s="337"/>
      <c r="D2249" s="3"/>
      <c r="E2249" s="337"/>
      <c r="F2249" s="338"/>
      <c r="G2249" s="248" t="str">
        <f t="shared" si="179"/>
        <v/>
      </c>
      <c r="H2249" s="1" t="b">
        <f>IF(B2249="",FALSE,COUNTIF('従業員情報(給与以外)'!$A$4:$A$1000000,$B2249)=0)</f>
        <v>0</v>
      </c>
      <c r="I2249" s="9" t="b">
        <f t="shared" si="175"/>
        <v>1</v>
      </c>
      <c r="J2249" s="9" t="b">
        <f t="shared" si="176"/>
        <v>1</v>
      </c>
      <c r="K2249" s="9" t="b">
        <f t="shared" si="177"/>
        <v>1</v>
      </c>
      <c r="L2249" s="9" t="b">
        <f t="shared" si="178"/>
        <v>1</v>
      </c>
      <c r="M2249" s="1" t="b">
        <f>IF(OR(入力シート!$C$5&lt;&gt;入力リスト!$N$4,入力シート!$J$22&lt;&gt;入力リスト!$K$4),TRUE,IF($F$2=入力リスト!$Q$4,IF(F2249-INT(F2249)&lt;0.6,TRUE,FALSE),TRUE))</f>
        <v>1</v>
      </c>
      <c r="N2249" s="9" t="str">
        <f>IF(F2249="","",IF($F$2=入力リスト!$Q$4,ROUNDDOWN(INT(F2249)+ROUNDDOWN((F2249-INT(F2249))*100,0)/60,2),従業員の給与情報!F2249))</f>
        <v/>
      </c>
      <c r="O2249" s="8"/>
      <c r="P2249" s="8"/>
    </row>
    <row r="2250" spans="1:16">
      <c r="A2250" s="336"/>
      <c r="B2250" s="337"/>
      <c r="C2250" s="337"/>
      <c r="D2250" s="3"/>
      <c r="E2250" s="337"/>
      <c r="F2250" s="338"/>
      <c r="G2250" s="248" t="str">
        <f t="shared" si="179"/>
        <v/>
      </c>
      <c r="H2250" s="1" t="b">
        <f>IF(B2250="",FALSE,COUNTIF('従業員情報(給与以外)'!$A$4:$A$1000000,$B2250)=0)</f>
        <v>0</v>
      </c>
      <c r="I2250" s="9" t="b">
        <f t="shared" si="175"/>
        <v>1</v>
      </c>
      <c r="J2250" s="9" t="b">
        <f t="shared" si="176"/>
        <v>1</v>
      </c>
      <c r="K2250" s="9" t="b">
        <f t="shared" si="177"/>
        <v>1</v>
      </c>
      <c r="L2250" s="9" t="b">
        <f t="shared" si="178"/>
        <v>1</v>
      </c>
      <c r="M2250" s="1" t="b">
        <f>IF(OR(入力シート!$C$5&lt;&gt;入力リスト!$N$4,入力シート!$J$22&lt;&gt;入力リスト!$K$4),TRUE,IF($F$2=入力リスト!$Q$4,IF(F2250-INT(F2250)&lt;0.6,TRUE,FALSE),TRUE))</f>
        <v>1</v>
      </c>
      <c r="N2250" s="9" t="str">
        <f>IF(F2250="","",IF($F$2=入力リスト!$Q$4,ROUNDDOWN(INT(F2250)+ROUNDDOWN((F2250-INT(F2250))*100,0)/60,2),従業員の給与情報!F2250))</f>
        <v/>
      </c>
      <c r="O2250" s="8"/>
      <c r="P2250" s="8"/>
    </row>
    <row r="2251" spans="1:16">
      <c r="A2251" s="336"/>
      <c r="B2251" s="337"/>
      <c r="C2251" s="337"/>
      <c r="D2251" s="3"/>
      <c r="E2251" s="337"/>
      <c r="F2251" s="338"/>
      <c r="G2251" s="248" t="str">
        <f t="shared" si="179"/>
        <v/>
      </c>
      <c r="H2251" s="1" t="b">
        <f>IF(B2251="",FALSE,COUNTIF('従業員情報(給与以外)'!$A$4:$A$1000000,$B2251)=0)</f>
        <v>0</v>
      </c>
      <c r="I2251" s="9" t="b">
        <f t="shared" si="175"/>
        <v>1</v>
      </c>
      <c r="J2251" s="9" t="b">
        <f t="shared" si="176"/>
        <v>1</v>
      </c>
      <c r="K2251" s="9" t="b">
        <f t="shared" si="177"/>
        <v>1</v>
      </c>
      <c r="L2251" s="9" t="b">
        <f t="shared" si="178"/>
        <v>1</v>
      </c>
      <c r="M2251" s="1" t="b">
        <f>IF(OR(入力シート!$C$5&lt;&gt;入力リスト!$N$4,入力シート!$J$22&lt;&gt;入力リスト!$K$4),TRUE,IF($F$2=入力リスト!$Q$4,IF(F2251-INT(F2251)&lt;0.6,TRUE,FALSE),TRUE))</f>
        <v>1</v>
      </c>
      <c r="N2251" s="9" t="str">
        <f>IF(F2251="","",IF($F$2=入力リスト!$Q$4,ROUNDDOWN(INT(F2251)+ROUNDDOWN((F2251-INT(F2251))*100,0)/60,2),従業員の給与情報!F2251))</f>
        <v/>
      </c>
      <c r="O2251" s="8"/>
      <c r="P2251" s="8"/>
    </row>
    <row r="2252" spans="1:16">
      <c r="A2252" s="336"/>
      <c r="B2252" s="337"/>
      <c r="C2252" s="337"/>
      <c r="D2252" s="3"/>
      <c r="E2252" s="337"/>
      <c r="F2252" s="338"/>
      <c r="G2252" s="248" t="str">
        <f t="shared" si="179"/>
        <v/>
      </c>
      <c r="H2252" s="1" t="b">
        <f>IF(B2252="",FALSE,COUNTIF('従業員情報(給与以外)'!$A$4:$A$1000000,$B2252)=0)</f>
        <v>0</v>
      </c>
      <c r="I2252" s="9" t="b">
        <f t="shared" si="175"/>
        <v>1</v>
      </c>
      <c r="J2252" s="9" t="b">
        <f t="shared" si="176"/>
        <v>1</v>
      </c>
      <c r="K2252" s="9" t="b">
        <f t="shared" si="177"/>
        <v>1</v>
      </c>
      <c r="L2252" s="9" t="b">
        <f t="shared" si="178"/>
        <v>1</v>
      </c>
      <c r="M2252" s="1" t="b">
        <f>IF(OR(入力シート!$C$5&lt;&gt;入力リスト!$N$4,入力シート!$J$22&lt;&gt;入力リスト!$K$4),TRUE,IF($F$2=入力リスト!$Q$4,IF(F2252-INT(F2252)&lt;0.6,TRUE,FALSE),TRUE))</f>
        <v>1</v>
      </c>
      <c r="N2252" s="9" t="str">
        <f>IF(F2252="","",IF($F$2=入力リスト!$Q$4,ROUNDDOWN(INT(F2252)+ROUNDDOWN((F2252-INT(F2252))*100,0)/60,2),従業員の給与情報!F2252))</f>
        <v/>
      </c>
      <c r="O2252" s="8"/>
      <c r="P2252" s="8"/>
    </row>
    <row r="2253" spans="1:16">
      <c r="A2253" s="336"/>
      <c r="B2253" s="337"/>
      <c r="C2253" s="337"/>
      <c r="D2253" s="3"/>
      <c r="E2253" s="337"/>
      <c r="F2253" s="338"/>
      <c r="G2253" s="248" t="str">
        <f t="shared" si="179"/>
        <v/>
      </c>
      <c r="H2253" s="1" t="b">
        <f>IF(B2253="",FALSE,COUNTIF('従業員情報(給与以外)'!$A$4:$A$1000000,$B2253)=0)</f>
        <v>0</v>
      </c>
      <c r="I2253" s="9" t="b">
        <f t="shared" si="175"/>
        <v>1</v>
      </c>
      <c r="J2253" s="9" t="b">
        <f t="shared" si="176"/>
        <v>1</v>
      </c>
      <c r="K2253" s="9" t="b">
        <f t="shared" si="177"/>
        <v>1</v>
      </c>
      <c r="L2253" s="9" t="b">
        <f t="shared" si="178"/>
        <v>1</v>
      </c>
      <c r="M2253" s="1" t="b">
        <f>IF(OR(入力シート!$C$5&lt;&gt;入力リスト!$N$4,入力シート!$J$22&lt;&gt;入力リスト!$K$4),TRUE,IF($F$2=入力リスト!$Q$4,IF(F2253-INT(F2253)&lt;0.6,TRUE,FALSE),TRUE))</f>
        <v>1</v>
      </c>
      <c r="N2253" s="9" t="str">
        <f>IF(F2253="","",IF($F$2=入力リスト!$Q$4,ROUNDDOWN(INT(F2253)+ROUNDDOWN((F2253-INT(F2253))*100,0)/60,2),従業員の給与情報!F2253))</f>
        <v/>
      </c>
      <c r="O2253" s="8"/>
      <c r="P2253" s="8"/>
    </row>
    <row r="2254" spans="1:16">
      <c r="A2254" s="336"/>
      <c r="B2254" s="337"/>
      <c r="C2254" s="337"/>
      <c r="D2254" s="3"/>
      <c r="E2254" s="337"/>
      <c r="F2254" s="338"/>
      <c r="G2254" s="248" t="str">
        <f t="shared" si="179"/>
        <v/>
      </c>
      <c r="H2254" s="1" t="b">
        <f>IF(B2254="",FALSE,COUNTIF('従業員情報(給与以外)'!$A$4:$A$1000000,$B2254)=0)</f>
        <v>0</v>
      </c>
      <c r="I2254" s="9" t="b">
        <f t="shared" si="175"/>
        <v>1</v>
      </c>
      <c r="J2254" s="9" t="b">
        <f t="shared" si="176"/>
        <v>1</v>
      </c>
      <c r="K2254" s="9" t="b">
        <f t="shared" si="177"/>
        <v>1</v>
      </c>
      <c r="L2254" s="9" t="b">
        <f t="shared" si="178"/>
        <v>1</v>
      </c>
      <c r="M2254" s="1" t="b">
        <f>IF(OR(入力シート!$C$5&lt;&gt;入力リスト!$N$4,入力シート!$J$22&lt;&gt;入力リスト!$K$4),TRUE,IF($F$2=入力リスト!$Q$4,IF(F2254-INT(F2254)&lt;0.6,TRUE,FALSE),TRUE))</f>
        <v>1</v>
      </c>
      <c r="N2254" s="9" t="str">
        <f>IF(F2254="","",IF($F$2=入力リスト!$Q$4,ROUNDDOWN(INT(F2254)+ROUNDDOWN((F2254-INT(F2254))*100,0)/60,2),従業員の給与情報!F2254))</f>
        <v/>
      </c>
      <c r="O2254" s="8"/>
      <c r="P2254" s="8"/>
    </row>
    <row r="2255" spans="1:16">
      <c r="A2255" s="336"/>
      <c r="B2255" s="337"/>
      <c r="C2255" s="337"/>
      <c r="D2255" s="3"/>
      <c r="E2255" s="337"/>
      <c r="F2255" s="338"/>
      <c r="G2255" s="248" t="str">
        <f t="shared" si="179"/>
        <v/>
      </c>
      <c r="H2255" s="1" t="b">
        <f>IF(B2255="",FALSE,COUNTIF('従業員情報(給与以外)'!$A$4:$A$1000000,$B2255)=0)</f>
        <v>0</v>
      </c>
      <c r="I2255" s="9" t="b">
        <f t="shared" si="175"/>
        <v>1</v>
      </c>
      <c r="J2255" s="9" t="b">
        <f t="shared" si="176"/>
        <v>1</v>
      </c>
      <c r="K2255" s="9" t="b">
        <f t="shared" si="177"/>
        <v>1</v>
      </c>
      <c r="L2255" s="9" t="b">
        <f t="shared" si="178"/>
        <v>1</v>
      </c>
      <c r="M2255" s="1" t="b">
        <f>IF(OR(入力シート!$C$5&lt;&gt;入力リスト!$N$4,入力シート!$J$22&lt;&gt;入力リスト!$K$4),TRUE,IF($F$2=入力リスト!$Q$4,IF(F2255-INT(F2255)&lt;0.6,TRUE,FALSE),TRUE))</f>
        <v>1</v>
      </c>
      <c r="N2255" s="9" t="str">
        <f>IF(F2255="","",IF($F$2=入力リスト!$Q$4,ROUNDDOWN(INT(F2255)+ROUNDDOWN((F2255-INT(F2255))*100,0)/60,2),従業員の給与情報!F2255))</f>
        <v/>
      </c>
      <c r="O2255" s="8"/>
      <c r="P2255" s="8"/>
    </row>
    <row r="2256" spans="1:16">
      <c r="A2256" s="336"/>
      <c r="B2256" s="337"/>
      <c r="C2256" s="337"/>
      <c r="D2256" s="3"/>
      <c r="E2256" s="337"/>
      <c r="F2256" s="338"/>
      <c r="G2256" s="248" t="str">
        <f t="shared" si="179"/>
        <v/>
      </c>
      <c r="H2256" s="1" t="b">
        <f>IF(B2256="",FALSE,COUNTIF('従業員情報(給与以外)'!$A$4:$A$1000000,$B2256)=0)</f>
        <v>0</v>
      </c>
      <c r="I2256" s="9" t="b">
        <f t="shared" si="175"/>
        <v>1</v>
      </c>
      <c r="J2256" s="9" t="b">
        <f t="shared" si="176"/>
        <v>1</v>
      </c>
      <c r="K2256" s="9" t="b">
        <f t="shared" si="177"/>
        <v>1</v>
      </c>
      <c r="L2256" s="9" t="b">
        <f t="shared" si="178"/>
        <v>1</v>
      </c>
      <c r="M2256" s="1" t="b">
        <f>IF(OR(入力シート!$C$5&lt;&gt;入力リスト!$N$4,入力シート!$J$22&lt;&gt;入力リスト!$K$4),TRUE,IF($F$2=入力リスト!$Q$4,IF(F2256-INT(F2256)&lt;0.6,TRUE,FALSE),TRUE))</f>
        <v>1</v>
      </c>
      <c r="N2256" s="9" t="str">
        <f>IF(F2256="","",IF($F$2=入力リスト!$Q$4,ROUNDDOWN(INT(F2256)+ROUNDDOWN((F2256-INT(F2256))*100,0)/60,2),従業員の給与情報!F2256))</f>
        <v/>
      </c>
      <c r="O2256" s="8"/>
      <c r="P2256" s="8"/>
    </row>
    <row r="2257" spans="1:16">
      <c r="A2257" s="336"/>
      <c r="B2257" s="337"/>
      <c r="C2257" s="337"/>
      <c r="D2257" s="3"/>
      <c r="E2257" s="337"/>
      <c r="F2257" s="338"/>
      <c r="G2257" s="248" t="str">
        <f t="shared" si="179"/>
        <v/>
      </c>
      <c r="H2257" s="1" t="b">
        <f>IF(B2257="",FALSE,COUNTIF('従業員情報(給与以外)'!$A$4:$A$1000000,$B2257)=0)</f>
        <v>0</v>
      </c>
      <c r="I2257" s="9" t="b">
        <f t="shared" si="175"/>
        <v>1</v>
      </c>
      <c r="J2257" s="9" t="b">
        <f t="shared" si="176"/>
        <v>1</v>
      </c>
      <c r="K2257" s="9" t="b">
        <f t="shared" si="177"/>
        <v>1</v>
      </c>
      <c r="L2257" s="9" t="b">
        <f t="shared" si="178"/>
        <v>1</v>
      </c>
      <c r="M2257" s="1" t="b">
        <f>IF(OR(入力シート!$C$5&lt;&gt;入力リスト!$N$4,入力シート!$J$22&lt;&gt;入力リスト!$K$4),TRUE,IF($F$2=入力リスト!$Q$4,IF(F2257-INT(F2257)&lt;0.6,TRUE,FALSE),TRUE))</f>
        <v>1</v>
      </c>
      <c r="N2257" s="9" t="str">
        <f>IF(F2257="","",IF($F$2=入力リスト!$Q$4,ROUNDDOWN(INT(F2257)+ROUNDDOWN((F2257-INT(F2257))*100,0)/60,2),従業員の給与情報!F2257))</f>
        <v/>
      </c>
      <c r="O2257" s="8"/>
      <c r="P2257" s="8"/>
    </row>
    <row r="2258" spans="1:16">
      <c r="A2258" s="336"/>
      <c r="B2258" s="337"/>
      <c r="C2258" s="337"/>
      <c r="D2258" s="3"/>
      <c r="E2258" s="337"/>
      <c r="F2258" s="338"/>
      <c r="G2258" s="248" t="str">
        <f t="shared" si="179"/>
        <v/>
      </c>
      <c r="H2258" s="1" t="b">
        <f>IF(B2258="",FALSE,COUNTIF('従業員情報(給与以外)'!$A$4:$A$1000000,$B2258)=0)</f>
        <v>0</v>
      </c>
      <c r="I2258" s="9" t="b">
        <f t="shared" si="175"/>
        <v>1</v>
      </c>
      <c r="J2258" s="9" t="b">
        <f t="shared" si="176"/>
        <v>1</v>
      </c>
      <c r="K2258" s="9" t="b">
        <f t="shared" si="177"/>
        <v>1</v>
      </c>
      <c r="L2258" s="9" t="b">
        <f t="shared" si="178"/>
        <v>1</v>
      </c>
      <c r="M2258" s="1" t="b">
        <f>IF(OR(入力シート!$C$5&lt;&gt;入力リスト!$N$4,入力シート!$J$22&lt;&gt;入力リスト!$K$4),TRUE,IF($F$2=入力リスト!$Q$4,IF(F2258-INT(F2258)&lt;0.6,TRUE,FALSE),TRUE))</f>
        <v>1</v>
      </c>
      <c r="N2258" s="9" t="str">
        <f>IF(F2258="","",IF($F$2=入力リスト!$Q$4,ROUNDDOWN(INT(F2258)+ROUNDDOWN((F2258-INT(F2258))*100,0)/60,2),従業員の給与情報!F2258))</f>
        <v/>
      </c>
      <c r="O2258" s="8"/>
      <c r="P2258" s="8"/>
    </row>
    <row r="2259" spans="1:16">
      <c r="A2259" s="336"/>
      <c r="B2259" s="337"/>
      <c r="C2259" s="337"/>
      <c r="D2259" s="3"/>
      <c r="E2259" s="337"/>
      <c r="F2259" s="338"/>
      <c r="G2259" s="248" t="str">
        <f t="shared" si="179"/>
        <v/>
      </c>
      <c r="H2259" s="1" t="b">
        <f>IF(B2259="",FALSE,COUNTIF('従業員情報(給与以外)'!$A$4:$A$1000000,$B2259)=0)</f>
        <v>0</v>
      </c>
      <c r="I2259" s="9" t="b">
        <f t="shared" si="175"/>
        <v>1</v>
      </c>
      <c r="J2259" s="9" t="b">
        <f t="shared" si="176"/>
        <v>1</v>
      </c>
      <c r="K2259" s="9" t="b">
        <f t="shared" si="177"/>
        <v>1</v>
      </c>
      <c r="L2259" s="9" t="b">
        <f t="shared" si="178"/>
        <v>1</v>
      </c>
      <c r="M2259" s="1" t="b">
        <f>IF(OR(入力シート!$C$5&lt;&gt;入力リスト!$N$4,入力シート!$J$22&lt;&gt;入力リスト!$K$4),TRUE,IF($F$2=入力リスト!$Q$4,IF(F2259-INT(F2259)&lt;0.6,TRUE,FALSE),TRUE))</f>
        <v>1</v>
      </c>
      <c r="N2259" s="9" t="str">
        <f>IF(F2259="","",IF($F$2=入力リスト!$Q$4,ROUNDDOWN(INT(F2259)+ROUNDDOWN((F2259-INT(F2259))*100,0)/60,2),従業員の給与情報!F2259))</f>
        <v/>
      </c>
      <c r="O2259" s="8"/>
      <c r="P2259" s="8"/>
    </row>
    <row r="2260" spans="1:16">
      <c r="A2260" s="336"/>
      <c r="B2260" s="337"/>
      <c r="C2260" s="337"/>
      <c r="D2260" s="3"/>
      <c r="E2260" s="337"/>
      <c r="F2260" s="338"/>
      <c r="G2260" s="248" t="str">
        <f t="shared" si="179"/>
        <v/>
      </c>
      <c r="H2260" s="1" t="b">
        <f>IF(B2260="",FALSE,COUNTIF('従業員情報(給与以外)'!$A$4:$A$1000000,$B2260)=0)</f>
        <v>0</v>
      </c>
      <c r="I2260" s="9" t="b">
        <f t="shared" si="175"/>
        <v>1</v>
      </c>
      <c r="J2260" s="9" t="b">
        <f t="shared" si="176"/>
        <v>1</v>
      </c>
      <c r="K2260" s="9" t="b">
        <f t="shared" si="177"/>
        <v>1</v>
      </c>
      <c r="L2260" s="9" t="b">
        <f t="shared" si="178"/>
        <v>1</v>
      </c>
      <c r="M2260" s="1" t="b">
        <f>IF(OR(入力シート!$C$5&lt;&gt;入力リスト!$N$4,入力シート!$J$22&lt;&gt;入力リスト!$K$4),TRUE,IF($F$2=入力リスト!$Q$4,IF(F2260-INT(F2260)&lt;0.6,TRUE,FALSE),TRUE))</f>
        <v>1</v>
      </c>
      <c r="N2260" s="9" t="str">
        <f>IF(F2260="","",IF($F$2=入力リスト!$Q$4,ROUNDDOWN(INT(F2260)+ROUNDDOWN((F2260-INT(F2260))*100,0)/60,2),従業員の給与情報!F2260))</f>
        <v/>
      </c>
      <c r="O2260" s="8"/>
      <c r="P2260" s="8"/>
    </row>
    <row r="2261" spans="1:16">
      <c r="A2261" s="336"/>
      <c r="B2261" s="337"/>
      <c r="C2261" s="337"/>
      <c r="D2261" s="3"/>
      <c r="E2261" s="337"/>
      <c r="F2261" s="338"/>
      <c r="G2261" s="248" t="str">
        <f t="shared" si="179"/>
        <v/>
      </c>
      <c r="H2261" s="1" t="b">
        <f>IF(B2261="",FALSE,COUNTIF('従業員情報(給与以外)'!$A$4:$A$1000000,$B2261)=0)</f>
        <v>0</v>
      </c>
      <c r="I2261" s="9" t="b">
        <f t="shared" si="175"/>
        <v>1</v>
      </c>
      <c r="J2261" s="9" t="b">
        <f t="shared" si="176"/>
        <v>1</v>
      </c>
      <c r="K2261" s="9" t="b">
        <f t="shared" si="177"/>
        <v>1</v>
      </c>
      <c r="L2261" s="9" t="b">
        <f t="shared" si="178"/>
        <v>1</v>
      </c>
      <c r="M2261" s="1" t="b">
        <f>IF(OR(入力シート!$C$5&lt;&gt;入力リスト!$N$4,入力シート!$J$22&lt;&gt;入力リスト!$K$4),TRUE,IF($F$2=入力リスト!$Q$4,IF(F2261-INT(F2261)&lt;0.6,TRUE,FALSE),TRUE))</f>
        <v>1</v>
      </c>
      <c r="N2261" s="9" t="str">
        <f>IF(F2261="","",IF($F$2=入力リスト!$Q$4,ROUNDDOWN(INT(F2261)+ROUNDDOWN((F2261-INT(F2261))*100,0)/60,2),従業員の給与情報!F2261))</f>
        <v/>
      </c>
      <c r="O2261" s="8"/>
      <c r="P2261" s="8"/>
    </row>
    <row r="2262" spans="1:16">
      <c r="A2262" s="336"/>
      <c r="B2262" s="337"/>
      <c r="C2262" s="337"/>
      <c r="D2262" s="3"/>
      <c r="E2262" s="337"/>
      <c r="F2262" s="338"/>
      <c r="G2262" s="248" t="str">
        <f t="shared" si="179"/>
        <v/>
      </c>
      <c r="H2262" s="1" t="b">
        <f>IF(B2262="",FALSE,COUNTIF('従業員情報(給与以外)'!$A$4:$A$1000000,$B2262)=0)</f>
        <v>0</v>
      </c>
      <c r="I2262" s="9" t="b">
        <f t="shared" si="175"/>
        <v>1</v>
      </c>
      <c r="J2262" s="9" t="b">
        <f t="shared" si="176"/>
        <v>1</v>
      </c>
      <c r="K2262" s="9" t="b">
        <f t="shared" si="177"/>
        <v>1</v>
      </c>
      <c r="L2262" s="9" t="b">
        <f t="shared" si="178"/>
        <v>1</v>
      </c>
      <c r="M2262" s="1" t="b">
        <f>IF(OR(入力シート!$C$5&lt;&gt;入力リスト!$N$4,入力シート!$J$22&lt;&gt;入力リスト!$K$4),TRUE,IF($F$2=入力リスト!$Q$4,IF(F2262-INT(F2262)&lt;0.6,TRUE,FALSE),TRUE))</f>
        <v>1</v>
      </c>
      <c r="N2262" s="9" t="str">
        <f>IF(F2262="","",IF($F$2=入力リスト!$Q$4,ROUNDDOWN(INT(F2262)+ROUNDDOWN((F2262-INT(F2262))*100,0)/60,2),従業員の給与情報!F2262))</f>
        <v/>
      </c>
      <c r="O2262" s="8"/>
      <c r="P2262" s="8"/>
    </row>
    <row r="2263" spans="1:16">
      <c r="A2263" s="336"/>
      <c r="B2263" s="337"/>
      <c r="C2263" s="337"/>
      <c r="D2263" s="3"/>
      <c r="E2263" s="337"/>
      <c r="F2263" s="338"/>
      <c r="G2263" s="248" t="str">
        <f t="shared" si="179"/>
        <v/>
      </c>
      <c r="H2263" s="1" t="b">
        <f>IF(B2263="",FALSE,COUNTIF('従業員情報(給与以外)'!$A$4:$A$1000000,$B2263)=0)</f>
        <v>0</v>
      </c>
      <c r="I2263" s="9" t="b">
        <f t="shared" si="175"/>
        <v>1</v>
      </c>
      <c r="J2263" s="9" t="b">
        <f t="shared" si="176"/>
        <v>1</v>
      </c>
      <c r="K2263" s="9" t="b">
        <f t="shared" si="177"/>
        <v>1</v>
      </c>
      <c r="L2263" s="9" t="b">
        <f t="shared" si="178"/>
        <v>1</v>
      </c>
      <c r="M2263" s="1" t="b">
        <f>IF(OR(入力シート!$C$5&lt;&gt;入力リスト!$N$4,入力シート!$J$22&lt;&gt;入力リスト!$K$4),TRUE,IF($F$2=入力リスト!$Q$4,IF(F2263-INT(F2263)&lt;0.6,TRUE,FALSE),TRUE))</f>
        <v>1</v>
      </c>
      <c r="N2263" s="9" t="str">
        <f>IF(F2263="","",IF($F$2=入力リスト!$Q$4,ROUNDDOWN(INT(F2263)+ROUNDDOWN((F2263-INT(F2263))*100,0)/60,2),従業員の給与情報!F2263))</f>
        <v/>
      </c>
      <c r="O2263" s="8"/>
      <c r="P2263" s="8"/>
    </row>
    <row r="2264" spans="1:16">
      <c r="A2264" s="336"/>
      <c r="B2264" s="337"/>
      <c r="C2264" s="337"/>
      <c r="D2264" s="3"/>
      <c r="E2264" s="337"/>
      <c r="F2264" s="338"/>
      <c r="G2264" s="248" t="str">
        <f t="shared" si="179"/>
        <v/>
      </c>
      <c r="H2264" s="1" t="b">
        <f>IF(B2264="",FALSE,COUNTIF('従業員情報(給与以外)'!$A$4:$A$1000000,$B2264)=0)</f>
        <v>0</v>
      </c>
      <c r="I2264" s="9" t="b">
        <f t="shared" si="175"/>
        <v>1</v>
      </c>
      <c r="J2264" s="9" t="b">
        <f t="shared" si="176"/>
        <v>1</v>
      </c>
      <c r="K2264" s="9" t="b">
        <f t="shared" si="177"/>
        <v>1</v>
      </c>
      <c r="L2264" s="9" t="b">
        <f t="shared" si="178"/>
        <v>1</v>
      </c>
      <c r="M2264" s="1" t="b">
        <f>IF(OR(入力シート!$C$5&lt;&gt;入力リスト!$N$4,入力シート!$J$22&lt;&gt;入力リスト!$K$4),TRUE,IF($F$2=入力リスト!$Q$4,IF(F2264-INT(F2264)&lt;0.6,TRUE,FALSE),TRUE))</f>
        <v>1</v>
      </c>
      <c r="N2264" s="9" t="str">
        <f>IF(F2264="","",IF($F$2=入力リスト!$Q$4,ROUNDDOWN(INT(F2264)+ROUNDDOWN((F2264-INT(F2264))*100,0)/60,2),従業員の給与情報!F2264))</f>
        <v/>
      </c>
      <c r="O2264" s="8"/>
      <c r="P2264" s="8"/>
    </row>
    <row r="2265" spans="1:16">
      <c r="A2265" s="336"/>
      <c r="B2265" s="337"/>
      <c r="C2265" s="337"/>
      <c r="D2265" s="3"/>
      <c r="E2265" s="337"/>
      <c r="F2265" s="338"/>
      <c r="G2265" s="248" t="str">
        <f t="shared" si="179"/>
        <v/>
      </c>
      <c r="H2265" s="1" t="b">
        <f>IF(B2265="",FALSE,COUNTIF('従業員情報(給与以外)'!$A$4:$A$1000000,$B2265)=0)</f>
        <v>0</v>
      </c>
      <c r="I2265" s="9" t="b">
        <f t="shared" si="175"/>
        <v>1</v>
      </c>
      <c r="J2265" s="9" t="b">
        <f t="shared" si="176"/>
        <v>1</v>
      </c>
      <c r="K2265" s="9" t="b">
        <f t="shared" si="177"/>
        <v>1</v>
      </c>
      <c r="L2265" s="9" t="b">
        <f t="shared" si="178"/>
        <v>1</v>
      </c>
      <c r="M2265" s="1" t="b">
        <f>IF(OR(入力シート!$C$5&lt;&gt;入力リスト!$N$4,入力シート!$J$22&lt;&gt;入力リスト!$K$4),TRUE,IF($F$2=入力リスト!$Q$4,IF(F2265-INT(F2265)&lt;0.6,TRUE,FALSE),TRUE))</f>
        <v>1</v>
      </c>
      <c r="N2265" s="9" t="str">
        <f>IF(F2265="","",IF($F$2=入力リスト!$Q$4,ROUNDDOWN(INT(F2265)+ROUNDDOWN((F2265-INT(F2265))*100,0)/60,2),従業員の給与情報!F2265))</f>
        <v/>
      </c>
      <c r="O2265" s="8"/>
      <c r="P2265" s="8"/>
    </row>
    <row r="2266" spans="1:16">
      <c r="A2266" s="336"/>
      <c r="B2266" s="337"/>
      <c r="C2266" s="337"/>
      <c r="D2266" s="3"/>
      <c r="E2266" s="337"/>
      <c r="F2266" s="338"/>
      <c r="G2266" s="248" t="str">
        <f t="shared" si="179"/>
        <v/>
      </c>
      <c r="H2266" s="1" t="b">
        <f>IF(B2266="",FALSE,COUNTIF('従業員情報(給与以外)'!$A$4:$A$1000000,$B2266)=0)</f>
        <v>0</v>
      </c>
      <c r="I2266" s="9" t="b">
        <f t="shared" si="175"/>
        <v>1</v>
      </c>
      <c r="J2266" s="9" t="b">
        <f t="shared" si="176"/>
        <v>1</v>
      </c>
      <c r="K2266" s="9" t="b">
        <f t="shared" si="177"/>
        <v>1</v>
      </c>
      <c r="L2266" s="9" t="b">
        <f t="shared" si="178"/>
        <v>1</v>
      </c>
      <c r="M2266" s="1" t="b">
        <f>IF(OR(入力シート!$C$5&lt;&gt;入力リスト!$N$4,入力シート!$J$22&lt;&gt;入力リスト!$K$4),TRUE,IF($F$2=入力リスト!$Q$4,IF(F2266-INT(F2266)&lt;0.6,TRUE,FALSE),TRUE))</f>
        <v>1</v>
      </c>
      <c r="N2266" s="9" t="str">
        <f>IF(F2266="","",IF($F$2=入力リスト!$Q$4,ROUNDDOWN(INT(F2266)+ROUNDDOWN((F2266-INT(F2266))*100,0)/60,2),従業員の給与情報!F2266))</f>
        <v/>
      </c>
      <c r="O2266" s="8"/>
      <c r="P2266" s="8"/>
    </row>
    <row r="2267" spans="1:16">
      <c r="A2267" s="336"/>
      <c r="B2267" s="337"/>
      <c r="C2267" s="337"/>
      <c r="D2267" s="3"/>
      <c r="E2267" s="337"/>
      <c r="F2267" s="338"/>
      <c r="G2267" s="248" t="str">
        <f t="shared" si="179"/>
        <v/>
      </c>
      <c r="H2267" s="1" t="b">
        <f>IF(B2267="",FALSE,COUNTIF('従業員情報(給与以外)'!$A$4:$A$1000000,$B2267)=0)</f>
        <v>0</v>
      </c>
      <c r="I2267" s="9" t="b">
        <f t="shared" si="175"/>
        <v>1</v>
      </c>
      <c r="J2267" s="9" t="b">
        <f t="shared" si="176"/>
        <v>1</v>
      </c>
      <c r="K2267" s="9" t="b">
        <f t="shared" si="177"/>
        <v>1</v>
      </c>
      <c r="L2267" s="9" t="b">
        <f t="shared" si="178"/>
        <v>1</v>
      </c>
      <c r="M2267" s="1" t="b">
        <f>IF(OR(入力シート!$C$5&lt;&gt;入力リスト!$N$4,入力シート!$J$22&lt;&gt;入力リスト!$K$4),TRUE,IF($F$2=入力リスト!$Q$4,IF(F2267-INT(F2267)&lt;0.6,TRUE,FALSE),TRUE))</f>
        <v>1</v>
      </c>
      <c r="N2267" s="9" t="str">
        <f>IF(F2267="","",IF($F$2=入力リスト!$Q$4,ROUNDDOWN(INT(F2267)+ROUNDDOWN((F2267-INT(F2267))*100,0)/60,2),従業員の給与情報!F2267))</f>
        <v/>
      </c>
      <c r="O2267" s="8"/>
      <c r="P2267" s="8"/>
    </row>
    <row r="2268" spans="1:16">
      <c r="A2268" s="336"/>
      <c r="B2268" s="337"/>
      <c r="C2268" s="337"/>
      <c r="D2268" s="3"/>
      <c r="E2268" s="337"/>
      <c r="F2268" s="338"/>
      <c r="G2268" s="248" t="str">
        <f t="shared" si="179"/>
        <v/>
      </c>
      <c r="H2268" s="1" t="b">
        <f>IF(B2268="",FALSE,COUNTIF('従業員情報(給与以外)'!$A$4:$A$1000000,$B2268)=0)</f>
        <v>0</v>
      </c>
      <c r="I2268" s="9" t="b">
        <f t="shared" si="175"/>
        <v>1</v>
      </c>
      <c r="J2268" s="9" t="b">
        <f t="shared" si="176"/>
        <v>1</v>
      </c>
      <c r="K2268" s="9" t="b">
        <f t="shared" si="177"/>
        <v>1</v>
      </c>
      <c r="L2268" s="9" t="b">
        <f t="shared" si="178"/>
        <v>1</v>
      </c>
      <c r="M2268" s="1" t="b">
        <f>IF(OR(入力シート!$C$5&lt;&gt;入力リスト!$N$4,入力シート!$J$22&lt;&gt;入力リスト!$K$4),TRUE,IF($F$2=入力リスト!$Q$4,IF(F2268-INT(F2268)&lt;0.6,TRUE,FALSE),TRUE))</f>
        <v>1</v>
      </c>
      <c r="N2268" s="9" t="str">
        <f>IF(F2268="","",IF($F$2=入力リスト!$Q$4,ROUNDDOWN(INT(F2268)+ROUNDDOWN((F2268-INT(F2268))*100,0)/60,2),従業員の給与情報!F2268))</f>
        <v/>
      </c>
      <c r="O2268" s="8"/>
      <c r="P2268" s="8"/>
    </row>
    <row r="2269" spans="1:16">
      <c r="A2269" s="336"/>
      <c r="B2269" s="337"/>
      <c r="C2269" s="337"/>
      <c r="D2269" s="3"/>
      <c r="E2269" s="337"/>
      <c r="F2269" s="338"/>
      <c r="G2269" s="248" t="str">
        <f t="shared" si="179"/>
        <v/>
      </c>
      <c r="H2269" s="1" t="b">
        <f>IF(B2269="",FALSE,COUNTIF('従業員情報(給与以外)'!$A$4:$A$1000000,$B2269)=0)</f>
        <v>0</v>
      </c>
      <c r="I2269" s="9" t="b">
        <f t="shared" si="175"/>
        <v>1</v>
      </c>
      <c r="J2269" s="9" t="b">
        <f t="shared" si="176"/>
        <v>1</v>
      </c>
      <c r="K2269" s="9" t="b">
        <f t="shared" si="177"/>
        <v>1</v>
      </c>
      <c r="L2269" s="9" t="b">
        <f t="shared" si="178"/>
        <v>1</v>
      </c>
      <c r="M2269" s="1" t="b">
        <f>IF(OR(入力シート!$C$5&lt;&gt;入力リスト!$N$4,入力シート!$J$22&lt;&gt;入力リスト!$K$4),TRUE,IF($F$2=入力リスト!$Q$4,IF(F2269-INT(F2269)&lt;0.6,TRUE,FALSE),TRUE))</f>
        <v>1</v>
      </c>
      <c r="N2269" s="9" t="str">
        <f>IF(F2269="","",IF($F$2=入力リスト!$Q$4,ROUNDDOWN(INT(F2269)+ROUNDDOWN((F2269-INT(F2269))*100,0)/60,2),従業員の給与情報!F2269))</f>
        <v/>
      </c>
      <c r="O2269" s="8"/>
      <c r="P2269" s="8"/>
    </row>
    <row r="2270" spans="1:16">
      <c r="A2270" s="336"/>
      <c r="B2270" s="337"/>
      <c r="C2270" s="337"/>
      <c r="D2270" s="3"/>
      <c r="E2270" s="337"/>
      <c r="F2270" s="338"/>
      <c r="G2270" s="248" t="str">
        <f t="shared" si="179"/>
        <v/>
      </c>
      <c r="H2270" s="1" t="b">
        <f>IF(B2270="",FALSE,COUNTIF('従業員情報(給与以外)'!$A$4:$A$1000000,$B2270)=0)</f>
        <v>0</v>
      </c>
      <c r="I2270" s="9" t="b">
        <f t="shared" si="175"/>
        <v>1</v>
      </c>
      <c r="J2270" s="9" t="b">
        <f t="shared" si="176"/>
        <v>1</v>
      </c>
      <c r="K2270" s="9" t="b">
        <f t="shared" si="177"/>
        <v>1</v>
      </c>
      <c r="L2270" s="9" t="b">
        <f t="shared" si="178"/>
        <v>1</v>
      </c>
      <c r="M2270" s="1" t="b">
        <f>IF(OR(入力シート!$C$5&lt;&gt;入力リスト!$N$4,入力シート!$J$22&lt;&gt;入力リスト!$K$4),TRUE,IF($F$2=入力リスト!$Q$4,IF(F2270-INT(F2270)&lt;0.6,TRUE,FALSE),TRUE))</f>
        <v>1</v>
      </c>
      <c r="N2270" s="9" t="str">
        <f>IF(F2270="","",IF($F$2=入力リスト!$Q$4,ROUNDDOWN(INT(F2270)+ROUNDDOWN((F2270-INT(F2270))*100,0)/60,2),従業員の給与情報!F2270))</f>
        <v/>
      </c>
      <c r="O2270" s="8"/>
      <c r="P2270" s="8"/>
    </row>
    <row r="2271" spans="1:16">
      <c r="A2271" s="336"/>
      <c r="B2271" s="337"/>
      <c r="C2271" s="337"/>
      <c r="D2271" s="3"/>
      <c r="E2271" s="337"/>
      <c r="F2271" s="338"/>
      <c r="G2271" s="248" t="str">
        <f t="shared" si="179"/>
        <v/>
      </c>
      <c r="H2271" s="1" t="b">
        <f>IF(B2271="",FALSE,COUNTIF('従業員情報(給与以外)'!$A$4:$A$1000000,$B2271)=0)</f>
        <v>0</v>
      </c>
      <c r="I2271" s="9" t="b">
        <f t="shared" si="175"/>
        <v>1</v>
      </c>
      <c r="J2271" s="9" t="b">
        <f t="shared" si="176"/>
        <v>1</v>
      </c>
      <c r="K2271" s="9" t="b">
        <f t="shared" si="177"/>
        <v>1</v>
      </c>
      <c r="L2271" s="9" t="b">
        <f t="shared" si="178"/>
        <v>1</v>
      </c>
      <c r="M2271" s="1" t="b">
        <f>IF(OR(入力シート!$C$5&lt;&gt;入力リスト!$N$4,入力シート!$J$22&lt;&gt;入力リスト!$K$4),TRUE,IF($F$2=入力リスト!$Q$4,IF(F2271-INT(F2271)&lt;0.6,TRUE,FALSE),TRUE))</f>
        <v>1</v>
      </c>
      <c r="N2271" s="9" t="str">
        <f>IF(F2271="","",IF($F$2=入力リスト!$Q$4,ROUNDDOWN(INT(F2271)+ROUNDDOWN((F2271-INT(F2271))*100,0)/60,2),従業員の給与情報!F2271))</f>
        <v/>
      </c>
      <c r="O2271" s="8"/>
      <c r="P2271" s="8"/>
    </row>
    <row r="2272" spans="1:16">
      <c r="A2272" s="336"/>
      <c r="B2272" s="337"/>
      <c r="C2272" s="337"/>
      <c r="D2272" s="3"/>
      <c r="E2272" s="337"/>
      <c r="F2272" s="338"/>
      <c r="G2272" s="248" t="str">
        <f t="shared" si="179"/>
        <v/>
      </c>
      <c r="H2272" s="1" t="b">
        <f>IF(B2272="",FALSE,COUNTIF('従業員情報(給与以外)'!$A$4:$A$1000000,$B2272)=0)</f>
        <v>0</v>
      </c>
      <c r="I2272" s="9" t="b">
        <f t="shared" si="175"/>
        <v>1</v>
      </c>
      <c r="J2272" s="9" t="b">
        <f t="shared" si="176"/>
        <v>1</v>
      </c>
      <c r="K2272" s="9" t="b">
        <f t="shared" si="177"/>
        <v>1</v>
      </c>
      <c r="L2272" s="9" t="b">
        <f t="shared" si="178"/>
        <v>1</v>
      </c>
      <c r="M2272" s="1" t="b">
        <f>IF(OR(入力シート!$C$5&lt;&gt;入力リスト!$N$4,入力シート!$J$22&lt;&gt;入力リスト!$K$4),TRUE,IF($F$2=入力リスト!$Q$4,IF(F2272-INT(F2272)&lt;0.6,TRUE,FALSE),TRUE))</f>
        <v>1</v>
      </c>
      <c r="N2272" s="9" t="str">
        <f>IF(F2272="","",IF($F$2=入力リスト!$Q$4,ROUNDDOWN(INT(F2272)+ROUNDDOWN((F2272-INT(F2272))*100,0)/60,2),従業員の給与情報!F2272))</f>
        <v/>
      </c>
      <c r="O2272" s="8"/>
      <c r="P2272" s="8"/>
    </row>
    <row r="2273" spans="1:16">
      <c r="A2273" s="336"/>
      <c r="B2273" s="337"/>
      <c r="C2273" s="337"/>
      <c r="D2273" s="3"/>
      <c r="E2273" s="337"/>
      <c r="F2273" s="338"/>
      <c r="G2273" s="248" t="str">
        <f t="shared" si="179"/>
        <v/>
      </c>
      <c r="H2273" s="1" t="b">
        <f>IF(B2273="",FALSE,COUNTIF('従業員情報(給与以外)'!$A$4:$A$1000000,$B2273)=0)</f>
        <v>0</v>
      </c>
      <c r="I2273" s="9" t="b">
        <f t="shared" si="175"/>
        <v>1</v>
      </c>
      <c r="J2273" s="9" t="b">
        <f t="shared" si="176"/>
        <v>1</v>
      </c>
      <c r="K2273" s="9" t="b">
        <f t="shared" si="177"/>
        <v>1</v>
      </c>
      <c r="L2273" s="9" t="b">
        <f t="shared" si="178"/>
        <v>1</v>
      </c>
      <c r="M2273" s="1" t="b">
        <f>IF(OR(入力シート!$C$5&lt;&gt;入力リスト!$N$4,入力シート!$J$22&lt;&gt;入力リスト!$K$4),TRUE,IF($F$2=入力リスト!$Q$4,IF(F2273-INT(F2273)&lt;0.6,TRUE,FALSE),TRUE))</f>
        <v>1</v>
      </c>
      <c r="N2273" s="9" t="str">
        <f>IF(F2273="","",IF($F$2=入力リスト!$Q$4,ROUNDDOWN(INT(F2273)+ROUNDDOWN((F2273-INT(F2273))*100,0)/60,2),従業員の給与情報!F2273))</f>
        <v/>
      </c>
      <c r="O2273" s="8"/>
      <c r="P2273" s="8"/>
    </row>
    <row r="2274" spans="1:16">
      <c r="A2274" s="336"/>
      <c r="B2274" s="337"/>
      <c r="C2274" s="337"/>
      <c r="D2274" s="3"/>
      <c r="E2274" s="337"/>
      <c r="F2274" s="338"/>
      <c r="G2274" s="248" t="str">
        <f t="shared" si="179"/>
        <v/>
      </c>
      <c r="H2274" s="1" t="b">
        <f>IF(B2274="",FALSE,COUNTIF('従業員情報(給与以外)'!$A$4:$A$1000000,$B2274)=0)</f>
        <v>0</v>
      </c>
      <c r="I2274" s="9" t="b">
        <f t="shared" si="175"/>
        <v>1</v>
      </c>
      <c r="J2274" s="9" t="b">
        <f t="shared" si="176"/>
        <v>1</v>
      </c>
      <c r="K2274" s="9" t="b">
        <f t="shared" si="177"/>
        <v>1</v>
      </c>
      <c r="L2274" s="9" t="b">
        <f t="shared" si="178"/>
        <v>1</v>
      </c>
      <c r="M2274" s="1" t="b">
        <f>IF(OR(入力シート!$C$5&lt;&gt;入力リスト!$N$4,入力シート!$J$22&lt;&gt;入力リスト!$K$4),TRUE,IF($F$2=入力リスト!$Q$4,IF(F2274-INT(F2274)&lt;0.6,TRUE,FALSE),TRUE))</f>
        <v>1</v>
      </c>
      <c r="N2274" s="9" t="str">
        <f>IF(F2274="","",IF($F$2=入力リスト!$Q$4,ROUNDDOWN(INT(F2274)+ROUNDDOWN((F2274-INT(F2274))*100,0)/60,2),従業員の給与情報!F2274))</f>
        <v/>
      </c>
      <c r="O2274" s="8"/>
      <c r="P2274" s="8"/>
    </row>
    <row r="2275" spans="1:16">
      <c r="A2275" s="336"/>
      <c r="B2275" s="337"/>
      <c r="C2275" s="337"/>
      <c r="D2275" s="3"/>
      <c r="E2275" s="337"/>
      <c r="F2275" s="338"/>
      <c r="G2275" s="248" t="str">
        <f t="shared" si="179"/>
        <v/>
      </c>
      <c r="H2275" s="1" t="b">
        <f>IF(B2275="",FALSE,COUNTIF('従業員情報(給与以外)'!$A$4:$A$1000000,$B2275)=0)</f>
        <v>0</v>
      </c>
      <c r="I2275" s="9" t="b">
        <f t="shared" si="175"/>
        <v>1</v>
      </c>
      <c r="J2275" s="9" t="b">
        <f t="shared" si="176"/>
        <v>1</v>
      </c>
      <c r="K2275" s="9" t="b">
        <f t="shared" si="177"/>
        <v>1</v>
      </c>
      <c r="L2275" s="9" t="b">
        <f t="shared" si="178"/>
        <v>1</v>
      </c>
      <c r="M2275" s="1" t="b">
        <f>IF(OR(入力シート!$C$5&lt;&gt;入力リスト!$N$4,入力シート!$J$22&lt;&gt;入力リスト!$K$4),TRUE,IF($F$2=入力リスト!$Q$4,IF(F2275-INT(F2275)&lt;0.6,TRUE,FALSE),TRUE))</f>
        <v>1</v>
      </c>
      <c r="N2275" s="9" t="str">
        <f>IF(F2275="","",IF($F$2=入力リスト!$Q$4,ROUNDDOWN(INT(F2275)+ROUNDDOWN((F2275-INT(F2275))*100,0)/60,2),従業員の給与情報!F2275))</f>
        <v/>
      </c>
      <c r="O2275" s="8"/>
      <c r="P2275" s="8"/>
    </row>
    <row r="2276" spans="1:16">
      <c r="A2276" s="336"/>
      <c r="B2276" s="337"/>
      <c r="C2276" s="337"/>
      <c r="D2276" s="3"/>
      <c r="E2276" s="337"/>
      <c r="F2276" s="338"/>
      <c r="G2276" s="248" t="str">
        <f t="shared" si="179"/>
        <v/>
      </c>
      <c r="H2276" s="1" t="b">
        <f>IF(B2276="",FALSE,COUNTIF('従業員情報(給与以外)'!$A$4:$A$1000000,$B2276)=0)</f>
        <v>0</v>
      </c>
      <c r="I2276" s="9" t="b">
        <f t="shared" si="175"/>
        <v>1</v>
      </c>
      <c r="J2276" s="9" t="b">
        <f t="shared" si="176"/>
        <v>1</v>
      </c>
      <c r="K2276" s="9" t="b">
        <f t="shared" si="177"/>
        <v>1</v>
      </c>
      <c r="L2276" s="9" t="b">
        <f t="shared" si="178"/>
        <v>1</v>
      </c>
      <c r="M2276" s="1" t="b">
        <f>IF(OR(入力シート!$C$5&lt;&gt;入力リスト!$N$4,入力シート!$J$22&lt;&gt;入力リスト!$K$4),TRUE,IF($F$2=入力リスト!$Q$4,IF(F2276-INT(F2276)&lt;0.6,TRUE,FALSE),TRUE))</f>
        <v>1</v>
      </c>
      <c r="N2276" s="9" t="str">
        <f>IF(F2276="","",IF($F$2=入力リスト!$Q$4,ROUNDDOWN(INT(F2276)+ROUNDDOWN((F2276-INT(F2276))*100,0)/60,2),従業員の給与情報!F2276))</f>
        <v/>
      </c>
      <c r="O2276" s="8"/>
      <c r="P2276" s="8"/>
    </row>
    <row r="2277" spans="1:16">
      <c r="A2277" s="336"/>
      <c r="B2277" s="337"/>
      <c r="C2277" s="337"/>
      <c r="D2277" s="3"/>
      <c r="E2277" s="337"/>
      <c r="F2277" s="338"/>
      <c r="G2277" s="248" t="str">
        <f t="shared" si="179"/>
        <v/>
      </c>
      <c r="H2277" s="1" t="b">
        <f>IF(B2277="",FALSE,COUNTIF('従業員情報(給与以外)'!$A$4:$A$1000000,$B2277)=0)</f>
        <v>0</v>
      </c>
      <c r="I2277" s="9" t="b">
        <f t="shared" si="175"/>
        <v>1</v>
      </c>
      <c r="J2277" s="9" t="b">
        <f t="shared" si="176"/>
        <v>1</v>
      </c>
      <c r="K2277" s="9" t="b">
        <f t="shared" si="177"/>
        <v>1</v>
      </c>
      <c r="L2277" s="9" t="b">
        <f t="shared" si="178"/>
        <v>1</v>
      </c>
      <c r="M2277" s="1" t="b">
        <f>IF(OR(入力シート!$C$5&lt;&gt;入力リスト!$N$4,入力シート!$J$22&lt;&gt;入力リスト!$K$4),TRUE,IF($F$2=入力リスト!$Q$4,IF(F2277-INT(F2277)&lt;0.6,TRUE,FALSE),TRUE))</f>
        <v>1</v>
      </c>
      <c r="N2277" s="9" t="str">
        <f>IF(F2277="","",IF($F$2=入力リスト!$Q$4,ROUNDDOWN(INT(F2277)+ROUNDDOWN((F2277-INT(F2277))*100,0)/60,2),従業員の給与情報!F2277))</f>
        <v/>
      </c>
      <c r="O2277" s="8"/>
      <c r="P2277" s="8"/>
    </row>
    <row r="2278" spans="1:16">
      <c r="A2278" s="336"/>
      <c r="B2278" s="337"/>
      <c r="C2278" s="337"/>
      <c r="D2278" s="3"/>
      <c r="E2278" s="337"/>
      <c r="F2278" s="338"/>
      <c r="G2278" s="248" t="str">
        <f t="shared" si="179"/>
        <v/>
      </c>
      <c r="H2278" s="1" t="b">
        <f>IF(B2278="",FALSE,COUNTIF('従業員情報(給与以外)'!$A$4:$A$1000000,$B2278)=0)</f>
        <v>0</v>
      </c>
      <c r="I2278" s="9" t="b">
        <f t="shared" si="175"/>
        <v>1</v>
      </c>
      <c r="J2278" s="9" t="b">
        <f t="shared" si="176"/>
        <v>1</v>
      </c>
      <c r="K2278" s="9" t="b">
        <f t="shared" si="177"/>
        <v>1</v>
      </c>
      <c r="L2278" s="9" t="b">
        <f t="shared" si="178"/>
        <v>1</v>
      </c>
      <c r="M2278" s="1" t="b">
        <f>IF(OR(入力シート!$C$5&lt;&gt;入力リスト!$N$4,入力シート!$J$22&lt;&gt;入力リスト!$K$4),TRUE,IF($F$2=入力リスト!$Q$4,IF(F2278-INT(F2278)&lt;0.6,TRUE,FALSE),TRUE))</f>
        <v>1</v>
      </c>
      <c r="N2278" s="9" t="str">
        <f>IF(F2278="","",IF($F$2=入力リスト!$Q$4,ROUNDDOWN(INT(F2278)+ROUNDDOWN((F2278-INT(F2278))*100,0)/60,2),従業員の給与情報!F2278))</f>
        <v/>
      </c>
      <c r="O2278" s="8"/>
      <c r="P2278" s="8"/>
    </row>
    <row r="2279" spans="1:16">
      <c r="A2279" s="336"/>
      <c r="B2279" s="337"/>
      <c r="C2279" s="337"/>
      <c r="D2279" s="3"/>
      <c r="E2279" s="337"/>
      <c r="F2279" s="338"/>
      <c r="G2279" s="248" t="str">
        <f t="shared" si="179"/>
        <v/>
      </c>
      <c r="H2279" s="1" t="b">
        <f>IF(B2279="",FALSE,COUNTIF('従業員情報(給与以外)'!$A$4:$A$1000000,$B2279)=0)</f>
        <v>0</v>
      </c>
      <c r="I2279" s="9" t="b">
        <f t="shared" si="175"/>
        <v>1</v>
      </c>
      <c r="J2279" s="9" t="b">
        <f t="shared" si="176"/>
        <v>1</v>
      </c>
      <c r="K2279" s="9" t="b">
        <f t="shared" si="177"/>
        <v>1</v>
      </c>
      <c r="L2279" s="9" t="b">
        <f t="shared" si="178"/>
        <v>1</v>
      </c>
      <c r="M2279" s="1" t="b">
        <f>IF(OR(入力シート!$C$5&lt;&gt;入力リスト!$N$4,入力シート!$J$22&lt;&gt;入力リスト!$K$4),TRUE,IF($F$2=入力リスト!$Q$4,IF(F2279-INT(F2279)&lt;0.6,TRUE,FALSE),TRUE))</f>
        <v>1</v>
      </c>
      <c r="N2279" s="9" t="str">
        <f>IF(F2279="","",IF($F$2=入力リスト!$Q$4,ROUNDDOWN(INT(F2279)+ROUNDDOWN((F2279-INT(F2279))*100,0)/60,2),従業員の給与情報!F2279))</f>
        <v/>
      </c>
      <c r="O2279" s="8"/>
      <c r="P2279" s="8"/>
    </row>
    <row r="2280" spans="1:16">
      <c r="A2280" s="336"/>
      <c r="B2280" s="337"/>
      <c r="C2280" s="337"/>
      <c r="D2280" s="3"/>
      <c r="E2280" s="337"/>
      <c r="F2280" s="338"/>
      <c r="G2280" s="248" t="str">
        <f t="shared" si="179"/>
        <v/>
      </c>
      <c r="H2280" s="1" t="b">
        <f>IF(B2280="",FALSE,COUNTIF('従業員情報(給与以外)'!$A$4:$A$1000000,$B2280)=0)</f>
        <v>0</v>
      </c>
      <c r="I2280" s="9" t="b">
        <f t="shared" si="175"/>
        <v>1</v>
      </c>
      <c r="J2280" s="9" t="b">
        <f t="shared" si="176"/>
        <v>1</v>
      </c>
      <c r="K2280" s="9" t="b">
        <f t="shared" si="177"/>
        <v>1</v>
      </c>
      <c r="L2280" s="9" t="b">
        <f t="shared" si="178"/>
        <v>1</v>
      </c>
      <c r="M2280" s="1" t="b">
        <f>IF(OR(入力シート!$C$5&lt;&gt;入力リスト!$N$4,入力シート!$J$22&lt;&gt;入力リスト!$K$4),TRUE,IF($F$2=入力リスト!$Q$4,IF(F2280-INT(F2280)&lt;0.6,TRUE,FALSE),TRUE))</f>
        <v>1</v>
      </c>
      <c r="N2280" s="9" t="str">
        <f>IF(F2280="","",IF($F$2=入力リスト!$Q$4,ROUNDDOWN(INT(F2280)+ROUNDDOWN((F2280-INT(F2280))*100,0)/60,2),従業員の給与情報!F2280))</f>
        <v/>
      </c>
      <c r="O2280" s="8"/>
      <c r="P2280" s="8"/>
    </row>
    <row r="2281" spans="1:16">
      <c r="A2281" s="336"/>
      <c r="B2281" s="337"/>
      <c r="C2281" s="337"/>
      <c r="D2281" s="3"/>
      <c r="E2281" s="337"/>
      <c r="F2281" s="338"/>
      <c r="G2281" s="248" t="str">
        <f t="shared" si="179"/>
        <v/>
      </c>
      <c r="H2281" s="1" t="b">
        <f>IF(B2281="",FALSE,COUNTIF('従業員情報(給与以外)'!$A$4:$A$1000000,$B2281)=0)</f>
        <v>0</v>
      </c>
      <c r="I2281" s="9" t="b">
        <f t="shared" si="175"/>
        <v>1</v>
      </c>
      <c r="J2281" s="9" t="b">
        <f t="shared" si="176"/>
        <v>1</v>
      </c>
      <c r="K2281" s="9" t="b">
        <f t="shared" si="177"/>
        <v>1</v>
      </c>
      <c r="L2281" s="9" t="b">
        <f t="shared" si="178"/>
        <v>1</v>
      </c>
      <c r="M2281" s="1" t="b">
        <f>IF(OR(入力シート!$C$5&lt;&gt;入力リスト!$N$4,入力シート!$J$22&lt;&gt;入力リスト!$K$4),TRUE,IF($F$2=入力リスト!$Q$4,IF(F2281-INT(F2281)&lt;0.6,TRUE,FALSE),TRUE))</f>
        <v>1</v>
      </c>
      <c r="N2281" s="9" t="str">
        <f>IF(F2281="","",IF($F$2=入力リスト!$Q$4,ROUNDDOWN(INT(F2281)+ROUNDDOWN((F2281-INT(F2281))*100,0)/60,2),従業員の給与情報!F2281))</f>
        <v/>
      </c>
      <c r="O2281" s="8"/>
      <c r="P2281" s="8"/>
    </row>
    <row r="2282" spans="1:16">
      <c r="A2282" s="336"/>
      <c r="B2282" s="337"/>
      <c r="C2282" s="337"/>
      <c r="D2282" s="3"/>
      <c r="E2282" s="337"/>
      <c r="F2282" s="338"/>
      <c r="G2282" s="248" t="str">
        <f t="shared" si="179"/>
        <v/>
      </c>
      <c r="H2282" s="1" t="b">
        <f>IF(B2282="",FALSE,COUNTIF('従業員情報(給与以外)'!$A$4:$A$1000000,$B2282)=0)</f>
        <v>0</v>
      </c>
      <c r="I2282" s="9" t="b">
        <f t="shared" si="175"/>
        <v>1</v>
      </c>
      <c r="J2282" s="9" t="b">
        <f t="shared" si="176"/>
        <v>1</v>
      </c>
      <c r="K2282" s="9" t="b">
        <f t="shared" si="177"/>
        <v>1</v>
      </c>
      <c r="L2282" s="9" t="b">
        <f t="shared" si="178"/>
        <v>1</v>
      </c>
      <c r="M2282" s="1" t="b">
        <f>IF(OR(入力シート!$C$5&lt;&gt;入力リスト!$N$4,入力シート!$J$22&lt;&gt;入力リスト!$K$4),TRUE,IF($F$2=入力リスト!$Q$4,IF(F2282-INT(F2282)&lt;0.6,TRUE,FALSE),TRUE))</f>
        <v>1</v>
      </c>
      <c r="N2282" s="9" t="str">
        <f>IF(F2282="","",IF($F$2=入力リスト!$Q$4,ROUNDDOWN(INT(F2282)+ROUNDDOWN((F2282-INT(F2282))*100,0)/60,2),従業員の給与情報!F2282))</f>
        <v/>
      </c>
      <c r="O2282" s="8"/>
      <c r="P2282" s="8"/>
    </row>
    <row r="2283" spans="1:16">
      <c r="A2283" s="336"/>
      <c r="B2283" s="337"/>
      <c r="C2283" s="337"/>
      <c r="D2283" s="3"/>
      <c r="E2283" s="337"/>
      <c r="F2283" s="338"/>
      <c r="G2283" s="248" t="str">
        <f t="shared" si="179"/>
        <v/>
      </c>
      <c r="H2283" s="1" t="b">
        <f>IF(B2283="",FALSE,COUNTIF('従業員情報(給与以外)'!$A$4:$A$1000000,$B2283)=0)</f>
        <v>0</v>
      </c>
      <c r="I2283" s="9" t="b">
        <f t="shared" si="175"/>
        <v>1</v>
      </c>
      <c r="J2283" s="9" t="b">
        <f t="shared" si="176"/>
        <v>1</v>
      </c>
      <c r="K2283" s="9" t="b">
        <f t="shared" si="177"/>
        <v>1</v>
      </c>
      <c r="L2283" s="9" t="b">
        <f t="shared" si="178"/>
        <v>1</v>
      </c>
      <c r="M2283" s="1" t="b">
        <f>IF(OR(入力シート!$C$5&lt;&gt;入力リスト!$N$4,入力シート!$J$22&lt;&gt;入力リスト!$K$4),TRUE,IF($F$2=入力リスト!$Q$4,IF(F2283-INT(F2283)&lt;0.6,TRUE,FALSE),TRUE))</f>
        <v>1</v>
      </c>
      <c r="N2283" s="9" t="str">
        <f>IF(F2283="","",IF($F$2=入力リスト!$Q$4,ROUNDDOWN(INT(F2283)+ROUNDDOWN((F2283-INT(F2283))*100,0)/60,2),従業員の給与情報!F2283))</f>
        <v/>
      </c>
      <c r="O2283" s="8"/>
      <c r="P2283" s="8"/>
    </row>
    <row r="2284" spans="1:16">
      <c r="A2284" s="336"/>
      <c r="B2284" s="337"/>
      <c r="C2284" s="337"/>
      <c r="D2284" s="3"/>
      <c r="E2284" s="337"/>
      <c r="F2284" s="338"/>
      <c r="G2284" s="248" t="str">
        <f t="shared" si="179"/>
        <v/>
      </c>
      <c r="H2284" s="1" t="b">
        <f>IF(B2284="",FALSE,COUNTIF('従業員情報(給与以外)'!$A$4:$A$1000000,$B2284)=0)</f>
        <v>0</v>
      </c>
      <c r="I2284" s="9" t="b">
        <f t="shared" si="175"/>
        <v>1</v>
      </c>
      <c r="J2284" s="9" t="b">
        <f t="shared" si="176"/>
        <v>1</v>
      </c>
      <c r="K2284" s="9" t="b">
        <f t="shared" si="177"/>
        <v>1</v>
      </c>
      <c r="L2284" s="9" t="b">
        <f t="shared" si="178"/>
        <v>1</v>
      </c>
      <c r="M2284" s="1" t="b">
        <f>IF(OR(入力シート!$C$5&lt;&gt;入力リスト!$N$4,入力シート!$J$22&lt;&gt;入力リスト!$K$4),TRUE,IF($F$2=入力リスト!$Q$4,IF(F2284-INT(F2284)&lt;0.6,TRUE,FALSE),TRUE))</f>
        <v>1</v>
      </c>
      <c r="N2284" s="9" t="str">
        <f>IF(F2284="","",IF($F$2=入力リスト!$Q$4,ROUNDDOWN(INT(F2284)+ROUNDDOWN((F2284-INT(F2284))*100,0)/60,2),従業員の給与情報!F2284))</f>
        <v/>
      </c>
      <c r="O2284" s="8"/>
      <c r="P2284" s="8"/>
    </row>
    <row r="2285" spans="1:16">
      <c r="A2285" s="336"/>
      <c r="B2285" s="337"/>
      <c r="C2285" s="337"/>
      <c r="D2285" s="3"/>
      <c r="E2285" s="337"/>
      <c r="F2285" s="338"/>
      <c r="G2285" s="248" t="str">
        <f t="shared" si="179"/>
        <v/>
      </c>
      <c r="H2285" s="1" t="b">
        <f>IF(B2285="",FALSE,COUNTIF('従業員情報(給与以外)'!$A$4:$A$1000000,$B2285)=0)</f>
        <v>0</v>
      </c>
      <c r="I2285" s="9" t="b">
        <f t="shared" si="175"/>
        <v>1</v>
      </c>
      <c r="J2285" s="9" t="b">
        <f t="shared" si="176"/>
        <v>1</v>
      </c>
      <c r="K2285" s="9" t="b">
        <f t="shared" si="177"/>
        <v>1</v>
      </c>
      <c r="L2285" s="9" t="b">
        <f t="shared" si="178"/>
        <v>1</v>
      </c>
      <c r="M2285" s="1" t="b">
        <f>IF(OR(入力シート!$C$5&lt;&gt;入力リスト!$N$4,入力シート!$J$22&lt;&gt;入力リスト!$K$4),TRUE,IF($F$2=入力リスト!$Q$4,IF(F2285-INT(F2285)&lt;0.6,TRUE,FALSE),TRUE))</f>
        <v>1</v>
      </c>
      <c r="N2285" s="9" t="str">
        <f>IF(F2285="","",IF($F$2=入力リスト!$Q$4,ROUNDDOWN(INT(F2285)+ROUNDDOWN((F2285-INT(F2285))*100,0)/60,2),従業員の給与情報!F2285))</f>
        <v/>
      </c>
      <c r="O2285" s="8"/>
      <c r="P2285" s="8"/>
    </row>
    <row r="2286" spans="1:16">
      <c r="A2286" s="336"/>
      <c r="B2286" s="337"/>
      <c r="C2286" s="337"/>
      <c r="D2286" s="3"/>
      <c r="E2286" s="337"/>
      <c r="F2286" s="338"/>
      <c r="G2286" s="248" t="str">
        <f t="shared" si="179"/>
        <v/>
      </c>
      <c r="H2286" s="1" t="b">
        <f>IF(B2286="",FALSE,COUNTIF('従業員情報(給与以外)'!$A$4:$A$1000000,$B2286)=0)</f>
        <v>0</v>
      </c>
      <c r="I2286" s="9" t="b">
        <f t="shared" si="175"/>
        <v>1</v>
      </c>
      <c r="J2286" s="9" t="b">
        <f t="shared" si="176"/>
        <v>1</v>
      </c>
      <c r="K2286" s="9" t="b">
        <f t="shared" si="177"/>
        <v>1</v>
      </c>
      <c r="L2286" s="9" t="b">
        <f t="shared" si="178"/>
        <v>1</v>
      </c>
      <c r="M2286" s="1" t="b">
        <f>IF(OR(入力シート!$C$5&lt;&gt;入力リスト!$N$4,入力シート!$J$22&lt;&gt;入力リスト!$K$4),TRUE,IF($F$2=入力リスト!$Q$4,IF(F2286-INT(F2286)&lt;0.6,TRUE,FALSE),TRUE))</f>
        <v>1</v>
      </c>
      <c r="N2286" s="9" t="str">
        <f>IF(F2286="","",IF($F$2=入力リスト!$Q$4,ROUNDDOWN(INT(F2286)+ROUNDDOWN((F2286-INT(F2286))*100,0)/60,2),従業員の給与情報!F2286))</f>
        <v/>
      </c>
      <c r="O2286" s="8"/>
      <c r="P2286" s="8"/>
    </row>
    <row r="2287" spans="1:16">
      <c r="A2287" s="336"/>
      <c r="B2287" s="337"/>
      <c r="C2287" s="337"/>
      <c r="D2287" s="3"/>
      <c r="E2287" s="337"/>
      <c r="F2287" s="338"/>
      <c r="G2287" s="248" t="str">
        <f t="shared" si="179"/>
        <v/>
      </c>
      <c r="H2287" s="1" t="b">
        <f>IF(B2287="",FALSE,COUNTIF('従業員情報(給与以外)'!$A$4:$A$1000000,$B2287)=0)</f>
        <v>0</v>
      </c>
      <c r="I2287" s="9" t="b">
        <f t="shared" si="175"/>
        <v>1</v>
      </c>
      <c r="J2287" s="9" t="b">
        <f t="shared" si="176"/>
        <v>1</v>
      </c>
      <c r="K2287" s="9" t="b">
        <f t="shared" si="177"/>
        <v>1</v>
      </c>
      <c r="L2287" s="9" t="b">
        <f t="shared" si="178"/>
        <v>1</v>
      </c>
      <c r="M2287" s="1" t="b">
        <f>IF(OR(入力シート!$C$5&lt;&gt;入力リスト!$N$4,入力シート!$J$22&lt;&gt;入力リスト!$K$4),TRUE,IF($F$2=入力リスト!$Q$4,IF(F2287-INT(F2287)&lt;0.6,TRUE,FALSE),TRUE))</f>
        <v>1</v>
      </c>
      <c r="N2287" s="9" t="str">
        <f>IF(F2287="","",IF($F$2=入力リスト!$Q$4,ROUNDDOWN(INT(F2287)+ROUNDDOWN((F2287-INT(F2287))*100,0)/60,2),従業員の給与情報!F2287))</f>
        <v/>
      </c>
      <c r="O2287" s="8"/>
      <c r="P2287" s="8"/>
    </row>
    <row r="2288" spans="1:16">
      <c r="A2288" s="336"/>
      <c r="B2288" s="337"/>
      <c r="C2288" s="337"/>
      <c r="D2288" s="3"/>
      <c r="E2288" s="337"/>
      <c r="F2288" s="338"/>
      <c r="G2288" s="248" t="str">
        <f t="shared" si="179"/>
        <v/>
      </c>
      <c r="H2288" s="1" t="b">
        <f>IF(B2288="",FALSE,COUNTIF('従業員情報(給与以外)'!$A$4:$A$1000000,$B2288)=0)</f>
        <v>0</v>
      </c>
      <c r="I2288" s="9" t="b">
        <f t="shared" si="175"/>
        <v>1</v>
      </c>
      <c r="J2288" s="9" t="b">
        <f t="shared" si="176"/>
        <v>1</v>
      </c>
      <c r="K2288" s="9" t="b">
        <f t="shared" si="177"/>
        <v>1</v>
      </c>
      <c r="L2288" s="9" t="b">
        <f t="shared" si="178"/>
        <v>1</v>
      </c>
      <c r="M2288" s="1" t="b">
        <f>IF(OR(入力シート!$C$5&lt;&gt;入力リスト!$N$4,入力シート!$J$22&lt;&gt;入力リスト!$K$4),TRUE,IF($F$2=入力リスト!$Q$4,IF(F2288-INT(F2288)&lt;0.6,TRUE,FALSE),TRUE))</f>
        <v>1</v>
      </c>
      <c r="N2288" s="9" t="str">
        <f>IF(F2288="","",IF($F$2=入力リスト!$Q$4,ROUNDDOWN(INT(F2288)+ROUNDDOWN((F2288-INT(F2288))*100,0)/60,2),従業員の給与情報!F2288))</f>
        <v/>
      </c>
      <c r="O2288" s="8"/>
      <c r="P2288" s="8"/>
    </row>
    <row r="2289" spans="1:16">
      <c r="A2289" s="336"/>
      <c r="B2289" s="337"/>
      <c r="C2289" s="337"/>
      <c r="D2289" s="3"/>
      <c r="E2289" s="337"/>
      <c r="F2289" s="338"/>
      <c r="G2289" s="248" t="str">
        <f t="shared" si="179"/>
        <v/>
      </c>
      <c r="H2289" s="1" t="b">
        <f>IF(B2289="",FALSE,COUNTIF('従業員情報(給与以外)'!$A$4:$A$1000000,$B2289)=0)</f>
        <v>0</v>
      </c>
      <c r="I2289" s="9" t="b">
        <f t="shared" si="175"/>
        <v>1</v>
      </c>
      <c r="J2289" s="9" t="b">
        <f t="shared" si="176"/>
        <v>1</v>
      </c>
      <c r="K2289" s="9" t="b">
        <f t="shared" si="177"/>
        <v>1</v>
      </c>
      <c r="L2289" s="9" t="b">
        <f t="shared" si="178"/>
        <v>1</v>
      </c>
      <c r="M2289" s="1" t="b">
        <f>IF(OR(入力シート!$C$5&lt;&gt;入力リスト!$N$4,入力シート!$J$22&lt;&gt;入力リスト!$K$4),TRUE,IF($F$2=入力リスト!$Q$4,IF(F2289-INT(F2289)&lt;0.6,TRUE,FALSE),TRUE))</f>
        <v>1</v>
      </c>
      <c r="N2289" s="9" t="str">
        <f>IF(F2289="","",IF($F$2=入力リスト!$Q$4,ROUNDDOWN(INT(F2289)+ROUNDDOWN((F2289-INT(F2289))*100,0)/60,2),従業員の給与情報!F2289))</f>
        <v/>
      </c>
      <c r="O2289" s="8"/>
      <c r="P2289" s="8"/>
    </row>
    <row r="2290" spans="1:16">
      <c r="A2290" s="336"/>
      <c r="B2290" s="337"/>
      <c r="C2290" s="337"/>
      <c r="D2290" s="3"/>
      <c r="E2290" s="337"/>
      <c r="F2290" s="338"/>
      <c r="G2290" s="248" t="str">
        <f t="shared" si="179"/>
        <v/>
      </c>
      <c r="H2290" s="1" t="b">
        <f>IF(B2290="",FALSE,COUNTIF('従業員情報(給与以外)'!$A$4:$A$1000000,$B2290)=0)</f>
        <v>0</v>
      </c>
      <c r="I2290" s="9" t="b">
        <f t="shared" ref="I2290:I2353" si="180">OR(C2290="",ISNUMBER(C2290))</f>
        <v>1</v>
      </c>
      <c r="J2290" s="9" t="b">
        <f t="shared" ref="J2290:J2353" si="181">OR(D2290="",ISNUMBER(D2290))</f>
        <v>1</v>
      </c>
      <c r="K2290" s="9" t="b">
        <f t="shared" ref="K2290:K2353" si="182">OR(E2290="",ISNUMBER(E2290))</f>
        <v>1</v>
      </c>
      <c r="L2290" s="9" t="b">
        <f t="shared" ref="L2290:L2353" si="183">OR(F2290="",ISNUMBER(F2290))</f>
        <v>1</v>
      </c>
      <c r="M2290" s="1" t="b">
        <f>IF(OR(入力シート!$C$5&lt;&gt;入力リスト!$N$4,入力シート!$J$22&lt;&gt;入力リスト!$K$4),TRUE,IF($F$2=入力リスト!$Q$4,IF(F2290-INT(F2290)&lt;0.6,TRUE,FALSE),TRUE))</f>
        <v>1</v>
      </c>
      <c r="N2290" s="9" t="str">
        <f>IF(F2290="","",IF($F$2=入力リスト!$Q$4,ROUNDDOWN(INT(F2290)+ROUNDDOWN((F2290-INT(F2290))*100,0)/60,2),従業員の給与情報!F2290))</f>
        <v/>
      </c>
      <c r="O2290" s="8"/>
      <c r="P2290" s="8"/>
    </row>
    <row r="2291" spans="1:16">
      <c r="A2291" s="336"/>
      <c r="B2291" s="337"/>
      <c r="C2291" s="337"/>
      <c r="D2291" s="3"/>
      <c r="E2291" s="337"/>
      <c r="F2291" s="338"/>
      <c r="G2291" s="248" t="str">
        <f t="shared" si="179"/>
        <v/>
      </c>
      <c r="H2291" s="1" t="b">
        <f>IF(B2291="",FALSE,COUNTIF('従業員情報(給与以外)'!$A$4:$A$1000000,$B2291)=0)</f>
        <v>0</v>
      </c>
      <c r="I2291" s="9" t="b">
        <f t="shared" si="180"/>
        <v>1</v>
      </c>
      <c r="J2291" s="9" t="b">
        <f t="shared" si="181"/>
        <v>1</v>
      </c>
      <c r="K2291" s="9" t="b">
        <f t="shared" si="182"/>
        <v>1</v>
      </c>
      <c r="L2291" s="9" t="b">
        <f t="shared" si="183"/>
        <v>1</v>
      </c>
      <c r="M2291" s="1" t="b">
        <f>IF(OR(入力シート!$C$5&lt;&gt;入力リスト!$N$4,入力シート!$J$22&lt;&gt;入力リスト!$K$4),TRUE,IF($F$2=入力リスト!$Q$4,IF(F2291-INT(F2291)&lt;0.6,TRUE,FALSE),TRUE))</f>
        <v>1</v>
      </c>
      <c r="N2291" s="9" t="str">
        <f>IF(F2291="","",IF($F$2=入力リスト!$Q$4,ROUNDDOWN(INT(F2291)+ROUNDDOWN((F2291-INT(F2291))*100,0)/60,2),従業員の給与情報!F2291))</f>
        <v/>
      </c>
      <c r="O2291" s="8"/>
      <c r="P2291" s="8"/>
    </row>
    <row r="2292" spans="1:16">
      <c r="A2292" s="336"/>
      <c r="B2292" s="337"/>
      <c r="C2292" s="337"/>
      <c r="D2292" s="3"/>
      <c r="E2292" s="337"/>
      <c r="F2292" s="338"/>
      <c r="G2292" s="248" t="str">
        <f t="shared" si="179"/>
        <v/>
      </c>
      <c r="H2292" s="1" t="b">
        <f>IF(B2292="",FALSE,COUNTIF('従業員情報(給与以外)'!$A$4:$A$1000000,$B2292)=0)</f>
        <v>0</v>
      </c>
      <c r="I2292" s="9" t="b">
        <f t="shared" si="180"/>
        <v>1</v>
      </c>
      <c r="J2292" s="9" t="b">
        <f t="shared" si="181"/>
        <v>1</v>
      </c>
      <c r="K2292" s="9" t="b">
        <f t="shared" si="182"/>
        <v>1</v>
      </c>
      <c r="L2292" s="9" t="b">
        <f t="shared" si="183"/>
        <v>1</v>
      </c>
      <c r="M2292" s="1" t="b">
        <f>IF(OR(入力シート!$C$5&lt;&gt;入力リスト!$N$4,入力シート!$J$22&lt;&gt;入力リスト!$K$4),TRUE,IF($F$2=入力リスト!$Q$4,IF(F2292-INT(F2292)&lt;0.6,TRUE,FALSE),TRUE))</f>
        <v>1</v>
      </c>
      <c r="N2292" s="9" t="str">
        <f>IF(F2292="","",IF($F$2=入力リスト!$Q$4,ROUNDDOWN(INT(F2292)+ROUNDDOWN((F2292-INT(F2292))*100,0)/60,2),従業員の給与情報!F2292))</f>
        <v/>
      </c>
      <c r="O2292" s="8"/>
      <c r="P2292" s="8"/>
    </row>
    <row r="2293" spans="1:16">
      <c r="A2293" s="336"/>
      <c r="B2293" s="337"/>
      <c r="C2293" s="337"/>
      <c r="D2293" s="3"/>
      <c r="E2293" s="337"/>
      <c r="F2293" s="338"/>
      <c r="G2293" s="248" t="str">
        <f t="shared" si="179"/>
        <v/>
      </c>
      <c r="H2293" s="1" t="b">
        <f>IF(B2293="",FALSE,COUNTIF('従業員情報(給与以外)'!$A$4:$A$1000000,$B2293)=0)</f>
        <v>0</v>
      </c>
      <c r="I2293" s="9" t="b">
        <f t="shared" si="180"/>
        <v>1</v>
      </c>
      <c r="J2293" s="9" t="b">
        <f t="shared" si="181"/>
        <v>1</v>
      </c>
      <c r="K2293" s="9" t="b">
        <f t="shared" si="182"/>
        <v>1</v>
      </c>
      <c r="L2293" s="9" t="b">
        <f t="shared" si="183"/>
        <v>1</v>
      </c>
      <c r="M2293" s="1" t="b">
        <f>IF(OR(入力シート!$C$5&lt;&gt;入力リスト!$N$4,入力シート!$J$22&lt;&gt;入力リスト!$K$4),TRUE,IF($F$2=入力リスト!$Q$4,IF(F2293-INT(F2293)&lt;0.6,TRUE,FALSE),TRUE))</f>
        <v>1</v>
      </c>
      <c r="N2293" s="9" t="str">
        <f>IF(F2293="","",IF($F$2=入力リスト!$Q$4,ROUNDDOWN(INT(F2293)+ROUNDDOWN((F2293-INT(F2293))*100,0)/60,2),従業員の給与情報!F2293))</f>
        <v/>
      </c>
      <c r="O2293" s="8"/>
      <c r="P2293" s="8"/>
    </row>
    <row r="2294" spans="1:16">
      <c r="A2294" s="336"/>
      <c r="B2294" s="337"/>
      <c r="C2294" s="337"/>
      <c r="D2294" s="3"/>
      <c r="E2294" s="337"/>
      <c r="F2294" s="338"/>
      <c r="G2294" s="248" t="str">
        <f t="shared" si="179"/>
        <v/>
      </c>
      <c r="H2294" s="1" t="b">
        <f>IF(B2294="",FALSE,COUNTIF('従業員情報(給与以外)'!$A$4:$A$1000000,$B2294)=0)</f>
        <v>0</v>
      </c>
      <c r="I2294" s="9" t="b">
        <f t="shared" si="180"/>
        <v>1</v>
      </c>
      <c r="J2294" s="9" t="b">
        <f t="shared" si="181"/>
        <v>1</v>
      </c>
      <c r="K2294" s="9" t="b">
        <f t="shared" si="182"/>
        <v>1</v>
      </c>
      <c r="L2294" s="9" t="b">
        <f t="shared" si="183"/>
        <v>1</v>
      </c>
      <c r="M2294" s="1" t="b">
        <f>IF(OR(入力シート!$C$5&lt;&gt;入力リスト!$N$4,入力シート!$J$22&lt;&gt;入力リスト!$K$4),TRUE,IF($F$2=入力リスト!$Q$4,IF(F2294-INT(F2294)&lt;0.6,TRUE,FALSE),TRUE))</f>
        <v>1</v>
      </c>
      <c r="N2294" s="9" t="str">
        <f>IF(F2294="","",IF($F$2=入力リスト!$Q$4,ROUNDDOWN(INT(F2294)+ROUNDDOWN((F2294-INT(F2294))*100,0)/60,2),従業員の給与情報!F2294))</f>
        <v/>
      </c>
      <c r="O2294" s="8"/>
      <c r="P2294" s="8"/>
    </row>
    <row r="2295" spans="1:16">
      <c r="A2295" s="336"/>
      <c r="B2295" s="337"/>
      <c r="C2295" s="337"/>
      <c r="D2295" s="3"/>
      <c r="E2295" s="337"/>
      <c r="F2295" s="338"/>
      <c r="G2295" s="248" t="str">
        <f t="shared" si="179"/>
        <v/>
      </c>
      <c r="H2295" s="1" t="b">
        <f>IF(B2295="",FALSE,COUNTIF('従業員情報(給与以外)'!$A$4:$A$1000000,$B2295)=0)</f>
        <v>0</v>
      </c>
      <c r="I2295" s="9" t="b">
        <f t="shared" si="180"/>
        <v>1</v>
      </c>
      <c r="J2295" s="9" t="b">
        <f t="shared" si="181"/>
        <v>1</v>
      </c>
      <c r="K2295" s="9" t="b">
        <f t="shared" si="182"/>
        <v>1</v>
      </c>
      <c r="L2295" s="9" t="b">
        <f t="shared" si="183"/>
        <v>1</v>
      </c>
      <c r="M2295" s="1" t="b">
        <f>IF(OR(入力シート!$C$5&lt;&gt;入力リスト!$N$4,入力シート!$J$22&lt;&gt;入力リスト!$K$4),TRUE,IF($F$2=入力リスト!$Q$4,IF(F2295-INT(F2295)&lt;0.6,TRUE,FALSE),TRUE))</f>
        <v>1</v>
      </c>
      <c r="N2295" s="9" t="str">
        <f>IF(F2295="","",IF($F$2=入力リスト!$Q$4,ROUNDDOWN(INT(F2295)+ROUNDDOWN((F2295-INT(F2295))*100,0)/60,2),従業員の給与情報!F2295))</f>
        <v/>
      </c>
      <c r="O2295" s="8"/>
      <c r="P2295" s="8"/>
    </row>
    <row r="2296" spans="1:16">
      <c r="A2296" s="336"/>
      <c r="B2296" s="337"/>
      <c r="C2296" s="337"/>
      <c r="D2296" s="3"/>
      <c r="E2296" s="337"/>
      <c r="F2296" s="338"/>
      <c r="G2296" s="248" t="str">
        <f t="shared" si="179"/>
        <v/>
      </c>
      <c r="H2296" s="1" t="b">
        <f>IF(B2296="",FALSE,COUNTIF('従業員情報(給与以外)'!$A$4:$A$1000000,$B2296)=0)</f>
        <v>0</v>
      </c>
      <c r="I2296" s="9" t="b">
        <f t="shared" si="180"/>
        <v>1</v>
      </c>
      <c r="J2296" s="9" t="b">
        <f t="shared" si="181"/>
        <v>1</v>
      </c>
      <c r="K2296" s="9" t="b">
        <f t="shared" si="182"/>
        <v>1</v>
      </c>
      <c r="L2296" s="9" t="b">
        <f t="shared" si="183"/>
        <v>1</v>
      </c>
      <c r="M2296" s="1" t="b">
        <f>IF(OR(入力シート!$C$5&lt;&gt;入力リスト!$N$4,入力シート!$J$22&lt;&gt;入力リスト!$K$4),TRUE,IF($F$2=入力リスト!$Q$4,IF(F2296-INT(F2296)&lt;0.6,TRUE,FALSE),TRUE))</f>
        <v>1</v>
      </c>
      <c r="N2296" s="9" t="str">
        <f>IF(F2296="","",IF($F$2=入力リスト!$Q$4,ROUNDDOWN(INT(F2296)+ROUNDDOWN((F2296-INT(F2296))*100,0)/60,2),従業員の給与情報!F2296))</f>
        <v/>
      </c>
      <c r="O2296" s="8"/>
      <c r="P2296" s="8"/>
    </row>
    <row r="2297" spans="1:16">
      <c r="A2297" s="336"/>
      <c r="B2297" s="337"/>
      <c r="C2297" s="337"/>
      <c r="D2297" s="3"/>
      <c r="E2297" s="337"/>
      <c r="F2297" s="338"/>
      <c r="G2297" s="248" t="str">
        <f t="shared" si="179"/>
        <v/>
      </c>
      <c r="H2297" s="1" t="b">
        <f>IF(B2297="",FALSE,COUNTIF('従業員情報(給与以外)'!$A$4:$A$1000000,$B2297)=0)</f>
        <v>0</v>
      </c>
      <c r="I2297" s="9" t="b">
        <f t="shared" si="180"/>
        <v>1</v>
      </c>
      <c r="J2297" s="9" t="b">
        <f t="shared" si="181"/>
        <v>1</v>
      </c>
      <c r="K2297" s="9" t="b">
        <f t="shared" si="182"/>
        <v>1</v>
      </c>
      <c r="L2297" s="9" t="b">
        <f t="shared" si="183"/>
        <v>1</v>
      </c>
      <c r="M2297" s="1" t="b">
        <f>IF(OR(入力シート!$C$5&lt;&gt;入力リスト!$N$4,入力シート!$J$22&lt;&gt;入力リスト!$K$4),TRUE,IF($F$2=入力リスト!$Q$4,IF(F2297-INT(F2297)&lt;0.6,TRUE,FALSE),TRUE))</f>
        <v>1</v>
      </c>
      <c r="N2297" s="9" t="str">
        <f>IF(F2297="","",IF($F$2=入力リスト!$Q$4,ROUNDDOWN(INT(F2297)+ROUNDDOWN((F2297-INT(F2297))*100,0)/60,2),従業員の給与情報!F2297))</f>
        <v/>
      </c>
      <c r="O2297" s="8"/>
      <c r="P2297" s="8"/>
    </row>
    <row r="2298" spans="1:16">
      <c r="A2298" s="336"/>
      <c r="B2298" s="337"/>
      <c r="C2298" s="337"/>
      <c r="D2298" s="3"/>
      <c r="E2298" s="337"/>
      <c r="F2298" s="338"/>
      <c r="G2298" s="248" t="str">
        <f t="shared" si="179"/>
        <v/>
      </c>
      <c r="H2298" s="1" t="b">
        <f>IF(B2298="",FALSE,COUNTIF('従業員情報(給与以外)'!$A$4:$A$1000000,$B2298)=0)</f>
        <v>0</v>
      </c>
      <c r="I2298" s="9" t="b">
        <f t="shared" si="180"/>
        <v>1</v>
      </c>
      <c r="J2298" s="9" t="b">
        <f t="shared" si="181"/>
        <v>1</v>
      </c>
      <c r="K2298" s="9" t="b">
        <f t="shared" si="182"/>
        <v>1</v>
      </c>
      <c r="L2298" s="9" t="b">
        <f t="shared" si="183"/>
        <v>1</v>
      </c>
      <c r="M2298" s="1" t="b">
        <f>IF(OR(入力シート!$C$5&lt;&gt;入力リスト!$N$4,入力シート!$J$22&lt;&gt;入力リスト!$K$4),TRUE,IF($F$2=入力リスト!$Q$4,IF(F2298-INT(F2298)&lt;0.6,TRUE,FALSE),TRUE))</f>
        <v>1</v>
      </c>
      <c r="N2298" s="9" t="str">
        <f>IF(F2298="","",IF($F$2=入力リスト!$Q$4,ROUNDDOWN(INT(F2298)+ROUNDDOWN((F2298-INT(F2298))*100,0)/60,2),従業員の給与情報!F2298))</f>
        <v/>
      </c>
      <c r="O2298" s="8"/>
      <c r="P2298" s="8"/>
    </row>
    <row r="2299" spans="1:16">
      <c r="A2299" s="336"/>
      <c r="B2299" s="337"/>
      <c r="C2299" s="337"/>
      <c r="D2299" s="3"/>
      <c r="E2299" s="337"/>
      <c r="F2299" s="338"/>
      <c r="G2299" s="248" t="str">
        <f t="shared" si="179"/>
        <v/>
      </c>
      <c r="H2299" s="1" t="b">
        <f>IF(B2299="",FALSE,COUNTIF('従業員情報(給与以外)'!$A$4:$A$1000000,$B2299)=0)</f>
        <v>0</v>
      </c>
      <c r="I2299" s="9" t="b">
        <f t="shared" si="180"/>
        <v>1</v>
      </c>
      <c r="J2299" s="9" t="b">
        <f t="shared" si="181"/>
        <v>1</v>
      </c>
      <c r="K2299" s="9" t="b">
        <f t="shared" si="182"/>
        <v>1</v>
      </c>
      <c r="L2299" s="9" t="b">
        <f t="shared" si="183"/>
        <v>1</v>
      </c>
      <c r="M2299" s="1" t="b">
        <f>IF(OR(入力シート!$C$5&lt;&gt;入力リスト!$N$4,入力シート!$J$22&lt;&gt;入力リスト!$K$4),TRUE,IF($F$2=入力リスト!$Q$4,IF(F2299-INT(F2299)&lt;0.6,TRUE,FALSE),TRUE))</f>
        <v>1</v>
      </c>
      <c r="N2299" s="9" t="str">
        <f>IF(F2299="","",IF($F$2=入力リスト!$Q$4,ROUNDDOWN(INT(F2299)+ROUNDDOWN((F2299-INT(F2299))*100,0)/60,2),従業員の給与情報!F2299))</f>
        <v/>
      </c>
      <c r="O2299" s="8"/>
      <c r="P2299" s="8"/>
    </row>
    <row r="2300" spans="1:16">
      <c r="A2300" s="336"/>
      <c r="B2300" s="337"/>
      <c r="C2300" s="337"/>
      <c r="D2300" s="3"/>
      <c r="E2300" s="337"/>
      <c r="F2300" s="338"/>
      <c r="G2300" s="248" t="str">
        <f t="shared" si="179"/>
        <v/>
      </c>
      <c r="H2300" s="1" t="b">
        <f>IF(B2300="",FALSE,COUNTIF('従業員情報(給与以外)'!$A$4:$A$1000000,$B2300)=0)</f>
        <v>0</v>
      </c>
      <c r="I2300" s="9" t="b">
        <f t="shared" si="180"/>
        <v>1</v>
      </c>
      <c r="J2300" s="9" t="b">
        <f t="shared" si="181"/>
        <v>1</v>
      </c>
      <c r="K2300" s="9" t="b">
        <f t="shared" si="182"/>
        <v>1</v>
      </c>
      <c r="L2300" s="9" t="b">
        <f t="shared" si="183"/>
        <v>1</v>
      </c>
      <c r="M2300" s="1" t="b">
        <f>IF(OR(入力シート!$C$5&lt;&gt;入力リスト!$N$4,入力シート!$J$22&lt;&gt;入力リスト!$K$4),TRUE,IF($F$2=入力リスト!$Q$4,IF(F2300-INT(F2300)&lt;0.6,TRUE,FALSE),TRUE))</f>
        <v>1</v>
      </c>
      <c r="N2300" s="9" t="str">
        <f>IF(F2300="","",IF($F$2=入力リスト!$Q$4,ROUNDDOWN(INT(F2300)+ROUNDDOWN((F2300-INT(F2300))*100,0)/60,2),従業員の給与情報!F2300))</f>
        <v/>
      </c>
      <c r="O2300" s="8"/>
      <c r="P2300" s="8"/>
    </row>
    <row r="2301" spans="1:16">
      <c r="A2301" s="336"/>
      <c r="B2301" s="337"/>
      <c r="C2301" s="337"/>
      <c r="D2301" s="3"/>
      <c r="E2301" s="337"/>
      <c r="F2301" s="338"/>
      <c r="G2301" s="248" t="str">
        <f t="shared" si="179"/>
        <v/>
      </c>
      <c r="H2301" s="1" t="b">
        <f>IF(B2301="",FALSE,COUNTIF('従業員情報(給与以外)'!$A$4:$A$1000000,$B2301)=0)</f>
        <v>0</v>
      </c>
      <c r="I2301" s="9" t="b">
        <f t="shared" si="180"/>
        <v>1</v>
      </c>
      <c r="J2301" s="9" t="b">
        <f t="shared" si="181"/>
        <v>1</v>
      </c>
      <c r="K2301" s="9" t="b">
        <f t="shared" si="182"/>
        <v>1</v>
      </c>
      <c r="L2301" s="9" t="b">
        <f t="shared" si="183"/>
        <v>1</v>
      </c>
      <c r="M2301" s="1" t="b">
        <f>IF(OR(入力シート!$C$5&lt;&gt;入力リスト!$N$4,入力シート!$J$22&lt;&gt;入力リスト!$K$4),TRUE,IF($F$2=入力リスト!$Q$4,IF(F2301-INT(F2301)&lt;0.6,TRUE,FALSE),TRUE))</f>
        <v>1</v>
      </c>
      <c r="N2301" s="9" t="str">
        <f>IF(F2301="","",IF($F$2=入力リスト!$Q$4,ROUNDDOWN(INT(F2301)+ROUNDDOWN((F2301-INT(F2301))*100,0)/60,2),従業員の給与情報!F2301))</f>
        <v/>
      </c>
      <c r="O2301" s="8"/>
      <c r="P2301" s="8"/>
    </row>
    <row r="2302" spans="1:16">
      <c r="A2302" s="336"/>
      <c r="B2302" s="337"/>
      <c r="C2302" s="337"/>
      <c r="D2302" s="3"/>
      <c r="E2302" s="337"/>
      <c r="F2302" s="338"/>
      <c r="G2302" s="248" t="str">
        <f t="shared" si="179"/>
        <v/>
      </c>
      <c r="H2302" s="1" t="b">
        <f>IF(B2302="",FALSE,COUNTIF('従業員情報(給与以外)'!$A$4:$A$1000000,$B2302)=0)</f>
        <v>0</v>
      </c>
      <c r="I2302" s="9" t="b">
        <f t="shared" si="180"/>
        <v>1</v>
      </c>
      <c r="J2302" s="9" t="b">
        <f t="shared" si="181"/>
        <v>1</v>
      </c>
      <c r="K2302" s="9" t="b">
        <f t="shared" si="182"/>
        <v>1</v>
      </c>
      <c r="L2302" s="9" t="b">
        <f t="shared" si="183"/>
        <v>1</v>
      </c>
      <c r="M2302" s="1" t="b">
        <f>IF(OR(入力シート!$C$5&lt;&gt;入力リスト!$N$4,入力シート!$J$22&lt;&gt;入力リスト!$K$4),TRUE,IF($F$2=入力リスト!$Q$4,IF(F2302-INT(F2302)&lt;0.6,TRUE,FALSE),TRUE))</f>
        <v>1</v>
      </c>
      <c r="N2302" s="9" t="str">
        <f>IF(F2302="","",IF($F$2=入力リスト!$Q$4,ROUNDDOWN(INT(F2302)+ROUNDDOWN((F2302-INT(F2302))*100,0)/60,2),従業員の給与情報!F2302))</f>
        <v/>
      </c>
      <c r="O2302" s="8"/>
      <c r="P2302" s="8"/>
    </row>
    <row r="2303" spans="1:16">
      <c r="A2303" s="336"/>
      <c r="B2303" s="337"/>
      <c r="C2303" s="337"/>
      <c r="D2303" s="3"/>
      <c r="E2303" s="337"/>
      <c r="F2303" s="338"/>
      <c r="G2303" s="248" t="str">
        <f t="shared" si="179"/>
        <v/>
      </c>
      <c r="H2303" s="1" t="b">
        <f>IF(B2303="",FALSE,COUNTIF('従業員情報(給与以外)'!$A$4:$A$1000000,$B2303)=0)</f>
        <v>0</v>
      </c>
      <c r="I2303" s="9" t="b">
        <f t="shared" si="180"/>
        <v>1</v>
      </c>
      <c r="J2303" s="9" t="b">
        <f t="shared" si="181"/>
        <v>1</v>
      </c>
      <c r="K2303" s="9" t="b">
        <f t="shared" si="182"/>
        <v>1</v>
      </c>
      <c r="L2303" s="9" t="b">
        <f t="shared" si="183"/>
        <v>1</v>
      </c>
      <c r="M2303" s="1" t="b">
        <f>IF(OR(入力シート!$C$5&lt;&gt;入力リスト!$N$4,入力シート!$J$22&lt;&gt;入力リスト!$K$4),TRUE,IF($F$2=入力リスト!$Q$4,IF(F2303-INT(F2303)&lt;0.6,TRUE,FALSE),TRUE))</f>
        <v>1</v>
      </c>
      <c r="N2303" s="9" t="str">
        <f>IF(F2303="","",IF($F$2=入力リスト!$Q$4,ROUNDDOWN(INT(F2303)+ROUNDDOWN((F2303-INT(F2303))*100,0)/60,2),従業員の給与情報!F2303))</f>
        <v/>
      </c>
      <c r="O2303" s="8"/>
      <c r="P2303" s="8"/>
    </row>
    <row r="2304" spans="1:16">
      <c r="A2304" s="336"/>
      <c r="B2304" s="337"/>
      <c r="C2304" s="337"/>
      <c r="D2304" s="3"/>
      <c r="E2304" s="337"/>
      <c r="F2304" s="338"/>
      <c r="G2304" s="248" t="str">
        <f t="shared" si="179"/>
        <v/>
      </c>
      <c r="H2304" s="1" t="b">
        <f>IF(B2304="",FALSE,COUNTIF('従業員情報(給与以外)'!$A$4:$A$1000000,$B2304)=0)</f>
        <v>0</v>
      </c>
      <c r="I2304" s="9" t="b">
        <f t="shared" si="180"/>
        <v>1</v>
      </c>
      <c r="J2304" s="9" t="b">
        <f t="shared" si="181"/>
        <v>1</v>
      </c>
      <c r="K2304" s="9" t="b">
        <f t="shared" si="182"/>
        <v>1</v>
      </c>
      <c r="L2304" s="9" t="b">
        <f t="shared" si="183"/>
        <v>1</v>
      </c>
      <c r="M2304" s="1" t="b">
        <f>IF(OR(入力シート!$C$5&lt;&gt;入力リスト!$N$4,入力シート!$J$22&lt;&gt;入力リスト!$K$4),TRUE,IF($F$2=入力リスト!$Q$4,IF(F2304-INT(F2304)&lt;0.6,TRUE,FALSE),TRUE))</f>
        <v>1</v>
      </c>
      <c r="N2304" s="9" t="str">
        <f>IF(F2304="","",IF($F$2=入力リスト!$Q$4,ROUNDDOWN(INT(F2304)+ROUNDDOWN((F2304-INT(F2304))*100,0)/60,2),従業員の給与情報!F2304))</f>
        <v/>
      </c>
      <c r="O2304" s="8"/>
      <c r="P2304" s="8"/>
    </row>
    <row r="2305" spans="1:16">
      <c r="A2305" s="336"/>
      <c r="B2305" s="337"/>
      <c r="C2305" s="337"/>
      <c r="D2305" s="3"/>
      <c r="E2305" s="337"/>
      <c r="F2305" s="338"/>
      <c r="G2305" s="248" t="str">
        <f t="shared" si="179"/>
        <v/>
      </c>
      <c r="H2305" s="1" t="b">
        <f>IF(B2305="",FALSE,COUNTIF('従業員情報(給与以外)'!$A$4:$A$1000000,$B2305)=0)</f>
        <v>0</v>
      </c>
      <c r="I2305" s="9" t="b">
        <f t="shared" si="180"/>
        <v>1</v>
      </c>
      <c r="J2305" s="9" t="b">
        <f t="shared" si="181"/>
        <v>1</v>
      </c>
      <c r="K2305" s="9" t="b">
        <f t="shared" si="182"/>
        <v>1</v>
      </c>
      <c r="L2305" s="9" t="b">
        <f t="shared" si="183"/>
        <v>1</v>
      </c>
      <c r="M2305" s="1" t="b">
        <f>IF(OR(入力シート!$C$5&lt;&gt;入力リスト!$N$4,入力シート!$J$22&lt;&gt;入力リスト!$K$4),TRUE,IF($F$2=入力リスト!$Q$4,IF(F2305-INT(F2305)&lt;0.6,TRUE,FALSE),TRUE))</f>
        <v>1</v>
      </c>
      <c r="N2305" s="9" t="str">
        <f>IF(F2305="","",IF($F$2=入力リスト!$Q$4,ROUNDDOWN(INT(F2305)+ROUNDDOWN((F2305-INT(F2305))*100,0)/60,2),従業員の給与情報!F2305))</f>
        <v/>
      </c>
      <c r="O2305" s="8"/>
      <c r="P2305" s="8"/>
    </row>
    <row r="2306" spans="1:16">
      <c r="A2306" s="336"/>
      <c r="B2306" s="337"/>
      <c r="C2306" s="337"/>
      <c r="D2306" s="3"/>
      <c r="E2306" s="337"/>
      <c r="F2306" s="338"/>
      <c r="G2306" s="248" t="str">
        <f t="shared" si="179"/>
        <v/>
      </c>
      <c r="H2306" s="1" t="b">
        <f>IF(B2306="",FALSE,COUNTIF('従業員情報(給与以外)'!$A$4:$A$1000000,$B2306)=0)</f>
        <v>0</v>
      </c>
      <c r="I2306" s="9" t="b">
        <f t="shared" si="180"/>
        <v>1</v>
      </c>
      <c r="J2306" s="9" t="b">
        <f t="shared" si="181"/>
        <v>1</v>
      </c>
      <c r="K2306" s="9" t="b">
        <f t="shared" si="182"/>
        <v>1</v>
      </c>
      <c r="L2306" s="9" t="b">
        <f t="shared" si="183"/>
        <v>1</v>
      </c>
      <c r="M2306" s="1" t="b">
        <f>IF(OR(入力シート!$C$5&lt;&gt;入力リスト!$N$4,入力シート!$J$22&lt;&gt;入力リスト!$K$4),TRUE,IF($F$2=入力リスト!$Q$4,IF(F2306-INT(F2306)&lt;0.6,TRUE,FALSE),TRUE))</f>
        <v>1</v>
      </c>
      <c r="N2306" s="9" t="str">
        <f>IF(F2306="","",IF($F$2=入力リスト!$Q$4,ROUNDDOWN(INT(F2306)+ROUNDDOWN((F2306-INT(F2306))*100,0)/60,2),従業員の給与情報!F2306))</f>
        <v/>
      </c>
      <c r="O2306" s="8"/>
      <c r="P2306" s="8"/>
    </row>
    <row r="2307" spans="1:16">
      <c r="A2307" s="336"/>
      <c r="B2307" s="337"/>
      <c r="C2307" s="337"/>
      <c r="D2307" s="3"/>
      <c r="E2307" s="337"/>
      <c r="F2307" s="338"/>
      <c r="G2307" s="248" t="str">
        <f t="shared" si="179"/>
        <v/>
      </c>
      <c r="H2307" s="1" t="b">
        <f>IF(B2307="",FALSE,COUNTIF('従業員情報(給与以外)'!$A$4:$A$1000000,$B2307)=0)</f>
        <v>0</v>
      </c>
      <c r="I2307" s="9" t="b">
        <f t="shared" si="180"/>
        <v>1</v>
      </c>
      <c r="J2307" s="9" t="b">
        <f t="shared" si="181"/>
        <v>1</v>
      </c>
      <c r="K2307" s="9" t="b">
        <f t="shared" si="182"/>
        <v>1</v>
      </c>
      <c r="L2307" s="9" t="b">
        <f t="shared" si="183"/>
        <v>1</v>
      </c>
      <c r="M2307" s="1" t="b">
        <f>IF(OR(入力シート!$C$5&lt;&gt;入力リスト!$N$4,入力シート!$J$22&lt;&gt;入力リスト!$K$4),TRUE,IF($F$2=入力リスト!$Q$4,IF(F2307-INT(F2307)&lt;0.6,TRUE,FALSE),TRUE))</f>
        <v>1</v>
      </c>
      <c r="N2307" s="9" t="str">
        <f>IF(F2307="","",IF($F$2=入力リスト!$Q$4,ROUNDDOWN(INT(F2307)+ROUNDDOWN((F2307-INT(F2307))*100,0)/60,2),従業員の給与情報!F2307))</f>
        <v/>
      </c>
      <c r="O2307" s="8"/>
      <c r="P2307" s="8"/>
    </row>
    <row r="2308" spans="1:16">
      <c r="A2308" s="336"/>
      <c r="B2308" s="337"/>
      <c r="C2308" s="337"/>
      <c r="D2308" s="3"/>
      <c r="E2308" s="337"/>
      <c r="F2308" s="338"/>
      <c r="G2308" s="248" t="str">
        <f t="shared" si="179"/>
        <v/>
      </c>
      <c r="H2308" s="1" t="b">
        <f>IF(B2308="",FALSE,COUNTIF('従業員情報(給与以外)'!$A$4:$A$1000000,$B2308)=0)</f>
        <v>0</v>
      </c>
      <c r="I2308" s="9" t="b">
        <f t="shared" si="180"/>
        <v>1</v>
      </c>
      <c r="J2308" s="9" t="b">
        <f t="shared" si="181"/>
        <v>1</v>
      </c>
      <c r="K2308" s="9" t="b">
        <f t="shared" si="182"/>
        <v>1</v>
      </c>
      <c r="L2308" s="9" t="b">
        <f t="shared" si="183"/>
        <v>1</v>
      </c>
      <c r="M2308" s="1" t="b">
        <f>IF(OR(入力シート!$C$5&lt;&gt;入力リスト!$N$4,入力シート!$J$22&lt;&gt;入力リスト!$K$4),TRUE,IF($F$2=入力リスト!$Q$4,IF(F2308-INT(F2308)&lt;0.6,TRUE,FALSE),TRUE))</f>
        <v>1</v>
      </c>
      <c r="N2308" s="9" t="str">
        <f>IF(F2308="","",IF($F$2=入力リスト!$Q$4,ROUNDDOWN(INT(F2308)+ROUNDDOWN((F2308-INT(F2308))*100,0)/60,2),従業員の給与情報!F2308))</f>
        <v/>
      </c>
      <c r="O2308" s="8"/>
      <c r="P2308" s="8"/>
    </row>
    <row r="2309" spans="1:16">
      <c r="A2309" s="336"/>
      <c r="B2309" s="337"/>
      <c r="C2309" s="337"/>
      <c r="D2309" s="3"/>
      <c r="E2309" s="337"/>
      <c r="F2309" s="338"/>
      <c r="G2309" s="248" t="str">
        <f t="shared" ref="G2309:G2372" si="184">IF(AND($B2309="",OR(B2309&lt;&gt;"",C2309&lt;&gt;"",D2309&lt;&gt;"",E2309&lt;&gt;"",F2309&lt;&gt;"")),"従業員番号が空白です。",IF($H2309=TRUE,"この従業員番号は、シート［従業員情報（給与以外）］に存在しません。",IF(I2309=FALSE,"「毎月の固定給与額」","")&amp;IF(AND(I2309=FALSE,OR(J2309=FALSE,K2309=FALSE,L2309=FALSE)),",","")&amp;IF(J2309=FALSE,"「賞与額等」","")&amp;IF(AND(J2309=FALSE,OR(K2309=FALSE,L2309=FALSE)),",","")&amp;IF(K2309=FALSE,"「残業手当」","")&amp;IF(AND(K2309=FALSE,L2309=FALSE),",","")&amp;IF(L2309=FALSE,"「残業時間」","")&amp;IF(OR(I2309=FALSE,J2309=FALSE,K2309=FALSE,L2309=FALSE),"に数値以外が入力されています。","")&amp;IF(M2309,"","「残業時間」を分単位で入力した場合、小数点以下の値は0.6未満にしてください。")))</f>
        <v/>
      </c>
      <c r="H2309" s="1" t="b">
        <f>IF(B2309="",FALSE,COUNTIF('従業員情報(給与以外)'!$A$4:$A$1000000,$B2309)=0)</f>
        <v>0</v>
      </c>
      <c r="I2309" s="9" t="b">
        <f t="shared" si="180"/>
        <v>1</v>
      </c>
      <c r="J2309" s="9" t="b">
        <f t="shared" si="181"/>
        <v>1</v>
      </c>
      <c r="K2309" s="9" t="b">
        <f t="shared" si="182"/>
        <v>1</v>
      </c>
      <c r="L2309" s="9" t="b">
        <f t="shared" si="183"/>
        <v>1</v>
      </c>
      <c r="M2309" s="1" t="b">
        <f>IF(OR(入力シート!$C$5&lt;&gt;入力リスト!$N$4,入力シート!$J$22&lt;&gt;入力リスト!$K$4),TRUE,IF($F$2=入力リスト!$Q$4,IF(F2309-INT(F2309)&lt;0.6,TRUE,FALSE),TRUE))</f>
        <v>1</v>
      </c>
      <c r="N2309" s="9" t="str">
        <f>IF(F2309="","",IF($F$2=入力リスト!$Q$4,ROUNDDOWN(INT(F2309)+ROUNDDOWN((F2309-INT(F2309))*100,0)/60,2),従業員の給与情報!F2309))</f>
        <v/>
      </c>
      <c r="O2309" s="8"/>
      <c r="P2309" s="8"/>
    </row>
    <row r="2310" spans="1:16">
      <c r="A2310" s="336"/>
      <c r="B2310" s="337"/>
      <c r="C2310" s="337"/>
      <c r="D2310" s="3"/>
      <c r="E2310" s="337"/>
      <c r="F2310" s="338"/>
      <c r="G2310" s="248" t="str">
        <f t="shared" si="184"/>
        <v/>
      </c>
      <c r="H2310" s="1" t="b">
        <f>IF(B2310="",FALSE,COUNTIF('従業員情報(給与以外)'!$A$4:$A$1000000,$B2310)=0)</f>
        <v>0</v>
      </c>
      <c r="I2310" s="9" t="b">
        <f t="shared" si="180"/>
        <v>1</v>
      </c>
      <c r="J2310" s="9" t="b">
        <f t="shared" si="181"/>
        <v>1</v>
      </c>
      <c r="K2310" s="9" t="b">
        <f t="shared" si="182"/>
        <v>1</v>
      </c>
      <c r="L2310" s="9" t="b">
        <f t="shared" si="183"/>
        <v>1</v>
      </c>
      <c r="M2310" s="1" t="b">
        <f>IF(OR(入力シート!$C$5&lt;&gt;入力リスト!$N$4,入力シート!$J$22&lt;&gt;入力リスト!$K$4),TRUE,IF($F$2=入力リスト!$Q$4,IF(F2310-INT(F2310)&lt;0.6,TRUE,FALSE),TRUE))</f>
        <v>1</v>
      </c>
      <c r="N2310" s="9" t="str">
        <f>IF(F2310="","",IF($F$2=入力リスト!$Q$4,ROUNDDOWN(INT(F2310)+ROUNDDOWN((F2310-INT(F2310))*100,0)/60,2),従業員の給与情報!F2310))</f>
        <v/>
      </c>
      <c r="O2310" s="8"/>
      <c r="P2310" s="8"/>
    </row>
    <row r="2311" spans="1:16">
      <c r="A2311" s="336"/>
      <c r="B2311" s="337"/>
      <c r="C2311" s="337"/>
      <c r="D2311" s="3"/>
      <c r="E2311" s="337"/>
      <c r="F2311" s="338"/>
      <c r="G2311" s="248" t="str">
        <f t="shared" si="184"/>
        <v/>
      </c>
      <c r="H2311" s="1" t="b">
        <f>IF(B2311="",FALSE,COUNTIF('従業員情報(給与以外)'!$A$4:$A$1000000,$B2311)=0)</f>
        <v>0</v>
      </c>
      <c r="I2311" s="9" t="b">
        <f t="shared" si="180"/>
        <v>1</v>
      </c>
      <c r="J2311" s="9" t="b">
        <f t="shared" si="181"/>
        <v>1</v>
      </c>
      <c r="K2311" s="9" t="b">
        <f t="shared" si="182"/>
        <v>1</v>
      </c>
      <c r="L2311" s="9" t="b">
        <f t="shared" si="183"/>
        <v>1</v>
      </c>
      <c r="M2311" s="1" t="b">
        <f>IF(OR(入力シート!$C$5&lt;&gt;入力リスト!$N$4,入力シート!$J$22&lt;&gt;入力リスト!$K$4),TRUE,IF($F$2=入力リスト!$Q$4,IF(F2311-INT(F2311)&lt;0.6,TRUE,FALSE),TRUE))</f>
        <v>1</v>
      </c>
      <c r="N2311" s="9" t="str">
        <f>IF(F2311="","",IF($F$2=入力リスト!$Q$4,ROUNDDOWN(INT(F2311)+ROUNDDOWN((F2311-INT(F2311))*100,0)/60,2),従業員の給与情報!F2311))</f>
        <v/>
      </c>
      <c r="O2311" s="8"/>
      <c r="P2311" s="8"/>
    </row>
    <row r="2312" spans="1:16">
      <c r="A2312" s="336"/>
      <c r="B2312" s="337"/>
      <c r="C2312" s="337"/>
      <c r="D2312" s="3"/>
      <c r="E2312" s="337"/>
      <c r="F2312" s="338"/>
      <c r="G2312" s="248" t="str">
        <f t="shared" si="184"/>
        <v/>
      </c>
      <c r="H2312" s="1" t="b">
        <f>IF(B2312="",FALSE,COUNTIF('従業員情報(給与以外)'!$A$4:$A$1000000,$B2312)=0)</f>
        <v>0</v>
      </c>
      <c r="I2312" s="9" t="b">
        <f t="shared" si="180"/>
        <v>1</v>
      </c>
      <c r="J2312" s="9" t="b">
        <f t="shared" si="181"/>
        <v>1</v>
      </c>
      <c r="K2312" s="9" t="b">
        <f t="shared" si="182"/>
        <v>1</v>
      </c>
      <c r="L2312" s="9" t="b">
        <f t="shared" si="183"/>
        <v>1</v>
      </c>
      <c r="M2312" s="1" t="b">
        <f>IF(OR(入力シート!$C$5&lt;&gt;入力リスト!$N$4,入力シート!$J$22&lt;&gt;入力リスト!$K$4),TRUE,IF($F$2=入力リスト!$Q$4,IF(F2312-INT(F2312)&lt;0.6,TRUE,FALSE),TRUE))</f>
        <v>1</v>
      </c>
      <c r="N2312" s="9" t="str">
        <f>IF(F2312="","",IF($F$2=入力リスト!$Q$4,ROUNDDOWN(INT(F2312)+ROUNDDOWN((F2312-INT(F2312))*100,0)/60,2),従業員の給与情報!F2312))</f>
        <v/>
      </c>
      <c r="O2312" s="8"/>
      <c r="P2312" s="8"/>
    </row>
    <row r="2313" spans="1:16">
      <c r="A2313" s="336"/>
      <c r="B2313" s="337"/>
      <c r="C2313" s="337"/>
      <c r="D2313" s="3"/>
      <c r="E2313" s="337"/>
      <c r="F2313" s="338"/>
      <c r="G2313" s="248" t="str">
        <f t="shared" si="184"/>
        <v/>
      </c>
      <c r="H2313" s="1" t="b">
        <f>IF(B2313="",FALSE,COUNTIF('従業員情報(給与以外)'!$A$4:$A$1000000,$B2313)=0)</f>
        <v>0</v>
      </c>
      <c r="I2313" s="9" t="b">
        <f t="shared" si="180"/>
        <v>1</v>
      </c>
      <c r="J2313" s="9" t="b">
        <f t="shared" si="181"/>
        <v>1</v>
      </c>
      <c r="K2313" s="9" t="b">
        <f t="shared" si="182"/>
        <v>1</v>
      </c>
      <c r="L2313" s="9" t="b">
        <f t="shared" si="183"/>
        <v>1</v>
      </c>
      <c r="M2313" s="1" t="b">
        <f>IF(OR(入力シート!$C$5&lt;&gt;入力リスト!$N$4,入力シート!$J$22&lt;&gt;入力リスト!$K$4),TRUE,IF($F$2=入力リスト!$Q$4,IF(F2313-INT(F2313)&lt;0.6,TRUE,FALSE),TRUE))</f>
        <v>1</v>
      </c>
      <c r="N2313" s="9" t="str">
        <f>IF(F2313="","",IF($F$2=入力リスト!$Q$4,ROUNDDOWN(INT(F2313)+ROUNDDOWN((F2313-INT(F2313))*100,0)/60,2),従業員の給与情報!F2313))</f>
        <v/>
      </c>
      <c r="O2313" s="8"/>
      <c r="P2313" s="8"/>
    </row>
    <row r="2314" spans="1:16">
      <c r="A2314" s="336"/>
      <c r="B2314" s="337"/>
      <c r="C2314" s="337"/>
      <c r="D2314" s="3"/>
      <c r="E2314" s="337"/>
      <c r="F2314" s="338"/>
      <c r="G2314" s="248" t="str">
        <f t="shared" si="184"/>
        <v/>
      </c>
      <c r="H2314" s="1" t="b">
        <f>IF(B2314="",FALSE,COUNTIF('従業員情報(給与以外)'!$A$4:$A$1000000,$B2314)=0)</f>
        <v>0</v>
      </c>
      <c r="I2314" s="9" t="b">
        <f t="shared" si="180"/>
        <v>1</v>
      </c>
      <c r="J2314" s="9" t="b">
        <f t="shared" si="181"/>
        <v>1</v>
      </c>
      <c r="K2314" s="9" t="b">
        <f t="shared" si="182"/>
        <v>1</v>
      </c>
      <c r="L2314" s="9" t="b">
        <f t="shared" si="183"/>
        <v>1</v>
      </c>
      <c r="M2314" s="1" t="b">
        <f>IF(OR(入力シート!$C$5&lt;&gt;入力リスト!$N$4,入力シート!$J$22&lt;&gt;入力リスト!$K$4),TRUE,IF($F$2=入力リスト!$Q$4,IF(F2314-INT(F2314)&lt;0.6,TRUE,FALSE),TRUE))</f>
        <v>1</v>
      </c>
      <c r="N2314" s="9" t="str">
        <f>IF(F2314="","",IF($F$2=入力リスト!$Q$4,ROUNDDOWN(INT(F2314)+ROUNDDOWN((F2314-INT(F2314))*100,0)/60,2),従業員の給与情報!F2314))</f>
        <v/>
      </c>
      <c r="O2314" s="8"/>
      <c r="P2314" s="8"/>
    </row>
    <row r="2315" spans="1:16">
      <c r="A2315" s="336"/>
      <c r="B2315" s="337"/>
      <c r="C2315" s="337"/>
      <c r="D2315" s="3"/>
      <c r="E2315" s="337"/>
      <c r="F2315" s="338"/>
      <c r="G2315" s="248" t="str">
        <f t="shared" si="184"/>
        <v/>
      </c>
      <c r="H2315" s="1" t="b">
        <f>IF(B2315="",FALSE,COUNTIF('従業員情報(給与以外)'!$A$4:$A$1000000,$B2315)=0)</f>
        <v>0</v>
      </c>
      <c r="I2315" s="9" t="b">
        <f t="shared" si="180"/>
        <v>1</v>
      </c>
      <c r="J2315" s="9" t="b">
        <f t="shared" si="181"/>
        <v>1</v>
      </c>
      <c r="K2315" s="9" t="b">
        <f t="shared" si="182"/>
        <v>1</v>
      </c>
      <c r="L2315" s="9" t="b">
        <f t="shared" si="183"/>
        <v>1</v>
      </c>
      <c r="M2315" s="1" t="b">
        <f>IF(OR(入力シート!$C$5&lt;&gt;入力リスト!$N$4,入力シート!$J$22&lt;&gt;入力リスト!$K$4),TRUE,IF($F$2=入力リスト!$Q$4,IF(F2315-INT(F2315)&lt;0.6,TRUE,FALSE),TRUE))</f>
        <v>1</v>
      </c>
      <c r="N2315" s="9" t="str">
        <f>IF(F2315="","",IF($F$2=入力リスト!$Q$4,ROUNDDOWN(INT(F2315)+ROUNDDOWN((F2315-INT(F2315))*100,0)/60,2),従業員の給与情報!F2315))</f>
        <v/>
      </c>
      <c r="O2315" s="8"/>
      <c r="P2315" s="8"/>
    </row>
    <row r="2316" spans="1:16">
      <c r="A2316" s="336"/>
      <c r="B2316" s="337"/>
      <c r="C2316" s="337"/>
      <c r="D2316" s="3"/>
      <c r="E2316" s="337"/>
      <c r="F2316" s="338"/>
      <c r="G2316" s="248" t="str">
        <f t="shared" si="184"/>
        <v/>
      </c>
      <c r="H2316" s="1" t="b">
        <f>IF(B2316="",FALSE,COUNTIF('従業員情報(給与以外)'!$A$4:$A$1000000,$B2316)=0)</f>
        <v>0</v>
      </c>
      <c r="I2316" s="9" t="b">
        <f t="shared" si="180"/>
        <v>1</v>
      </c>
      <c r="J2316" s="9" t="b">
        <f t="shared" si="181"/>
        <v>1</v>
      </c>
      <c r="K2316" s="9" t="b">
        <f t="shared" si="182"/>
        <v>1</v>
      </c>
      <c r="L2316" s="9" t="b">
        <f t="shared" si="183"/>
        <v>1</v>
      </c>
      <c r="M2316" s="1" t="b">
        <f>IF(OR(入力シート!$C$5&lt;&gt;入力リスト!$N$4,入力シート!$J$22&lt;&gt;入力リスト!$K$4),TRUE,IF($F$2=入力リスト!$Q$4,IF(F2316-INT(F2316)&lt;0.6,TRUE,FALSE),TRUE))</f>
        <v>1</v>
      </c>
      <c r="N2316" s="9" t="str">
        <f>IF(F2316="","",IF($F$2=入力リスト!$Q$4,ROUNDDOWN(INT(F2316)+ROUNDDOWN((F2316-INT(F2316))*100,0)/60,2),従業員の給与情報!F2316))</f>
        <v/>
      </c>
      <c r="O2316" s="8"/>
      <c r="P2316" s="8"/>
    </row>
    <row r="2317" spans="1:16">
      <c r="A2317" s="336"/>
      <c r="B2317" s="337"/>
      <c r="C2317" s="337"/>
      <c r="D2317" s="3"/>
      <c r="E2317" s="337"/>
      <c r="F2317" s="338"/>
      <c r="G2317" s="248" t="str">
        <f t="shared" si="184"/>
        <v/>
      </c>
      <c r="H2317" s="1" t="b">
        <f>IF(B2317="",FALSE,COUNTIF('従業員情報(給与以外)'!$A$4:$A$1000000,$B2317)=0)</f>
        <v>0</v>
      </c>
      <c r="I2317" s="9" t="b">
        <f t="shared" si="180"/>
        <v>1</v>
      </c>
      <c r="J2317" s="9" t="b">
        <f t="shared" si="181"/>
        <v>1</v>
      </c>
      <c r="K2317" s="9" t="b">
        <f t="shared" si="182"/>
        <v>1</v>
      </c>
      <c r="L2317" s="9" t="b">
        <f t="shared" si="183"/>
        <v>1</v>
      </c>
      <c r="M2317" s="1" t="b">
        <f>IF(OR(入力シート!$C$5&lt;&gt;入力リスト!$N$4,入力シート!$J$22&lt;&gt;入力リスト!$K$4),TRUE,IF($F$2=入力リスト!$Q$4,IF(F2317-INT(F2317)&lt;0.6,TRUE,FALSE),TRUE))</f>
        <v>1</v>
      </c>
      <c r="N2317" s="9" t="str">
        <f>IF(F2317="","",IF($F$2=入力リスト!$Q$4,ROUNDDOWN(INT(F2317)+ROUNDDOWN((F2317-INT(F2317))*100,0)/60,2),従業員の給与情報!F2317))</f>
        <v/>
      </c>
      <c r="O2317" s="8"/>
      <c r="P2317" s="8"/>
    </row>
    <row r="2318" spans="1:16">
      <c r="A2318" s="336"/>
      <c r="B2318" s="337"/>
      <c r="C2318" s="337"/>
      <c r="D2318" s="3"/>
      <c r="E2318" s="337"/>
      <c r="F2318" s="338"/>
      <c r="G2318" s="248" t="str">
        <f t="shared" si="184"/>
        <v/>
      </c>
      <c r="H2318" s="1" t="b">
        <f>IF(B2318="",FALSE,COUNTIF('従業員情報(給与以外)'!$A$4:$A$1000000,$B2318)=0)</f>
        <v>0</v>
      </c>
      <c r="I2318" s="9" t="b">
        <f t="shared" si="180"/>
        <v>1</v>
      </c>
      <c r="J2318" s="9" t="b">
        <f t="shared" si="181"/>
        <v>1</v>
      </c>
      <c r="K2318" s="9" t="b">
        <f t="shared" si="182"/>
        <v>1</v>
      </c>
      <c r="L2318" s="9" t="b">
        <f t="shared" si="183"/>
        <v>1</v>
      </c>
      <c r="M2318" s="1" t="b">
        <f>IF(OR(入力シート!$C$5&lt;&gt;入力リスト!$N$4,入力シート!$J$22&lt;&gt;入力リスト!$K$4),TRUE,IF($F$2=入力リスト!$Q$4,IF(F2318-INT(F2318)&lt;0.6,TRUE,FALSE),TRUE))</f>
        <v>1</v>
      </c>
      <c r="N2318" s="9" t="str">
        <f>IF(F2318="","",IF($F$2=入力リスト!$Q$4,ROUNDDOWN(INT(F2318)+ROUNDDOWN((F2318-INT(F2318))*100,0)/60,2),従業員の給与情報!F2318))</f>
        <v/>
      </c>
      <c r="O2318" s="8"/>
      <c r="P2318" s="8"/>
    </row>
    <row r="2319" spans="1:16">
      <c r="A2319" s="336"/>
      <c r="B2319" s="337"/>
      <c r="C2319" s="337"/>
      <c r="D2319" s="3"/>
      <c r="E2319" s="337"/>
      <c r="F2319" s="338"/>
      <c r="G2319" s="248" t="str">
        <f t="shared" si="184"/>
        <v/>
      </c>
      <c r="H2319" s="1" t="b">
        <f>IF(B2319="",FALSE,COUNTIF('従業員情報(給与以外)'!$A$4:$A$1000000,$B2319)=0)</f>
        <v>0</v>
      </c>
      <c r="I2319" s="9" t="b">
        <f t="shared" si="180"/>
        <v>1</v>
      </c>
      <c r="J2319" s="9" t="b">
        <f t="shared" si="181"/>
        <v>1</v>
      </c>
      <c r="K2319" s="9" t="b">
        <f t="shared" si="182"/>
        <v>1</v>
      </c>
      <c r="L2319" s="9" t="b">
        <f t="shared" si="183"/>
        <v>1</v>
      </c>
      <c r="M2319" s="1" t="b">
        <f>IF(OR(入力シート!$C$5&lt;&gt;入力リスト!$N$4,入力シート!$J$22&lt;&gt;入力リスト!$K$4),TRUE,IF($F$2=入力リスト!$Q$4,IF(F2319-INT(F2319)&lt;0.6,TRUE,FALSE),TRUE))</f>
        <v>1</v>
      </c>
      <c r="N2319" s="9" t="str">
        <f>IF(F2319="","",IF($F$2=入力リスト!$Q$4,ROUNDDOWN(INT(F2319)+ROUNDDOWN((F2319-INT(F2319))*100,0)/60,2),従業員の給与情報!F2319))</f>
        <v/>
      </c>
      <c r="O2319" s="8"/>
      <c r="P2319" s="8"/>
    </row>
    <row r="2320" spans="1:16">
      <c r="A2320" s="336"/>
      <c r="B2320" s="337"/>
      <c r="C2320" s="337"/>
      <c r="D2320" s="3"/>
      <c r="E2320" s="337"/>
      <c r="F2320" s="338"/>
      <c r="G2320" s="248" t="str">
        <f t="shared" si="184"/>
        <v/>
      </c>
      <c r="H2320" s="1" t="b">
        <f>IF(B2320="",FALSE,COUNTIF('従業員情報(給与以外)'!$A$4:$A$1000000,$B2320)=0)</f>
        <v>0</v>
      </c>
      <c r="I2320" s="9" t="b">
        <f t="shared" si="180"/>
        <v>1</v>
      </c>
      <c r="J2320" s="9" t="b">
        <f t="shared" si="181"/>
        <v>1</v>
      </c>
      <c r="K2320" s="9" t="b">
        <f t="shared" si="182"/>
        <v>1</v>
      </c>
      <c r="L2320" s="9" t="b">
        <f t="shared" si="183"/>
        <v>1</v>
      </c>
      <c r="M2320" s="1" t="b">
        <f>IF(OR(入力シート!$C$5&lt;&gt;入力リスト!$N$4,入力シート!$J$22&lt;&gt;入力リスト!$K$4),TRUE,IF($F$2=入力リスト!$Q$4,IF(F2320-INT(F2320)&lt;0.6,TRUE,FALSE),TRUE))</f>
        <v>1</v>
      </c>
      <c r="N2320" s="9" t="str">
        <f>IF(F2320="","",IF($F$2=入力リスト!$Q$4,ROUNDDOWN(INT(F2320)+ROUNDDOWN((F2320-INT(F2320))*100,0)/60,2),従業員の給与情報!F2320))</f>
        <v/>
      </c>
      <c r="O2320" s="8"/>
      <c r="P2320" s="8"/>
    </row>
    <row r="2321" spans="1:16">
      <c r="A2321" s="336"/>
      <c r="B2321" s="337"/>
      <c r="C2321" s="337"/>
      <c r="D2321" s="3"/>
      <c r="E2321" s="337"/>
      <c r="F2321" s="338"/>
      <c r="G2321" s="248" t="str">
        <f t="shared" si="184"/>
        <v/>
      </c>
      <c r="H2321" s="1" t="b">
        <f>IF(B2321="",FALSE,COUNTIF('従業員情報(給与以外)'!$A$4:$A$1000000,$B2321)=0)</f>
        <v>0</v>
      </c>
      <c r="I2321" s="9" t="b">
        <f t="shared" si="180"/>
        <v>1</v>
      </c>
      <c r="J2321" s="9" t="b">
        <f t="shared" si="181"/>
        <v>1</v>
      </c>
      <c r="K2321" s="9" t="b">
        <f t="shared" si="182"/>
        <v>1</v>
      </c>
      <c r="L2321" s="9" t="b">
        <f t="shared" si="183"/>
        <v>1</v>
      </c>
      <c r="M2321" s="1" t="b">
        <f>IF(OR(入力シート!$C$5&lt;&gt;入力リスト!$N$4,入力シート!$J$22&lt;&gt;入力リスト!$K$4),TRUE,IF($F$2=入力リスト!$Q$4,IF(F2321-INT(F2321)&lt;0.6,TRUE,FALSE),TRUE))</f>
        <v>1</v>
      </c>
      <c r="N2321" s="9" t="str">
        <f>IF(F2321="","",IF($F$2=入力リスト!$Q$4,ROUNDDOWN(INT(F2321)+ROUNDDOWN((F2321-INT(F2321))*100,0)/60,2),従業員の給与情報!F2321))</f>
        <v/>
      </c>
      <c r="O2321" s="8"/>
      <c r="P2321" s="8"/>
    </row>
    <row r="2322" spans="1:16">
      <c r="A2322" s="336"/>
      <c r="B2322" s="337"/>
      <c r="C2322" s="337"/>
      <c r="D2322" s="3"/>
      <c r="E2322" s="337"/>
      <c r="F2322" s="338"/>
      <c r="G2322" s="248" t="str">
        <f t="shared" si="184"/>
        <v/>
      </c>
      <c r="H2322" s="1" t="b">
        <f>IF(B2322="",FALSE,COUNTIF('従業員情報(給与以外)'!$A$4:$A$1000000,$B2322)=0)</f>
        <v>0</v>
      </c>
      <c r="I2322" s="9" t="b">
        <f t="shared" si="180"/>
        <v>1</v>
      </c>
      <c r="J2322" s="9" t="b">
        <f t="shared" si="181"/>
        <v>1</v>
      </c>
      <c r="K2322" s="9" t="b">
        <f t="shared" si="182"/>
        <v>1</v>
      </c>
      <c r="L2322" s="9" t="b">
        <f t="shared" si="183"/>
        <v>1</v>
      </c>
      <c r="M2322" s="1" t="b">
        <f>IF(OR(入力シート!$C$5&lt;&gt;入力リスト!$N$4,入力シート!$J$22&lt;&gt;入力リスト!$K$4),TRUE,IF($F$2=入力リスト!$Q$4,IF(F2322-INT(F2322)&lt;0.6,TRUE,FALSE),TRUE))</f>
        <v>1</v>
      </c>
      <c r="N2322" s="9" t="str">
        <f>IF(F2322="","",IF($F$2=入力リスト!$Q$4,ROUNDDOWN(INT(F2322)+ROUNDDOWN((F2322-INT(F2322))*100,0)/60,2),従業員の給与情報!F2322))</f>
        <v/>
      </c>
      <c r="O2322" s="8"/>
      <c r="P2322" s="8"/>
    </row>
    <row r="2323" spans="1:16">
      <c r="A2323" s="336"/>
      <c r="B2323" s="337"/>
      <c r="C2323" s="337"/>
      <c r="D2323" s="3"/>
      <c r="E2323" s="337"/>
      <c r="F2323" s="338"/>
      <c r="G2323" s="248" t="str">
        <f t="shared" si="184"/>
        <v/>
      </c>
      <c r="H2323" s="1" t="b">
        <f>IF(B2323="",FALSE,COUNTIF('従業員情報(給与以外)'!$A$4:$A$1000000,$B2323)=0)</f>
        <v>0</v>
      </c>
      <c r="I2323" s="9" t="b">
        <f t="shared" si="180"/>
        <v>1</v>
      </c>
      <c r="J2323" s="9" t="b">
        <f t="shared" si="181"/>
        <v>1</v>
      </c>
      <c r="K2323" s="9" t="b">
        <f t="shared" si="182"/>
        <v>1</v>
      </c>
      <c r="L2323" s="9" t="b">
        <f t="shared" si="183"/>
        <v>1</v>
      </c>
      <c r="M2323" s="1" t="b">
        <f>IF(OR(入力シート!$C$5&lt;&gt;入力リスト!$N$4,入力シート!$J$22&lt;&gt;入力リスト!$K$4),TRUE,IF($F$2=入力リスト!$Q$4,IF(F2323-INT(F2323)&lt;0.6,TRUE,FALSE),TRUE))</f>
        <v>1</v>
      </c>
      <c r="N2323" s="9" t="str">
        <f>IF(F2323="","",IF($F$2=入力リスト!$Q$4,ROUNDDOWN(INT(F2323)+ROUNDDOWN((F2323-INT(F2323))*100,0)/60,2),従業員の給与情報!F2323))</f>
        <v/>
      </c>
      <c r="O2323" s="8"/>
      <c r="P2323" s="8"/>
    </row>
    <row r="2324" spans="1:16">
      <c r="A2324" s="336"/>
      <c r="B2324" s="337"/>
      <c r="C2324" s="337"/>
      <c r="D2324" s="3"/>
      <c r="E2324" s="337"/>
      <c r="F2324" s="338"/>
      <c r="G2324" s="248" t="str">
        <f t="shared" si="184"/>
        <v/>
      </c>
      <c r="H2324" s="1" t="b">
        <f>IF(B2324="",FALSE,COUNTIF('従業員情報(給与以外)'!$A$4:$A$1000000,$B2324)=0)</f>
        <v>0</v>
      </c>
      <c r="I2324" s="9" t="b">
        <f t="shared" si="180"/>
        <v>1</v>
      </c>
      <c r="J2324" s="9" t="b">
        <f t="shared" si="181"/>
        <v>1</v>
      </c>
      <c r="K2324" s="9" t="b">
        <f t="shared" si="182"/>
        <v>1</v>
      </c>
      <c r="L2324" s="9" t="b">
        <f t="shared" si="183"/>
        <v>1</v>
      </c>
      <c r="M2324" s="1" t="b">
        <f>IF(OR(入力シート!$C$5&lt;&gt;入力リスト!$N$4,入力シート!$J$22&lt;&gt;入力リスト!$K$4),TRUE,IF($F$2=入力リスト!$Q$4,IF(F2324-INT(F2324)&lt;0.6,TRUE,FALSE),TRUE))</f>
        <v>1</v>
      </c>
      <c r="N2324" s="9" t="str">
        <f>IF(F2324="","",IF($F$2=入力リスト!$Q$4,ROUNDDOWN(INT(F2324)+ROUNDDOWN((F2324-INT(F2324))*100,0)/60,2),従業員の給与情報!F2324))</f>
        <v/>
      </c>
      <c r="O2324" s="8"/>
      <c r="P2324" s="8"/>
    </row>
    <row r="2325" spans="1:16">
      <c r="A2325" s="336"/>
      <c r="B2325" s="337"/>
      <c r="C2325" s="337"/>
      <c r="D2325" s="3"/>
      <c r="E2325" s="337"/>
      <c r="F2325" s="338"/>
      <c r="G2325" s="248" t="str">
        <f t="shared" si="184"/>
        <v/>
      </c>
      <c r="H2325" s="1" t="b">
        <f>IF(B2325="",FALSE,COUNTIF('従業員情報(給与以外)'!$A$4:$A$1000000,$B2325)=0)</f>
        <v>0</v>
      </c>
      <c r="I2325" s="9" t="b">
        <f t="shared" si="180"/>
        <v>1</v>
      </c>
      <c r="J2325" s="9" t="b">
        <f t="shared" si="181"/>
        <v>1</v>
      </c>
      <c r="K2325" s="9" t="b">
        <f t="shared" si="182"/>
        <v>1</v>
      </c>
      <c r="L2325" s="9" t="b">
        <f t="shared" si="183"/>
        <v>1</v>
      </c>
      <c r="M2325" s="1" t="b">
        <f>IF(OR(入力シート!$C$5&lt;&gt;入力リスト!$N$4,入力シート!$J$22&lt;&gt;入力リスト!$K$4),TRUE,IF($F$2=入力リスト!$Q$4,IF(F2325-INT(F2325)&lt;0.6,TRUE,FALSE),TRUE))</f>
        <v>1</v>
      </c>
      <c r="N2325" s="9" t="str">
        <f>IF(F2325="","",IF($F$2=入力リスト!$Q$4,ROUNDDOWN(INT(F2325)+ROUNDDOWN((F2325-INT(F2325))*100,0)/60,2),従業員の給与情報!F2325))</f>
        <v/>
      </c>
      <c r="O2325" s="8"/>
      <c r="P2325" s="8"/>
    </row>
    <row r="2326" spans="1:16">
      <c r="A2326" s="336"/>
      <c r="B2326" s="337"/>
      <c r="C2326" s="337"/>
      <c r="D2326" s="3"/>
      <c r="E2326" s="337"/>
      <c r="F2326" s="338"/>
      <c r="G2326" s="248" t="str">
        <f t="shared" si="184"/>
        <v/>
      </c>
      <c r="H2326" s="1" t="b">
        <f>IF(B2326="",FALSE,COUNTIF('従業員情報(給与以外)'!$A$4:$A$1000000,$B2326)=0)</f>
        <v>0</v>
      </c>
      <c r="I2326" s="9" t="b">
        <f t="shared" si="180"/>
        <v>1</v>
      </c>
      <c r="J2326" s="9" t="b">
        <f t="shared" si="181"/>
        <v>1</v>
      </c>
      <c r="K2326" s="9" t="b">
        <f t="shared" si="182"/>
        <v>1</v>
      </c>
      <c r="L2326" s="9" t="b">
        <f t="shared" si="183"/>
        <v>1</v>
      </c>
      <c r="M2326" s="1" t="b">
        <f>IF(OR(入力シート!$C$5&lt;&gt;入力リスト!$N$4,入力シート!$J$22&lt;&gt;入力リスト!$K$4),TRUE,IF($F$2=入力リスト!$Q$4,IF(F2326-INT(F2326)&lt;0.6,TRUE,FALSE),TRUE))</f>
        <v>1</v>
      </c>
      <c r="N2326" s="9" t="str">
        <f>IF(F2326="","",IF($F$2=入力リスト!$Q$4,ROUNDDOWN(INT(F2326)+ROUNDDOWN((F2326-INT(F2326))*100,0)/60,2),従業員の給与情報!F2326))</f>
        <v/>
      </c>
      <c r="O2326" s="8"/>
      <c r="P2326" s="8"/>
    </row>
    <row r="2327" spans="1:16">
      <c r="A2327" s="336"/>
      <c r="B2327" s="337"/>
      <c r="C2327" s="337"/>
      <c r="D2327" s="3"/>
      <c r="E2327" s="337"/>
      <c r="F2327" s="338"/>
      <c r="G2327" s="248" t="str">
        <f t="shared" si="184"/>
        <v/>
      </c>
      <c r="H2327" s="1" t="b">
        <f>IF(B2327="",FALSE,COUNTIF('従業員情報(給与以外)'!$A$4:$A$1000000,$B2327)=0)</f>
        <v>0</v>
      </c>
      <c r="I2327" s="9" t="b">
        <f t="shared" si="180"/>
        <v>1</v>
      </c>
      <c r="J2327" s="9" t="b">
        <f t="shared" si="181"/>
        <v>1</v>
      </c>
      <c r="K2327" s="9" t="b">
        <f t="shared" si="182"/>
        <v>1</v>
      </c>
      <c r="L2327" s="9" t="b">
        <f t="shared" si="183"/>
        <v>1</v>
      </c>
      <c r="M2327" s="1" t="b">
        <f>IF(OR(入力シート!$C$5&lt;&gt;入力リスト!$N$4,入力シート!$J$22&lt;&gt;入力リスト!$K$4),TRUE,IF($F$2=入力リスト!$Q$4,IF(F2327-INT(F2327)&lt;0.6,TRUE,FALSE),TRUE))</f>
        <v>1</v>
      </c>
      <c r="N2327" s="9" t="str">
        <f>IF(F2327="","",IF($F$2=入力リスト!$Q$4,ROUNDDOWN(INT(F2327)+ROUNDDOWN((F2327-INT(F2327))*100,0)/60,2),従業員の給与情報!F2327))</f>
        <v/>
      </c>
      <c r="O2327" s="8"/>
      <c r="P2327" s="8"/>
    </row>
    <row r="2328" spans="1:16">
      <c r="A2328" s="336"/>
      <c r="B2328" s="337"/>
      <c r="C2328" s="337"/>
      <c r="D2328" s="3"/>
      <c r="E2328" s="337"/>
      <c r="F2328" s="338"/>
      <c r="G2328" s="248" t="str">
        <f t="shared" si="184"/>
        <v/>
      </c>
      <c r="H2328" s="1" t="b">
        <f>IF(B2328="",FALSE,COUNTIF('従業員情報(給与以外)'!$A$4:$A$1000000,$B2328)=0)</f>
        <v>0</v>
      </c>
      <c r="I2328" s="9" t="b">
        <f t="shared" si="180"/>
        <v>1</v>
      </c>
      <c r="J2328" s="9" t="b">
        <f t="shared" si="181"/>
        <v>1</v>
      </c>
      <c r="K2328" s="9" t="b">
        <f t="shared" si="182"/>
        <v>1</v>
      </c>
      <c r="L2328" s="9" t="b">
        <f t="shared" si="183"/>
        <v>1</v>
      </c>
      <c r="M2328" s="1" t="b">
        <f>IF(OR(入力シート!$C$5&lt;&gt;入力リスト!$N$4,入力シート!$J$22&lt;&gt;入力リスト!$K$4),TRUE,IF($F$2=入力リスト!$Q$4,IF(F2328-INT(F2328)&lt;0.6,TRUE,FALSE),TRUE))</f>
        <v>1</v>
      </c>
      <c r="N2328" s="9" t="str">
        <f>IF(F2328="","",IF($F$2=入力リスト!$Q$4,ROUNDDOWN(INT(F2328)+ROUNDDOWN((F2328-INT(F2328))*100,0)/60,2),従業員の給与情報!F2328))</f>
        <v/>
      </c>
      <c r="O2328" s="8"/>
      <c r="P2328" s="8"/>
    </row>
    <row r="2329" spans="1:16">
      <c r="A2329" s="336"/>
      <c r="B2329" s="337"/>
      <c r="C2329" s="337"/>
      <c r="D2329" s="3"/>
      <c r="E2329" s="337"/>
      <c r="F2329" s="338"/>
      <c r="G2329" s="248" t="str">
        <f t="shared" si="184"/>
        <v/>
      </c>
      <c r="H2329" s="1" t="b">
        <f>IF(B2329="",FALSE,COUNTIF('従業員情報(給与以外)'!$A$4:$A$1000000,$B2329)=0)</f>
        <v>0</v>
      </c>
      <c r="I2329" s="9" t="b">
        <f t="shared" si="180"/>
        <v>1</v>
      </c>
      <c r="J2329" s="9" t="b">
        <f t="shared" si="181"/>
        <v>1</v>
      </c>
      <c r="K2329" s="9" t="b">
        <f t="shared" si="182"/>
        <v>1</v>
      </c>
      <c r="L2329" s="9" t="b">
        <f t="shared" si="183"/>
        <v>1</v>
      </c>
      <c r="M2329" s="1" t="b">
        <f>IF(OR(入力シート!$C$5&lt;&gt;入力リスト!$N$4,入力シート!$J$22&lt;&gt;入力リスト!$K$4),TRUE,IF($F$2=入力リスト!$Q$4,IF(F2329-INT(F2329)&lt;0.6,TRUE,FALSE),TRUE))</f>
        <v>1</v>
      </c>
      <c r="N2329" s="9" t="str">
        <f>IF(F2329="","",IF($F$2=入力リスト!$Q$4,ROUNDDOWN(INT(F2329)+ROUNDDOWN((F2329-INT(F2329))*100,0)/60,2),従業員の給与情報!F2329))</f>
        <v/>
      </c>
      <c r="O2329" s="8"/>
      <c r="P2329" s="8"/>
    </row>
    <row r="2330" spans="1:16">
      <c r="A2330" s="336"/>
      <c r="B2330" s="337"/>
      <c r="C2330" s="337"/>
      <c r="D2330" s="3"/>
      <c r="E2330" s="337"/>
      <c r="F2330" s="338"/>
      <c r="G2330" s="248" t="str">
        <f t="shared" si="184"/>
        <v/>
      </c>
      <c r="H2330" s="1" t="b">
        <f>IF(B2330="",FALSE,COUNTIF('従業員情報(給与以外)'!$A$4:$A$1000000,$B2330)=0)</f>
        <v>0</v>
      </c>
      <c r="I2330" s="9" t="b">
        <f t="shared" si="180"/>
        <v>1</v>
      </c>
      <c r="J2330" s="9" t="b">
        <f t="shared" si="181"/>
        <v>1</v>
      </c>
      <c r="K2330" s="9" t="b">
        <f t="shared" si="182"/>
        <v>1</v>
      </c>
      <c r="L2330" s="9" t="b">
        <f t="shared" si="183"/>
        <v>1</v>
      </c>
      <c r="M2330" s="1" t="b">
        <f>IF(OR(入力シート!$C$5&lt;&gt;入力リスト!$N$4,入力シート!$J$22&lt;&gt;入力リスト!$K$4),TRUE,IF($F$2=入力リスト!$Q$4,IF(F2330-INT(F2330)&lt;0.6,TRUE,FALSE),TRUE))</f>
        <v>1</v>
      </c>
      <c r="N2330" s="9" t="str">
        <f>IF(F2330="","",IF($F$2=入力リスト!$Q$4,ROUNDDOWN(INT(F2330)+ROUNDDOWN((F2330-INT(F2330))*100,0)/60,2),従業員の給与情報!F2330))</f>
        <v/>
      </c>
      <c r="O2330" s="8"/>
      <c r="P2330" s="8"/>
    </row>
    <row r="2331" spans="1:16">
      <c r="A2331" s="336"/>
      <c r="B2331" s="337"/>
      <c r="C2331" s="337"/>
      <c r="D2331" s="3"/>
      <c r="E2331" s="337"/>
      <c r="F2331" s="338"/>
      <c r="G2331" s="248" t="str">
        <f t="shared" si="184"/>
        <v/>
      </c>
      <c r="H2331" s="1" t="b">
        <f>IF(B2331="",FALSE,COUNTIF('従業員情報(給与以外)'!$A$4:$A$1000000,$B2331)=0)</f>
        <v>0</v>
      </c>
      <c r="I2331" s="9" t="b">
        <f t="shared" si="180"/>
        <v>1</v>
      </c>
      <c r="J2331" s="9" t="b">
        <f t="shared" si="181"/>
        <v>1</v>
      </c>
      <c r="K2331" s="9" t="b">
        <f t="shared" si="182"/>
        <v>1</v>
      </c>
      <c r="L2331" s="9" t="b">
        <f t="shared" si="183"/>
        <v>1</v>
      </c>
      <c r="M2331" s="1" t="b">
        <f>IF(OR(入力シート!$C$5&lt;&gt;入力リスト!$N$4,入力シート!$J$22&lt;&gt;入力リスト!$K$4),TRUE,IF($F$2=入力リスト!$Q$4,IF(F2331-INT(F2331)&lt;0.6,TRUE,FALSE),TRUE))</f>
        <v>1</v>
      </c>
      <c r="N2331" s="9" t="str">
        <f>IF(F2331="","",IF($F$2=入力リスト!$Q$4,ROUNDDOWN(INT(F2331)+ROUNDDOWN((F2331-INT(F2331))*100,0)/60,2),従業員の給与情報!F2331))</f>
        <v/>
      </c>
      <c r="O2331" s="8"/>
      <c r="P2331" s="8"/>
    </row>
    <row r="2332" spans="1:16">
      <c r="A2332" s="336"/>
      <c r="B2332" s="337"/>
      <c r="C2332" s="337"/>
      <c r="D2332" s="3"/>
      <c r="E2332" s="337"/>
      <c r="F2332" s="338"/>
      <c r="G2332" s="248" t="str">
        <f t="shared" si="184"/>
        <v/>
      </c>
      <c r="H2332" s="1" t="b">
        <f>IF(B2332="",FALSE,COUNTIF('従業員情報(給与以外)'!$A$4:$A$1000000,$B2332)=0)</f>
        <v>0</v>
      </c>
      <c r="I2332" s="9" t="b">
        <f t="shared" si="180"/>
        <v>1</v>
      </c>
      <c r="J2332" s="9" t="b">
        <f t="shared" si="181"/>
        <v>1</v>
      </c>
      <c r="K2332" s="9" t="b">
        <f t="shared" si="182"/>
        <v>1</v>
      </c>
      <c r="L2332" s="9" t="b">
        <f t="shared" si="183"/>
        <v>1</v>
      </c>
      <c r="M2332" s="1" t="b">
        <f>IF(OR(入力シート!$C$5&lt;&gt;入力リスト!$N$4,入力シート!$J$22&lt;&gt;入力リスト!$K$4),TRUE,IF($F$2=入力リスト!$Q$4,IF(F2332-INT(F2332)&lt;0.6,TRUE,FALSE),TRUE))</f>
        <v>1</v>
      </c>
      <c r="N2332" s="9" t="str">
        <f>IF(F2332="","",IF($F$2=入力リスト!$Q$4,ROUNDDOWN(INT(F2332)+ROUNDDOWN((F2332-INT(F2332))*100,0)/60,2),従業員の給与情報!F2332))</f>
        <v/>
      </c>
      <c r="O2332" s="8"/>
      <c r="P2332" s="8"/>
    </row>
    <row r="2333" spans="1:16">
      <c r="A2333" s="336"/>
      <c r="B2333" s="337"/>
      <c r="C2333" s="337"/>
      <c r="D2333" s="3"/>
      <c r="E2333" s="337"/>
      <c r="F2333" s="338"/>
      <c r="G2333" s="248" t="str">
        <f t="shared" si="184"/>
        <v/>
      </c>
      <c r="H2333" s="1" t="b">
        <f>IF(B2333="",FALSE,COUNTIF('従業員情報(給与以外)'!$A$4:$A$1000000,$B2333)=0)</f>
        <v>0</v>
      </c>
      <c r="I2333" s="9" t="b">
        <f t="shared" si="180"/>
        <v>1</v>
      </c>
      <c r="J2333" s="9" t="b">
        <f t="shared" si="181"/>
        <v>1</v>
      </c>
      <c r="K2333" s="9" t="b">
        <f t="shared" si="182"/>
        <v>1</v>
      </c>
      <c r="L2333" s="9" t="b">
        <f t="shared" si="183"/>
        <v>1</v>
      </c>
      <c r="M2333" s="1" t="b">
        <f>IF(OR(入力シート!$C$5&lt;&gt;入力リスト!$N$4,入力シート!$J$22&lt;&gt;入力リスト!$K$4),TRUE,IF($F$2=入力リスト!$Q$4,IF(F2333-INT(F2333)&lt;0.6,TRUE,FALSE),TRUE))</f>
        <v>1</v>
      </c>
      <c r="N2333" s="9" t="str">
        <f>IF(F2333="","",IF($F$2=入力リスト!$Q$4,ROUNDDOWN(INT(F2333)+ROUNDDOWN((F2333-INT(F2333))*100,0)/60,2),従業員の給与情報!F2333))</f>
        <v/>
      </c>
      <c r="O2333" s="8"/>
      <c r="P2333" s="8"/>
    </row>
    <row r="2334" spans="1:16">
      <c r="A2334" s="336"/>
      <c r="B2334" s="337"/>
      <c r="C2334" s="337"/>
      <c r="D2334" s="3"/>
      <c r="E2334" s="337"/>
      <c r="F2334" s="338"/>
      <c r="G2334" s="248" t="str">
        <f t="shared" si="184"/>
        <v/>
      </c>
      <c r="H2334" s="1" t="b">
        <f>IF(B2334="",FALSE,COUNTIF('従業員情報(給与以外)'!$A$4:$A$1000000,$B2334)=0)</f>
        <v>0</v>
      </c>
      <c r="I2334" s="9" t="b">
        <f t="shared" si="180"/>
        <v>1</v>
      </c>
      <c r="J2334" s="9" t="b">
        <f t="shared" si="181"/>
        <v>1</v>
      </c>
      <c r="K2334" s="9" t="b">
        <f t="shared" si="182"/>
        <v>1</v>
      </c>
      <c r="L2334" s="9" t="b">
        <f t="shared" si="183"/>
        <v>1</v>
      </c>
      <c r="M2334" s="1" t="b">
        <f>IF(OR(入力シート!$C$5&lt;&gt;入力リスト!$N$4,入力シート!$J$22&lt;&gt;入力リスト!$K$4),TRUE,IF($F$2=入力リスト!$Q$4,IF(F2334-INT(F2334)&lt;0.6,TRUE,FALSE),TRUE))</f>
        <v>1</v>
      </c>
      <c r="N2334" s="9" t="str">
        <f>IF(F2334="","",IF($F$2=入力リスト!$Q$4,ROUNDDOWN(INT(F2334)+ROUNDDOWN((F2334-INT(F2334))*100,0)/60,2),従業員の給与情報!F2334))</f>
        <v/>
      </c>
      <c r="O2334" s="8"/>
      <c r="P2334" s="8"/>
    </row>
    <row r="2335" spans="1:16">
      <c r="A2335" s="336"/>
      <c r="B2335" s="337"/>
      <c r="C2335" s="337"/>
      <c r="D2335" s="3"/>
      <c r="E2335" s="337"/>
      <c r="F2335" s="338"/>
      <c r="G2335" s="248" t="str">
        <f t="shared" si="184"/>
        <v/>
      </c>
      <c r="H2335" s="1" t="b">
        <f>IF(B2335="",FALSE,COUNTIF('従業員情報(給与以外)'!$A$4:$A$1000000,$B2335)=0)</f>
        <v>0</v>
      </c>
      <c r="I2335" s="9" t="b">
        <f t="shared" si="180"/>
        <v>1</v>
      </c>
      <c r="J2335" s="9" t="b">
        <f t="shared" si="181"/>
        <v>1</v>
      </c>
      <c r="K2335" s="9" t="b">
        <f t="shared" si="182"/>
        <v>1</v>
      </c>
      <c r="L2335" s="9" t="b">
        <f t="shared" si="183"/>
        <v>1</v>
      </c>
      <c r="M2335" s="1" t="b">
        <f>IF(OR(入力シート!$C$5&lt;&gt;入力リスト!$N$4,入力シート!$J$22&lt;&gt;入力リスト!$K$4),TRUE,IF($F$2=入力リスト!$Q$4,IF(F2335-INT(F2335)&lt;0.6,TRUE,FALSE),TRUE))</f>
        <v>1</v>
      </c>
      <c r="N2335" s="9" t="str">
        <f>IF(F2335="","",IF($F$2=入力リスト!$Q$4,ROUNDDOWN(INT(F2335)+ROUNDDOWN((F2335-INT(F2335))*100,0)/60,2),従業員の給与情報!F2335))</f>
        <v/>
      </c>
      <c r="O2335" s="8"/>
      <c r="P2335" s="8"/>
    </row>
    <row r="2336" spans="1:16">
      <c r="A2336" s="336"/>
      <c r="B2336" s="337"/>
      <c r="C2336" s="337"/>
      <c r="D2336" s="3"/>
      <c r="E2336" s="337"/>
      <c r="F2336" s="338"/>
      <c r="G2336" s="248" t="str">
        <f t="shared" si="184"/>
        <v/>
      </c>
      <c r="H2336" s="1" t="b">
        <f>IF(B2336="",FALSE,COUNTIF('従業員情報(給与以外)'!$A$4:$A$1000000,$B2336)=0)</f>
        <v>0</v>
      </c>
      <c r="I2336" s="9" t="b">
        <f t="shared" si="180"/>
        <v>1</v>
      </c>
      <c r="J2336" s="9" t="b">
        <f t="shared" si="181"/>
        <v>1</v>
      </c>
      <c r="K2336" s="9" t="b">
        <f t="shared" si="182"/>
        <v>1</v>
      </c>
      <c r="L2336" s="9" t="b">
        <f t="shared" si="183"/>
        <v>1</v>
      </c>
      <c r="M2336" s="1" t="b">
        <f>IF(OR(入力シート!$C$5&lt;&gt;入力リスト!$N$4,入力シート!$J$22&lt;&gt;入力リスト!$K$4),TRUE,IF($F$2=入力リスト!$Q$4,IF(F2336-INT(F2336)&lt;0.6,TRUE,FALSE),TRUE))</f>
        <v>1</v>
      </c>
      <c r="N2336" s="9" t="str">
        <f>IF(F2336="","",IF($F$2=入力リスト!$Q$4,ROUNDDOWN(INT(F2336)+ROUNDDOWN((F2336-INT(F2336))*100,0)/60,2),従業員の給与情報!F2336))</f>
        <v/>
      </c>
      <c r="O2336" s="8"/>
      <c r="P2336" s="8"/>
    </row>
    <row r="2337" spans="1:16">
      <c r="A2337" s="336"/>
      <c r="B2337" s="337"/>
      <c r="C2337" s="337"/>
      <c r="D2337" s="3"/>
      <c r="E2337" s="337"/>
      <c r="F2337" s="338"/>
      <c r="G2337" s="248" t="str">
        <f t="shared" si="184"/>
        <v/>
      </c>
      <c r="H2337" s="1" t="b">
        <f>IF(B2337="",FALSE,COUNTIF('従業員情報(給与以外)'!$A$4:$A$1000000,$B2337)=0)</f>
        <v>0</v>
      </c>
      <c r="I2337" s="9" t="b">
        <f t="shared" si="180"/>
        <v>1</v>
      </c>
      <c r="J2337" s="9" t="b">
        <f t="shared" si="181"/>
        <v>1</v>
      </c>
      <c r="K2337" s="9" t="b">
        <f t="shared" si="182"/>
        <v>1</v>
      </c>
      <c r="L2337" s="9" t="b">
        <f t="shared" si="183"/>
        <v>1</v>
      </c>
      <c r="M2337" s="1" t="b">
        <f>IF(OR(入力シート!$C$5&lt;&gt;入力リスト!$N$4,入力シート!$J$22&lt;&gt;入力リスト!$K$4),TRUE,IF($F$2=入力リスト!$Q$4,IF(F2337-INT(F2337)&lt;0.6,TRUE,FALSE),TRUE))</f>
        <v>1</v>
      </c>
      <c r="N2337" s="9" t="str">
        <f>IF(F2337="","",IF($F$2=入力リスト!$Q$4,ROUNDDOWN(INT(F2337)+ROUNDDOWN((F2337-INT(F2337))*100,0)/60,2),従業員の給与情報!F2337))</f>
        <v/>
      </c>
      <c r="O2337" s="8"/>
      <c r="P2337" s="8"/>
    </row>
    <row r="2338" spans="1:16">
      <c r="A2338" s="336"/>
      <c r="B2338" s="337"/>
      <c r="C2338" s="337"/>
      <c r="D2338" s="3"/>
      <c r="E2338" s="337"/>
      <c r="F2338" s="338"/>
      <c r="G2338" s="248" t="str">
        <f t="shared" si="184"/>
        <v/>
      </c>
      <c r="H2338" s="1" t="b">
        <f>IF(B2338="",FALSE,COUNTIF('従業員情報(給与以外)'!$A$4:$A$1000000,$B2338)=0)</f>
        <v>0</v>
      </c>
      <c r="I2338" s="9" t="b">
        <f t="shared" si="180"/>
        <v>1</v>
      </c>
      <c r="J2338" s="9" t="b">
        <f t="shared" si="181"/>
        <v>1</v>
      </c>
      <c r="K2338" s="9" t="b">
        <f t="shared" si="182"/>
        <v>1</v>
      </c>
      <c r="L2338" s="9" t="b">
        <f t="shared" si="183"/>
        <v>1</v>
      </c>
      <c r="M2338" s="1" t="b">
        <f>IF(OR(入力シート!$C$5&lt;&gt;入力リスト!$N$4,入力シート!$J$22&lt;&gt;入力リスト!$K$4),TRUE,IF($F$2=入力リスト!$Q$4,IF(F2338-INT(F2338)&lt;0.6,TRUE,FALSE),TRUE))</f>
        <v>1</v>
      </c>
      <c r="N2338" s="9" t="str">
        <f>IF(F2338="","",IF($F$2=入力リスト!$Q$4,ROUNDDOWN(INT(F2338)+ROUNDDOWN((F2338-INT(F2338))*100,0)/60,2),従業員の給与情報!F2338))</f>
        <v/>
      </c>
      <c r="O2338" s="8"/>
      <c r="P2338" s="8"/>
    </row>
    <row r="2339" spans="1:16">
      <c r="A2339" s="336"/>
      <c r="B2339" s="337"/>
      <c r="C2339" s="337"/>
      <c r="D2339" s="3"/>
      <c r="E2339" s="337"/>
      <c r="F2339" s="338"/>
      <c r="G2339" s="248" t="str">
        <f t="shared" si="184"/>
        <v/>
      </c>
      <c r="H2339" s="1" t="b">
        <f>IF(B2339="",FALSE,COUNTIF('従業員情報(給与以外)'!$A$4:$A$1000000,$B2339)=0)</f>
        <v>0</v>
      </c>
      <c r="I2339" s="9" t="b">
        <f t="shared" si="180"/>
        <v>1</v>
      </c>
      <c r="J2339" s="9" t="b">
        <f t="shared" si="181"/>
        <v>1</v>
      </c>
      <c r="K2339" s="9" t="b">
        <f t="shared" si="182"/>
        <v>1</v>
      </c>
      <c r="L2339" s="9" t="b">
        <f t="shared" si="183"/>
        <v>1</v>
      </c>
      <c r="M2339" s="1" t="b">
        <f>IF(OR(入力シート!$C$5&lt;&gt;入力リスト!$N$4,入力シート!$J$22&lt;&gt;入力リスト!$K$4),TRUE,IF($F$2=入力リスト!$Q$4,IF(F2339-INT(F2339)&lt;0.6,TRUE,FALSE),TRUE))</f>
        <v>1</v>
      </c>
      <c r="N2339" s="9" t="str">
        <f>IF(F2339="","",IF($F$2=入力リスト!$Q$4,ROUNDDOWN(INT(F2339)+ROUNDDOWN((F2339-INT(F2339))*100,0)/60,2),従業員の給与情報!F2339))</f>
        <v/>
      </c>
      <c r="O2339" s="8"/>
      <c r="P2339" s="8"/>
    </row>
    <row r="2340" spans="1:16">
      <c r="A2340" s="336"/>
      <c r="B2340" s="337"/>
      <c r="C2340" s="337"/>
      <c r="D2340" s="3"/>
      <c r="E2340" s="337"/>
      <c r="F2340" s="338"/>
      <c r="G2340" s="248" t="str">
        <f t="shared" si="184"/>
        <v/>
      </c>
      <c r="H2340" s="1" t="b">
        <f>IF(B2340="",FALSE,COUNTIF('従業員情報(給与以外)'!$A$4:$A$1000000,$B2340)=0)</f>
        <v>0</v>
      </c>
      <c r="I2340" s="9" t="b">
        <f t="shared" si="180"/>
        <v>1</v>
      </c>
      <c r="J2340" s="9" t="b">
        <f t="shared" si="181"/>
        <v>1</v>
      </c>
      <c r="K2340" s="9" t="b">
        <f t="shared" si="182"/>
        <v>1</v>
      </c>
      <c r="L2340" s="9" t="b">
        <f t="shared" si="183"/>
        <v>1</v>
      </c>
      <c r="M2340" s="1" t="b">
        <f>IF(OR(入力シート!$C$5&lt;&gt;入力リスト!$N$4,入力シート!$J$22&lt;&gt;入力リスト!$K$4),TRUE,IF($F$2=入力リスト!$Q$4,IF(F2340-INT(F2340)&lt;0.6,TRUE,FALSE),TRUE))</f>
        <v>1</v>
      </c>
      <c r="N2340" s="9" t="str">
        <f>IF(F2340="","",IF($F$2=入力リスト!$Q$4,ROUNDDOWN(INT(F2340)+ROUNDDOWN((F2340-INT(F2340))*100,0)/60,2),従業員の給与情報!F2340))</f>
        <v/>
      </c>
      <c r="O2340" s="8"/>
      <c r="P2340" s="8"/>
    </row>
    <row r="2341" spans="1:16">
      <c r="A2341" s="336"/>
      <c r="B2341" s="337"/>
      <c r="C2341" s="337"/>
      <c r="D2341" s="3"/>
      <c r="E2341" s="337"/>
      <c r="F2341" s="338"/>
      <c r="G2341" s="248" t="str">
        <f t="shared" si="184"/>
        <v/>
      </c>
      <c r="H2341" s="1" t="b">
        <f>IF(B2341="",FALSE,COUNTIF('従業員情報(給与以外)'!$A$4:$A$1000000,$B2341)=0)</f>
        <v>0</v>
      </c>
      <c r="I2341" s="9" t="b">
        <f t="shared" si="180"/>
        <v>1</v>
      </c>
      <c r="J2341" s="9" t="b">
        <f t="shared" si="181"/>
        <v>1</v>
      </c>
      <c r="K2341" s="9" t="b">
        <f t="shared" si="182"/>
        <v>1</v>
      </c>
      <c r="L2341" s="9" t="b">
        <f t="shared" si="183"/>
        <v>1</v>
      </c>
      <c r="M2341" s="1" t="b">
        <f>IF(OR(入力シート!$C$5&lt;&gt;入力リスト!$N$4,入力シート!$J$22&lt;&gt;入力リスト!$K$4),TRUE,IF($F$2=入力リスト!$Q$4,IF(F2341-INT(F2341)&lt;0.6,TRUE,FALSE),TRUE))</f>
        <v>1</v>
      </c>
      <c r="N2341" s="9" t="str">
        <f>IF(F2341="","",IF($F$2=入力リスト!$Q$4,ROUNDDOWN(INT(F2341)+ROUNDDOWN((F2341-INT(F2341))*100,0)/60,2),従業員の給与情報!F2341))</f>
        <v/>
      </c>
      <c r="O2341" s="8"/>
      <c r="P2341" s="8"/>
    </row>
    <row r="2342" spans="1:16">
      <c r="A2342" s="336"/>
      <c r="B2342" s="337"/>
      <c r="C2342" s="337"/>
      <c r="D2342" s="3"/>
      <c r="E2342" s="337"/>
      <c r="F2342" s="338"/>
      <c r="G2342" s="248" t="str">
        <f t="shared" si="184"/>
        <v/>
      </c>
      <c r="H2342" s="1" t="b">
        <f>IF(B2342="",FALSE,COUNTIF('従業員情報(給与以外)'!$A$4:$A$1000000,$B2342)=0)</f>
        <v>0</v>
      </c>
      <c r="I2342" s="9" t="b">
        <f t="shared" si="180"/>
        <v>1</v>
      </c>
      <c r="J2342" s="9" t="b">
        <f t="shared" si="181"/>
        <v>1</v>
      </c>
      <c r="K2342" s="9" t="b">
        <f t="shared" si="182"/>
        <v>1</v>
      </c>
      <c r="L2342" s="9" t="b">
        <f t="shared" si="183"/>
        <v>1</v>
      </c>
      <c r="M2342" s="1" t="b">
        <f>IF(OR(入力シート!$C$5&lt;&gt;入力リスト!$N$4,入力シート!$J$22&lt;&gt;入力リスト!$K$4),TRUE,IF($F$2=入力リスト!$Q$4,IF(F2342-INT(F2342)&lt;0.6,TRUE,FALSE),TRUE))</f>
        <v>1</v>
      </c>
      <c r="N2342" s="9" t="str">
        <f>IF(F2342="","",IF($F$2=入力リスト!$Q$4,ROUNDDOWN(INT(F2342)+ROUNDDOWN((F2342-INT(F2342))*100,0)/60,2),従業員の給与情報!F2342))</f>
        <v/>
      </c>
      <c r="O2342" s="8"/>
      <c r="P2342" s="8"/>
    </row>
    <row r="2343" spans="1:16">
      <c r="A2343" s="336"/>
      <c r="B2343" s="337"/>
      <c r="C2343" s="337"/>
      <c r="D2343" s="3"/>
      <c r="E2343" s="337"/>
      <c r="F2343" s="338"/>
      <c r="G2343" s="248" t="str">
        <f t="shared" si="184"/>
        <v/>
      </c>
      <c r="H2343" s="1" t="b">
        <f>IF(B2343="",FALSE,COUNTIF('従業員情報(給与以外)'!$A$4:$A$1000000,$B2343)=0)</f>
        <v>0</v>
      </c>
      <c r="I2343" s="9" t="b">
        <f t="shared" si="180"/>
        <v>1</v>
      </c>
      <c r="J2343" s="9" t="b">
        <f t="shared" si="181"/>
        <v>1</v>
      </c>
      <c r="K2343" s="9" t="b">
        <f t="shared" si="182"/>
        <v>1</v>
      </c>
      <c r="L2343" s="9" t="b">
        <f t="shared" si="183"/>
        <v>1</v>
      </c>
      <c r="M2343" s="1" t="b">
        <f>IF(OR(入力シート!$C$5&lt;&gt;入力リスト!$N$4,入力シート!$J$22&lt;&gt;入力リスト!$K$4),TRUE,IF($F$2=入力リスト!$Q$4,IF(F2343-INT(F2343)&lt;0.6,TRUE,FALSE),TRUE))</f>
        <v>1</v>
      </c>
      <c r="N2343" s="9" t="str">
        <f>IF(F2343="","",IF($F$2=入力リスト!$Q$4,ROUNDDOWN(INT(F2343)+ROUNDDOWN((F2343-INT(F2343))*100,0)/60,2),従業員の給与情報!F2343))</f>
        <v/>
      </c>
      <c r="O2343" s="8"/>
      <c r="P2343" s="8"/>
    </row>
    <row r="2344" spans="1:16">
      <c r="A2344" s="336"/>
      <c r="B2344" s="337"/>
      <c r="C2344" s="337"/>
      <c r="D2344" s="3"/>
      <c r="E2344" s="337"/>
      <c r="F2344" s="338"/>
      <c r="G2344" s="248" t="str">
        <f t="shared" si="184"/>
        <v/>
      </c>
      <c r="H2344" s="1" t="b">
        <f>IF(B2344="",FALSE,COUNTIF('従業員情報(給与以外)'!$A$4:$A$1000000,$B2344)=0)</f>
        <v>0</v>
      </c>
      <c r="I2344" s="9" t="b">
        <f t="shared" si="180"/>
        <v>1</v>
      </c>
      <c r="J2344" s="9" t="b">
        <f t="shared" si="181"/>
        <v>1</v>
      </c>
      <c r="K2344" s="9" t="b">
        <f t="shared" si="182"/>
        <v>1</v>
      </c>
      <c r="L2344" s="9" t="b">
        <f t="shared" si="183"/>
        <v>1</v>
      </c>
      <c r="M2344" s="1" t="b">
        <f>IF(OR(入力シート!$C$5&lt;&gt;入力リスト!$N$4,入力シート!$J$22&lt;&gt;入力リスト!$K$4),TRUE,IF($F$2=入力リスト!$Q$4,IF(F2344-INT(F2344)&lt;0.6,TRUE,FALSE),TRUE))</f>
        <v>1</v>
      </c>
      <c r="N2344" s="9" t="str">
        <f>IF(F2344="","",IF($F$2=入力リスト!$Q$4,ROUNDDOWN(INT(F2344)+ROUNDDOWN((F2344-INT(F2344))*100,0)/60,2),従業員の給与情報!F2344))</f>
        <v/>
      </c>
      <c r="O2344" s="8"/>
      <c r="P2344" s="8"/>
    </row>
    <row r="2345" spans="1:16">
      <c r="A2345" s="336"/>
      <c r="B2345" s="337"/>
      <c r="C2345" s="337"/>
      <c r="D2345" s="3"/>
      <c r="E2345" s="337"/>
      <c r="F2345" s="338"/>
      <c r="G2345" s="248" t="str">
        <f t="shared" si="184"/>
        <v/>
      </c>
      <c r="H2345" s="1" t="b">
        <f>IF(B2345="",FALSE,COUNTIF('従業員情報(給与以外)'!$A$4:$A$1000000,$B2345)=0)</f>
        <v>0</v>
      </c>
      <c r="I2345" s="9" t="b">
        <f t="shared" si="180"/>
        <v>1</v>
      </c>
      <c r="J2345" s="9" t="b">
        <f t="shared" si="181"/>
        <v>1</v>
      </c>
      <c r="K2345" s="9" t="b">
        <f t="shared" si="182"/>
        <v>1</v>
      </c>
      <c r="L2345" s="9" t="b">
        <f t="shared" si="183"/>
        <v>1</v>
      </c>
      <c r="M2345" s="1" t="b">
        <f>IF(OR(入力シート!$C$5&lt;&gt;入力リスト!$N$4,入力シート!$J$22&lt;&gt;入力リスト!$K$4),TRUE,IF($F$2=入力リスト!$Q$4,IF(F2345-INT(F2345)&lt;0.6,TRUE,FALSE),TRUE))</f>
        <v>1</v>
      </c>
      <c r="N2345" s="9" t="str">
        <f>IF(F2345="","",IF($F$2=入力リスト!$Q$4,ROUNDDOWN(INT(F2345)+ROUNDDOWN((F2345-INT(F2345))*100,0)/60,2),従業員の給与情報!F2345))</f>
        <v/>
      </c>
      <c r="O2345" s="8"/>
      <c r="P2345" s="8"/>
    </row>
    <row r="2346" spans="1:16">
      <c r="A2346" s="336"/>
      <c r="B2346" s="337"/>
      <c r="C2346" s="337"/>
      <c r="D2346" s="3"/>
      <c r="E2346" s="337"/>
      <c r="F2346" s="338"/>
      <c r="G2346" s="248" t="str">
        <f t="shared" si="184"/>
        <v/>
      </c>
      <c r="H2346" s="1" t="b">
        <f>IF(B2346="",FALSE,COUNTIF('従業員情報(給与以外)'!$A$4:$A$1000000,$B2346)=0)</f>
        <v>0</v>
      </c>
      <c r="I2346" s="9" t="b">
        <f t="shared" si="180"/>
        <v>1</v>
      </c>
      <c r="J2346" s="9" t="b">
        <f t="shared" si="181"/>
        <v>1</v>
      </c>
      <c r="K2346" s="9" t="b">
        <f t="shared" si="182"/>
        <v>1</v>
      </c>
      <c r="L2346" s="9" t="b">
        <f t="shared" si="183"/>
        <v>1</v>
      </c>
      <c r="M2346" s="1" t="b">
        <f>IF(OR(入力シート!$C$5&lt;&gt;入力リスト!$N$4,入力シート!$J$22&lt;&gt;入力リスト!$K$4),TRUE,IF($F$2=入力リスト!$Q$4,IF(F2346-INT(F2346)&lt;0.6,TRUE,FALSE),TRUE))</f>
        <v>1</v>
      </c>
      <c r="N2346" s="9" t="str">
        <f>IF(F2346="","",IF($F$2=入力リスト!$Q$4,ROUNDDOWN(INT(F2346)+ROUNDDOWN((F2346-INT(F2346))*100,0)/60,2),従業員の給与情報!F2346))</f>
        <v/>
      </c>
      <c r="O2346" s="8"/>
      <c r="P2346" s="8"/>
    </row>
    <row r="2347" spans="1:16">
      <c r="A2347" s="336"/>
      <c r="B2347" s="337"/>
      <c r="C2347" s="337"/>
      <c r="D2347" s="3"/>
      <c r="E2347" s="337"/>
      <c r="F2347" s="338"/>
      <c r="G2347" s="248" t="str">
        <f t="shared" si="184"/>
        <v/>
      </c>
      <c r="H2347" s="1" t="b">
        <f>IF(B2347="",FALSE,COUNTIF('従業員情報(給与以外)'!$A$4:$A$1000000,$B2347)=0)</f>
        <v>0</v>
      </c>
      <c r="I2347" s="9" t="b">
        <f t="shared" si="180"/>
        <v>1</v>
      </c>
      <c r="J2347" s="9" t="b">
        <f t="shared" si="181"/>
        <v>1</v>
      </c>
      <c r="K2347" s="9" t="b">
        <f t="shared" si="182"/>
        <v>1</v>
      </c>
      <c r="L2347" s="9" t="b">
        <f t="shared" si="183"/>
        <v>1</v>
      </c>
      <c r="M2347" s="1" t="b">
        <f>IF(OR(入力シート!$C$5&lt;&gt;入力リスト!$N$4,入力シート!$J$22&lt;&gt;入力リスト!$K$4),TRUE,IF($F$2=入力リスト!$Q$4,IF(F2347-INT(F2347)&lt;0.6,TRUE,FALSE),TRUE))</f>
        <v>1</v>
      </c>
      <c r="N2347" s="9" t="str">
        <f>IF(F2347="","",IF($F$2=入力リスト!$Q$4,ROUNDDOWN(INT(F2347)+ROUNDDOWN((F2347-INT(F2347))*100,0)/60,2),従業員の給与情報!F2347))</f>
        <v/>
      </c>
      <c r="O2347" s="8"/>
      <c r="P2347" s="8"/>
    </row>
    <row r="2348" spans="1:16">
      <c r="A2348" s="336"/>
      <c r="B2348" s="337"/>
      <c r="C2348" s="337"/>
      <c r="D2348" s="3"/>
      <c r="E2348" s="337"/>
      <c r="F2348" s="338"/>
      <c r="G2348" s="248" t="str">
        <f t="shared" si="184"/>
        <v/>
      </c>
      <c r="H2348" s="1" t="b">
        <f>IF(B2348="",FALSE,COUNTIF('従業員情報(給与以外)'!$A$4:$A$1000000,$B2348)=0)</f>
        <v>0</v>
      </c>
      <c r="I2348" s="9" t="b">
        <f t="shared" si="180"/>
        <v>1</v>
      </c>
      <c r="J2348" s="9" t="b">
        <f t="shared" si="181"/>
        <v>1</v>
      </c>
      <c r="K2348" s="9" t="b">
        <f t="shared" si="182"/>
        <v>1</v>
      </c>
      <c r="L2348" s="9" t="b">
        <f t="shared" si="183"/>
        <v>1</v>
      </c>
      <c r="M2348" s="1" t="b">
        <f>IF(OR(入力シート!$C$5&lt;&gt;入力リスト!$N$4,入力シート!$J$22&lt;&gt;入力リスト!$K$4),TRUE,IF($F$2=入力リスト!$Q$4,IF(F2348-INT(F2348)&lt;0.6,TRUE,FALSE),TRUE))</f>
        <v>1</v>
      </c>
      <c r="N2348" s="9" t="str">
        <f>IF(F2348="","",IF($F$2=入力リスト!$Q$4,ROUNDDOWN(INT(F2348)+ROUNDDOWN((F2348-INT(F2348))*100,0)/60,2),従業員の給与情報!F2348))</f>
        <v/>
      </c>
      <c r="O2348" s="8"/>
      <c r="P2348" s="8"/>
    </row>
    <row r="2349" spans="1:16">
      <c r="A2349" s="336"/>
      <c r="B2349" s="337"/>
      <c r="C2349" s="337"/>
      <c r="D2349" s="3"/>
      <c r="E2349" s="337"/>
      <c r="F2349" s="338"/>
      <c r="G2349" s="248" t="str">
        <f t="shared" si="184"/>
        <v/>
      </c>
      <c r="H2349" s="1" t="b">
        <f>IF(B2349="",FALSE,COUNTIF('従業員情報(給与以外)'!$A$4:$A$1000000,$B2349)=0)</f>
        <v>0</v>
      </c>
      <c r="I2349" s="9" t="b">
        <f t="shared" si="180"/>
        <v>1</v>
      </c>
      <c r="J2349" s="9" t="b">
        <f t="shared" si="181"/>
        <v>1</v>
      </c>
      <c r="K2349" s="9" t="b">
        <f t="shared" si="182"/>
        <v>1</v>
      </c>
      <c r="L2349" s="9" t="b">
        <f t="shared" si="183"/>
        <v>1</v>
      </c>
      <c r="M2349" s="1" t="b">
        <f>IF(OR(入力シート!$C$5&lt;&gt;入力リスト!$N$4,入力シート!$J$22&lt;&gt;入力リスト!$K$4),TRUE,IF($F$2=入力リスト!$Q$4,IF(F2349-INT(F2349)&lt;0.6,TRUE,FALSE),TRUE))</f>
        <v>1</v>
      </c>
      <c r="N2349" s="9" t="str">
        <f>IF(F2349="","",IF($F$2=入力リスト!$Q$4,ROUNDDOWN(INT(F2349)+ROUNDDOWN((F2349-INT(F2349))*100,0)/60,2),従業員の給与情報!F2349))</f>
        <v/>
      </c>
      <c r="O2349" s="8"/>
      <c r="P2349" s="8"/>
    </row>
    <row r="2350" spans="1:16">
      <c r="A2350" s="336"/>
      <c r="B2350" s="337"/>
      <c r="C2350" s="337"/>
      <c r="D2350" s="3"/>
      <c r="E2350" s="337"/>
      <c r="F2350" s="338"/>
      <c r="G2350" s="248" t="str">
        <f t="shared" si="184"/>
        <v/>
      </c>
      <c r="H2350" s="1" t="b">
        <f>IF(B2350="",FALSE,COUNTIF('従業員情報(給与以外)'!$A$4:$A$1000000,$B2350)=0)</f>
        <v>0</v>
      </c>
      <c r="I2350" s="9" t="b">
        <f t="shared" si="180"/>
        <v>1</v>
      </c>
      <c r="J2350" s="9" t="b">
        <f t="shared" si="181"/>
        <v>1</v>
      </c>
      <c r="K2350" s="9" t="b">
        <f t="shared" si="182"/>
        <v>1</v>
      </c>
      <c r="L2350" s="9" t="b">
        <f t="shared" si="183"/>
        <v>1</v>
      </c>
      <c r="M2350" s="1" t="b">
        <f>IF(OR(入力シート!$C$5&lt;&gt;入力リスト!$N$4,入力シート!$J$22&lt;&gt;入力リスト!$K$4),TRUE,IF($F$2=入力リスト!$Q$4,IF(F2350-INT(F2350)&lt;0.6,TRUE,FALSE),TRUE))</f>
        <v>1</v>
      </c>
      <c r="N2350" s="9" t="str">
        <f>IF(F2350="","",IF($F$2=入力リスト!$Q$4,ROUNDDOWN(INT(F2350)+ROUNDDOWN((F2350-INT(F2350))*100,0)/60,2),従業員の給与情報!F2350))</f>
        <v/>
      </c>
      <c r="O2350" s="8"/>
      <c r="P2350" s="8"/>
    </row>
    <row r="2351" spans="1:16">
      <c r="A2351" s="336"/>
      <c r="B2351" s="337"/>
      <c r="C2351" s="337"/>
      <c r="D2351" s="3"/>
      <c r="E2351" s="337"/>
      <c r="F2351" s="338"/>
      <c r="G2351" s="248" t="str">
        <f t="shared" si="184"/>
        <v/>
      </c>
      <c r="H2351" s="1" t="b">
        <f>IF(B2351="",FALSE,COUNTIF('従業員情報(給与以外)'!$A$4:$A$1000000,$B2351)=0)</f>
        <v>0</v>
      </c>
      <c r="I2351" s="9" t="b">
        <f t="shared" si="180"/>
        <v>1</v>
      </c>
      <c r="J2351" s="9" t="b">
        <f t="shared" si="181"/>
        <v>1</v>
      </c>
      <c r="K2351" s="9" t="b">
        <f t="shared" si="182"/>
        <v>1</v>
      </c>
      <c r="L2351" s="9" t="b">
        <f t="shared" si="183"/>
        <v>1</v>
      </c>
      <c r="M2351" s="1" t="b">
        <f>IF(OR(入力シート!$C$5&lt;&gt;入力リスト!$N$4,入力シート!$J$22&lt;&gt;入力リスト!$K$4),TRUE,IF($F$2=入力リスト!$Q$4,IF(F2351-INT(F2351)&lt;0.6,TRUE,FALSE),TRUE))</f>
        <v>1</v>
      </c>
      <c r="N2351" s="9" t="str">
        <f>IF(F2351="","",IF($F$2=入力リスト!$Q$4,ROUNDDOWN(INT(F2351)+ROUNDDOWN((F2351-INT(F2351))*100,0)/60,2),従業員の給与情報!F2351))</f>
        <v/>
      </c>
      <c r="O2351" s="8"/>
      <c r="P2351" s="8"/>
    </row>
    <row r="2352" spans="1:16">
      <c r="A2352" s="336"/>
      <c r="B2352" s="337"/>
      <c r="C2352" s="337"/>
      <c r="D2352" s="3"/>
      <c r="E2352" s="337"/>
      <c r="F2352" s="338"/>
      <c r="G2352" s="248" t="str">
        <f t="shared" si="184"/>
        <v/>
      </c>
      <c r="H2352" s="1" t="b">
        <f>IF(B2352="",FALSE,COUNTIF('従業員情報(給与以外)'!$A$4:$A$1000000,$B2352)=0)</f>
        <v>0</v>
      </c>
      <c r="I2352" s="9" t="b">
        <f t="shared" si="180"/>
        <v>1</v>
      </c>
      <c r="J2352" s="9" t="b">
        <f t="shared" si="181"/>
        <v>1</v>
      </c>
      <c r="K2352" s="9" t="b">
        <f t="shared" si="182"/>
        <v>1</v>
      </c>
      <c r="L2352" s="9" t="b">
        <f t="shared" si="183"/>
        <v>1</v>
      </c>
      <c r="M2352" s="1" t="b">
        <f>IF(OR(入力シート!$C$5&lt;&gt;入力リスト!$N$4,入力シート!$J$22&lt;&gt;入力リスト!$K$4),TRUE,IF($F$2=入力リスト!$Q$4,IF(F2352-INT(F2352)&lt;0.6,TRUE,FALSE),TRUE))</f>
        <v>1</v>
      </c>
      <c r="N2352" s="9" t="str">
        <f>IF(F2352="","",IF($F$2=入力リスト!$Q$4,ROUNDDOWN(INT(F2352)+ROUNDDOWN((F2352-INT(F2352))*100,0)/60,2),従業員の給与情報!F2352))</f>
        <v/>
      </c>
      <c r="O2352" s="8"/>
      <c r="P2352" s="8"/>
    </row>
    <row r="2353" spans="1:16">
      <c r="A2353" s="336"/>
      <c r="B2353" s="337"/>
      <c r="C2353" s="337"/>
      <c r="D2353" s="3"/>
      <c r="E2353" s="337"/>
      <c r="F2353" s="338"/>
      <c r="G2353" s="248" t="str">
        <f t="shared" si="184"/>
        <v/>
      </c>
      <c r="H2353" s="1" t="b">
        <f>IF(B2353="",FALSE,COUNTIF('従業員情報(給与以外)'!$A$4:$A$1000000,$B2353)=0)</f>
        <v>0</v>
      </c>
      <c r="I2353" s="9" t="b">
        <f t="shared" si="180"/>
        <v>1</v>
      </c>
      <c r="J2353" s="9" t="b">
        <f t="shared" si="181"/>
        <v>1</v>
      </c>
      <c r="K2353" s="9" t="b">
        <f t="shared" si="182"/>
        <v>1</v>
      </c>
      <c r="L2353" s="9" t="b">
        <f t="shared" si="183"/>
        <v>1</v>
      </c>
      <c r="M2353" s="1" t="b">
        <f>IF(OR(入力シート!$C$5&lt;&gt;入力リスト!$N$4,入力シート!$J$22&lt;&gt;入力リスト!$K$4),TRUE,IF($F$2=入力リスト!$Q$4,IF(F2353-INT(F2353)&lt;0.6,TRUE,FALSE),TRUE))</f>
        <v>1</v>
      </c>
      <c r="N2353" s="9" t="str">
        <f>IF(F2353="","",IF($F$2=入力リスト!$Q$4,ROUNDDOWN(INT(F2353)+ROUNDDOWN((F2353-INT(F2353))*100,0)/60,2),従業員の給与情報!F2353))</f>
        <v/>
      </c>
      <c r="O2353" s="8"/>
      <c r="P2353" s="8"/>
    </row>
    <row r="2354" spans="1:16">
      <c r="A2354" s="336"/>
      <c r="B2354" s="337"/>
      <c r="C2354" s="337"/>
      <c r="D2354" s="3"/>
      <c r="E2354" s="337"/>
      <c r="F2354" s="338"/>
      <c r="G2354" s="248" t="str">
        <f t="shared" si="184"/>
        <v/>
      </c>
      <c r="H2354" s="1" t="b">
        <f>IF(B2354="",FALSE,COUNTIF('従業員情報(給与以外)'!$A$4:$A$1000000,$B2354)=0)</f>
        <v>0</v>
      </c>
      <c r="I2354" s="9" t="b">
        <f t="shared" ref="I2354:I2417" si="185">OR(C2354="",ISNUMBER(C2354))</f>
        <v>1</v>
      </c>
      <c r="J2354" s="9" t="b">
        <f t="shared" ref="J2354:J2417" si="186">OR(D2354="",ISNUMBER(D2354))</f>
        <v>1</v>
      </c>
      <c r="K2354" s="9" t="b">
        <f t="shared" ref="K2354:K2417" si="187">OR(E2354="",ISNUMBER(E2354))</f>
        <v>1</v>
      </c>
      <c r="L2354" s="9" t="b">
        <f t="shared" ref="L2354:L2417" si="188">OR(F2354="",ISNUMBER(F2354))</f>
        <v>1</v>
      </c>
      <c r="M2354" s="1" t="b">
        <f>IF(OR(入力シート!$C$5&lt;&gt;入力リスト!$N$4,入力シート!$J$22&lt;&gt;入力リスト!$K$4),TRUE,IF($F$2=入力リスト!$Q$4,IF(F2354-INT(F2354)&lt;0.6,TRUE,FALSE),TRUE))</f>
        <v>1</v>
      </c>
      <c r="N2354" s="9" t="str">
        <f>IF(F2354="","",IF($F$2=入力リスト!$Q$4,ROUNDDOWN(INT(F2354)+ROUNDDOWN((F2354-INT(F2354))*100,0)/60,2),従業員の給与情報!F2354))</f>
        <v/>
      </c>
      <c r="O2354" s="8"/>
      <c r="P2354" s="8"/>
    </row>
    <row r="2355" spans="1:16">
      <c r="A2355" s="336"/>
      <c r="B2355" s="337"/>
      <c r="C2355" s="337"/>
      <c r="D2355" s="3"/>
      <c r="E2355" s="337"/>
      <c r="F2355" s="338"/>
      <c r="G2355" s="248" t="str">
        <f t="shared" si="184"/>
        <v/>
      </c>
      <c r="H2355" s="1" t="b">
        <f>IF(B2355="",FALSE,COUNTIF('従業員情報(給与以外)'!$A$4:$A$1000000,$B2355)=0)</f>
        <v>0</v>
      </c>
      <c r="I2355" s="9" t="b">
        <f t="shared" si="185"/>
        <v>1</v>
      </c>
      <c r="J2355" s="9" t="b">
        <f t="shared" si="186"/>
        <v>1</v>
      </c>
      <c r="K2355" s="9" t="b">
        <f t="shared" si="187"/>
        <v>1</v>
      </c>
      <c r="L2355" s="9" t="b">
        <f t="shared" si="188"/>
        <v>1</v>
      </c>
      <c r="M2355" s="1" t="b">
        <f>IF(OR(入力シート!$C$5&lt;&gt;入力リスト!$N$4,入力シート!$J$22&lt;&gt;入力リスト!$K$4),TRUE,IF($F$2=入力リスト!$Q$4,IF(F2355-INT(F2355)&lt;0.6,TRUE,FALSE),TRUE))</f>
        <v>1</v>
      </c>
      <c r="N2355" s="9" t="str">
        <f>IF(F2355="","",IF($F$2=入力リスト!$Q$4,ROUNDDOWN(INT(F2355)+ROUNDDOWN((F2355-INT(F2355))*100,0)/60,2),従業員の給与情報!F2355))</f>
        <v/>
      </c>
      <c r="O2355" s="8"/>
      <c r="P2355" s="8"/>
    </row>
    <row r="2356" spans="1:16">
      <c r="A2356" s="336"/>
      <c r="B2356" s="337"/>
      <c r="C2356" s="337"/>
      <c r="D2356" s="3"/>
      <c r="E2356" s="337"/>
      <c r="F2356" s="338"/>
      <c r="G2356" s="248" t="str">
        <f t="shared" si="184"/>
        <v/>
      </c>
      <c r="H2356" s="1" t="b">
        <f>IF(B2356="",FALSE,COUNTIF('従業員情報(給与以外)'!$A$4:$A$1000000,$B2356)=0)</f>
        <v>0</v>
      </c>
      <c r="I2356" s="9" t="b">
        <f t="shared" si="185"/>
        <v>1</v>
      </c>
      <c r="J2356" s="9" t="b">
        <f t="shared" si="186"/>
        <v>1</v>
      </c>
      <c r="K2356" s="9" t="b">
        <f t="shared" si="187"/>
        <v>1</v>
      </c>
      <c r="L2356" s="9" t="b">
        <f t="shared" si="188"/>
        <v>1</v>
      </c>
      <c r="M2356" s="1" t="b">
        <f>IF(OR(入力シート!$C$5&lt;&gt;入力リスト!$N$4,入力シート!$J$22&lt;&gt;入力リスト!$K$4),TRUE,IF($F$2=入力リスト!$Q$4,IF(F2356-INT(F2356)&lt;0.6,TRUE,FALSE),TRUE))</f>
        <v>1</v>
      </c>
      <c r="N2356" s="9" t="str">
        <f>IF(F2356="","",IF($F$2=入力リスト!$Q$4,ROUNDDOWN(INT(F2356)+ROUNDDOWN((F2356-INT(F2356))*100,0)/60,2),従業員の給与情報!F2356))</f>
        <v/>
      </c>
      <c r="O2356" s="8"/>
      <c r="P2356" s="8"/>
    </row>
    <row r="2357" spans="1:16">
      <c r="A2357" s="336"/>
      <c r="B2357" s="337"/>
      <c r="C2357" s="337"/>
      <c r="D2357" s="3"/>
      <c r="E2357" s="337"/>
      <c r="F2357" s="338"/>
      <c r="G2357" s="248" t="str">
        <f t="shared" si="184"/>
        <v/>
      </c>
      <c r="H2357" s="1" t="b">
        <f>IF(B2357="",FALSE,COUNTIF('従業員情報(給与以外)'!$A$4:$A$1000000,$B2357)=0)</f>
        <v>0</v>
      </c>
      <c r="I2357" s="9" t="b">
        <f t="shared" si="185"/>
        <v>1</v>
      </c>
      <c r="J2357" s="9" t="b">
        <f t="shared" si="186"/>
        <v>1</v>
      </c>
      <c r="K2357" s="9" t="b">
        <f t="shared" si="187"/>
        <v>1</v>
      </c>
      <c r="L2357" s="9" t="b">
        <f t="shared" si="188"/>
        <v>1</v>
      </c>
      <c r="M2357" s="1" t="b">
        <f>IF(OR(入力シート!$C$5&lt;&gt;入力リスト!$N$4,入力シート!$J$22&lt;&gt;入力リスト!$K$4),TRUE,IF($F$2=入力リスト!$Q$4,IF(F2357-INT(F2357)&lt;0.6,TRUE,FALSE),TRUE))</f>
        <v>1</v>
      </c>
      <c r="N2357" s="9" t="str">
        <f>IF(F2357="","",IF($F$2=入力リスト!$Q$4,ROUNDDOWN(INT(F2357)+ROUNDDOWN((F2357-INT(F2357))*100,0)/60,2),従業員の給与情報!F2357))</f>
        <v/>
      </c>
      <c r="O2357" s="8"/>
      <c r="P2357" s="8"/>
    </row>
    <row r="2358" spans="1:16">
      <c r="A2358" s="336"/>
      <c r="B2358" s="337"/>
      <c r="C2358" s="337"/>
      <c r="D2358" s="3"/>
      <c r="E2358" s="337"/>
      <c r="F2358" s="338"/>
      <c r="G2358" s="248" t="str">
        <f t="shared" si="184"/>
        <v/>
      </c>
      <c r="H2358" s="1" t="b">
        <f>IF(B2358="",FALSE,COUNTIF('従業員情報(給与以外)'!$A$4:$A$1000000,$B2358)=0)</f>
        <v>0</v>
      </c>
      <c r="I2358" s="9" t="b">
        <f t="shared" si="185"/>
        <v>1</v>
      </c>
      <c r="J2358" s="9" t="b">
        <f t="shared" si="186"/>
        <v>1</v>
      </c>
      <c r="K2358" s="9" t="b">
        <f t="shared" si="187"/>
        <v>1</v>
      </c>
      <c r="L2358" s="9" t="b">
        <f t="shared" si="188"/>
        <v>1</v>
      </c>
      <c r="M2358" s="1" t="b">
        <f>IF(OR(入力シート!$C$5&lt;&gt;入力リスト!$N$4,入力シート!$J$22&lt;&gt;入力リスト!$K$4),TRUE,IF($F$2=入力リスト!$Q$4,IF(F2358-INT(F2358)&lt;0.6,TRUE,FALSE),TRUE))</f>
        <v>1</v>
      </c>
      <c r="N2358" s="9" t="str">
        <f>IF(F2358="","",IF($F$2=入力リスト!$Q$4,ROUNDDOWN(INT(F2358)+ROUNDDOWN((F2358-INT(F2358))*100,0)/60,2),従業員の給与情報!F2358))</f>
        <v/>
      </c>
      <c r="O2358" s="8"/>
      <c r="P2358" s="8"/>
    </row>
    <row r="2359" spans="1:16">
      <c r="A2359" s="336"/>
      <c r="B2359" s="337"/>
      <c r="C2359" s="337"/>
      <c r="D2359" s="3"/>
      <c r="E2359" s="337"/>
      <c r="F2359" s="338"/>
      <c r="G2359" s="248" t="str">
        <f t="shared" si="184"/>
        <v/>
      </c>
      <c r="H2359" s="1" t="b">
        <f>IF(B2359="",FALSE,COUNTIF('従業員情報(給与以外)'!$A$4:$A$1000000,$B2359)=0)</f>
        <v>0</v>
      </c>
      <c r="I2359" s="9" t="b">
        <f t="shared" si="185"/>
        <v>1</v>
      </c>
      <c r="J2359" s="9" t="b">
        <f t="shared" si="186"/>
        <v>1</v>
      </c>
      <c r="K2359" s="9" t="b">
        <f t="shared" si="187"/>
        <v>1</v>
      </c>
      <c r="L2359" s="9" t="b">
        <f t="shared" si="188"/>
        <v>1</v>
      </c>
      <c r="M2359" s="1" t="b">
        <f>IF(OR(入力シート!$C$5&lt;&gt;入力リスト!$N$4,入力シート!$J$22&lt;&gt;入力リスト!$K$4),TRUE,IF($F$2=入力リスト!$Q$4,IF(F2359-INT(F2359)&lt;0.6,TRUE,FALSE),TRUE))</f>
        <v>1</v>
      </c>
      <c r="N2359" s="9" t="str">
        <f>IF(F2359="","",IF($F$2=入力リスト!$Q$4,ROUNDDOWN(INT(F2359)+ROUNDDOWN((F2359-INT(F2359))*100,0)/60,2),従業員の給与情報!F2359))</f>
        <v/>
      </c>
      <c r="O2359" s="8"/>
      <c r="P2359" s="8"/>
    </row>
    <row r="2360" spans="1:16">
      <c r="A2360" s="336"/>
      <c r="B2360" s="337"/>
      <c r="C2360" s="337"/>
      <c r="D2360" s="3"/>
      <c r="E2360" s="337"/>
      <c r="F2360" s="338"/>
      <c r="G2360" s="248" t="str">
        <f t="shared" si="184"/>
        <v/>
      </c>
      <c r="H2360" s="1" t="b">
        <f>IF(B2360="",FALSE,COUNTIF('従業員情報(給与以外)'!$A$4:$A$1000000,$B2360)=0)</f>
        <v>0</v>
      </c>
      <c r="I2360" s="9" t="b">
        <f t="shared" si="185"/>
        <v>1</v>
      </c>
      <c r="J2360" s="9" t="b">
        <f t="shared" si="186"/>
        <v>1</v>
      </c>
      <c r="K2360" s="9" t="b">
        <f t="shared" si="187"/>
        <v>1</v>
      </c>
      <c r="L2360" s="9" t="b">
        <f t="shared" si="188"/>
        <v>1</v>
      </c>
      <c r="M2360" s="1" t="b">
        <f>IF(OR(入力シート!$C$5&lt;&gt;入力リスト!$N$4,入力シート!$J$22&lt;&gt;入力リスト!$K$4),TRUE,IF($F$2=入力リスト!$Q$4,IF(F2360-INT(F2360)&lt;0.6,TRUE,FALSE),TRUE))</f>
        <v>1</v>
      </c>
      <c r="N2360" s="9" t="str">
        <f>IF(F2360="","",IF($F$2=入力リスト!$Q$4,ROUNDDOWN(INT(F2360)+ROUNDDOWN((F2360-INT(F2360))*100,0)/60,2),従業員の給与情報!F2360))</f>
        <v/>
      </c>
      <c r="O2360" s="8"/>
      <c r="P2360" s="8"/>
    </row>
    <row r="2361" spans="1:16">
      <c r="A2361" s="336"/>
      <c r="B2361" s="337"/>
      <c r="C2361" s="337"/>
      <c r="D2361" s="3"/>
      <c r="E2361" s="337"/>
      <c r="F2361" s="338"/>
      <c r="G2361" s="248" t="str">
        <f t="shared" si="184"/>
        <v/>
      </c>
      <c r="H2361" s="1" t="b">
        <f>IF(B2361="",FALSE,COUNTIF('従業員情報(給与以外)'!$A$4:$A$1000000,$B2361)=0)</f>
        <v>0</v>
      </c>
      <c r="I2361" s="9" t="b">
        <f t="shared" si="185"/>
        <v>1</v>
      </c>
      <c r="J2361" s="9" t="b">
        <f t="shared" si="186"/>
        <v>1</v>
      </c>
      <c r="K2361" s="9" t="b">
        <f t="shared" si="187"/>
        <v>1</v>
      </c>
      <c r="L2361" s="9" t="b">
        <f t="shared" si="188"/>
        <v>1</v>
      </c>
      <c r="M2361" s="1" t="b">
        <f>IF(OR(入力シート!$C$5&lt;&gt;入力リスト!$N$4,入力シート!$J$22&lt;&gt;入力リスト!$K$4),TRUE,IF($F$2=入力リスト!$Q$4,IF(F2361-INT(F2361)&lt;0.6,TRUE,FALSE),TRUE))</f>
        <v>1</v>
      </c>
      <c r="N2361" s="9" t="str">
        <f>IF(F2361="","",IF($F$2=入力リスト!$Q$4,ROUNDDOWN(INT(F2361)+ROUNDDOWN((F2361-INT(F2361))*100,0)/60,2),従業員の給与情報!F2361))</f>
        <v/>
      </c>
      <c r="O2361" s="8"/>
      <c r="P2361" s="8"/>
    </row>
    <row r="2362" spans="1:16">
      <c r="A2362" s="336"/>
      <c r="B2362" s="337"/>
      <c r="C2362" s="337"/>
      <c r="D2362" s="3"/>
      <c r="E2362" s="337"/>
      <c r="F2362" s="338"/>
      <c r="G2362" s="248" t="str">
        <f t="shared" si="184"/>
        <v/>
      </c>
      <c r="H2362" s="1" t="b">
        <f>IF(B2362="",FALSE,COUNTIF('従業員情報(給与以外)'!$A$4:$A$1000000,$B2362)=0)</f>
        <v>0</v>
      </c>
      <c r="I2362" s="9" t="b">
        <f t="shared" si="185"/>
        <v>1</v>
      </c>
      <c r="J2362" s="9" t="b">
        <f t="shared" si="186"/>
        <v>1</v>
      </c>
      <c r="K2362" s="9" t="b">
        <f t="shared" si="187"/>
        <v>1</v>
      </c>
      <c r="L2362" s="9" t="b">
        <f t="shared" si="188"/>
        <v>1</v>
      </c>
      <c r="M2362" s="1" t="b">
        <f>IF(OR(入力シート!$C$5&lt;&gt;入力リスト!$N$4,入力シート!$J$22&lt;&gt;入力リスト!$K$4),TRUE,IF($F$2=入力リスト!$Q$4,IF(F2362-INT(F2362)&lt;0.6,TRUE,FALSE),TRUE))</f>
        <v>1</v>
      </c>
      <c r="N2362" s="9" t="str">
        <f>IF(F2362="","",IF($F$2=入力リスト!$Q$4,ROUNDDOWN(INT(F2362)+ROUNDDOWN((F2362-INT(F2362))*100,0)/60,2),従業員の給与情報!F2362))</f>
        <v/>
      </c>
      <c r="O2362" s="8"/>
      <c r="P2362" s="8"/>
    </row>
    <row r="2363" spans="1:16">
      <c r="A2363" s="336"/>
      <c r="B2363" s="337"/>
      <c r="C2363" s="337"/>
      <c r="D2363" s="3"/>
      <c r="E2363" s="337"/>
      <c r="F2363" s="338"/>
      <c r="G2363" s="248" t="str">
        <f t="shared" si="184"/>
        <v/>
      </c>
      <c r="H2363" s="1" t="b">
        <f>IF(B2363="",FALSE,COUNTIF('従業員情報(給与以外)'!$A$4:$A$1000000,$B2363)=0)</f>
        <v>0</v>
      </c>
      <c r="I2363" s="9" t="b">
        <f t="shared" si="185"/>
        <v>1</v>
      </c>
      <c r="J2363" s="9" t="b">
        <f t="shared" si="186"/>
        <v>1</v>
      </c>
      <c r="K2363" s="9" t="b">
        <f t="shared" si="187"/>
        <v>1</v>
      </c>
      <c r="L2363" s="9" t="b">
        <f t="shared" si="188"/>
        <v>1</v>
      </c>
      <c r="M2363" s="1" t="b">
        <f>IF(OR(入力シート!$C$5&lt;&gt;入力リスト!$N$4,入力シート!$J$22&lt;&gt;入力リスト!$K$4),TRUE,IF($F$2=入力リスト!$Q$4,IF(F2363-INT(F2363)&lt;0.6,TRUE,FALSE),TRUE))</f>
        <v>1</v>
      </c>
      <c r="N2363" s="9" t="str">
        <f>IF(F2363="","",IF($F$2=入力リスト!$Q$4,ROUNDDOWN(INT(F2363)+ROUNDDOWN((F2363-INT(F2363))*100,0)/60,2),従業員の給与情報!F2363))</f>
        <v/>
      </c>
      <c r="O2363" s="8"/>
      <c r="P2363" s="8"/>
    </row>
    <row r="2364" spans="1:16">
      <c r="A2364" s="336"/>
      <c r="B2364" s="337"/>
      <c r="C2364" s="337"/>
      <c r="D2364" s="3"/>
      <c r="E2364" s="337"/>
      <c r="F2364" s="338"/>
      <c r="G2364" s="248" t="str">
        <f t="shared" si="184"/>
        <v/>
      </c>
      <c r="H2364" s="1" t="b">
        <f>IF(B2364="",FALSE,COUNTIF('従業員情報(給与以外)'!$A$4:$A$1000000,$B2364)=0)</f>
        <v>0</v>
      </c>
      <c r="I2364" s="9" t="b">
        <f t="shared" si="185"/>
        <v>1</v>
      </c>
      <c r="J2364" s="9" t="b">
        <f t="shared" si="186"/>
        <v>1</v>
      </c>
      <c r="K2364" s="9" t="b">
        <f t="shared" si="187"/>
        <v>1</v>
      </c>
      <c r="L2364" s="9" t="b">
        <f t="shared" si="188"/>
        <v>1</v>
      </c>
      <c r="M2364" s="1" t="b">
        <f>IF(OR(入力シート!$C$5&lt;&gt;入力リスト!$N$4,入力シート!$J$22&lt;&gt;入力リスト!$K$4),TRUE,IF($F$2=入力リスト!$Q$4,IF(F2364-INT(F2364)&lt;0.6,TRUE,FALSE),TRUE))</f>
        <v>1</v>
      </c>
      <c r="N2364" s="9" t="str">
        <f>IF(F2364="","",IF($F$2=入力リスト!$Q$4,ROUNDDOWN(INT(F2364)+ROUNDDOWN((F2364-INT(F2364))*100,0)/60,2),従業員の給与情報!F2364))</f>
        <v/>
      </c>
      <c r="O2364" s="8"/>
      <c r="P2364" s="8"/>
    </row>
    <row r="2365" spans="1:16">
      <c r="A2365" s="336"/>
      <c r="B2365" s="337"/>
      <c r="C2365" s="337"/>
      <c r="D2365" s="3"/>
      <c r="E2365" s="337"/>
      <c r="F2365" s="338"/>
      <c r="G2365" s="248" t="str">
        <f t="shared" si="184"/>
        <v/>
      </c>
      <c r="H2365" s="1" t="b">
        <f>IF(B2365="",FALSE,COUNTIF('従業員情報(給与以外)'!$A$4:$A$1000000,$B2365)=0)</f>
        <v>0</v>
      </c>
      <c r="I2365" s="9" t="b">
        <f t="shared" si="185"/>
        <v>1</v>
      </c>
      <c r="J2365" s="9" t="b">
        <f t="shared" si="186"/>
        <v>1</v>
      </c>
      <c r="K2365" s="9" t="b">
        <f t="shared" si="187"/>
        <v>1</v>
      </c>
      <c r="L2365" s="9" t="b">
        <f t="shared" si="188"/>
        <v>1</v>
      </c>
      <c r="M2365" s="1" t="b">
        <f>IF(OR(入力シート!$C$5&lt;&gt;入力リスト!$N$4,入力シート!$J$22&lt;&gt;入力リスト!$K$4),TRUE,IF($F$2=入力リスト!$Q$4,IF(F2365-INT(F2365)&lt;0.6,TRUE,FALSE),TRUE))</f>
        <v>1</v>
      </c>
      <c r="N2365" s="9" t="str">
        <f>IF(F2365="","",IF($F$2=入力リスト!$Q$4,ROUNDDOWN(INT(F2365)+ROUNDDOWN((F2365-INT(F2365))*100,0)/60,2),従業員の給与情報!F2365))</f>
        <v/>
      </c>
      <c r="O2365" s="8"/>
      <c r="P2365" s="8"/>
    </row>
    <row r="2366" spans="1:16">
      <c r="A2366" s="336"/>
      <c r="B2366" s="337"/>
      <c r="C2366" s="337"/>
      <c r="D2366" s="3"/>
      <c r="E2366" s="337"/>
      <c r="F2366" s="338"/>
      <c r="G2366" s="248" t="str">
        <f t="shared" si="184"/>
        <v/>
      </c>
      <c r="H2366" s="1" t="b">
        <f>IF(B2366="",FALSE,COUNTIF('従業員情報(給与以外)'!$A$4:$A$1000000,$B2366)=0)</f>
        <v>0</v>
      </c>
      <c r="I2366" s="9" t="b">
        <f t="shared" si="185"/>
        <v>1</v>
      </c>
      <c r="J2366" s="9" t="b">
        <f t="shared" si="186"/>
        <v>1</v>
      </c>
      <c r="K2366" s="9" t="b">
        <f t="shared" si="187"/>
        <v>1</v>
      </c>
      <c r="L2366" s="9" t="b">
        <f t="shared" si="188"/>
        <v>1</v>
      </c>
      <c r="M2366" s="1" t="b">
        <f>IF(OR(入力シート!$C$5&lt;&gt;入力リスト!$N$4,入力シート!$J$22&lt;&gt;入力リスト!$K$4),TRUE,IF($F$2=入力リスト!$Q$4,IF(F2366-INT(F2366)&lt;0.6,TRUE,FALSE),TRUE))</f>
        <v>1</v>
      </c>
      <c r="N2366" s="9" t="str">
        <f>IF(F2366="","",IF($F$2=入力リスト!$Q$4,ROUNDDOWN(INT(F2366)+ROUNDDOWN((F2366-INT(F2366))*100,0)/60,2),従業員の給与情報!F2366))</f>
        <v/>
      </c>
      <c r="O2366" s="8"/>
      <c r="P2366" s="8"/>
    </row>
    <row r="2367" spans="1:16">
      <c r="A2367" s="336"/>
      <c r="B2367" s="337"/>
      <c r="C2367" s="337"/>
      <c r="D2367" s="3"/>
      <c r="E2367" s="337"/>
      <c r="F2367" s="338"/>
      <c r="G2367" s="248" t="str">
        <f t="shared" si="184"/>
        <v/>
      </c>
      <c r="H2367" s="1" t="b">
        <f>IF(B2367="",FALSE,COUNTIF('従業員情報(給与以外)'!$A$4:$A$1000000,$B2367)=0)</f>
        <v>0</v>
      </c>
      <c r="I2367" s="9" t="b">
        <f t="shared" si="185"/>
        <v>1</v>
      </c>
      <c r="J2367" s="9" t="b">
        <f t="shared" si="186"/>
        <v>1</v>
      </c>
      <c r="K2367" s="9" t="b">
        <f t="shared" si="187"/>
        <v>1</v>
      </c>
      <c r="L2367" s="9" t="b">
        <f t="shared" si="188"/>
        <v>1</v>
      </c>
      <c r="M2367" s="1" t="b">
        <f>IF(OR(入力シート!$C$5&lt;&gt;入力リスト!$N$4,入力シート!$J$22&lt;&gt;入力リスト!$K$4),TRUE,IF($F$2=入力リスト!$Q$4,IF(F2367-INT(F2367)&lt;0.6,TRUE,FALSE),TRUE))</f>
        <v>1</v>
      </c>
      <c r="N2367" s="9" t="str">
        <f>IF(F2367="","",IF($F$2=入力リスト!$Q$4,ROUNDDOWN(INT(F2367)+ROUNDDOWN((F2367-INT(F2367))*100,0)/60,2),従業員の給与情報!F2367))</f>
        <v/>
      </c>
      <c r="O2367" s="8"/>
      <c r="P2367" s="8"/>
    </row>
    <row r="2368" spans="1:16">
      <c r="A2368" s="336"/>
      <c r="B2368" s="337"/>
      <c r="C2368" s="337"/>
      <c r="D2368" s="3"/>
      <c r="E2368" s="337"/>
      <c r="F2368" s="338"/>
      <c r="G2368" s="248" t="str">
        <f t="shared" si="184"/>
        <v/>
      </c>
      <c r="H2368" s="1" t="b">
        <f>IF(B2368="",FALSE,COUNTIF('従業員情報(給与以外)'!$A$4:$A$1000000,$B2368)=0)</f>
        <v>0</v>
      </c>
      <c r="I2368" s="9" t="b">
        <f t="shared" si="185"/>
        <v>1</v>
      </c>
      <c r="J2368" s="9" t="b">
        <f t="shared" si="186"/>
        <v>1</v>
      </c>
      <c r="K2368" s="9" t="b">
        <f t="shared" si="187"/>
        <v>1</v>
      </c>
      <c r="L2368" s="9" t="b">
        <f t="shared" si="188"/>
        <v>1</v>
      </c>
      <c r="M2368" s="1" t="b">
        <f>IF(OR(入力シート!$C$5&lt;&gt;入力リスト!$N$4,入力シート!$J$22&lt;&gt;入力リスト!$K$4),TRUE,IF($F$2=入力リスト!$Q$4,IF(F2368-INT(F2368)&lt;0.6,TRUE,FALSE),TRUE))</f>
        <v>1</v>
      </c>
      <c r="N2368" s="9" t="str">
        <f>IF(F2368="","",IF($F$2=入力リスト!$Q$4,ROUNDDOWN(INT(F2368)+ROUNDDOWN((F2368-INT(F2368))*100,0)/60,2),従業員の給与情報!F2368))</f>
        <v/>
      </c>
      <c r="O2368" s="8"/>
      <c r="P2368" s="8"/>
    </row>
    <row r="2369" spans="1:16">
      <c r="A2369" s="336"/>
      <c r="B2369" s="337"/>
      <c r="C2369" s="337"/>
      <c r="D2369" s="3"/>
      <c r="E2369" s="337"/>
      <c r="F2369" s="338"/>
      <c r="G2369" s="248" t="str">
        <f t="shared" si="184"/>
        <v/>
      </c>
      <c r="H2369" s="1" t="b">
        <f>IF(B2369="",FALSE,COUNTIF('従業員情報(給与以外)'!$A$4:$A$1000000,$B2369)=0)</f>
        <v>0</v>
      </c>
      <c r="I2369" s="9" t="b">
        <f t="shared" si="185"/>
        <v>1</v>
      </c>
      <c r="J2369" s="9" t="b">
        <f t="shared" si="186"/>
        <v>1</v>
      </c>
      <c r="K2369" s="9" t="b">
        <f t="shared" si="187"/>
        <v>1</v>
      </c>
      <c r="L2369" s="9" t="b">
        <f t="shared" si="188"/>
        <v>1</v>
      </c>
      <c r="M2369" s="1" t="b">
        <f>IF(OR(入力シート!$C$5&lt;&gt;入力リスト!$N$4,入力シート!$J$22&lt;&gt;入力リスト!$K$4),TRUE,IF($F$2=入力リスト!$Q$4,IF(F2369-INT(F2369)&lt;0.6,TRUE,FALSE),TRUE))</f>
        <v>1</v>
      </c>
      <c r="N2369" s="9" t="str">
        <f>IF(F2369="","",IF($F$2=入力リスト!$Q$4,ROUNDDOWN(INT(F2369)+ROUNDDOWN((F2369-INT(F2369))*100,0)/60,2),従業員の給与情報!F2369))</f>
        <v/>
      </c>
      <c r="O2369" s="8"/>
      <c r="P2369" s="8"/>
    </row>
    <row r="2370" spans="1:16">
      <c r="A2370" s="336"/>
      <c r="B2370" s="337"/>
      <c r="C2370" s="337"/>
      <c r="D2370" s="3"/>
      <c r="E2370" s="337"/>
      <c r="F2370" s="338"/>
      <c r="G2370" s="248" t="str">
        <f t="shared" si="184"/>
        <v/>
      </c>
      <c r="H2370" s="1" t="b">
        <f>IF(B2370="",FALSE,COUNTIF('従業員情報(給与以外)'!$A$4:$A$1000000,$B2370)=0)</f>
        <v>0</v>
      </c>
      <c r="I2370" s="9" t="b">
        <f t="shared" si="185"/>
        <v>1</v>
      </c>
      <c r="J2370" s="9" t="b">
        <f t="shared" si="186"/>
        <v>1</v>
      </c>
      <c r="K2370" s="9" t="b">
        <f t="shared" si="187"/>
        <v>1</v>
      </c>
      <c r="L2370" s="9" t="b">
        <f t="shared" si="188"/>
        <v>1</v>
      </c>
      <c r="M2370" s="1" t="b">
        <f>IF(OR(入力シート!$C$5&lt;&gt;入力リスト!$N$4,入力シート!$J$22&lt;&gt;入力リスト!$K$4),TRUE,IF($F$2=入力リスト!$Q$4,IF(F2370-INT(F2370)&lt;0.6,TRUE,FALSE),TRUE))</f>
        <v>1</v>
      </c>
      <c r="N2370" s="9" t="str">
        <f>IF(F2370="","",IF($F$2=入力リスト!$Q$4,ROUNDDOWN(INT(F2370)+ROUNDDOWN((F2370-INT(F2370))*100,0)/60,2),従業員の給与情報!F2370))</f>
        <v/>
      </c>
      <c r="O2370" s="8"/>
      <c r="P2370" s="8"/>
    </row>
    <row r="2371" spans="1:16">
      <c r="A2371" s="336"/>
      <c r="B2371" s="337"/>
      <c r="C2371" s="337"/>
      <c r="D2371" s="3"/>
      <c r="E2371" s="337"/>
      <c r="F2371" s="338"/>
      <c r="G2371" s="248" t="str">
        <f t="shared" si="184"/>
        <v/>
      </c>
      <c r="H2371" s="1" t="b">
        <f>IF(B2371="",FALSE,COUNTIF('従業員情報(給与以外)'!$A$4:$A$1000000,$B2371)=0)</f>
        <v>0</v>
      </c>
      <c r="I2371" s="9" t="b">
        <f t="shared" si="185"/>
        <v>1</v>
      </c>
      <c r="J2371" s="9" t="b">
        <f t="shared" si="186"/>
        <v>1</v>
      </c>
      <c r="K2371" s="9" t="b">
        <f t="shared" si="187"/>
        <v>1</v>
      </c>
      <c r="L2371" s="9" t="b">
        <f t="shared" si="188"/>
        <v>1</v>
      </c>
      <c r="M2371" s="1" t="b">
        <f>IF(OR(入力シート!$C$5&lt;&gt;入力リスト!$N$4,入力シート!$J$22&lt;&gt;入力リスト!$K$4),TRUE,IF($F$2=入力リスト!$Q$4,IF(F2371-INT(F2371)&lt;0.6,TRUE,FALSE),TRUE))</f>
        <v>1</v>
      </c>
      <c r="N2371" s="9" t="str">
        <f>IF(F2371="","",IF($F$2=入力リスト!$Q$4,ROUNDDOWN(INT(F2371)+ROUNDDOWN((F2371-INT(F2371))*100,0)/60,2),従業員の給与情報!F2371))</f>
        <v/>
      </c>
      <c r="O2371" s="8"/>
      <c r="P2371" s="8"/>
    </row>
    <row r="2372" spans="1:16">
      <c r="A2372" s="336"/>
      <c r="B2372" s="337"/>
      <c r="C2372" s="337"/>
      <c r="D2372" s="3"/>
      <c r="E2372" s="337"/>
      <c r="F2372" s="338"/>
      <c r="G2372" s="248" t="str">
        <f t="shared" si="184"/>
        <v/>
      </c>
      <c r="H2372" s="1" t="b">
        <f>IF(B2372="",FALSE,COUNTIF('従業員情報(給与以外)'!$A$4:$A$1000000,$B2372)=0)</f>
        <v>0</v>
      </c>
      <c r="I2372" s="9" t="b">
        <f t="shared" si="185"/>
        <v>1</v>
      </c>
      <c r="J2372" s="9" t="b">
        <f t="shared" si="186"/>
        <v>1</v>
      </c>
      <c r="K2372" s="9" t="b">
        <f t="shared" si="187"/>
        <v>1</v>
      </c>
      <c r="L2372" s="9" t="b">
        <f t="shared" si="188"/>
        <v>1</v>
      </c>
      <c r="M2372" s="1" t="b">
        <f>IF(OR(入力シート!$C$5&lt;&gt;入力リスト!$N$4,入力シート!$J$22&lt;&gt;入力リスト!$K$4),TRUE,IF($F$2=入力リスト!$Q$4,IF(F2372-INT(F2372)&lt;0.6,TRUE,FALSE),TRUE))</f>
        <v>1</v>
      </c>
      <c r="N2372" s="9" t="str">
        <f>IF(F2372="","",IF($F$2=入力リスト!$Q$4,ROUNDDOWN(INT(F2372)+ROUNDDOWN((F2372-INT(F2372))*100,0)/60,2),従業員の給与情報!F2372))</f>
        <v/>
      </c>
      <c r="O2372" s="8"/>
      <c r="P2372" s="8"/>
    </row>
    <row r="2373" spans="1:16">
      <c r="A2373" s="336"/>
      <c r="B2373" s="337"/>
      <c r="C2373" s="337"/>
      <c r="D2373" s="3"/>
      <c r="E2373" s="337"/>
      <c r="F2373" s="338"/>
      <c r="G2373" s="248" t="str">
        <f t="shared" ref="G2373:G2436" si="189">IF(AND($B2373="",OR(B2373&lt;&gt;"",C2373&lt;&gt;"",D2373&lt;&gt;"",E2373&lt;&gt;"",F2373&lt;&gt;"")),"従業員番号が空白です。",IF($H2373=TRUE,"この従業員番号は、シート［従業員情報（給与以外）］に存在しません。",IF(I2373=FALSE,"「毎月の固定給与額」","")&amp;IF(AND(I2373=FALSE,OR(J2373=FALSE,K2373=FALSE,L2373=FALSE)),",","")&amp;IF(J2373=FALSE,"「賞与額等」","")&amp;IF(AND(J2373=FALSE,OR(K2373=FALSE,L2373=FALSE)),",","")&amp;IF(K2373=FALSE,"「残業手当」","")&amp;IF(AND(K2373=FALSE,L2373=FALSE),",","")&amp;IF(L2373=FALSE,"「残業時間」","")&amp;IF(OR(I2373=FALSE,J2373=FALSE,K2373=FALSE,L2373=FALSE),"に数値以外が入力されています。","")&amp;IF(M2373,"","「残業時間」を分単位で入力した場合、小数点以下の値は0.6未満にしてください。")))</f>
        <v/>
      </c>
      <c r="H2373" s="1" t="b">
        <f>IF(B2373="",FALSE,COUNTIF('従業員情報(給与以外)'!$A$4:$A$1000000,$B2373)=0)</f>
        <v>0</v>
      </c>
      <c r="I2373" s="9" t="b">
        <f t="shared" si="185"/>
        <v>1</v>
      </c>
      <c r="J2373" s="9" t="b">
        <f t="shared" si="186"/>
        <v>1</v>
      </c>
      <c r="K2373" s="9" t="b">
        <f t="shared" si="187"/>
        <v>1</v>
      </c>
      <c r="L2373" s="9" t="b">
        <f t="shared" si="188"/>
        <v>1</v>
      </c>
      <c r="M2373" s="1" t="b">
        <f>IF(OR(入力シート!$C$5&lt;&gt;入力リスト!$N$4,入力シート!$J$22&lt;&gt;入力リスト!$K$4),TRUE,IF($F$2=入力リスト!$Q$4,IF(F2373-INT(F2373)&lt;0.6,TRUE,FALSE),TRUE))</f>
        <v>1</v>
      </c>
      <c r="N2373" s="9" t="str">
        <f>IF(F2373="","",IF($F$2=入力リスト!$Q$4,ROUNDDOWN(INT(F2373)+ROUNDDOWN((F2373-INT(F2373))*100,0)/60,2),従業員の給与情報!F2373))</f>
        <v/>
      </c>
      <c r="O2373" s="8"/>
      <c r="P2373" s="8"/>
    </row>
    <row r="2374" spans="1:16">
      <c r="A2374" s="336"/>
      <c r="B2374" s="337"/>
      <c r="C2374" s="337"/>
      <c r="D2374" s="3"/>
      <c r="E2374" s="337"/>
      <c r="F2374" s="338"/>
      <c r="G2374" s="248" t="str">
        <f t="shared" si="189"/>
        <v/>
      </c>
      <c r="H2374" s="1" t="b">
        <f>IF(B2374="",FALSE,COUNTIF('従業員情報(給与以外)'!$A$4:$A$1000000,$B2374)=0)</f>
        <v>0</v>
      </c>
      <c r="I2374" s="9" t="b">
        <f t="shared" si="185"/>
        <v>1</v>
      </c>
      <c r="J2374" s="9" t="b">
        <f t="shared" si="186"/>
        <v>1</v>
      </c>
      <c r="K2374" s="9" t="b">
        <f t="shared" si="187"/>
        <v>1</v>
      </c>
      <c r="L2374" s="9" t="b">
        <f t="shared" si="188"/>
        <v>1</v>
      </c>
      <c r="M2374" s="1" t="b">
        <f>IF(OR(入力シート!$C$5&lt;&gt;入力リスト!$N$4,入力シート!$J$22&lt;&gt;入力リスト!$K$4),TRUE,IF($F$2=入力リスト!$Q$4,IF(F2374-INT(F2374)&lt;0.6,TRUE,FALSE),TRUE))</f>
        <v>1</v>
      </c>
      <c r="N2374" s="9" t="str">
        <f>IF(F2374="","",IF($F$2=入力リスト!$Q$4,ROUNDDOWN(INT(F2374)+ROUNDDOWN((F2374-INT(F2374))*100,0)/60,2),従業員の給与情報!F2374))</f>
        <v/>
      </c>
      <c r="O2374" s="8"/>
      <c r="P2374" s="8"/>
    </row>
    <row r="2375" spans="1:16">
      <c r="A2375" s="336"/>
      <c r="B2375" s="337"/>
      <c r="C2375" s="337"/>
      <c r="D2375" s="3"/>
      <c r="E2375" s="337"/>
      <c r="F2375" s="338"/>
      <c r="G2375" s="248" t="str">
        <f t="shared" si="189"/>
        <v/>
      </c>
      <c r="H2375" s="1" t="b">
        <f>IF(B2375="",FALSE,COUNTIF('従業員情報(給与以外)'!$A$4:$A$1000000,$B2375)=0)</f>
        <v>0</v>
      </c>
      <c r="I2375" s="9" t="b">
        <f t="shared" si="185"/>
        <v>1</v>
      </c>
      <c r="J2375" s="9" t="b">
        <f t="shared" si="186"/>
        <v>1</v>
      </c>
      <c r="K2375" s="9" t="b">
        <f t="shared" si="187"/>
        <v>1</v>
      </c>
      <c r="L2375" s="9" t="b">
        <f t="shared" si="188"/>
        <v>1</v>
      </c>
      <c r="M2375" s="1" t="b">
        <f>IF(OR(入力シート!$C$5&lt;&gt;入力リスト!$N$4,入力シート!$J$22&lt;&gt;入力リスト!$K$4),TRUE,IF($F$2=入力リスト!$Q$4,IF(F2375-INT(F2375)&lt;0.6,TRUE,FALSE),TRUE))</f>
        <v>1</v>
      </c>
      <c r="N2375" s="9" t="str">
        <f>IF(F2375="","",IF($F$2=入力リスト!$Q$4,ROUNDDOWN(INT(F2375)+ROUNDDOWN((F2375-INT(F2375))*100,0)/60,2),従業員の給与情報!F2375))</f>
        <v/>
      </c>
      <c r="O2375" s="8"/>
      <c r="P2375" s="8"/>
    </row>
    <row r="2376" spans="1:16">
      <c r="A2376" s="336"/>
      <c r="B2376" s="337"/>
      <c r="C2376" s="337"/>
      <c r="D2376" s="3"/>
      <c r="E2376" s="337"/>
      <c r="F2376" s="338"/>
      <c r="G2376" s="248" t="str">
        <f t="shared" si="189"/>
        <v/>
      </c>
      <c r="H2376" s="1" t="b">
        <f>IF(B2376="",FALSE,COUNTIF('従業員情報(給与以外)'!$A$4:$A$1000000,$B2376)=0)</f>
        <v>0</v>
      </c>
      <c r="I2376" s="9" t="b">
        <f t="shared" si="185"/>
        <v>1</v>
      </c>
      <c r="J2376" s="9" t="b">
        <f t="shared" si="186"/>
        <v>1</v>
      </c>
      <c r="K2376" s="9" t="b">
        <f t="shared" si="187"/>
        <v>1</v>
      </c>
      <c r="L2376" s="9" t="b">
        <f t="shared" si="188"/>
        <v>1</v>
      </c>
      <c r="M2376" s="1" t="b">
        <f>IF(OR(入力シート!$C$5&lt;&gt;入力リスト!$N$4,入力シート!$J$22&lt;&gt;入力リスト!$K$4),TRUE,IF($F$2=入力リスト!$Q$4,IF(F2376-INT(F2376)&lt;0.6,TRUE,FALSE),TRUE))</f>
        <v>1</v>
      </c>
      <c r="N2376" s="9" t="str">
        <f>IF(F2376="","",IF($F$2=入力リスト!$Q$4,ROUNDDOWN(INT(F2376)+ROUNDDOWN((F2376-INT(F2376))*100,0)/60,2),従業員の給与情報!F2376))</f>
        <v/>
      </c>
      <c r="O2376" s="8"/>
      <c r="P2376" s="8"/>
    </row>
    <row r="2377" spans="1:16">
      <c r="A2377" s="336"/>
      <c r="B2377" s="337"/>
      <c r="C2377" s="337"/>
      <c r="D2377" s="3"/>
      <c r="E2377" s="337"/>
      <c r="F2377" s="338"/>
      <c r="G2377" s="248" t="str">
        <f t="shared" si="189"/>
        <v/>
      </c>
      <c r="H2377" s="1" t="b">
        <f>IF(B2377="",FALSE,COUNTIF('従業員情報(給与以外)'!$A$4:$A$1000000,$B2377)=0)</f>
        <v>0</v>
      </c>
      <c r="I2377" s="9" t="b">
        <f t="shared" si="185"/>
        <v>1</v>
      </c>
      <c r="J2377" s="9" t="b">
        <f t="shared" si="186"/>
        <v>1</v>
      </c>
      <c r="K2377" s="9" t="b">
        <f t="shared" si="187"/>
        <v>1</v>
      </c>
      <c r="L2377" s="9" t="b">
        <f t="shared" si="188"/>
        <v>1</v>
      </c>
      <c r="M2377" s="1" t="b">
        <f>IF(OR(入力シート!$C$5&lt;&gt;入力リスト!$N$4,入力シート!$J$22&lt;&gt;入力リスト!$K$4),TRUE,IF($F$2=入力リスト!$Q$4,IF(F2377-INT(F2377)&lt;0.6,TRUE,FALSE),TRUE))</f>
        <v>1</v>
      </c>
      <c r="N2377" s="9" t="str">
        <f>IF(F2377="","",IF($F$2=入力リスト!$Q$4,ROUNDDOWN(INT(F2377)+ROUNDDOWN((F2377-INT(F2377))*100,0)/60,2),従業員の給与情報!F2377))</f>
        <v/>
      </c>
      <c r="O2377" s="8"/>
      <c r="P2377" s="8"/>
    </row>
    <row r="2378" spans="1:16">
      <c r="A2378" s="336"/>
      <c r="B2378" s="337"/>
      <c r="C2378" s="337"/>
      <c r="D2378" s="3"/>
      <c r="E2378" s="337"/>
      <c r="F2378" s="338"/>
      <c r="G2378" s="248" t="str">
        <f t="shared" si="189"/>
        <v/>
      </c>
      <c r="H2378" s="1" t="b">
        <f>IF(B2378="",FALSE,COUNTIF('従業員情報(給与以外)'!$A$4:$A$1000000,$B2378)=0)</f>
        <v>0</v>
      </c>
      <c r="I2378" s="9" t="b">
        <f t="shared" si="185"/>
        <v>1</v>
      </c>
      <c r="J2378" s="9" t="b">
        <f t="shared" si="186"/>
        <v>1</v>
      </c>
      <c r="K2378" s="9" t="b">
        <f t="shared" si="187"/>
        <v>1</v>
      </c>
      <c r="L2378" s="9" t="b">
        <f t="shared" si="188"/>
        <v>1</v>
      </c>
      <c r="M2378" s="1" t="b">
        <f>IF(OR(入力シート!$C$5&lt;&gt;入力リスト!$N$4,入力シート!$J$22&lt;&gt;入力リスト!$K$4),TRUE,IF($F$2=入力リスト!$Q$4,IF(F2378-INT(F2378)&lt;0.6,TRUE,FALSE),TRUE))</f>
        <v>1</v>
      </c>
      <c r="N2378" s="9" t="str">
        <f>IF(F2378="","",IF($F$2=入力リスト!$Q$4,ROUNDDOWN(INT(F2378)+ROUNDDOWN((F2378-INT(F2378))*100,0)/60,2),従業員の給与情報!F2378))</f>
        <v/>
      </c>
      <c r="O2378" s="8"/>
      <c r="P2378" s="8"/>
    </row>
    <row r="2379" spans="1:16">
      <c r="A2379" s="336"/>
      <c r="B2379" s="337"/>
      <c r="C2379" s="337"/>
      <c r="D2379" s="3"/>
      <c r="E2379" s="337"/>
      <c r="F2379" s="338"/>
      <c r="G2379" s="248" t="str">
        <f t="shared" si="189"/>
        <v/>
      </c>
      <c r="H2379" s="1" t="b">
        <f>IF(B2379="",FALSE,COUNTIF('従業員情報(給与以外)'!$A$4:$A$1000000,$B2379)=0)</f>
        <v>0</v>
      </c>
      <c r="I2379" s="9" t="b">
        <f t="shared" si="185"/>
        <v>1</v>
      </c>
      <c r="J2379" s="9" t="b">
        <f t="shared" si="186"/>
        <v>1</v>
      </c>
      <c r="K2379" s="9" t="b">
        <f t="shared" si="187"/>
        <v>1</v>
      </c>
      <c r="L2379" s="9" t="b">
        <f t="shared" si="188"/>
        <v>1</v>
      </c>
      <c r="M2379" s="1" t="b">
        <f>IF(OR(入力シート!$C$5&lt;&gt;入力リスト!$N$4,入力シート!$J$22&lt;&gt;入力リスト!$K$4),TRUE,IF($F$2=入力リスト!$Q$4,IF(F2379-INT(F2379)&lt;0.6,TRUE,FALSE),TRUE))</f>
        <v>1</v>
      </c>
      <c r="N2379" s="9" t="str">
        <f>IF(F2379="","",IF($F$2=入力リスト!$Q$4,ROUNDDOWN(INT(F2379)+ROUNDDOWN((F2379-INT(F2379))*100,0)/60,2),従業員の給与情報!F2379))</f>
        <v/>
      </c>
      <c r="O2379" s="8"/>
      <c r="P2379" s="8"/>
    </row>
    <row r="2380" spans="1:16">
      <c r="A2380" s="336"/>
      <c r="B2380" s="337"/>
      <c r="C2380" s="337"/>
      <c r="D2380" s="3"/>
      <c r="E2380" s="337"/>
      <c r="F2380" s="338"/>
      <c r="G2380" s="248" t="str">
        <f t="shared" si="189"/>
        <v/>
      </c>
      <c r="H2380" s="1" t="b">
        <f>IF(B2380="",FALSE,COUNTIF('従業員情報(給与以外)'!$A$4:$A$1000000,$B2380)=0)</f>
        <v>0</v>
      </c>
      <c r="I2380" s="9" t="b">
        <f t="shared" si="185"/>
        <v>1</v>
      </c>
      <c r="J2380" s="9" t="b">
        <f t="shared" si="186"/>
        <v>1</v>
      </c>
      <c r="K2380" s="9" t="b">
        <f t="shared" si="187"/>
        <v>1</v>
      </c>
      <c r="L2380" s="9" t="b">
        <f t="shared" si="188"/>
        <v>1</v>
      </c>
      <c r="M2380" s="1" t="b">
        <f>IF(OR(入力シート!$C$5&lt;&gt;入力リスト!$N$4,入力シート!$J$22&lt;&gt;入力リスト!$K$4),TRUE,IF($F$2=入力リスト!$Q$4,IF(F2380-INT(F2380)&lt;0.6,TRUE,FALSE),TRUE))</f>
        <v>1</v>
      </c>
      <c r="N2380" s="9" t="str">
        <f>IF(F2380="","",IF($F$2=入力リスト!$Q$4,ROUNDDOWN(INT(F2380)+ROUNDDOWN((F2380-INT(F2380))*100,0)/60,2),従業員の給与情報!F2380))</f>
        <v/>
      </c>
      <c r="O2380" s="8"/>
      <c r="P2380" s="8"/>
    </row>
    <row r="2381" spans="1:16">
      <c r="A2381" s="336"/>
      <c r="B2381" s="337"/>
      <c r="C2381" s="337"/>
      <c r="D2381" s="3"/>
      <c r="E2381" s="337"/>
      <c r="F2381" s="338"/>
      <c r="G2381" s="248" t="str">
        <f t="shared" si="189"/>
        <v/>
      </c>
      <c r="H2381" s="1" t="b">
        <f>IF(B2381="",FALSE,COUNTIF('従業員情報(給与以外)'!$A$4:$A$1000000,$B2381)=0)</f>
        <v>0</v>
      </c>
      <c r="I2381" s="9" t="b">
        <f t="shared" si="185"/>
        <v>1</v>
      </c>
      <c r="J2381" s="9" t="b">
        <f t="shared" si="186"/>
        <v>1</v>
      </c>
      <c r="K2381" s="9" t="b">
        <f t="shared" si="187"/>
        <v>1</v>
      </c>
      <c r="L2381" s="9" t="b">
        <f t="shared" si="188"/>
        <v>1</v>
      </c>
      <c r="M2381" s="1" t="b">
        <f>IF(OR(入力シート!$C$5&lt;&gt;入力リスト!$N$4,入力シート!$J$22&lt;&gt;入力リスト!$K$4),TRUE,IF($F$2=入力リスト!$Q$4,IF(F2381-INT(F2381)&lt;0.6,TRUE,FALSE),TRUE))</f>
        <v>1</v>
      </c>
      <c r="N2381" s="9" t="str">
        <f>IF(F2381="","",IF($F$2=入力リスト!$Q$4,ROUNDDOWN(INT(F2381)+ROUNDDOWN((F2381-INT(F2381))*100,0)/60,2),従業員の給与情報!F2381))</f>
        <v/>
      </c>
      <c r="O2381" s="8"/>
      <c r="P2381" s="8"/>
    </row>
    <row r="2382" spans="1:16">
      <c r="A2382" s="336"/>
      <c r="B2382" s="337"/>
      <c r="C2382" s="337"/>
      <c r="D2382" s="3"/>
      <c r="E2382" s="337"/>
      <c r="F2382" s="338"/>
      <c r="G2382" s="248" t="str">
        <f t="shared" si="189"/>
        <v/>
      </c>
      <c r="H2382" s="1" t="b">
        <f>IF(B2382="",FALSE,COUNTIF('従業員情報(給与以外)'!$A$4:$A$1000000,$B2382)=0)</f>
        <v>0</v>
      </c>
      <c r="I2382" s="9" t="b">
        <f t="shared" si="185"/>
        <v>1</v>
      </c>
      <c r="J2382" s="9" t="b">
        <f t="shared" si="186"/>
        <v>1</v>
      </c>
      <c r="K2382" s="9" t="b">
        <f t="shared" si="187"/>
        <v>1</v>
      </c>
      <c r="L2382" s="9" t="b">
        <f t="shared" si="188"/>
        <v>1</v>
      </c>
      <c r="M2382" s="1" t="b">
        <f>IF(OR(入力シート!$C$5&lt;&gt;入力リスト!$N$4,入力シート!$J$22&lt;&gt;入力リスト!$K$4),TRUE,IF($F$2=入力リスト!$Q$4,IF(F2382-INT(F2382)&lt;0.6,TRUE,FALSE),TRUE))</f>
        <v>1</v>
      </c>
      <c r="N2382" s="9" t="str">
        <f>IF(F2382="","",IF($F$2=入力リスト!$Q$4,ROUNDDOWN(INT(F2382)+ROUNDDOWN((F2382-INT(F2382))*100,0)/60,2),従業員の給与情報!F2382))</f>
        <v/>
      </c>
      <c r="O2382" s="8"/>
      <c r="P2382" s="8"/>
    </row>
    <row r="2383" spans="1:16">
      <c r="A2383" s="336"/>
      <c r="B2383" s="337"/>
      <c r="C2383" s="337"/>
      <c r="D2383" s="3"/>
      <c r="E2383" s="337"/>
      <c r="F2383" s="338"/>
      <c r="G2383" s="248" t="str">
        <f t="shared" si="189"/>
        <v/>
      </c>
      <c r="H2383" s="1" t="b">
        <f>IF(B2383="",FALSE,COUNTIF('従業員情報(給与以外)'!$A$4:$A$1000000,$B2383)=0)</f>
        <v>0</v>
      </c>
      <c r="I2383" s="9" t="b">
        <f t="shared" si="185"/>
        <v>1</v>
      </c>
      <c r="J2383" s="9" t="b">
        <f t="shared" si="186"/>
        <v>1</v>
      </c>
      <c r="K2383" s="9" t="b">
        <f t="shared" si="187"/>
        <v>1</v>
      </c>
      <c r="L2383" s="9" t="b">
        <f t="shared" si="188"/>
        <v>1</v>
      </c>
      <c r="M2383" s="1" t="b">
        <f>IF(OR(入力シート!$C$5&lt;&gt;入力リスト!$N$4,入力シート!$J$22&lt;&gt;入力リスト!$K$4),TRUE,IF($F$2=入力リスト!$Q$4,IF(F2383-INT(F2383)&lt;0.6,TRUE,FALSE),TRUE))</f>
        <v>1</v>
      </c>
      <c r="N2383" s="9" t="str">
        <f>IF(F2383="","",IF($F$2=入力リスト!$Q$4,ROUNDDOWN(INT(F2383)+ROUNDDOWN((F2383-INT(F2383))*100,0)/60,2),従業員の給与情報!F2383))</f>
        <v/>
      </c>
      <c r="O2383" s="8"/>
      <c r="P2383" s="8"/>
    </row>
    <row r="2384" spans="1:16">
      <c r="A2384" s="336"/>
      <c r="B2384" s="337"/>
      <c r="C2384" s="337"/>
      <c r="D2384" s="3"/>
      <c r="E2384" s="337"/>
      <c r="F2384" s="338"/>
      <c r="G2384" s="248" t="str">
        <f t="shared" si="189"/>
        <v/>
      </c>
      <c r="H2384" s="1" t="b">
        <f>IF(B2384="",FALSE,COUNTIF('従業員情報(給与以外)'!$A$4:$A$1000000,$B2384)=0)</f>
        <v>0</v>
      </c>
      <c r="I2384" s="9" t="b">
        <f t="shared" si="185"/>
        <v>1</v>
      </c>
      <c r="J2384" s="9" t="b">
        <f t="shared" si="186"/>
        <v>1</v>
      </c>
      <c r="K2384" s="9" t="b">
        <f t="shared" si="187"/>
        <v>1</v>
      </c>
      <c r="L2384" s="9" t="b">
        <f t="shared" si="188"/>
        <v>1</v>
      </c>
      <c r="M2384" s="1" t="b">
        <f>IF(OR(入力シート!$C$5&lt;&gt;入力リスト!$N$4,入力シート!$J$22&lt;&gt;入力リスト!$K$4),TRUE,IF($F$2=入力リスト!$Q$4,IF(F2384-INT(F2384)&lt;0.6,TRUE,FALSE),TRUE))</f>
        <v>1</v>
      </c>
      <c r="N2384" s="9" t="str">
        <f>IF(F2384="","",IF($F$2=入力リスト!$Q$4,ROUNDDOWN(INT(F2384)+ROUNDDOWN((F2384-INT(F2384))*100,0)/60,2),従業員の給与情報!F2384))</f>
        <v/>
      </c>
      <c r="O2384" s="8"/>
      <c r="P2384" s="8"/>
    </row>
    <row r="2385" spans="1:16">
      <c r="A2385" s="336"/>
      <c r="B2385" s="337"/>
      <c r="C2385" s="337"/>
      <c r="D2385" s="3"/>
      <c r="E2385" s="337"/>
      <c r="F2385" s="338"/>
      <c r="G2385" s="248" t="str">
        <f t="shared" si="189"/>
        <v/>
      </c>
      <c r="H2385" s="1" t="b">
        <f>IF(B2385="",FALSE,COUNTIF('従業員情報(給与以外)'!$A$4:$A$1000000,$B2385)=0)</f>
        <v>0</v>
      </c>
      <c r="I2385" s="9" t="b">
        <f t="shared" si="185"/>
        <v>1</v>
      </c>
      <c r="J2385" s="9" t="b">
        <f t="shared" si="186"/>
        <v>1</v>
      </c>
      <c r="K2385" s="9" t="b">
        <f t="shared" si="187"/>
        <v>1</v>
      </c>
      <c r="L2385" s="9" t="b">
        <f t="shared" si="188"/>
        <v>1</v>
      </c>
      <c r="M2385" s="1" t="b">
        <f>IF(OR(入力シート!$C$5&lt;&gt;入力リスト!$N$4,入力シート!$J$22&lt;&gt;入力リスト!$K$4),TRUE,IF($F$2=入力リスト!$Q$4,IF(F2385-INT(F2385)&lt;0.6,TRUE,FALSE),TRUE))</f>
        <v>1</v>
      </c>
      <c r="N2385" s="9" t="str">
        <f>IF(F2385="","",IF($F$2=入力リスト!$Q$4,ROUNDDOWN(INT(F2385)+ROUNDDOWN((F2385-INT(F2385))*100,0)/60,2),従業員の給与情報!F2385))</f>
        <v/>
      </c>
      <c r="O2385" s="8"/>
      <c r="P2385" s="8"/>
    </row>
    <row r="2386" spans="1:16">
      <c r="A2386" s="336"/>
      <c r="B2386" s="337"/>
      <c r="C2386" s="337"/>
      <c r="D2386" s="3"/>
      <c r="E2386" s="337"/>
      <c r="F2386" s="338"/>
      <c r="G2386" s="248" t="str">
        <f t="shared" si="189"/>
        <v/>
      </c>
      <c r="H2386" s="1" t="b">
        <f>IF(B2386="",FALSE,COUNTIF('従業員情報(給与以外)'!$A$4:$A$1000000,$B2386)=0)</f>
        <v>0</v>
      </c>
      <c r="I2386" s="9" t="b">
        <f t="shared" si="185"/>
        <v>1</v>
      </c>
      <c r="J2386" s="9" t="b">
        <f t="shared" si="186"/>
        <v>1</v>
      </c>
      <c r="K2386" s="9" t="b">
        <f t="shared" si="187"/>
        <v>1</v>
      </c>
      <c r="L2386" s="9" t="b">
        <f t="shared" si="188"/>
        <v>1</v>
      </c>
      <c r="M2386" s="1" t="b">
        <f>IF(OR(入力シート!$C$5&lt;&gt;入力リスト!$N$4,入力シート!$J$22&lt;&gt;入力リスト!$K$4),TRUE,IF($F$2=入力リスト!$Q$4,IF(F2386-INT(F2386)&lt;0.6,TRUE,FALSE),TRUE))</f>
        <v>1</v>
      </c>
      <c r="N2386" s="9" t="str">
        <f>IF(F2386="","",IF($F$2=入力リスト!$Q$4,ROUNDDOWN(INT(F2386)+ROUNDDOWN((F2386-INT(F2386))*100,0)/60,2),従業員の給与情報!F2386))</f>
        <v/>
      </c>
      <c r="O2386" s="8"/>
      <c r="P2386" s="8"/>
    </row>
    <row r="2387" spans="1:16">
      <c r="A2387" s="336"/>
      <c r="B2387" s="337"/>
      <c r="C2387" s="337"/>
      <c r="D2387" s="3"/>
      <c r="E2387" s="337"/>
      <c r="F2387" s="338"/>
      <c r="G2387" s="248" t="str">
        <f t="shared" si="189"/>
        <v/>
      </c>
      <c r="H2387" s="1" t="b">
        <f>IF(B2387="",FALSE,COUNTIF('従業員情報(給与以外)'!$A$4:$A$1000000,$B2387)=0)</f>
        <v>0</v>
      </c>
      <c r="I2387" s="9" t="b">
        <f t="shared" si="185"/>
        <v>1</v>
      </c>
      <c r="J2387" s="9" t="b">
        <f t="shared" si="186"/>
        <v>1</v>
      </c>
      <c r="K2387" s="9" t="b">
        <f t="shared" si="187"/>
        <v>1</v>
      </c>
      <c r="L2387" s="9" t="b">
        <f t="shared" si="188"/>
        <v>1</v>
      </c>
      <c r="M2387" s="1" t="b">
        <f>IF(OR(入力シート!$C$5&lt;&gt;入力リスト!$N$4,入力シート!$J$22&lt;&gt;入力リスト!$K$4),TRUE,IF($F$2=入力リスト!$Q$4,IF(F2387-INT(F2387)&lt;0.6,TRUE,FALSE),TRUE))</f>
        <v>1</v>
      </c>
      <c r="N2387" s="9" t="str">
        <f>IF(F2387="","",IF($F$2=入力リスト!$Q$4,ROUNDDOWN(INT(F2387)+ROUNDDOWN((F2387-INT(F2387))*100,0)/60,2),従業員の給与情報!F2387))</f>
        <v/>
      </c>
      <c r="O2387" s="8"/>
      <c r="P2387" s="8"/>
    </row>
    <row r="2388" spans="1:16">
      <c r="A2388" s="336"/>
      <c r="B2388" s="337"/>
      <c r="C2388" s="337"/>
      <c r="D2388" s="3"/>
      <c r="E2388" s="337"/>
      <c r="F2388" s="338"/>
      <c r="G2388" s="248" t="str">
        <f t="shared" si="189"/>
        <v/>
      </c>
      <c r="H2388" s="1" t="b">
        <f>IF(B2388="",FALSE,COUNTIF('従業員情報(給与以外)'!$A$4:$A$1000000,$B2388)=0)</f>
        <v>0</v>
      </c>
      <c r="I2388" s="9" t="b">
        <f t="shared" si="185"/>
        <v>1</v>
      </c>
      <c r="J2388" s="9" t="b">
        <f t="shared" si="186"/>
        <v>1</v>
      </c>
      <c r="K2388" s="9" t="b">
        <f t="shared" si="187"/>
        <v>1</v>
      </c>
      <c r="L2388" s="9" t="b">
        <f t="shared" si="188"/>
        <v>1</v>
      </c>
      <c r="M2388" s="1" t="b">
        <f>IF(OR(入力シート!$C$5&lt;&gt;入力リスト!$N$4,入力シート!$J$22&lt;&gt;入力リスト!$K$4),TRUE,IF($F$2=入力リスト!$Q$4,IF(F2388-INT(F2388)&lt;0.6,TRUE,FALSE),TRUE))</f>
        <v>1</v>
      </c>
      <c r="N2388" s="9" t="str">
        <f>IF(F2388="","",IF($F$2=入力リスト!$Q$4,ROUNDDOWN(INT(F2388)+ROUNDDOWN((F2388-INT(F2388))*100,0)/60,2),従業員の給与情報!F2388))</f>
        <v/>
      </c>
      <c r="O2388" s="8"/>
      <c r="P2388" s="8"/>
    </row>
    <row r="2389" spans="1:16">
      <c r="A2389" s="336"/>
      <c r="B2389" s="337"/>
      <c r="C2389" s="337"/>
      <c r="D2389" s="3"/>
      <c r="E2389" s="337"/>
      <c r="F2389" s="338"/>
      <c r="G2389" s="248" t="str">
        <f t="shared" si="189"/>
        <v/>
      </c>
      <c r="H2389" s="1" t="b">
        <f>IF(B2389="",FALSE,COUNTIF('従業員情報(給与以外)'!$A$4:$A$1000000,$B2389)=0)</f>
        <v>0</v>
      </c>
      <c r="I2389" s="9" t="b">
        <f t="shared" si="185"/>
        <v>1</v>
      </c>
      <c r="J2389" s="9" t="b">
        <f t="shared" si="186"/>
        <v>1</v>
      </c>
      <c r="K2389" s="9" t="b">
        <f t="shared" si="187"/>
        <v>1</v>
      </c>
      <c r="L2389" s="9" t="b">
        <f t="shared" si="188"/>
        <v>1</v>
      </c>
      <c r="M2389" s="1" t="b">
        <f>IF(OR(入力シート!$C$5&lt;&gt;入力リスト!$N$4,入力シート!$J$22&lt;&gt;入力リスト!$K$4),TRUE,IF($F$2=入力リスト!$Q$4,IF(F2389-INT(F2389)&lt;0.6,TRUE,FALSE),TRUE))</f>
        <v>1</v>
      </c>
      <c r="N2389" s="9" t="str">
        <f>IF(F2389="","",IF($F$2=入力リスト!$Q$4,ROUNDDOWN(INT(F2389)+ROUNDDOWN((F2389-INT(F2389))*100,0)/60,2),従業員の給与情報!F2389))</f>
        <v/>
      </c>
      <c r="O2389" s="8"/>
      <c r="P2389" s="8"/>
    </row>
    <row r="2390" spans="1:16">
      <c r="A2390" s="336"/>
      <c r="B2390" s="337"/>
      <c r="C2390" s="337"/>
      <c r="D2390" s="3"/>
      <c r="E2390" s="337"/>
      <c r="F2390" s="338"/>
      <c r="G2390" s="248" t="str">
        <f t="shared" si="189"/>
        <v/>
      </c>
      <c r="H2390" s="1" t="b">
        <f>IF(B2390="",FALSE,COUNTIF('従業員情報(給与以外)'!$A$4:$A$1000000,$B2390)=0)</f>
        <v>0</v>
      </c>
      <c r="I2390" s="9" t="b">
        <f t="shared" si="185"/>
        <v>1</v>
      </c>
      <c r="J2390" s="9" t="b">
        <f t="shared" si="186"/>
        <v>1</v>
      </c>
      <c r="K2390" s="9" t="b">
        <f t="shared" si="187"/>
        <v>1</v>
      </c>
      <c r="L2390" s="9" t="b">
        <f t="shared" si="188"/>
        <v>1</v>
      </c>
      <c r="M2390" s="1" t="b">
        <f>IF(OR(入力シート!$C$5&lt;&gt;入力リスト!$N$4,入力シート!$J$22&lt;&gt;入力リスト!$K$4),TRUE,IF($F$2=入力リスト!$Q$4,IF(F2390-INT(F2390)&lt;0.6,TRUE,FALSE),TRUE))</f>
        <v>1</v>
      </c>
      <c r="N2390" s="9" t="str">
        <f>IF(F2390="","",IF($F$2=入力リスト!$Q$4,ROUNDDOWN(INT(F2390)+ROUNDDOWN((F2390-INT(F2390))*100,0)/60,2),従業員の給与情報!F2390))</f>
        <v/>
      </c>
      <c r="O2390" s="8"/>
      <c r="P2390" s="8"/>
    </row>
    <row r="2391" spans="1:16">
      <c r="A2391" s="336"/>
      <c r="B2391" s="337"/>
      <c r="C2391" s="337"/>
      <c r="D2391" s="3"/>
      <c r="E2391" s="337"/>
      <c r="F2391" s="338"/>
      <c r="G2391" s="248" t="str">
        <f t="shared" si="189"/>
        <v/>
      </c>
      <c r="H2391" s="1" t="b">
        <f>IF(B2391="",FALSE,COUNTIF('従業員情報(給与以外)'!$A$4:$A$1000000,$B2391)=0)</f>
        <v>0</v>
      </c>
      <c r="I2391" s="9" t="b">
        <f t="shared" si="185"/>
        <v>1</v>
      </c>
      <c r="J2391" s="9" t="b">
        <f t="shared" si="186"/>
        <v>1</v>
      </c>
      <c r="K2391" s="9" t="b">
        <f t="shared" si="187"/>
        <v>1</v>
      </c>
      <c r="L2391" s="9" t="b">
        <f t="shared" si="188"/>
        <v>1</v>
      </c>
      <c r="M2391" s="1" t="b">
        <f>IF(OR(入力シート!$C$5&lt;&gt;入力リスト!$N$4,入力シート!$J$22&lt;&gt;入力リスト!$K$4),TRUE,IF($F$2=入力リスト!$Q$4,IF(F2391-INT(F2391)&lt;0.6,TRUE,FALSE),TRUE))</f>
        <v>1</v>
      </c>
      <c r="N2391" s="9" t="str">
        <f>IF(F2391="","",IF($F$2=入力リスト!$Q$4,ROUNDDOWN(INT(F2391)+ROUNDDOWN((F2391-INT(F2391))*100,0)/60,2),従業員の給与情報!F2391))</f>
        <v/>
      </c>
      <c r="O2391" s="8"/>
      <c r="P2391" s="8"/>
    </row>
    <row r="2392" spans="1:16">
      <c r="A2392" s="336"/>
      <c r="B2392" s="337"/>
      <c r="C2392" s="337"/>
      <c r="D2392" s="3"/>
      <c r="E2392" s="337"/>
      <c r="F2392" s="338"/>
      <c r="G2392" s="248" t="str">
        <f t="shared" si="189"/>
        <v/>
      </c>
      <c r="H2392" s="1" t="b">
        <f>IF(B2392="",FALSE,COUNTIF('従業員情報(給与以外)'!$A$4:$A$1000000,$B2392)=0)</f>
        <v>0</v>
      </c>
      <c r="I2392" s="9" t="b">
        <f t="shared" si="185"/>
        <v>1</v>
      </c>
      <c r="J2392" s="9" t="b">
        <f t="shared" si="186"/>
        <v>1</v>
      </c>
      <c r="K2392" s="9" t="b">
        <f t="shared" si="187"/>
        <v>1</v>
      </c>
      <c r="L2392" s="9" t="b">
        <f t="shared" si="188"/>
        <v>1</v>
      </c>
      <c r="M2392" s="1" t="b">
        <f>IF(OR(入力シート!$C$5&lt;&gt;入力リスト!$N$4,入力シート!$J$22&lt;&gt;入力リスト!$K$4),TRUE,IF($F$2=入力リスト!$Q$4,IF(F2392-INT(F2392)&lt;0.6,TRUE,FALSE),TRUE))</f>
        <v>1</v>
      </c>
      <c r="N2392" s="9" t="str">
        <f>IF(F2392="","",IF($F$2=入力リスト!$Q$4,ROUNDDOWN(INT(F2392)+ROUNDDOWN((F2392-INT(F2392))*100,0)/60,2),従業員の給与情報!F2392))</f>
        <v/>
      </c>
      <c r="O2392" s="8"/>
      <c r="P2392" s="8"/>
    </row>
    <row r="2393" spans="1:16">
      <c r="A2393" s="336"/>
      <c r="B2393" s="337"/>
      <c r="C2393" s="337"/>
      <c r="D2393" s="3"/>
      <c r="E2393" s="337"/>
      <c r="F2393" s="338"/>
      <c r="G2393" s="248" t="str">
        <f t="shared" si="189"/>
        <v/>
      </c>
      <c r="H2393" s="1" t="b">
        <f>IF(B2393="",FALSE,COUNTIF('従業員情報(給与以外)'!$A$4:$A$1000000,$B2393)=0)</f>
        <v>0</v>
      </c>
      <c r="I2393" s="9" t="b">
        <f t="shared" si="185"/>
        <v>1</v>
      </c>
      <c r="J2393" s="9" t="b">
        <f t="shared" si="186"/>
        <v>1</v>
      </c>
      <c r="K2393" s="9" t="b">
        <f t="shared" si="187"/>
        <v>1</v>
      </c>
      <c r="L2393" s="9" t="b">
        <f t="shared" si="188"/>
        <v>1</v>
      </c>
      <c r="M2393" s="1" t="b">
        <f>IF(OR(入力シート!$C$5&lt;&gt;入力リスト!$N$4,入力シート!$J$22&lt;&gt;入力リスト!$K$4),TRUE,IF($F$2=入力リスト!$Q$4,IF(F2393-INT(F2393)&lt;0.6,TRUE,FALSE),TRUE))</f>
        <v>1</v>
      </c>
      <c r="N2393" s="9" t="str">
        <f>IF(F2393="","",IF($F$2=入力リスト!$Q$4,ROUNDDOWN(INT(F2393)+ROUNDDOWN((F2393-INT(F2393))*100,0)/60,2),従業員の給与情報!F2393))</f>
        <v/>
      </c>
      <c r="O2393" s="8"/>
      <c r="P2393" s="8"/>
    </row>
    <row r="2394" spans="1:16">
      <c r="A2394" s="336"/>
      <c r="B2394" s="337"/>
      <c r="C2394" s="337"/>
      <c r="D2394" s="3"/>
      <c r="E2394" s="337"/>
      <c r="F2394" s="338"/>
      <c r="G2394" s="248" t="str">
        <f t="shared" si="189"/>
        <v/>
      </c>
      <c r="H2394" s="1" t="b">
        <f>IF(B2394="",FALSE,COUNTIF('従業員情報(給与以外)'!$A$4:$A$1000000,$B2394)=0)</f>
        <v>0</v>
      </c>
      <c r="I2394" s="9" t="b">
        <f t="shared" si="185"/>
        <v>1</v>
      </c>
      <c r="J2394" s="9" t="b">
        <f t="shared" si="186"/>
        <v>1</v>
      </c>
      <c r="K2394" s="9" t="b">
        <f t="shared" si="187"/>
        <v>1</v>
      </c>
      <c r="L2394" s="9" t="b">
        <f t="shared" si="188"/>
        <v>1</v>
      </c>
      <c r="M2394" s="1" t="b">
        <f>IF(OR(入力シート!$C$5&lt;&gt;入力リスト!$N$4,入力シート!$J$22&lt;&gt;入力リスト!$K$4),TRUE,IF($F$2=入力リスト!$Q$4,IF(F2394-INT(F2394)&lt;0.6,TRUE,FALSE),TRUE))</f>
        <v>1</v>
      </c>
      <c r="N2394" s="9" t="str">
        <f>IF(F2394="","",IF($F$2=入力リスト!$Q$4,ROUNDDOWN(INT(F2394)+ROUNDDOWN((F2394-INT(F2394))*100,0)/60,2),従業員の給与情報!F2394))</f>
        <v/>
      </c>
      <c r="O2394" s="8"/>
      <c r="P2394" s="8"/>
    </row>
    <row r="2395" spans="1:16">
      <c r="A2395" s="336"/>
      <c r="B2395" s="337"/>
      <c r="C2395" s="337"/>
      <c r="D2395" s="3"/>
      <c r="E2395" s="337"/>
      <c r="F2395" s="338"/>
      <c r="G2395" s="248" t="str">
        <f t="shared" si="189"/>
        <v/>
      </c>
      <c r="H2395" s="1" t="b">
        <f>IF(B2395="",FALSE,COUNTIF('従業員情報(給与以外)'!$A$4:$A$1000000,$B2395)=0)</f>
        <v>0</v>
      </c>
      <c r="I2395" s="9" t="b">
        <f t="shared" si="185"/>
        <v>1</v>
      </c>
      <c r="J2395" s="9" t="b">
        <f t="shared" si="186"/>
        <v>1</v>
      </c>
      <c r="K2395" s="9" t="b">
        <f t="shared" si="187"/>
        <v>1</v>
      </c>
      <c r="L2395" s="9" t="b">
        <f t="shared" si="188"/>
        <v>1</v>
      </c>
      <c r="M2395" s="1" t="b">
        <f>IF(OR(入力シート!$C$5&lt;&gt;入力リスト!$N$4,入力シート!$J$22&lt;&gt;入力リスト!$K$4),TRUE,IF($F$2=入力リスト!$Q$4,IF(F2395-INT(F2395)&lt;0.6,TRUE,FALSE),TRUE))</f>
        <v>1</v>
      </c>
      <c r="N2395" s="9" t="str">
        <f>IF(F2395="","",IF($F$2=入力リスト!$Q$4,ROUNDDOWN(INT(F2395)+ROUNDDOWN((F2395-INT(F2395))*100,0)/60,2),従業員の給与情報!F2395))</f>
        <v/>
      </c>
      <c r="O2395" s="8"/>
      <c r="P2395" s="8"/>
    </row>
    <row r="2396" spans="1:16">
      <c r="A2396" s="336"/>
      <c r="B2396" s="337"/>
      <c r="C2396" s="337"/>
      <c r="D2396" s="3"/>
      <c r="E2396" s="337"/>
      <c r="F2396" s="338"/>
      <c r="G2396" s="248" t="str">
        <f t="shared" si="189"/>
        <v/>
      </c>
      <c r="H2396" s="1" t="b">
        <f>IF(B2396="",FALSE,COUNTIF('従業員情報(給与以外)'!$A$4:$A$1000000,$B2396)=0)</f>
        <v>0</v>
      </c>
      <c r="I2396" s="9" t="b">
        <f t="shared" si="185"/>
        <v>1</v>
      </c>
      <c r="J2396" s="9" t="b">
        <f t="shared" si="186"/>
        <v>1</v>
      </c>
      <c r="K2396" s="9" t="b">
        <f t="shared" si="187"/>
        <v>1</v>
      </c>
      <c r="L2396" s="9" t="b">
        <f t="shared" si="188"/>
        <v>1</v>
      </c>
      <c r="M2396" s="1" t="b">
        <f>IF(OR(入力シート!$C$5&lt;&gt;入力リスト!$N$4,入力シート!$J$22&lt;&gt;入力リスト!$K$4),TRUE,IF($F$2=入力リスト!$Q$4,IF(F2396-INT(F2396)&lt;0.6,TRUE,FALSE),TRUE))</f>
        <v>1</v>
      </c>
      <c r="N2396" s="9" t="str">
        <f>IF(F2396="","",IF($F$2=入力リスト!$Q$4,ROUNDDOWN(INT(F2396)+ROUNDDOWN((F2396-INT(F2396))*100,0)/60,2),従業員の給与情報!F2396))</f>
        <v/>
      </c>
      <c r="O2396" s="8"/>
      <c r="P2396" s="8"/>
    </row>
    <row r="2397" spans="1:16">
      <c r="A2397" s="336"/>
      <c r="B2397" s="337"/>
      <c r="C2397" s="337"/>
      <c r="D2397" s="3"/>
      <c r="E2397" s="337"/>
      <c r="F2397" s="338"/>
      <c r="G2397" s="248" t="str">
        <f t="shared" si="189"/>
        <v/>
      </c>
      <c r="H2397" s="1" t="b">
        <f>IF(B2397="",FALSE,COUNTIF('従業員情報(給与以外)'!$A$4:$A$1000000,$B2397)=0)</f>
        <v>0</v>
      </c>
      <c r="I2397" s="9" t="b">
        <f t="shared" si="185"/>
        <v>1</v>
      </c>
      <c r="J2397" s="9" t="b">
        <f t="shared" si="186"/>
        <v>1</v>
      </c>
      <c r="K2397" s="9" t="b">
        <f t="shared" si="187"/>
        <v>1</v>
      </c>
      <c r="L2397" s="9" t="b">
        <f t="shared" si="188"/>
        <v>1</v>
      </c>
      <c r="M2397" s="1" t="b">
        <f>IF(OR(入力シート!$C$5&lt;&gt;入力リスト!$N$4,入力シート!$J$22&lt;&gt;入力リスト!$K$4),TRUE,IF($F$2=入力リスト!$Q$4,IF(F2397-INT(F2397)&lt;0.6,TRUE,FALSE),TRUE))</f>
        <v>1</v>
      </c>
      <c r="N2397" s="9" t="str">
        <f>IF(F2397="","",IF($F$2=入力リスト!$Q$4,ROUNDDOWN(INT(F2397)+ROUNDDOWN((F2397-INT(F2397))*100,0)/60,2),従業員の給与情報!F2397))</f>
        <v/>
      </c>
      <c r="O2397" s="8"/>
      <c r="P2397" s="8"/>
    </row>
    <row r="2398" spans="1:16">
      <c r="A2398" s="336"/>
      <c r="B2398" s="337"/>
      <c r="C2398" s="337"/>
      <c r="D2398" s="3"/>
      <c r="E2398" s="337"/>
      <c r="F2398" s="338"/>
      <c r="G2398" s="248" t="str">
        <f t="shared" si="189"/>
        <v/>
      </c>
      <c r="H2398" s="1" t="b">
        <f>IF(B2398="",FALSE,COUNTIF('従業員情報(給与以外)'!$A$4:$A$1000000,$B2398)=0)</f>
        <v>0</v>
      </c>
      <c r="I2398" s="9" t="b">
        <f t="shared" si="185"/>
        <v>1</v>
      </c>
      <c r="J2398" s="9" t="b">
        <f t="shared" si="186"/>
        <v>1</v>
      </c>
      <c r="K2398" s="9" t="b">
        <f t="shared" si="187"/>
        <v>1</v>
      </c>
      <c r="L2398" s="9" t="b">
        <f t="shared" si="188"/>
        <v>1</v>
      </c>
      <c r="M2398" s="1" t="b">
        <f>IF(OR(入力シート!$C$5&lt;&gt;入力リスト!$N$4,入力シート!$J$22&lt;&gt;入力リスト!$K$4),TRUE,IF($F$2=入力リスト!$Q$4,IF(F2398-INT(F2398)&lt;0.6,TRUE,FALSE),TRUE))</f>
        <v>1</v>
      </c>
      <c r="N2398" s="9" t="str">
        <f>IF(F2398="","",IF($F$2=入力リスト!$Q$4,ROUNDDOWN(INT(F2398)+ROUNDDOWN((F2398-INT(F2398))*100,0)/60,2),従業員の給与情報!F2398))</f>
        <v/>
      </c>
      <c r="O2398" s="8"/>
      <c r="P2398" s="8"/>
    </row>
    <row r="2399" spans="1:16">
      <c r="A2399" s="336"/>
      <c r="B2399" s="337"/>
      <c r="C2399" s="337"/>
      <c r="D2399" s="3"/>
      <c r="E2399" s="337"/>
      <c r="F2399" s="338"/>
      <c r="G2399" s="248" t="str">
        <f t="shared" si="189"/>
        <v/>
      </c>
      <c r="H2399" s="1" t="b">
        <f>IF(B2399="",FALSE,COUNTIF('従業員情報(給与以外)'!$A$4:$A$1000000,$B2399)=0)</f>
        <v>0</v>
      </c>
      <c r="I2399" s="9" t="b">
        <f t="shared" si="185"/>
        <v>1</v>
      </c>
      <c r="J2399" s="9" t="b">
        <f t="shared" si="186"/>
        <v>1</v>
      </c>
      <c r="K2399" s="9" t="b">
        <f t="shared" si="187"/>
        <v>1</v>
      </c>
      <c r="L2399" s="9" t="b">
        <f t="shared" si="188"/>
        <v>1</v>
      </c>
      <c r="M2399" s="1" t="b">
        <f>IF(OR(入力シート!$C$5&lt;&gt;入力リスト!$N$4,入力シート!$J$22&lt;&gt;入力リスト!$K$4),TRUE,IF($F$2=入力リスト!$Q$4,IF(F2399-INT(F2399)&lt;0.6,TRUE,FALSE),TRUE))</f>
        <v>1</v>
      </c>
      <c r="N2399" s="9" t="str">
        <f>IF(F2399="","",IF($F$2=入力リスト!$Q$4,ROUNDDOWN(INT(F2399)+ROUNDDOWN((F2399-INT(F2399))*100,0)/60,2),従業員の給与情報!F2399))</f>
        <v/>
      </c>
      <c r="O2399" s="8"/>
      <c r="P2399" s="8"/>
    </row>
    <row r="2400" spans="1:16">
      <c r="A2400" s="336"/>
      <c r="B2400" s="337"/>
      <c r="C2400" s="337"/>
      <c r="D2400" s="3"/>
      <c r="E2400" s="337"/>
      <c r="F2400" s="338"/>
      <c r="G2400" s="248" t="str">
        <f t="shared" si="189"/>
        <v/>
      </c>
      <c r="H2400" s="1" t="b">
        <f>IF(B2400="",FALSE,COUNTIF('従業員情報(給与以外)'!$A$4:$A$1000000,$B2400)=0)</f>
        <v>0</v>
      </c>
      <c r="I2400" s="9" t="b">
        <f t="shared" si="185"/>
        <v>1</v>
      </c>
      <c r="J2400" s="9" t="b">
        <f t="shared" si="186"/>
        <v>1</v>
      </c>
      <c r="K2400" s="9" t="b">
        <f t="shared" si="187"/>
        <v>1</v>
      </c>
      <c r="L2400" s="9" t="b">
        <f t="shared" si="188"/>
        <v>1</v>
      </c>
      <c r="M2400" s="1" t="b">
        <f>IF(OR(入力シート!$C$5&lt;&gt;入力リスト!$N$4,入力シート!$J$22&lt;&gt;入力リスト!$K$4),TRUE,IF($F$2=入力リスト!$Q$4,IF(F2400-INT(F2400)&lt;0.6,TRUE,FALSE),TRUE))</f>
        <v>1</v>
      </c>
      <c r="N2400" s="9" t="str">
        <f>IF(F2400="","",IF($F$2=入力リスト!$Q$4,ROUNDDOWN(INT(F2400)+ROUNDDOWN((F2400-INT(F2400))*100,0)/60,2),従業員の給与情報!F2400))</f>
        <v/>
      </c>
      <c r="O2400" s="8"/>
      <c r="P2400" s="8"/>
    </row>
    <row r="2401" spans="1:16">
      <c r="A2401" s="336"/>
      <c r="B2401" s="337"/>
      <c r="C2401" s="337"/>
      <c r="D2401" s="3"/>
      <c r="E2401" s="337"/>
      <c r="F2401" s="338"/>
      <c r="G2401" s="248" t="str">
        <f t="shared" si="189"/>
        <v/>
      </c>
      <c r="H2401" s="1" t="b">
        <f>IF(B2401="",FALSE,COUNTIF('従業員情報(給与以外)'!$A$4:$A$1000000,$B2401)=0)</f>
        <v>0</v>
      </c>
      <c r="I2401" s="9" t="b">
        <f t="shared" si="185"/>
        <v>1</v>
      </c>
      <c r="J2401" s="9" t="b">
        <f t="shared" si="186"/>
        <v>1</v>
      </c>
      <c r="K2401" s="9" t="b">
        <f t="shared" si="187"/>
        <v>1</v>
      </c>
      <c r="L2401" s="9" t="b">
        <f t="shared" si="188"/>
        <v>1</v>
      </c>
      <c r="M2401" s="1" t="b">
        <f>IF(OR(入力シート!$C$5&lt;&gt;入力リスト!$N$4,入力シート!$J$22&lt;&gt;入力リスト!$K$4),TRUE,IF($F$2=入力リスト!$Q$4,IF(F2401-INT(F2401)&lt;0.6,TRUE,FALSE),TRUE))</f>
        <v>1</v>
      </c>
      <c r="N2401" s="9" t="str">
        <f>IF(F2401="","",IF($F$2=入力リスト!$Q$4,ROUNDDOWN(INT(F2401)+ROUNDDOWN((F2401-INT(F2401))*100,0)/60,2),従業員の給与情報!F2401))</f>
        <v/>
      </c>
      <c r="O2401" s="8"/>
      <c r="P2401" s="8"/>
    </row>
    <row r="2402" spans="1:16">
      <c r="A2402" s="336"/>
      <c r="B2402" s="337"/>
      <c r="C2402" s="337"/>
      <c r="D2402" s="3"/>
      <c r="E2402" s="337"/>
      <c r="F2402" s="338"/>
      <c r="G2402" s="248" t="str">
        <f t="shared" si="189"/>
        <v/>
      </c>
      <c r="H2402" s="1" t="b">
        <f>IF(B2402="",FALSE,COUNTIF('従業員情報(給与以外)'!$A$4:$A$1000000,$B2402)=0)</f>
        <v>0</v>
      </c>
      <c r="I2402" s="9" t="b">
        <f t="shared" si="185"/>
        <v>1</v>
      </c>
      <c r="J2402" s="9" t="b">
        <f t="shared" si="186"/>
        <v>1</v>
      </c>
      <c r="K2402" s="9" t="b">
        <f t="shared" si="187"/>
        <v>1</v>
      </c>
      <c r="L2402" s="9" t="b">
        <f t="shared" si="188"/>
        <v>1</v>
      </c>
      <c r="M2402" s="1" t="b">
        <f>IF(OR(入力シート!$C$5&lt;&gt;入力リスト!$N$4,入力シート!$J$22&lt;&gt;入力リスト!$K$4),TRUE,IF($F$2=入力リスト!$Q$4,IF(F2402-INT(F2402)&lt;0.6,TRUE,FALSE),TRUE))</f>
        <v>1</v>
      </c>
      <c r="N2402" s="9" t="str">
        <f>IF(F2402="","",IF($F$2=入力リスト!$Q$4,ROUNDDOWN(INT(F2402)+ROUNDDOWN((F2402-INT(F2402))*100,0)/60,2),従業員の給与情報!F2402))</f>
        <v/>
      </c>
      <c r="O2402" s="8"/>
      <c r="P2402" s="8"/>
    </row>
    <row r="2403" spans="1:16">
      <c r="A2403" s="336"/>
      <c r="B2403" s="337"/>
      <c r="C2403" s="337"/>
      <c r="D2403" s="3"/>
      <c r="E2403" s="337"/>
      <c r="F2403" s="338"/>
      <c r="G2403" s="248" t="str">
        <f t="shared" si="189"/>
        <v/>
      </c>
      <c r="H2403" s="1" t="b">
        <f>IF(B2403="",FALSE,COUNTIF('従業員情報(給与以外)'!$A$4:$A$1000000,$B2403)=0)</f>
        <v>0</v>
      </c>
      <c r="I2403" s="9" t="b">
        <f t="shared" si="185"/>
        <v>1</v>
      </c>
      <c r="J2403" s="9" t="b">
        <f t="shared" si="186"/>
        <v>1</v>
      </c>
      <c r="K2403" s="9" t="b">
        <f t="shared" si="187"/>
        <v>1</v>
      </c>
      <c r="L2403" s="9" t="b">
        <f t="shared" si="188"/>
        <v>1</v>
      </c>
      <c r="M2403" s="1" t="b">
        <f>IF(OR(入力シート!$C$5&lt;&gt;入力リスト!$N$4,入力シート!$J$22&lt;&gt;入力リスト!$K$4),TRUE,IF($F$2=入力リスト!$Q$4,IF(F2403-INT(F2403)&lt;0.6,TRUE,FALSE),TRUE))</f>
        <v>1</v>
      </c>
      <c r="N2403" s="9" t="str">
        <f>IF(F2403="","",IF($F$2=入力リスト!$Q$4,ROUNDDOWN(INT(F2403)+ROUNDDOWN((F2403-INT(F2403))*100,0)/60,2),従業員の給与情報!F2403))</f>
        <v/>
      </c>
      <c r="O2403" s="8"/>
      <c r="P2403" s="8"/>
    </row>
    <row r="2404" spans="1:16">
      <c r="A2404" s="336"/>
      <c r="B2404" s="337"/>
      <c r="C2404" s="337"/>
      <c r="D2404" s="3"/>
      <c r="E2404" s="337"/>
      <c r="F2404" s="338"/>
      <c r="G2404" s="248" t="str">
        <f t="shared" si="189"/>
        <v/>
      </c>
      <c r="H2404" s="1" t="b">
        <f>IF(B2404="",FALSE,COUNTIF('従業員情報(給与以外)'!$A$4:$A$1000000,$B2404)=0)</f>
        <v>0</v>
      </c>
      <c r="I2404" s="9" t="b">
        <f t="shared" si="185"/>
        <v>1</v>
      </c>
      <c r="J2404" s="9" t="b">
        <f t="shared" si="186"/>
        <v>1</v>
      </c>
      <c r="K2404" s="9" t="b">
        <f t="shared" si="187"/>
        <v>1</v>
      </c>
      <c r="L2404" s="9" t="b">
        <f t="shared" si="188"/>
        <v>1</v>
      </c>
      <c r="M2404" s="1" t="b">
        <f>IF(OR(入力シート!$C$5&lt;&gt;入力リスト!$N$4,入力シート!$J$22&lt;&gt;入力リスト!$K$4),TRUE,IF($F$2=入力リスト!$Q$4,IF(F2404-INT(F2404)&lt;0.6,TRUE,FALSE),TRUE))</f>
        <v>1</v>
      </c>
      <c r="N2404" s="9" t="str">
        <f>IF(F2404="","",IF($F$2=入力リスト!$Q$4,ROUNDDOWN(INT(F2404)+ROUNDDOWN((F2404-INT(F2404))*100,0)/60,2),従業員の給与情報!F2404))</f>
        <v/>
      </c>
      <c r="O2404" s="8"/>
      <c r="P2404" s="8"/>
    </row>
    <row r="2405" spans="1:16">
      <c r="A2405" s="336"/>
      <c r="B2405" s="337"/>
      <c r="C2405" s="337"/>
      <c r="D2405" s="3"/>
      <c r="E2405" s="337"/>
      <c r="F2405" s="338"/>
      <c r="G2405" s="248" t="str">
        <f t="shared" si="189"/>
        <v/>
      </c>
      <c r="H2405" s="1" t="b">
        <f>IF(B2405="",FALSE,COUNTIF('従業員情報(給与以外)'!$A$4:$A$1000000,$B2405)=0)</f>
        <v>0</v>
      </c>
      <c r="I2405" s="9" t="b">
        <f t="shared" si="185"/>
        <v>1</v>
      </c>
      <c r="J2405" s="9" t="b">
        <f t="shared" si="186"/>
        <v>1</v>
      </c>
      <c r="K2405" s="9" t="b">
        <f t="shared" si="187"/>
        <v>1</v>
      </c>
      <c r="L2405" s="9" t="b">
        <f t="shared" si="188"/>
        <v>1</v>
      </c>
      <c r="M2405" s="1" t="b">
        <f>IF(OR(入力シート!$C$5&lt;&gt;入力リスト!$N$4,入力シート!$J$22&lt;&gt;入力リスト!$K$4),TRUE,IF($F$2=入力リスト!$Q$4,IF(F2405-INT(F2405)&lt;0.6,TRUE,FALSE),TRUE))</f>
        <v>1</v>
      </c>
      <c r="N2405" s="9" t="str">
        <f>IF(F2405="","",IF($F$2=入力リスト!$Q$4,ROUNDDOWN(INT(F2405)+ROUNDDOWN((F2405-INT(F2405))*100,0)/60,2),従業員の給与情報!F2405))</f>
        <v/>
      </c>
      <c r="O2405" s="8"/>
      <c r="P2405" s="8"/>
    </row>
    <row r="2406" spans="1:16">
      <c r="A2406" s="336"/>
      <c r="B2406" s="337"/>
      <c r="C2406" s="337"/>
      <c r="D2406" s="3"/>
      <c r="E2406" s="337"/>
      <c r="F2406" s="338"/>
      <c r="G2406" s="248" t="str">
        <f t="shared" si="189"/>
        <v/>
      </c>
      <c r="H2406" s="1" t="b">
        <f>IF(B2406="",FALSE,COUNTIF('従業員情報(給与以外)'!$A$4:$A$1000000,$B2406)=0)</f>
        <v>0</v>
      </c>
      <c r="I2406" s="9" t="b">
        <f t="shared" si="185"/>
        <v>1</v>
      </c>
      <c r="J2406" s="9" t="b">
        <f t="shared" si="186"/>
        <v>1</v>
      </c>
      <c r="K2406" s="9" t="b">
        <f t="shared" si="187"/>
        <v>1</v>
      </c>
      <c r="L2406" s="9" t="b">
        <f t="shared" si="188"/>
        <v>1</v>
      </c>
      <c r="M2406" s="1" t="b">
        <f>IF(OR(入力シート!$C$5&lt;&gt;入力リスト!$N$4,入力シート!$J$22&lt;&gt;入力リスト!$K$4),TRUE,IF($F$2=入力リスト!$Q$4,IF(F2406-INT(F2406)&lt;0.6,TRUE,FALSE),TRUE))</f>
        <v>1</v>
      </c>
      <c r="N2406" s="9" t="str">
        <f>IF(F2406="","",IF($F$2=入力リスト!$Q$4,ROUNDDOWN(INT(F2406)+ROUNDDOWN((F2406-INT(F2406))*100,0)/60,2),従業員の給与情報!F2406))</f>
        <v/>
      </c>
      <c r="O2406" s="8"/>
      <c r="P2406" s="8"/>
    </row>
    <row r="2407" spans="1:16">
      <c r="A2407" s="336"/>
      <c r="B2407" s="337"/>
      <c r="C2407" s="337"/>
      <c r="D2407" s="3"/>
      <c r="E2407" s="337"/>
      <c r="F2407" s="338"/>
      <c r="G2407" s="248" t="str">
        <f t="shared" si="189"/>
        <v/>
      </c>
      <c r="H2407" s="1" t="b">
        <f>IF(B2407="",FALSE,COUNTIF('従業員情報(給与以外)'!$A$4:$A$1000000,$B2407)=0)</f>
        <v>0</v>
      </c>
      <c r="I2407" s="9" t="b">
        <f t="shared" si="185"/>
        <v>1</v>
      </c>
      <c r="J2407" s="9" t="b">
        <f t="shared" si="186"/>
        <v>1</v>
      </c>
      <c r="K2407" s="9" t="b">
        <f t="shared" si="187"/>
        <v>1</v>
      </c>
      <c r="L2407" s="9" t="b">
        <f t="shared" si="188"/>
        <v>1</v>
      </c>
      <c r="M2407" s="1" t="b">
        <f>IF(OR(入力シート!$C$5&lt;&gt;入力リスト!$N$4,入力シート!$J$22&lt;&gt;入力リスト!$K$4),TRUE,IF($F$2=入力リスト!$Q$4,IF(F2407-INT(F2407)&lt;0.6,TRUE,FALSE),TRUE))</f>
        <v>1</v>
      </c>
      <c r="N2407" s="9" t="str">
        <f>IF(F2407="","",IF($F$2=入力リスト!$Q$4,ROUNDDOWN(INT(F2407)+ROUNDDOWN((F2407-INT(F2407))*100,0)/60,2),従業員の給与情報!F2407))</f>
        <v/>
      </c>
      <c r="O2407" s="8"/>
      <c r="P2407" s="8"/>
    </row>
    <row r="2408" spans="1:16">
      <c r="A2408" s="336"/>
      <c r="B2408" s="337"/>
      <c r="C2408" s="337"/>
      <c r="D2408" s="3"/>
      <c r="E2408" s="337"/>
      <c r="F2408" s="338"/>
      <c r="G2408" s="248" t="str">
        <f t="shared" si="189"/>
        <v/>
      </c>
      <c r="H2408" s="1" t="b">
        <f>IF(B2408="",FALSE,COUNTIF('従業員情報(給与以外)'!$A$4:$A$1000000,$B2408)=0)</f>
        <v>0</v>
      </c>
      <c r="I2408" s="9" t="b">
        <f t="shared" si="185"/>
        <v>1</v>
      </c>
      <c r="J2408" s="9" t="b">
        <f t="shared" si="186"/>
        <v>1</v>
      </c>
      <c r="K2408" s="9" t="b">
        <f t="shared" si="187"/>
        <v>1</v>
      </c>
      <c r="L2408" s="9" t="b">
        <f t="shared" si="188"/>
        <v>1</v>
      </c>
      <c r="M2408" s="1" t="b">
        <f>IF(OR(入力シート!$C$5&lt;&gt;入力リスト!$N$4,入力シート!$J$22&lt;&gt;入力リスト!$K$4),TRUE,IF($F$2=入力リスト!$Q$4,IF(F2408-INT(F2408)&lt;0.6,TRUE,FALSE),TRUE))</f>
        <v>1</v>
      </c>
      <c r="N2408" s="9" t="str">
        <f>IF(F2408="","",IF($F$2=入力リスト!$Q$4,ROUNDDOWN(INT(F2408)+ROUNDDOWN((F2408-INT(F2408))*100,0)/60,2),従業員の給与情報!F2408))</f>
        <v/>
      </c>
      <c r="O2408" s="8"/>
      <c r="P2408" s="8"/>
    </row>
    <row r="2409" spans="1:16">
      <c r="A2409" s="336"/>
      <c r="B2409" s="337"/>
      <c r="C2409" s="337"/>
      <c r="D2409" s="3"/>
      <c r="E2409" s="337"/>
      <c r="F2409" s="338"/>
      <c r="G2409" s="248" t="str">
        <f t="shared" si="189"/>
        <v/>
      </c>
      <c r="H2409" s="1" t="b">
        <f>IF(B2409="",FALSE,COUNTIF('従業員情報(給与以外)'!$A$4:$A$1000000,$B2409)=0)</f>
        <v>0</v>
      </c>
      <c r="I2409" s="9" t="b">
        <f t="shared" si="185"/>
        <v>1</v>
      </c>
      <c r="J2409" s="9" t="b">
        <f t="shared" si="186"/>
        <v>1</v>
      </c>
      <c r="K2409" s="9" t="b">
        <f t="shared" si="187"/>
        <v>1</v>
      </c>
      <c r="L2409" s="9" t="b">
        <f t="shared" si="188"/>
        <v>1</v>
      </c>
      <c r="M2409" s="1" t="b">
        <f>IF(OR(入力シート!$C$5&lt;&gt;入力リスト!$N$4,入力シート!$J$22&lt;&gt;入力リスト!$K$4),TRUE,IF($F$2=入力リスト!$Q$4,IF(F2409-INT(F2409)&lt;0.6,TRUE,FALSE),TRUE))</f>
        <v>1</v>
      </c>
      <c r="N2409" s="9" t="str">
        <f>IF(F2409="","",IF($F$2=入力リスト!$Q$4,ROUNDDOWN(INT(F2409)+ROUNDDOWN((F2409-INT(F2409))*100,0)/60,2),従業員の給与情報!F2409))</f>
        <v/>
      </c>
      <c r="O2409" s="8"/>
      <c r="P2409" s="8"/>
    </row>
    <row r="2410" spans="1:16">
      <c r="A2410" s="336"/>
      <c r="B2410" s="337"/>
      <c r="C2410" s="337"/>
      <c r="D2410" s="3"/>
      <c r="E2410" s="337"/>
      <c r="F2410" s="338"/>
      <c r="G2410" s="248" t="str">
        <f t="shared" si="189"/>
        <v/>
      </c>
      <c r="H2410" s="1" t="b">
        <f>IF(B2410="",FALSE,COUNTIF('従業員情報(給与以外)'!$A$4:$A$1000000,$B2410)=0)</f>
        <v>0</v>
      </c>
      <c r="I2410" s="9" t="b">
        <f t="shared" si="185"/>
        <v>1</v>
      </c>
      <c r="J2410" s="9" t="b">
        <f t="shared" si="186"/>
        <v>1</v>
      </c>
      <c r="K2410" s="9" t="b">
        <f t="shared" si="187"/>
        <v>1</v>
      </c>
      <c r="L2410" s="9" t="b">
        <f t="shared" si="188"/>
        <v>1</v>
      </c>
      <c r="M2410" s="1" t="b">
        <f>IF(OR(入力シート!$C$5&lt;&gt;入力リスト!$N$4,入力シート!$J$22&lt;&gt;入力リスト!$K$4),TRUE,IF($F$2=入力リスト!$Q$4,IF(F2410-INT(F2410)&lt;0.6,TRUE,FALSE),TRUE))</f>
        <v>1</v>
      </c>
      <c r="N2410" s="9" t="str">
        <f>IF(F2410="","",IF($F$2=入力リスト!$Q$4,ROUNDDOWN(INT(F2410)+ROUNDDOWN((F2410-INT(F2410))*100,0)/60,2),従業員の給与情報!F2410))</f>
        <v/>
      </c>
      <c r="O2410" s="8"/>
      <c r="P2410" s="8"/>
    </row>
    <row r="2411" spans="1:16">
      <c r="A2411" s="336"/>
      <c r="B2411" s="337"/>
      <c r="C2411" s="337"/>
      <c r="D2411" s="3"/>
      <c r="E2411" s="337"/>
      <c r="F2411" s="338"/>
      <c r="G2411" s="248" t="str">
        <f t="shared" si="189"/>
        <v/>
      </c>
      <c r="H2411" s="1" t="b">
        <f>IF(B2411="",FALSE,COUNTIF('従業員情報(給与以外)'!$A$4:$A$1000000,$B2411)=0)</f>
        <v>0</v>
      </c>
      <c r="I2411" s="9" t="b">
        <f t="shared" si="185"/>
        <v>1</v>
      </c>
      <c r="J2411" s="9" t="b">
        <f t="shared" si="186"/>
        <v>1</v>
      </c>
      <c r="K2411" s="9" t="b">
        <f t="shared" si="187"/>
        <v>1</v>
      </c>
      <c r="L2411" s="9" t="b">
        <f t="shared" si="188"/>
        <v>1</v>
      </c>
      <c r="M2411" s="1" t="b">
        <f>IF(OR(入力シート!$C$5&lt;&gt;入力リスト!$N$4,入力シート!$J$22&lt;&gt;入力リスト!$K$4),TRUE,IF($F$2=入力リスト!$Q$4,IF(F2411-INT(F2411)&lt;0.6,TRUE,FALSE),TRUE))</f>
        <v>1</v>
      </c>
      <c r="N2411" s="9" t="str">
        <f>IF(F2411="","",IF($F$2=入力リスト!$Q$4,ROUNDDOWN(INT(F2411)+ROUNDDOWN((F2411-INT(F2411))*100,0)/60,2),従業員の給与情報!F2411))</f>
        <v/>
      </c>
      <c r="O2411" s="8"/>
      <c r="P2411" s="8"/>
    </row>
    <row r="2412" spans="1:16">
      <c r="A2412" s="336"/>
      <c r="B2412" s="337"/>
      <c r="C2412" s="337"/>
      <c r="D2412" s="3"/>
      <c r="E2412" s="337"/>
      <c r="F2412" s="338"/>
      <c r="G2412" s="248" t="str">
        <f t="shared" si="189"/>
        <v/>
      </c>
      <c r="H2412" s="1" t="b">
        <f>IF(B2412="",FALSE,COUNTIF('従業員情報(給与以外)'!$A$4:$A$1000000,$B2412)=0)</f>
        <v>0</v>
      </c>
      <c r="I2412" s="9" t="b">
        <f t="shared" si="185"/>
        <v>1</v>
      </c>
      <c r="J2412" s="9" t="b">
        <f t="shared" si="186"/>
        <v>1</v>
      </c>
      <c r="K2412" s="9" t="b">
        <f t="shared" si="187"/>
        <v>1</v>
      </c>
      <c r="L2412" s="9" t="b">
        <f t="shared" si="188"/>
        <v>1</v>
      </c>
      <c r="M2412" s="1" t="b">
        <f>IF(OR(入力シート!$C$5&lt;&gt;入力リスト!$N$4,入力シート!$J$22&lt;&gt;入力リスト!$K$4),TRUE,IF($F$2=入力リスト!$Q$4,IF(F2412-INT(F2412)&lt;0.6,TRUE,FALSE),TRUE))</f>
        <v>1</v>
      </c>
      <c r="N2412" s="9" t="str">
        <f>IF(F2412="","",IF($F$2=入力リスト!$Q$4,ROUNDDOWN(INT(F2412)+ROUNDDOWN((F2412-INT(F2412))*100,0)/60,2),従業員の給与情報!F2412))</f>
        <v/>
      </c>
      <c r="O2412" s="8"/>
      <c r="P2412" s="8"/>
    </row>
    <row r="2413" spans="1:16">
      <c r="A2413" s="336"/>
      <c r="B2413" s="337"/>
      <c r="C2413" s="337"/>
      <c r="D2413" s="3"/>
      <c r="E2413" s="337"/>
      <c r="F2413" s="338"/>
      <c r="G2413" s="248" t="str">
        <f t="shared" si="189"/>
        <v/>
      </c>
      <c r="H2413" s="1" t="b">
        <f>IF(B2413="",FALSE,COUNTIF('従業員情報(給与以外)'!$A$4:$A$1000000,$B2413)=0)</f>
        <v>0</v>
      </c>
      <c r="I2413" s="9" t="b">
        <f t="shared" si="185"/>
        <v>1</v>
      </c>
      <c r="J2413" s="9" t="b">
        <f t="shared" si="186"/>
        <v>1</v>
      </c>
      <c r="K2413" s="9" t="b">
        <f t="shared" si="187"/>
        <v>1</v>
      </c>
      <c r="L2413" s="9" t="b">
        <f t="shared" si="188"/>
        <v>1</v>
      </c>
      <c r="M2413" s="1" t="b">
        <f>IF(OR(入力シート!$C$5&lt;&gt;入力リスト!$N$4,入力シート!$J$22&lt;&gt;入力リスト!$K$4),TRUE,IF($F$2=入力リスト!$Q$4,IF(F2413-INT(F2413)&lt;0.6,TRUE,FALSE),TRUE))</f>
        <v>1</v>
      </c>
      <c r="N2413" s="9" t="str">
        <f>IF(F2413="","",IF($F$2=入力リスト!$Q$4,ROUNDDOWN(INT(F2413)+ROUNDDOWN((F2413-INT(F2413))*100,0)/60,2),従業員の給与情報!F2413))</f>
        <v/>
      </c>
      <c r="O2413" s="8"/>
      <c r="P2413" s="8"/>
    </row>
    <row r="2414" spans="1:16">
      <c r="A2414" s="336"/>
      <c r="B2414" s="337"/>
      <c r="C2414" s="337"/>
      <c r="D2414" s="3"/>
      <c r="E2414" s="337"/>
      <c r="F2414" s="338"/>
      <c r="G2414" s="248" t="str">
        <f t="shared" si="189"/>
        <v/>
      </c>
      <c r="H2414" s="1" t="b">
        <f>IF(B2414="",FALSE,COUNTIF('従業員情報(給与以外)'!$A$4:$A$1000000,$B2414)=0)</f>
        <v>0</v>
      </c>
      <c r="I2414" s="9" t="b">
        <f t="shared" si="185"/>
        <v>1</v>
      </c>
      <c r="J2414" s="9" t="b">
        <f t="shared" si="186"/>
        <v>1</v>
      </c>
      <c r="K2414" s="9" t="b">
        <f t="shared" si="187"/>
        <v>1</v>
      </c>
      <c r="L2414" s="9" t="b">
        <f t="shared" si="188"/>
        <v>1</v>
      </c>
      <c r="M2414" s="1" t="b">
        <f>IF(OR(入力シート!$C$5&lt;&gt;入力リスト!$N$4,入力シート!$J$22&lt;&gt;入力リスト!$K$4),TRUE,IF($F$2=入力リスト!$Q$4,IF(F2414-INT(F2414)&lt;0.6,TRUE,FALSE),TRUE))</f>
        <v>1</v>
      </c>
      <c r="N2414" s="9" t="str">
        <f>IF(F2414="","",IF($F$2=入力リスト!$Q$4,ROUNDDOWN(INT(F2414)+ROUNDDOWN((F2414-INT(F2414))*100,0)/60,2),従業員の給与情報!F2414))</f>
        <v/>
      </c>
      <c r="O2414" s="8"/>
      <c r="P2414" s="8"/>
    </row>
    <row r="2415" spans="1:16">
      <c r="A2415" s="336"/>
      <c r="B2415" s="337"/>
      <c r="C2415" s="337"/>
      <c r="D2415" s="3"/>
      <c r="E2415" s="337"/>
      <c r="F2415" s="338"/>
      <c r="G2415" s="248" t="str">
        <f t="shared" si="189"/>
        <v/>
      </c>
      <c r="H2415" s="1" t="b">
        <f>IF(B2415="",FALSE,COUNTIF('従業員情報(給与以外)'!$A$4:$A$1000000,$B2415)=0)</f>
        <v>0</v>
      </c>
      <c r="I2415" s="9" t="b">
        <f t="shared" si="185"/>
        <v>1</v>
      </c>
      <c r="J2415" s="9" t="b">
        <f t="shared" si="186"/>
        <v>1</v>
      </c>
      <c r="K2415" s="9" t="b">
        <f t="shared" si="187"/>
        <v>1</v>
      </c>
      <c r="L2415" s="9" t="b">
        <f t="shared" si="188"/>
        <v>1</v>
      </c>
      <c r="M2415" s="1" t="b">
        <f>IF(OR(入力シート!$C$5&lt;&gt;入力リスト!$N$4,入力シート!$J$22&lt;&gt;入力リスト!$K$4),TRUE,IF($F$2=入力リスト!$Q$4,IF(F2415-INT(F2415)&lt;0.6,TRUE,FALSE),TRUE))</f>
        <v>1</v>
      </c>
      <c r="N2415" s="9" t="str">
        <f>IF(F2415="","",IF($F$2=入力リスト!$Q$4,ROUNDDOWN(INT(F2415)+ROUNDDOWN((F2415-INT(F2415))*100,0)/60,2),従業員の給与情報!F2415))</f>
        <v/>
      </c>
      <c r="O2415" s="8"/>
      <c r="P2415" s="8"/>
    </row>
    <row r="2416" spans="1:16">
      <c r="A2416" s="336"/>
      <c r="B2416" s="337"/>
      <c r="C2416" s="337"/>
      <c r="D2416" s="3"/>
      <c r="E2416" s="337"/>
      <c r="F2416" s="338"/>
      <c r="G2416" s="248" t="str">
        <f t="shared" si="189"/>
        <v/>
      </c>
      <c r="H2416" s="1" t="b">
        <f>IF(B2416="",FALSE,COUNTIF('従業員情報(給与以外)'!$A$4:$A$1000000,$B2416)=0)</f>
        <v>0</v>
      </c>
      <c r="I2416" s="9" t="b">
        <f t="shared" si="185"/>
        <v>1</v>
      </c>
      <c r="J2416" s="9" t="b">
        <f t="shared" si="186"/>
        <v>1</v>
      </c>
      <c r="K2416" s="9" t="b">
        <f t="shared" si="187"/>
        <v>1</v>
      </c>
      <c r="L2416" s="9" t="b">
        <f t="shared" si="188"/>
        <v>1</v>
      </c>
      <c r="M2416" s="1" t="b">
        <f>IF(OR(入力シート!$C$5&lt;&gt;入力リスト!$N$4,入力シート!$J$22&lt;&gt;入力リスト!$K$4),TRUE,IF($F$2=入力リスト!$Q$4,IF(F2416-INT(F2416)&lt;0.6,TRUE,FALSE),TRUE))</f>
        <v>1</v>
      </c>
      <c r="N2416" s="9" t="str">
        <f>IF(F2416="","",IF($F$2=入力リスト!$Q$4,ROUNDDOWN(INT(F2416)+ROUNDDOWN((F2416-INT(F2416))*100,0)/60,2),従業員の給与情報!F2416))</f>
        <v/>
      </c>
      <c r="O2416" s="8"/>
      <c r="P2416" s="8"/>
    </row>
    <row r="2417" spans="1:16">
      <c r="A2417" s="336"/>
      <c r="B2417" s="337"/>
      <c r="C2417" s="337"/>
      <c r="D2417" s="3"/>
      <c r="E2417" s="337"/>
      <c r="F2417" s="338"/>
      <c r="G2417" s="248" t="str">
        <f t="shared" si="189"/>
        <v/>
      </c>
      <c r="H2417" s="1" t="b">
        <f>IF(B2417="",FALSE,COUNTIF('従業員情報(給与以外)'!$A$4:$A$1000000,$B2417)=0)</f>
        <v>0</v>
      </c>
      <c r="I2417" s="9" t="b">
        <f t="shared" si="185"/>
        <v>1</v>
      </c>
      <c r="J2417" s="9" t="b">
        <f t="shared" si="186"/>
        <v>1</v>
      </c>
      <c r="K2417" s="9" t="b">
        <f t="shared" si="187"/>
        <v>1</v>
      </c>
      <c r="L2417" s="9" t="b">
        <f t="shared" si="188"/>
        <v>1</v>
      </c>
      <c r="M2417" s="1" t="b">
        <f>IF(OR(入力シート!$C$5&lt;&gt;入力リスト!$N$4,入力シート!$J$22&lt;&gt;入力リスト!$K$4),TRUE,IF($F$2=入力リスト!$Q$4,IF(F2417-INT(F2417)&lt;0.6,TRUE,FALSE),TRUE))</f>
        <v>1</v>
      </c>
      <c r="N2417" s="9" t="str">
        <f>IF(F2417="","",IF($F$2=入力リスト!$Q$4,ROUNDDOWN(INT(F2417)+ROUNDDOWN((F2417-INT(F2417))*100,0)/60,2),従業員の給与情報!F2417))</f>
        <v/>
      </c>
      <c r="O2417" s="8"/>
      <c r="P2417" s="8"/>
    </row>
    <row r="2418" spans="1:16">
      <c r="A2418" s="336"/>
      <c r="B2418" s="337"/>
      <c r="C2418" s="337"/>
      <c r="D2418" s="3"/>
      <c r="E2418" s="337"/>
      <c r="F2418" s="338"/>
      <c r="G2418" s="248" t="str">
        <f t="shared" si="189"/>
        <v/>
      </c>
      <c r="H2418" s="1" t="b">
        <f>IF(B2418="",FALSE,COUNTIF('従業員情報(給与以外)'!$A$4:$A$1000000,$B2418)=0)</f>
        <v>0</v>
      </c>
      <c r="I2418" s="9" t="b">
        <f t="shared" ref="I2418:I2481" si="190">OR(C2418="",ISNUMBER(C2418))</f>
        <v>1</v>
      </c>
      <c r="J2418" s="9" t="b">
        <f t="shared" ref="J2418:J2481" si="191">OR(D2418="",ISNUMBER(D2418))</f>
        <v>1</v>
      </c>
      <c r="K2418" s="9" t="b">
        <f t="shared" ref="K2418:K2481" si="192">OR(E2418="",ISNUMBER(E2418))</f>
        <v>1</v>
      </c>
      <c r="L2418" s="9" t="b">
        <f t="shared" ref="L2418:L2481" si="193">OR(F2418="",ISNUMBER(F2418))</f>
        <v>1</v>
      </c>
      <c r="M2418" s="1" t="b">
        <f>IF(OR(入力シート!$C$5&lt;&gt;入力リスト!$N$4,入力シート!$J$22&lt;&gt;入力リスト!$K$4),TRUE,IF($F$2=入力リスト!$Q$4,IF(F2418-INT(F2418)&lt;0.6,TRUE,FALSE),TRUE))</f>
        <v>1</v>
      </c>
      <c r="N2418" s="9" t="str">
        <f>IF(F2418="","",IF($F$2=入力リスト!$Q$4,ROUNDDOWN(INT(F2418)+ROUNDDOWN((F2418-INT(F2418))*100,0)/60,2),従業員の給与情報!F2418))</f>
        <v/>
      </c>
      <c r="O2418" s="8"/>
      <c r="P2418" s="8"/>
    </row>
    <row r="2419" spans="1:16">
      <c r="A2419" s="336"/>
      <c r="B2419" s="337"/>
      <c r="C2419" s="337"/>
      <c r="D2419" s="3"/>
      <c r="E2419" s="337"/>
      <c r="F2419" s="338"/>
      <c r="G2419" s="248" t="str">
        <f t="shared" si="189"/>
        <v/>
      </c>
      <c r="H2419" s="1" t="b">
        <f>IF(B2419="",FALSE,COUNTIF('従業員情報(給与以外)'!$A$4:$A$1000000,$B2419)=0)</f>
        <v>0</v>
      </c>
      <c r="I2419" s="9" t="b">
        <f t="shared" si="190"/>
        <v>1</v>
      </c>
      <c r="J2419" s="9" t="b">
        <f t="shared" si="191"/>
        <v>1</v>
      </c>
      <c r="K2419" s="9" t="b">
        <f t="shared" si="192"/>
        <v>1</v>
      </c>
      <c r="L2419" s="9" t="b">
        <f t="shared" si="193"/>
        <v>1</v>
      </c>
      <c r="M2419" s="1" t="b">
        <f>IF(OR(入力シート!$C$5&lt;&gt;入力リスト!$N$4,入力シート!$J$22&lt;&gt;入力リスト!$K$4),TRUE,IF($F$2=入力リスト!$Q$4,IF(F2419-INT(F2419)&lt;0.6,TRUE,FALSE),TRUE))</f>
        <v>1</v>
      </c>
      <c r="N2419" s="9" t="str">
        <f>IF(F2419="","",IF($F$2=入力リスト!$Q$4,ROUNDDOWN(INT(F2419)+ROUNDDOWN((F2419-INT(F2419))*100,0)/60,2),従業員の給与情報!F2419))</f>
        <v/>
      </c>
      <c r="O2419" s="8"/>
      <c r="P2419" s="8"/>
    </row>
    <row r="2420" spans="1:16">
      <c r="A2420" s="336"/>
      <c r="B2420" s="337"/>
      <c r="C2420" s="337"/>
      <c r="D2420" s="3"/>
      <c r="E2420" s="337"/>
      <c r="F2420" s="338"/>
      <c r="G2420" s="248" t="str">
        <f t="shared" si="189"/>
        <v/>
      </c>
      <c r="H2420" s="1" t="b">
        <f>IF(B2420="",FALSE,COUNTIF('従業員情報(給与以外)'!$A$4:$A$1000000,$B2420)=0)</f>
        <v>0</v>
      </c>
      <c r="I2420" s="9" t="b">
        <f t="shared" si="190"/>
        <v>1</v>
      </c>
      <c r="J2420" s="9" t="b">
        <f t="shared" si="191"/>
        <v>1</v>
      </c>
      <c r="K2420" s="9" t="b">
        <f t="shared" si="192"/>
        <v>1</v>
      </c>
      <c r="L2420" s="9" t="b">
        <f t="shared" si="193"/>
        <v>1</v>
      </c>
      <c r="M2420" s="1" t="b">
        <f>IF(OR(入力シート!$C$5&lt;&gt;入力リスト!$N$4,入力シート!$J$22&lt;&gt;入力リスト!$K$4),TRUE,IF($F$2=入力リスト!$Q$4,IF(F2420-INT(F2420)&lt;0.6,TRUE,FALSE),TRUE))</f>
        <v>1</v>
      </c>
      <c r="N2420" s="9" t="str">
        <f>IF(F2420="","",IF($F$2=入力リスト!$Q$4,ROUNDDOWN(INT(F2420)+ROUNDDOWN((F2420-INT(F2420))*100,0)/60,2),従業員の給与情報!F2420))</f>
        <v/>
      </c>
      <c r="O2420" s="8"/>
      <c r="P2420" s="8"/>
    </row>
    <row r="2421" spans="1:16">
      <c r="A2421" s="336"/>
      <c r="B2421" s="337"/>
      <c r="C2421" s="337"/>
      <c r="D2421" s="3"/>
      <c r="E2421" s="337"/>
      <c r="F2421" s="338"/>
      <c r="G2421" s="248" t="str">
        <f t="shared" si="189"/>
        <v/>
      </c>
      <c r="H2421" s="1" t="b">
        <f>IF(B2421="",FALSE,COUNTIF('従業員情報(給与以外)'!$A$4:$A$1000000,$B2421)=0)</f>
        <v>0</v>
      </c>
      <c r="I2421" s="9" t="b">
        <f t="shared" si="190"/>
        <v>1</v>
      </c>
      <c r="J2421" s="9" t="b">
        <f t="shared" si="191"/>
        <v>1</v>
      </c>
      <c r="K2421" s="9" t="b">
        <f t="shared" si="192"/>
        <v>1</v>
      </c>
      <c r="L2421" s="9" t="b">
        <f t="shared" si="193"/>
        <v>1</v>
      </c>
      <c r="M2421" s="1" t="b">
        <f>IF(OR(入力シート!$C$5&lt;&gt;入力リスト!$N$4,入力シート!$J$22&lt;&gt;入力リスト!$K$4),TRUE,IF($F$2=入力リスト!$Q$4,IF(F2421-INT(F2421)&lt;0.6,TRUE,FALSE),TRUE))</f>
        <v>1</v>
      </c>
      <c r="N2421" s="9" t="str">
        <f>IF(F2421="","",IF($F$2=入力リスト!$Q$4,ROUNDDOWN(INT(F2421)+ROUNDDOWN((F2421-INT(F2421))*100,0)/60,2),従業員の給与情報!F2421))</f>
        <v/>
      </c>
      <c r="O2421" s="8"/>
      <c r="P2421" s="8"/>
    </row>
    <row r="2422" spans="1:16">
      <c r="A2422" s="336"/>
      <c r="B2422" s="337"/>
      <c r="C2422" s="337"/>
      <c r="D2422" s="3"/>
      <c r="E2422" s="337"/>
      <c r="F2422" s="338"/>
      <c r="G2422" s="248" t="str">
        <f t="shared" si="189"/>
        <v/>
      </c>
      <c r="H2422" s="1" t="b">
        <f>IF(B2422="",FALSE,COUNTIF('従業員情報(給与以外)'!$A$4:$A$1000000,$B2422)=0)</f>
        <v>0</v>
      </c>
      <c r="I2422" s="9" t="b">
        <f t="shared" si="190"/>
        <v>1</v>
      </c>
      <c r="J2422" s="9" t="b">
        <f t="shared" si="191"/>
        <v>1</v>
      </c>
      <c r="K2422" s="9" t="b">
        <f t="shared" si="192"/>
        <v>1</v>
      </c>
      <c r="L2422" s="9" t="b">
        <f t="shared" si="193"/>
        <v>1</v>
      </c>
      <c r="M2422" s="1" t="b">
        <f>IF(OR(入力シート!$C$5&lt;&gt;入力リスト!$N$4,入力シート!$J$22&lt;&gt;入力リスト!$K$4),TRUE,IF($F$2=入力リスト!$Q$4,IF(F2422-INT(F2422)&lt;0.6,TRUE,FALSE),TRUE))</f>
        <v>1</v>
      </c>
      <c r="N2422" s="9" t="str">
        <f>IF(F2422="","",IF($F$2=入力リスト!$Q$4,ROUNDDOWN(INT(F2422)+ROUNDDOWN((F2422-INT(F2422))*100,0)/60,2),従業員の給与情報!F2422))</f>
        <v/>
      </c>
      <c r="O2422" s="8"/>
      <c r="P2422" s="8"/>
    </row>
    <row r="2423" spans="1:16">
      <c r="A2423" s="336"/>
      <c r="B2423" s="337"/>
      <c r="C2423" s="337"/>
      <c r="D2423" s="3"/>
      <c r="E2423" s="337"/>
      <c r="F2423" s="338"/>
      <c r="G2423" s="248" t="str">
        <f t="shared" si="189"/>
        <v/>
      </c>
      <c r="H2423" s="1" t="b">
        <f>IF(B2423="",FALSE,COUNTIF('従業員情報(給与以外)'!$A$4:$A$1000000,$B2423)=0)</f>
        <v>0</v>
      </c>
      <c r="I2423" s="9" t="b">
        <f t="shared" si="190"/>
        <v>1</v>
      </c>
      <c r="J2423" s="9" t="b">
        <f t="shared" si="191"/>
        <v>1</v>
      </c>
      <c r="K2423" s="9" t="b">
        <f t="shared" si="192"/>
        <v>1</v>
      </c>
      <c r="L2423" s="9" t="b">
        <f t="shared" si="193"/>
        <v>1</v>
      </c>
      <c r="M2423" s="1" t="b">
        <f>IF(OR(入力シート!$C$5&lt;&gt;入力リスト!$N$4,入力シート!$J$22&lt;&gt;入力リスト!$K$4),TRUE,IF($F$2=入力リスト!$Q$4,IF(F2423-INT(F2423)&lt;0.6,TRUE,FALSE),TRUE))</f>
        <v>1</v>
      </c>
      <c r="N2423" s="9" t="str">
        <f>IF(F2423="","",IF($F$2=入力リスト!$Q$4,ROUNDDOWN(INT(F2423)+ROUNDDOWN((F2423-INT(F2423))*100,0)/60,2),従業員の給与情報!F2423))</f>
        <v/>
      </c>
      <c r="O2423" s="8"/>
      <c r="P2423" s="8"/>
    </row>
    <row r="2424" spans="1:16">
      <c r="A2424" s="336"/>
      <c r="B2424" s="337"/>
      <c r="C2424" s="337"/>
      <c r="D2424" s="3"/>
      <c r="E2424" s="337"/>
      <c r="F2424" s="338"/>
      <c r="G2424" s="248" t="str">
        <f t="shared" si="189"/>
        <v/>
      </c>
      <c r="H2424" s="1" t="b">
        <f>IF(B2424="",FALSE,COUNTIF('従業員情報(給与以外)'!$A$4:$A$1000000,$B2424)=0)</f>
        <v>0</v>
      </c>
      <c r="I2424" s="9" t="b">
        <f t="shared" si="190"/>
        <v>1</v>
      </c>
      <c r="J2424" s="9" t="b">
        <f t="shared" si="191"/>
        <v>1</v>
      </c>
      <c r="K2424" s="9" t="b">
        <f t="shared" si="192"/>
        <v>1</v>
      </c>
      <c r="L2424" s="9" t="b">
        <f t="shared" si="193"/>
        <v>1</v>
      </c>
      <c r="M2424" s="1" t="b">
        <f>IF(OR(入力シート!$C$5&lt;&gt;入力リスト!$N$4,入力シート!$J$22&lt;&gt;入力リスト!$K$4),TRUE,IF($F$2=入力リスト!$Q$4,IF(F2424-INT(F2424)&lt;0.6,TRUE,FALSE),TRUE))</f>
        <v>1</v>
      </c>
      <c r="N2424" s="9" t="str">
        <f>IF(F2424="","",IF($F$2=入力リスト!$Q$4,ROUNDDOWN(INT(F2424)+ROUNDDOWN((F2424-INT(F2424))*100,0)/60,2),従業員の給与情報!F2424))</f>
        <v/>
      </c>
      <c r="O2424" s="8"/>
      <c r="P2424" s="8"/>
    </row>
    <row r="2425" spans="1:16">
      <c r="A2425" s="336"/>
      <c r="B2425" s="337"/>
      <c r="C2425" s="337"/>
      <c r="D2425" s="3"/>
      <c r="E2425" s="337"/>
      <c r="F2425" s="338"/>
      <c r="G2425" s="248" t="str">
        <f t="shared" si="189"/>
        <v/>
      </c>
      <c r="H2425" s="1" t="b">
        <f>IF(B2425="",FALSE,COUNTIF('従業員情報(給与以外)'!$A$4:$A$1000000,$B2425)=0)</f>
        <v>0</v>
      </c>
      <c r="I2425" s="9" t="b">
        <f t="shared" si="190"/>
        <v>1</v>
      </c>
      <c r="J2425" s="9" t="b">
        <f t="shared" si="191"/>
        <v>1</v>
      </c>
      <c r="K2425" s="9" t="b">
        <f t="shared" si="192"/>
        <v>1</v>
      </c>
      <c r="L2425" s="9" t="b">
        <f t="shared" si="193"/>
        <v>1</v>
      </c>
      <c r="M2425" s="1" t="b">
        <f>IF(OR(入力シート!$C$5&lt;&gt;入力リスト!$N$4,入力シート!$J$22&lt;&gt;入力リスト!$K$4),TRUE,IF($F$2=入力リスト!$Q$4,IF(F2425-INT(F2425)&lt;0.6,TRUE,FALSE),TRUE))</f>
        <v>1</v>
      </c>
      <c r="N2425" s="9" t="str">
        <f>IF(F2425="","",IF($F$2=入力リスト!$Q$4,ROUNDDOWN(INT(F2425)+ROUNDDOWN((F2425-INT(F2425))*100,0)/60,2),従業員の給与情報!F2425))</f>
        <v/>
      </c>
      <c r="O2425" s="8"/>
      <c r="P2425" s="8"/>
    </row>
    <row r="2426" spans="1:16">
      <c r="A2426" s="336"/>
      <c r="B2426" s="337"/>
      <c r="C2426" s="337"/>
      <c r="D2426" s="3"/>
      <c r="E2426" s="337"/>
      <c r="F2426" s="338"/>
      <c r="G2426" s="248" t="str">
        <f t="shared" si="189"/>
        <v/>
      </c>
      <c r="H2426" s="1" t="b">
        <f>IF(B2426="",FALSE,COUNTIF('従業員情報(給与以外)'!$A$4:$A$1000000,$B2426)=0)</f>
        <v>0</v>
      </c>
      <c r="I2426" s="9" t="b">
        <f t="shared" si="190"/>
        <v>1</v>
      </c>
      <c r="J2426" s="9" t="b">
        <f t="shared" si="191"/>
        <v>1</v>
      </c>
      <c r="K2426" s="9" t="b">
        <f t="shared" si="192"/>
        <v>1</v>
      </c>
      <c r="L2426" s="9" t="b">
        <f t="shared" si="193"/>
        <v>1</v>
      </c>
      <c r="M2426" s="1" t="b">
        <f>IF(OR(入力シート!$C$5&lt;&gt;入力リスト!$N$4,入力シート!$J$22&lt;&gt;入力リスト!$K$4),TRUE,IF($F$2=入力リスト!$Q$4,IF(F2426-INT(F2426)&lt;0.6,TRUE,FALSE),TRUE))</f>
        <v>1</v>
      </c>
      <c r="N2426" s="9" t="str">
        <f>IF(F2426="","",IF($F$2=入力リスト!$Q$4,ROUNDDOWN(INT(F2426)+ROUNDDOWN((F2426-INT(F2426))*100,0)/60,2),従業員の給与情報!F2426))</f>
        <v/>
      </c>
      <c r="O2426" s="8"/>
      <c r="P2426" s="8"/>
    </row>
    <row r="2427" spans="1:16">
      <c r="A2427" s="336"/>
      <c r="B2427" s="337"/>
      <c r="C2427" s="337"/>
      <c r="D2427" s="3"/>
      <c r="E2427" s="337"/>
      <c r="F2427" s="338"/>
      <c r="G2427" s="248" t="str">
        <f t="shared" si="189"/>
        <v/>
      </c>
      <c r="H2427" s="1" t="b">
        <f>IF(B2427="",FALSE,COUNTIF('従業員情報(給与以外)'!$A$4:$A$1000000,$B2427)=0)</f>
        <v>0</v>
      </c>
      <c r="I2427" s="9" t="b">
        <f t="shared" si="190"/>
        <v>1</v>
      </c>
      <c r="J2427" s="9" t="b">
        <f t="shared" si="191"/>
        <v>1</v>
      </c>
      <c r="K2427" s="9" t="b">
        <f t="shared" si="192"/>
        <v>1</v>
      </c>
      <c r="L2427" s="9" t="b">
        <f t="shared" si="193"/>
        <v>1</v>
      </c>
      <c r="M2427" s="1" t="b">
        <f>IF(OR(入力シート!$C$5&lt;&gt;入力リスト!$N$4,入力シート!$J$22&lt;&gt;入力リスト!$K$4),TRUE,IF($F$2=入力リスト!$Q$4,IF(F2427-INT(F2427)&lt;0.6,TRUE,FALSE),TRUE))</f>
        <v>1</v>
      </c>
      <c r="N2427" s="9" t="str">
        <f>IF(F2427="","",IF($F$2=入力リスト!$Q$4,ROUNDDOWN(INT(F2427)+ROUNDDOWN((F2427-INT(F2427))*100,0)/60,2),従業員の給与情報!F2427))</f>
        <v/>
      </c>
      <c r="O2427" s="8"/>
      <c r="P2427" s="8"/>
    </row>
    <row r="2428" spans="1:16">
      <c r="A2428" s="336"/>
      <c r="B2428" s="337"/>
      <c r="C2428" s="337"/>
      <c r="D2428" s="3"/>
      <c r="E2428" s="337"/>
      <c r="F2428" s="338"/>
      <c r="G2428" s="248" t="str">
        <f t="shared" si="189"/>
        <v/>
      </c>
      <c r="H2428" s="1" t="b">
        <f>IF(B2428="",FALSE,COUNTIF('従業員情報(給与以外)'!$A$4:$A$1000000,$B2428)=0)</f>
        <v>0</v>
      </c>
      <c r="I2428" s="9" t="b">
        <f t="shared" si="190"/>
        <v>1</v>
      </c>
      <c r="J2428" s="9" t="b">
        <f t="shared" si="191"/>
        <v>1</v>
      </c>
      <c r="K2428" s="9" t="b">
        <f t="shared" si="192"/>
        <v>1</v>
      </c>
      <c r="L2428" s="9" t="b">
        <f t="shared" si="193"/>
        <v>1</v>
      </c>
      <c r="M2428" s="1" t="b">
        <f>IF(OR(入力シート!$C$5&lt;&gt;入力リスト!$N$4,入力シート!$J$22&lt;&gt;入力リスト!$K$4),TRUE,IF($F$2=入力リスト!$Q$4,IF(F2428-INT(F2428)&lt;0.6,TRUE,FALSE),TRUE))</f>
        <v>1</v>
      </c>
      <c r="N2428" s="9" t="str">
        <f>IF(F2428="","",IF($F$2=入力リスト!$Q$4,ROUNDDOWN(INT(F2428)+ROUNDDOWN((F2428-INT(F2428))*100,0)/60,2),従業員の給与情報!F2428))</f>
        <v/>
      </c>
      <c r="O2428" s="8"/>
      <c r="P2428" s="8"/>
    </row>
    <row r="2429" spans="1:16">
      <c r="A2429" s="336"/>
      <c r="B2429" s="337"/>
      <c r="C2429" s="337"/>
      <c r="D2429" s="3"/>
      <c r="E2429" s="337"/>
      <c r="F2429" s="338"/>
      <c r="G2429" s="248" t="str">
        <f t="shared" si="189"/>
        <v/>
      </c>
      <c r="H2429" s="1" t="b">
        <f>IF(B2429="",FALSE,COUNTIF('従業員情報(給与以外)'!$A$4:$A$1000000,$B2429)=0)</f>
        <v>0</v>
      </c>
      <c r="I2429" s="9" t="b">
        <f t="shared" si="190"/>
        <v>1</v>
      </c>
      <c r="J2429" s="9" t="b">
        <f t="shared" si="191"/>
        <v>1</v>
      </c>
      <c r="K2429" s="9" t="b">
        <f t="shared" si="192"/>
        <v>1</v>
      </c>
      <c r="L2429" s="9" t="b">
        <f t="shared" si="193"/>
        <v>1</v>
      </c>
      <c r="M2429" s="1" t="b">
        <f>IF(OR(入力シート!$C$5&lt;&gt;入力リスト!$N$4,入力シート!$J$22&lt;&gt;入力リスト!$K$4),TRUE,IF($F$2=入力リスト!$Q$4,IF(F2429-INT(F2429)&lt;0.6,TRUE,FALSE),TRUE))</f>
        <v>1</v>
      </c>
      <c r="N2429" s="9" t="str">
        <f>IF(F2429="","",IF($F$2=入力リスト!$Q$4,ROUNDDOWN(INT(F2429)+ROUNDDOWN((F2429-INT(F2429))*100,0)/60,2),従業員の給与情報!F2429))</f>
        <v/>
      </c>
      <c r="O2429" s="8"/>
      <c r="P2429" s="8"/>
    </row>
    <row r="2430" spans="1:16">
      <c r="A2430" s="336"/>
      <c r="B2430" s="337"/>
      <c r="C2430" s="337"/>
      <c r="D2430" s="3"/>
      <c r="E2430" s="337"/>
      <c r="F2430" s="338"/>
      <c r="G2430" s="248" t="str">
        <f t="shared" si="189"/>
        <v/>
      </c>
      <c r="H2430" s="1" t="b">
        <f>IF(B2430="",FALSE,COUNTIF('従業員情報(給与以外)'!$A$4:$A$1000000,$B2430)=0)</f>
        <v>0</v>
      </c>
      <c r="I2430" s="9" t="b">
        <f t="shared" si="190"/>
        <v>1</v>
      </c>
      <c r="J2430" s="9" t="b">
        <f t="shared" si="191"/>
        <v>1</v>
      </c>
      <c r="K2430" s="9" t="b">
        <f t="shared" si="192"/>
        <v>1</v>
      </c>
      <c r="L2430" s="9" t="b">
        <f t="shared" si="193"/>
        <v>1</v>
      </c>
      <c r="M2430" s="1" t="b">
        <f>IF(OR(入力シート!$C$5&lt;&gt;入力リスト!$N$4,入力シート!$J$22&lt;&gt;入力リスト!$K$4),TRUE,IF($F$2=入力リスト!$Q$4,IF(F2430-INT(F2430)&lt;0.6,TRUE,FALSE),TRUE))</f>
        <v>1</v>
      </c>
      <c r="N2430" s="9" t="str">
        <f>IF(F2430="","",IF($F$2=入力リスト!$Q$4,ROUNDDOWN(INT(F2430)+ROUNDDOWN((F2430-INT(F2430))*100,0)/60,2),従業員の給与情報!F2430))</f>
        <v/>
      </c>
      <c r="O2430" s="8"/>
      <c r="P2430" s="8"/>
    </row>
    <row r="2431" spans="1:16">
      <c r="A2431" s="336"/>
      <c r="B2431" s="337"/>
      <c r="C2431" s="337"/>
      <c r="D2431" s="3"/>
      <c r="E2431" s="337"/>
      <c r="F2431" s="338"/>
      <c r="G2431" s="248" t="str">
        <f t="shared" si="189"/>
        <v/>
      </c>
      <c r="H2431" s="1" t="b">
        <f>IF(B2431="",FALSE,COUNTIF('従業員情報(給与以外)'!$A$4:$A$1000000,$B2431)=0)</f>
        <v>0</v>
      </c>
      <c r="I2431" s="9" t="b">
        <f t="shared" si="190"/>
        <v>1</v>
      </c>
      <c r="J2431" s="9" t="b">
        <f t="shared" si="191"/>
        <v>1</v>
      </c>
      <c r="K2431" s="9" t="b">
        <f t="shared" si="192"/>
        <v>1</v>
      </c>
      <c r="L2431" s="9" t="b">
        <f t="shared" si="193"/>
        <v>1</v>
      </c>
      <c r="M2431" s="1" t="b">
        <f>IF(OR(入力シート!$C$5&lt;&gt;入力リスト!$N$4,入力シート!$J$22&lt;&gt;入力リスト!$K$4),TRUE,IF($F$2=入力リスト!$Q$4,IF(F2431-INT(F2431)&lt;0.6,TRUE,FALSE),TRUE))</f>
        <v>1</v>
      </c>
      <c r="N2431" s="9" t="str">
        <f>IF(F2431="","",IF($F$2=入力リスト!$Q$4,ROUNDDOWN(INT(F2431)+ROUNDDOWN((F2431-INT(F2431))*100,0)/60,2),従業員の給与情報!F2431))</f>
        <v/>
      </c>
      <c r="O2431" s="8"/>
      <c r="P2431" s="8"/>
    </row>
    <row r="2432" spans="1:16">
      <c r="A2432" s="336"/>
      <c r="B2432" s="337"/>
      <c r="C2432" s="337"/>
      <c r="D2432" s="3"/>
      <c r="E2432" s="337"/>
      <c r="F2432" s="338"/>
      <c r="G2432" s="248" t="str">
        <f t="shared" si="189"/>
        <v/>
      </c>
      <c r="H2432" s="1" t="b">
        <f>IF(B2432="",FALSE,COUNTIF('従業員情報(給与以外)'!$A$4:$A$1000000,$B2432)=0)</f>
        <v>0</v>
      </c>
      <c r="I2432" s="9" t="b">
        <f t="shared" si="190"/>
        <v>1</v>
      </c>
      <c r="J2432" s="9" t="b">
        <f t="shared" si="191"/>
        <v>1</v>
      </c>
      <c r="K2432" s="9" t="b">
        <f t="shared" si="192"/>
        <v>1</v>
      </c>
      <c r="L2432" s="9" t="b">
        <f t="shared" si="193"/>
        <v>1</v>
      </c>
      <c r="M2432" s="1" t="b">
        <f>IF(OR(入力シート!$C$5&lt;&gt;入力リスト!$N$4,入力シート!$J$22&lt;&gt;入力リスト!$K$4),TRUE,IF($F$2=入力リスト!$Q$4,IF(F2432-INT(F2432)&lt;0.6,TRUE,FALSE),TRUE))</f>
        <v>1</v>
      </c>
      <c r="N2432" s="9" t="str">
        <f>IF(F2432="","",IF($F$2=入力リスト!$Q$4,ROUNDDOWN(INT(F2432)+ROUNDDOWN((F2432-INT(F2432))*100,0)/60,2),従業員の給与情報!F2432))</f>
        <v/>
      </c>
      <c r="O2432" s="8"/>
      <c r="P2432" s="8"/>
    </row>
    <row r="2433" spans="1:16">
      <c r="A2433" s="336"/>
      <c r="B2433" s="337"/>
      <c r="C2433" s="337"/>
      <c r="D2433" s="3"/>
      <c r="E2433" s="337"/>
      <c r="F2433" s="338"/>
      <c r="G2433" s="248" t="str">
        <f t="shared" si="189"/>
        <v/>
      </c>
      <c r="H2433" s="1" t="b">
        <f>IF(B2433="",FALSE,COUNTIF('従業員情報(給与以外)'!$A$4:$A$1000000,$B2433)=0)</f>
        <v>0</v>
      </c>
      <c r="I2433" s="9" t="b">
        <f t="shared" si="190"/>
        <v>1</v>
      </c>
      <c r="J2433" s="9" t="b">
        <f t="shared" si="191"/>
        <v>1</v>
      </c>
      <c r="K2433" s="9" t="b">
        <f t="shared" si="192"/>
        <v>1</v>
      </c>
      <c r="L2433" s="9" t="b">
        <f t="shared" si="193"/>
        <v>1</v>
      </c>
      <c r="M2433" s="1" t="b">
        <f>IF(OR(入力シート!$C$5&lt;&gt;入力リスト!$N$4,入力シート!$J$22&lt;&gt;入力リスト!$K$4),TRUE,IF($F$2=入力リスト!$Q$4,IF(F2433-INT(F2433)&lt;0.6,TRUE,FALSE),TRUE))</f>
        <v>1</v>
      </c>
      <c r="N2433" s="9" t="str">
        <f>IF(F2433="","",IF($F$2=入力リスト!$Q$4,ROUNDDOWN(INT(F2433)+ROUNDDOWN((F2433-INT(F2433))*100,0)/60,2),従業員の給与情報!F2433))</f>
        <v/>
      </c>
      <c r="O2433" s="8"/>
      <c r="P2433" s="8"/>
    </row>
    <row r="2434" spans="1:16">
      <c r="A2434" s="336"/>
      <c r="B2434" s="337"/>
      <c r="C2434" s="337"/>
      <c r="D2434" s="3"/>
      <c r="E2434" s="337"/>
      <c r="F2434" s="338"/>
      <c r="G2434" s="248" t="str">
        <f t="shared" si="189"/>
        <v/>
      </c>
      <c r="H2434" s="1" t="b">
        <f>IF(B2434="",FALSE,COUNTIF('従業員情報(給与以外)'!$A$4:$A$1000000,$B2434)=0)</f>
        <v>0</v>
      </c>
      <c r="I2434" s="9" t="b">
        <f t="shared" si="190"/>
        <v>1</v>
      </c>
      <c r="J2434" s="9" t="b">
        <f t="shared" si="191"/>
        <v>1</v>
      </c>
      <c r="K2434" s="9" t="b">
        <f t="shared" si="192"/>
        <v>1</v>
      </c>
      <c r="L2434" s="9" t="b">
        <f t="shared" si="193"/>
        <v>1</v>
      </c>
      <c r="M2434" s="1" t="b">
        <f>IF(OR(入力シート!$C$5&lt;&gt;入力リスト!$N$4,入力シート!$J$22&lt;&gt;入力リスト!$K$4),TRUE,IF($F$2=入力リスト!$Q$4,IF(F2434-INT(F2434)&lt;0.6,TRUE,FALSE),TRUE))</f>
        <v>1</v>
      </c>
      <c r="N2434" s="9" t="str">
        <f>IF(F2434="","",IF($F$2=入力リスト!$Q$4,ROUNDDOWN(INT(F2434)+ROUNDDOWN((F2434-INT(F2434))*100,0)/60,2),従業員の給与情報!F2434))</f>
        <v/>
      </c>
      <c r="O2434" s="8"/>
      <c r="P2434" s="8"/>
    </row>
    <row r="2435" spans="1:16">
      <c r="A2435" s="336"/>
      <c r="B2435" s="337"/>
      <c r="C2435" s="337"/>
      <c r="D2435" s="3"/>
      <c r="E2435" s="337"/>
      <c r="F2435" s="338"/>
      <c r="G2435" s="248" t="str">
        <f t="shared" si="189"/>
        <v/>
      </c>
      <c r="H2435" s="1" t="b">
        <f>IF(B2435="",FALSE,COUNTIF('従業員情報(給与以外)'!$A$4:$A$1000000,$B2435)=0)</f>
        <v>0</v>
      </c>
      <c r="I2435" s="9" t="b">
        <f t="shared" si="190"/>
        <v>1</v>
      </c>
      <c r="J2435" s="9" t="b">
        <f t="shared" si="191"/>
        <v>1</v>
      </c>
      <c r="K2435" s="9" t="b">
        <f t="shared" si="192"/>
        <v>1</v>
      </c>
      <c r="L2435" s="9" t="b">
        <f t="shared" si="193"/>
        <v>1</v>
      </c>
      <c r="M2435" s="1" t="b">
        <f>IF(OR(入力シート!$C$5&lt;&gt;入力リスト!$N$4,入力シート!$J$22&lt;&gt;入力リスト!$K$4),TRUE,IF($F$2=入力リスト!$Q$4,IF(F2435-INT(F2435)&lt;0.6,TRUE,FALSE),TRUE))</f>
        <v>1</v>
      </c>
      <c r="N2435" s="9" t="str">
        <f>IF(F2435="","",IF($F$2=入力リスト!$Q$4,ROUNDDOWN(INT(F2435)+ROUNDDOWN((F2435-INT(F2435))*100,0)/60,2),従業員の給与情報!F2435))</f>
        <v/>
      </c>
      <c r="O2435" s="8"/>
      <c r="P2435" s="8"/>
    </row>
    <row r="2436" spans="1:16">
      <c r="A2436" s="336"/>
      <c r="B2436" s="337"/>
      <c r="C2436" s="337"/>
      <c r="D2436" s="3"/>
      <c r="E2436" s="337"/>
      <c r="F2436" s="338"/>
      <c r="G2436" s="248" t="str">
        <f t="shared" si="189"/>
        <v/>
      </c>
      <c r="H2436" s="1" t="b">
        <f>IF(B2436="",FALSE,COUNTIF('従業員情報(給与以外)'!$A$4:$A$1000000,$B2436)=0)</f>
        <v>0</v>
      </c>
      <c r="I2436" s="9" t="b">
        <f t="shared" si="190"/>
        <v>1</v>
      </c>
      <c r="J2436" s="9" t="b">
        <f t="shared" si="191"/>
        <v>1</v>
      </c>
      <c r="K2436" s="9" t="b">
        <f t="shared" si="192"/>
        <v>1</v>
      </c>
      <c r="L2436" s="9" t="b">
        <f t="shared" si="193"/>
        <v>1</v>
      </c>
      <c r="M2436" s="1" t="b">
        <f>IF(OR(入力シート!$C$5&lt;&gt;入力リスト!$N$4,入力シート!$J$22&lt;&gt;入力リスト!$K$4),TRUE,IF($F$2=入力リスト!$Q$4,IF(F2436-INT(F2436)&lt;0.6,TRUE,FALSE),TRUE))</f>
        <v>1</v>
      </c>
      <c r="N2436" s="9" t="str">
        <f>IF(F2436="","",IF($F$2=入力リスト!$Q$4,ROUNDDOWN(INT(F2436)+ROUNDDOWN((F2436-INT(F2436))*100,0)/60,2),従業員の給与情報!F2436))</f>
        <v/>
      </c>
      <c r="O2436" s="8"/>
      <c r="P2436" s="8"/>
    </row>
    <row r="2437" spans="1:16">
      <c r="A2437" s="336"/>
      <c r="B2437" s="337"/>
      <c r="C2437" s="337"/>
      <c r="D2437" s="3"/>
      <c r="E2437" s="337"/>
      <c r="F2437" s="338"/>
      <c r="G2437" s="248" t="str">
        <f t="shared" ref="G2437:G2500" si="194">IF(AND($B2437="",OR(B2437&lt;&gt;"",C2437&lt;&gt;"",D2437&lt;&gt;"",E2437&lt;&gt;"",F2437&lt;&gt;"")),"従業員番号が空白です。",IF($H2437=TRUE,"この従業員番号は、シート［従業員情報（給与以外）］に存在しません。",IF(I2437=FALSE,"「毎月の固定給与額」","")&amp;IF(AND(I2437=FALSE,OR(J2437=FALSE,K2437=FALSE,L2437=FALSE)),",","")&amp;IF(J2437=FALSE,"「賞与額等」","")&amp;IF(AND(J2437=FALSE,OR(K2437=FALSE,L2437=FALSE)),",","")&amp;IF(K2437=FALSE,"「残業手当」","")&amp;IF(AND(K2437=FALSE,L2437=FALSE),",","")&amp;IF(L2437=FALSE,"「残業時間」","")&amp;IF(OR(I2437=FALSE,J2437=FALSE,K2437=FALSE,L2437=FALSE),"に数値以外が入力されています。","")&amp;IF(M2437,"","「残業時間」を分単位で入力した場合、小数点以下の値は0.6未満にしてください。")))</f>
        <v/>
      </c>
      <c r="H2437" s="1" t="b">
        <f>IF(B2437="",FALSE,COUNTIF('従業員情報(給与以外)'!$A$4:$A$1000000,$B2437)=0)</f>
        <v>0</v>
      </c>
      <c r="I2437" s="9" t="b">
        <f t="shared" si="190"/>
        <v>1</v>
      </c>
      <c r="J2437" s="9" t="b">
        <f t="shared" si="191"/>
        <v>1</v>
      </c>
      <c r="K2437" s="9" t="b">
        <f t="shared" si="192"/>
        <v>1</v>
      </c>
      <c r="L2437" s="9" t="b">
        <f t="shared" si="193"/>
        <v>1</v>
      </c>
      <c r="M2437" s="1" t="b">
        <f>IF(OR(入力シート!$C$5&lt;&gt;入力リスト!$N$4,入力シート!$J$22&lt;&gt;入力リスト!$K$4),TRUE,IF($F$2=入力リスト!$Q$4,IF(F2437-INT(F2437)&lt;0.6,TRUE,FALSE),TRUE))</f>
        <v>1</v>
      </c>
      <c r="N2437" s="9" t="str">
        <f>IF(F2437="","",IF($F$2=入力リスト!$Q$4,ROUNDDOWN(INT(F2437)+ROUNDDOWN((F2437-INT(F2437))*100,0)/60,2),従業員の給与情報!F2437))</f>
        <v/>
      </c>
      <c r="O2437" s="8"/>
      <c r="P2437" s="8"/>
    </row>
    <row r="2438" spans="1:16">
      <c r="A2438" s="336"/>
      <c r="B2438" s="337"/>
      <c r="C2438" s="337"/>
      <c r="D2438" s="3"/>
      <c r="E2438" s="337"/>
      <c r="F2438" s="338"/>
      <c r="G2438" s="248" t="str">
        <f t="shared" si="194"/>
        <v/>
      </c>
      <c r="H2438" s="1" t="b">
        <f>IF(B2438="",FALSE,COUNTIF('従業員情報(給与以外)'!$A$4:$A$1000000,$B2438)=0)</f>
        <v>0</v>
      </c>
      <c r="I2438" s="9" t="b">
        <f t="shared" si="190"/>
        <v>1</v>
      </c>
      <c r="J2438" s="9" t="b">
        <f t="shared" si="191"/>
        <v>1</v>
      </c>
      <c r="K2438" s="9" t="b">
        <f t="shared" si="192"/>
        <v>1</v>
      </c>
      <c r="L2438" s="9" t="b">
        <f t="shared" si="193"/>
        <v>1</v>
      </c>
      <c r="M2438" s="1" t="b">
        <f>IF(OR(入力シート!$C$5&lt;&gt;入力リスト!$N$4,入力シート!$J$22&lt;&gt;入力リスト!$K$4),TRUE,IF($F$2=入力リスト!$Q$4,IF(F2438-INT(F2438)&lt;0.6,TRUE,FALSE),TRUE))</f>
        <v>1</v>
      </c>
      <c r="N2438" s="9" t="str">
        <f>IF(F2438="","",IF($F$2=入力リスト!$Q$4,ROUNDDOWN(INT(F2438)+ROUNDDOWN((F2438-INT(F2438))*100,0)/60,2),従業員の給与情報!F2438))</f>
        <v/>
      </c>
      <c r="O2438" s="8"/>
      <c r="P2438" s="8"/>
    </row>
    <row r="2439" spans="1:16">
      <c r="A2439" s="336"/>
      <c r="B2439" s="337"/>
      <c r="C2439" s="337"/>
      <c r="D2439" s="3"/>
      <c r="E2439" s="337"/>
      <c r="F2439" s="338"/>
      <c r="G2439" s="248" t="str">
        <f t="shared" si="194"/>
        <v/>
      </c>
      <c r="H2439" s="1" t="b">
        <f>IF(B2439="",FALSE,COUNTIF('従業員情報(給与以外)'!$A$4:$A$1000000,$B2439)=0)</f>
        <v>0</v>
      </c>
      <c r="I2439" s="9" t="b">
        <f t="shared" si="190"/>
        <v>1</v>
      </c>
      <c r="J2439" s="9" t="b">
        <f t="shared" si="191"/>
        <v>1</v>
      </c>
      <c r="K2439" s="9" t="b">
        <f t="shared" si="192"/>
        <v>1</v>
      </c>
      <c r="L2439" s="9" t="b">
        <f t="shared" si="193"/>
        <v>1</v>
      </c>
      <c r="M2439" s="1" t="b">
        <f>IF(OR(入力シート!$C$5&lt;&gt;入力リスト!$N$4,入力シート!$J$22&lt;&gt;入力リスト!$K$4),TRUE,IF($F$2=入力リスト!$Q$4,IF(F2439-INT(F2439)&lt;0.6,TRUE,FALSE),TRUE))</f>
        <v>1</v>
      </c>
      <c r="N2439" s="9" t="str">
        <f>IF(F2439="","",IF($F$2=入力リスト!$Q$4,ROUNDDOWN(INT(F2439)+ROUNDDOWN((F2439-INT(F2439))*100,0)/60,2),従業員の給与情報!F2439))</f>
        <v/>
      </c>
      <c r="O2439" s="8"/>
      <c r="P2439" s="8"/>
    </row>
    <row r="2440" spans="1:16">
      <c r="A2440" s="336"/>
      <c r="B2440" s="337"/>
      <c r="C2440" s="337"/>
      <c r="D2440" s="3"/>
      <c r="E2440" s="337"/>
      <c r="F2440" s="338"/>
      <c r="G2440" s="248" t="str">
        <f t="shared" si="194"/>
        <v/>
      </c>
      <c r="H2440" s="1" t="b">
        <f>IF(B2440="",FALSE,COUNTIF('従業員情報(給与以外)'!$A$4:$A$1000000,$B2440)=0)</f>
        <v>0</v>
      </c>
      <c r="I2440" s="9" t="b">
        <f t="shared" si="190"/>
        <v>1</v>
      </c>
      <c r="J2440" s="9" t="b">
        <f t="shared" si="191"/>
        <v>1</v>
      </c>
      <c r="K2440" s="9" t="b">
        <f t="shared" si="192"/>
        <v>1</v>
      </c>
      <c r="L2440" s="9" t="b">
        <f t="shared" si="193"/>
        <v>1</v>
      </c>
      <c r="M2440" s="1" t="b">
        <f>IF(OR(入力シート!$C$5&lt;&gt;入力リスト!$N$4,入力シート!$J$22&lt;&gt;入力リスト!$K$4),TRUE,IF($F$2=入力リスト!$Q$4,IF(F2440-INT(F2440)&lt;0.6,TRUE,FALSE),TRUE))</f>
        <v>1</v>
      </c>
      <c r="N2440" s="9" t="str">
        <f>IF(F2440="","",IF($F$2=入力リスト!$Q$4,ROUNDDOWN(INT(F2440)+ROUNDDOWN((F2440-INT(F2440))*100,0)/60,2),従業員の給与情報!F2440))</f>
        <v/>
      </c>
      <c r="O2440" s="8"/>
      <c r="P2440" s="8"/>
    </row>
    <row r="2441" spans="1:16">
      <c r="A2441" s="336"/>
      <c r="B2441" s="337"/>
      <c r="C2441" s="337"/>
      <c r="D2441" s="3"/>
      <c r="E2441" s="337"/>
      <c r="F2441" s="338"/>
      <c r="G2441" s="248" t="str">
        <f t="shared" si="194"/>
        <v/>
      </c>
      <c r="H2441" s="1" t="b">
        <f>IF(B2441="",FALSE,COUNTIF('従業員情報(給与以外)'!$A$4:$A$1000000,$B2441)=0)</f>
        <v>0</v>
      </c>
      <c r="I2441" s="9" t="b">
        <f t="shared" si="190"/>
        <v>1</v>
      </c>
      <c r="J2441" s="9" t="b">
        <f t="shared" si="191"/>
        <v>1</v>
      </c>
      <c r="K2441" s="9" t="b">
        <f t="shared" si="192"/>
        <v>1</v>
      </c>
      <c r="L2441" s="9" t="b">
        <f t="shared" si="193"/>
        <v>1</v>
      </c>
      <c r="M2441" s="1" t="b">
        <f>IF(OR(入力シート!$C$5&lt;&gt;入力リスト!$N$4,入力シート!$J$22&lt;&gt;入力リスト!$K$4),TRUE,IF($F$2=入力リスト!$Q$4,IF(F2441-INT(F2441)&lt;0.6,TRUE,FALSE),TRUE))</f>
        <v>1</v>
      </c>
      <c r="N2441" s="9" t="str">
        <f>IF(F2441="","",IF($F$2=入力リスト!$Q$4,ROUNDDOWN(INT(F2441)+ROUNDDOWN((F2441-INT(F2441))*100,0)/60,2),従業員の給与情報!F2441))</f>
        <v/>
      </c>
      <c r="O2441" s="8"/>
      <c r="P2441" s="8"/>
    </row>
    <row r="2442" spans="1:16">
      <c r="A2442" s="336"/>
      <c r="B2442" s="337"/>
      <c r="C2442" s="337"/>
      <c r="D2442" s="3"/>
      <c r="E2442" s="337"/>
      <c r="F2442" s="338"/>
      <c r="G2442" s="248" t="str">
        <f t="shared" si="194"/>
        <v/>
      </c>
      <c r="H2442" s="1" t="b">
        <f>IF(B2442="",FALSE,COUNTIF('従業員情報(給与以外)'!$A$4:$A$1000000,$B2442)=0)</f>
        <v>0</v>
      </c>
      <c r="I2442" s="9" t="b">
        <f t="shared" si="190"/>
        <v>1</v>
      </c>
      <c r="J2442" s="9" t="b">
        <f t="shared" si="191"/>
        <v>1</v>
      </c>
      <c r="K2442" s="9" t="b">
        <f t="shared" si="192"/>
        <v>1</v>
      </c>
      <c r="L2442" s="9" t="b">
        <f t="shared" si="193"/>
        <v>1</v>
      </c>
      <c r="M2442" s="1" t="b">
        <f>IF(OR(入力シート!$C$5&lt;&gt;入力リスト!$N$4,入力シート!$J$22&lt;&gt;入力リスト!$K$4),TRUE,IF($F$2=入力リスト!$Q$4,IF(F2442-INT(F2442)&lt;0.6,TRUE,FALSE),TRUE))</f>
        <v>1</v>
      </c>
      <c r="N2442" s="9" t="str">
        <f>IF(F2442="","",IF($F$2=入力リスト!$Q$4,ROUNDDOWN(INT(F2442)+ROUNDDOWN((F2442-INT(F2442))*100,0)/60,2),従業員の給与情報!F2442))</f>
        <v/>
      </c>
      <c r="O2442" s="8"/>
      <c r="P2442" s="8"/>
    </row>
    <row r="2443" spans="1:16">
      <c r="A2443" s="336"/>
      <c r="B2443" s="337"/>
      <c r="C2443" s="337"/>
      <c r="D2443" s="3"/>
      <c r="E2443" s="337"/>
      <c r="F2443" s="338"/>
      <c r="G2443" s="248" t="str">
        <f t="shared" si="194"/>
        <v/>
      </c>
      <c r="H2443" s="1" t="b">
        <f>IF(B2443="",FALSE,COUNTIF('従業員情報(給与以外)'!$A$4:$A$1000000,$B2443)=0)</f>
        <v>0</v>
      </c>
      <c r="I2443" s="9" t="b">
        <f t="shared" si="190"/>
        <v>1</v>
      </c>
      <c r="J2443" s="9" t="b">
        <f t="shared" si="191"/>
        <v>1</v>
      </c>
      <c r="K2443" s="9" t="b">
        <f t="shared" si="192"/>
        <v>1</v>
      </c>
      <c r="L2443" s="9" t="b">
        <f t="shared" si="193"/>
        <v>1</v>
      </c>
      <c r="M2443" s="1" t="b">
        <f>IF(OR(入力シート!$C$5&lt;&gt;入力リスト!$N$4,入力シート!$J$22&lt;&gt;入力リスト!$K$4),TRUE,IF($F$2=入力リスト!$Q$4,IF(F2443-INT(F2443)&lt;0.6,TRUE,FALSE),TRUE))</f>
        <v>1</v>
      </c>
      <c r="N2443" s="9" t="str">
        <f>IF(F2443="","",IF($F$2=入力リスト!$Q$4,ROUNDDOWN(INT(F2443)+ROUNDDOWN((F2443-INT(F2443))*100,0)/60,2),従業員の給与情報!F2443))</f>
        <v/>
      </c>
      <c r="O2443" s="8"/>
      <c r="P2443" s="8"/>
    </row>
    <row r="2444" spans="1:16">
      <c r="A2444" s="336"/>
      <c r="B2444" s="337"/>
      <c r="C2444" s="337"/>
      <c r="D2444" s="3"/>
      <c r="E2444" s="337"/>
      <c r="F2444" s="338"/>
      <c r="G2444" s="248" t="str">
        <f t="shared" si="194"/>
        <v/>
      </c>
      <c r="H2444" s="1" t="b">
        <f>IF(B2444="",FALSE,COUNTIF('従業員情報(給与以外)'!$A$4:$A$1000000,$B2444)=0)</f>
        <v>0</v>
      </c>
      <c r="I2444" s="9" t="b">
        <f t="shared" si="190"/>
        <v>1</v>
      </c>
      <c r="J2444" s="9" t="b">
        <f t="shared" si="191"/>
        <v>1</v>
      </c>
      <c r="K2444" s="9" t="b">
        <f t="shared" si="192"/>
        <v>1</v>
      </c>
      <c r="L2444" s="9" t="b">
        <f t="shared" si="193"/>
        <v>1</v>
      </c>
      <c r="M2444" s="1" t="b">
        <f>IF(OR(入力シート!$C$5&lt;&gt;入力リスト!$N$4,入力シート!$J$22&lt;&gt;入力リスト!$K$4),TRUE,IF($F$2=入力リスト!$Q$4,IF(F2444-INT(F2444)&lt;0.6,TRUE,FALSE),TRUE))</f>
        <v>1</v>
      </c>
      <c r="N2444" s="9" t="str">
        <f>IF(F2444="","",IF($F$2=入力リスト!$Q$4,ROUNDDOWN(INT(F2444)+ROUNDDOWN((F2444-INT(F2444))*100,0)/60,2),従業員の給与情報!F2444))</f>
        <v/>
      </c>
      <c r="O2444" s="8"/>
      <c r="P2444" s="8"/>
    </row>
    <row r="2445" spans="1:16">
      <c r="A2445" s="336"/>
      <c r="B2445" s="337"/>
      <c r="C2445" s="337"/>
      <c r="D2445" s="3"/>
      <c r="E2445" s="337"/>
      <c r="F2445" s="338"/>
      <c r="G2445" s="248" t="str">
        <f t="shared" si="194"/>
        <v/>
      </c>
      <c r="H2445" s="1" t="b">
        <f>IF(B2445="",FALSE,COUNTIF('従業員情報(給与以外)'!$A$4:$A$1000000,$B2445)=0)</f>
        <v>0</v>
      </c>
      <c r="I2445" s="9" t="b">
        <f t="shared" si="190"/>
        <v>1</v>
      </c>
      <c r="J2445" s="9" t="b">
        <f t="shared" si="191"/>
        <v>1</v>
      </c>
      <c r="K2445" s="9" t="b">
        <f t="shared" si="192"/>
        <v>1</v>
      </c>
      <c r="L2445" s="9" t="b">
        <f t="shared" si="193"/>
        <v>1</v>
      </c>
      <c r="M2445" s="1" t="b">
        <f>IF(OR(入力シート!$C$5&lt;&gt;入力リスト!$N$4,入力シート!$J$22&lt;&gt;入力リスト!$K$4),TRUE,IF($F$2=入力リスト!$Q$4,IF(F2445-INT(F2445)&lt;0.6,TRUE,FALSE),TRUE))</f>
        <v>1</v>
      </c>
      <c r="N2445" s="9" t="str">
        <f>IF(F2445="","",IF($F$2=入力リスト!$Q$4,ROUNDDOWN(INT(F2445)+ROUNDDOWN((F2445-INT(F2445))*100,0)/60,2),従業員の給与情報!F2445))</f>
        <v/>
      </c>
      <c r="O2445" s="8"/>
      <c r="P2445" s="8"/>
    </row>
    <row r="2446" spans="1:16">
      <c r="A2446" s="336"/>
      <c r="B2446" s="337"/>
      <c r="C2446" s="337"/>
      <c r="D2446" s="3"/>
      <c r="E2446" s="337"/>
      <c r="F2446" s="338"/>
      <c r="G2446" s="248" t="str">
        <f t="shared" si="194"/>
        <v/>
      </c>
      <c r="H2446" s="1" t="b">
        <f>IF(B2446="",FALSE,COUNTIF('従業員情報(給与以外)'!$A$4:$A$1000000,$B2446)=0)</f>
        <v>0</v>
      </c>
      <c r="I2446" s="9" t="b">
        <f t="shared" si="190"/>
        <v>1</v>
      </c>
      <c r="J2446" s="9" t="b">
        <f t="shared" si="191"/>
        <v>1</v>
      </c>
      <c r="K2446" s="9" t="b">
        <f t="shared" si="192"/>
        <v>1</v>
      </c>
      <c r="L2446" s="9" t="b">
        <f t="shared" si="193"/>
        <v>1</v>
      </c>
      <c r="M2446" s="1" t="b">
        <f>IF(OR(入力シート!$C$5&lt;&gt;入力リスト!$N$4,入力シート!$J$22&lt;&gt;入力リスト!$K$4),TRUE,IF($F$2=入力リスト!$Q$4,IF(F2446-INT(F2446)&lt;0.6,TRUE,FALSE),TRUE))</f>
        <v>1</v>
      </c>
      <c r="N2446" s="9" t="str">
        <f>IF(F2446="","",IF($F$2=入力リスト!$Q$4,ROUNDDOWN(INT(F2446)+ROUNDDOWN((F2446-INT(F2446))*100,0)/60,2),従業員の給与情報!F2446))</f>
        <v/>
      </c>
      <c r="O2446" s="8"/>
      <c r="P2446" s="8"/>
    </row>
    <row r="2447" spans="1:16">
      <c r="A2447" s="336"/>
      <c r="B2447" s="337"/>
      <c r="C2447" s="337"/>
      <c r="D2447" s="3"/>
      <c r="E2447" s="337"/>
      <c r="F2447" s="338"/>
      <c r="G2447" s="248" t="str">
        <f t="shared" si="194"/>
        <v/>
      </c>
      <c r="H2447" s="1" t="b">
        <f>IF(B2447="",FALSE,COUNTIF('従業員情報(給与以外)'!$A$4:$A$1000000,$B2447)=0)</f>
        <v>0</v>
      </c>
      <c r="I2447" s="9" t="b">
        <f t="shared" si="190"/>
        <v>1</v>
      </c>
      <c r="J2447" s="9" t="b">
        <f t="shared" si="191"/>
        <v>1</v>
      </c>
      <c r="K2447" s="9" t="b">
        <f t="shared" si="192"/>
        <v>1</v>
      </c>
      <c r="L2447" s="9" t="b">
        <f t="shared" si="193"/>
        <v>1</v>
      </c>
      <c r="M2447" s="1" t="b">
        <f>IF(OR(入力シート!$C$5&lt;&gt;入力リスト!$N$4,入力シート!$J$22&lt;&gt;入力リスト!$K$4),TRUE,IF($F$2=入力リスト!$Q$4,IF(F2447-INT(F2447)&lt;0.6,TRUE,FALSE),TRUE))</f>
        <v>1</v>
      </c>
      <c r="N2447" s="9" t="str">
        <f>IF(F2447="","",IF($F$2=入力リスト!$Q$4,ROUNDDOWN(INT(F2447)+ROUNDDOWN((F2447-INT(F2447))*100,0)/60,2),従業員の給与情報!F2447))</f>
        <v/>
      </c>
      <c r="O2447" s="8"/>
      <c r="P2447" s="8"/>
    </row>
    <row r="2448" spans="1:16">
      <c r="A2448" s="336"/>
      <c r="B2448" s="337"/>
      <c r="C2448" s="337"/>
      <c r="D2448" s="3"/>
      <c r="E2448" s="337"/>
      <c r="F2448" s="338"/>
      <c r="G2448" s="248" t="str">
        <f t="shared" si="194"/>
        <v/>
      </c>
      <c r="H2448" s="1" t="b">
        <f>IF(B2448="",FALSE,COUNTIF('従業員情報(給与以外)'!$A$4:$A$1000000,$B2448)=0)</f>
        <v>0</v>
      </c>
      <c r="I2448" s="9" t="b">
        <f t="shared" si="190"/>
        <v>1</v>
      </c>
      <c r="J2448" s="9" t="b">
        <f t="shared" si="191"/>
        <v>1</v>
      </c>
      <c r="K2448" s="9" t="b">
        <f t="shared" si="192"/>
        <v>1</v>
      </c>
      <c r="L2448" s="9" t="b">
        <f t="shared" si="193"/>
        <v>1</v>
      </c>
      <c r="M2448" s="1" t="b">
        <f>IF(OR(入力シート!$C$5&lt;&gt;入力リスト!$N$4,入力シート!$J$22&lt;&gt;入力リスト!$K$4),TRUE,IF($F$2=入力リスト!$Q$4,IF(F2448-INT(F2448)&lt;0.6,TRUE,FALSE),TRUE))</f>
        <v>1</v>
      </c>
      <c r="N2448" s="9" t="str">
        <f>IF(F2448="","",IF($F$2=入力リスト!$Q$4,ROUNDDOWN(INT(F2448)+ROUNDDOWN((F2448-INT(F2448))*100,0)/60,2),従業員の給与情報!F2448))</f>
        <v/>
      </c>
      <c r="O2448" s="8"/>
      <c r="P2448" s="8"/>
    </row>
    <row r="2449" spans="1:16">
      <c r="A2449" s="336"/>
      <c r="B2449" s="337"/>
      <c r="C2449" s="337"/>
      <c r="D2449" s="3"/>
      <c r="E2449" s="337"/>
      <c r="F2449" s="338"/>
      <c r="G2449" s="248" t="str">
        <f t="shared" si="194"/>
        <v/>
      </c>
      <c r="H2449" s="1" t="b">
        <f>IF(B2449="",FALSE,COUNTIF('従業員情報(給与以外)'!$A$4:$A$1000000,$B2449)=0)</f>
        <v>0</v>
      </c>
      <c r="I2449" s="9" t="b">
        <f t="shared" si="190"/>
        <v>1</v>
      </c>
      <c r="J2449" s="9" t="b">
        <f t="shared" si="191"/>
        <v>1</v>
      </c>
      <c r="K2449" s="9" t="b">
        <f t="shared" si="192"/>
        <v>1</v>
      </c>
      <c r="L2449" s="9" t="b">
        <f t="shared" si="193"/>
        <v>1</v>
      </c>
      <c r="M2449" s="1" t="b">
        <f>IF(OR(入力シート!$C$5&lt;&gt;入力リスト!$N$4,入力シート!$J$22&lt;&gt;入力リスト!$K$4),TRUE,IF($F$2=入力リスト!$Q$4,IF(F2449-INT(F2449)&lt;0.6,TRUE,FALSE),TRUE))</f>
        <v>1</v>
      </c>
      <c r="N2449" s="9" t="str">
        <f>IF(F2449="","",IF($F$2=入力リスト!$Q$4,ROUNDDOWN(INT(F2449)+ROUNDDOWN((F2449-INT(F2449))*100,0)/60,2),従業員の給与情報!F2449))</f>
        <v/>
      </c>
      <c r="O2449" s="8"/>
      <c r="P2449" s="8"/>
    </row>
    <row r="2450" spans="1:16">
      <c r="A2450" s="336"/>
      <c r="B2450" s="337"/>
      <c r="C2450" s="337"/>
      <c r="D2450" s="3"/>
      <c r="E2450" s="337"/>
      <c r="F2450" s="338"/>
      <c r="G2450" s="248" t="str">
        <f t="shared" si="194"/>
        <v/>
      </c>
      <c r="H2450" s="1" t="b">
        <f>IF(B2450="",FALSE,COUNTIF('従業員情報(給与以外)'!$A$4:$A$1000000,$B2450)=0)</f>
        <v>0</v>
      </c>
      <c r="I2450" s="9" t="b">
        <f t="shared" si="190"/>
        <v>1</v>
      </c>
      <c r="J2450" s="9" t="b">
        <f t="shared" si="191"/>
        <v>1</v>
      </c>
      <c r="K2450" s="9" t="b">
        <f t="shared" si="192"/>
        <v>1</v>
      </c>
      <c r="L2450" s="9" t="b">
        <f t="shared" si="193"/>
        <v>1</v>
      </c>
      <c r="M2450" s="1" t="b">
        <f>IF(OR(入力シート!$C$5&lt;&gt;入力リスト!$N$4,入力シート!$J$22&lt;&gt;入力リスト!$K$4),TRUE,IF($F$2=入力リスト!$Q$4,IF(F2450-INT(F2450)&lt;0.6,TRUE,FALSE),TRUE))</f>
        <v>1</v>
      </c>
      <c r="N2450" s="9" t="str">
        <f>IF(F2450="","",IF($F$2=入力リスト!$Q$4,ROUNDDOWN(INT(F2450)+ROUNDDOWN((F2450-INT(F2450))*100,0)/60,2),従業員の給与情報!F2450))</f>
        <v/>
      </c>
      <c r="O2450" s="8"/>
      <c r="P2450" s="8"/>
    </row>
    <row r="2451" spans="1:16">
      <c r="A2451" s="336"/>
      <c r="B2451" s="337"/>
      <c r="C2451" s="337"/>
      <c r="D2451" s="3"/>
      <c r="E2451" s="337"/>
      <c r="F2451" s="338"/>
      <c r="G2451" s="248" t="str">
        <f t="shared" si="194"/>
        <v/>
      </c>
      <c r="H2451" s="1" t="b">
        <f>IF(B2451="",FALSE,COUNTIF('従業員情報(給与以外)'!$A$4:$A$1000000,$B2451)=0)</f>
        <v>0</v>
      </c>
      <c r="I2451" s="9" t="b">
        <f t="shared" si="190"/>
        <v>1</v>
      </c>
      <c r="J2451" s="9" t="b">
        <f t="shared" si="191"/>
        <v>1</v>
      </c>
      <c r="K2451" s="9" t="b">
        <f t="shared" si="192"/>
        <v>1</v>
      </c>
      <c r="L2451" s="9" t="b">
        <f t="shared" si="193"/>
        <v>1</v>
      </c>
      <c r="M2451" s="1" t="b">
        <f>IF(OR(入力シート!$C$5&lt;&gt;入力リスト!$N$4,入力シート!$J$22&lt;&gt;入力リスト!$K$4),TRUE,IF($F$2=入力リスト!$Q$4,IF(F2451-INT(F2451)&lt;0.6,TRUE,FALSE),TRUE))</f>
        <v>1</v>
      </c>
      <c r="N2451" s="9" t="str">
        <f>IF(F2451="","",IF($F$2=入力リスト!$Q$4,ROUNDDOWN(INT(F2451)+ROUNDDOWN((F2451-INT(F2451))*100,0)/60,2),従業員の給与情報!F2451))</f>
        <v/>
      </c>
      <c r="O2451" s="8"/>
      <c r="P2451" s="8"/>
    </row>
    <row r="2452" spans="1:16">
      <c r="A2452" s="336"/>
      <c r="B2452" s="337"/>
      <c r="C2452" s="337"/>
      <c r="D2452" s="3"/>
      <c r="E2452" s="337"/>
      <c r="F2452" s="338"/>
      <c r="G2452" s="248" t="str">
        <f t="shared" si="194"/>
        <v/>
      </c>
      <c r="H2452" s="1" t="b">
        <f>IF(B2452="",FALSE,COUNTIF('従業員情報(給与以外)'!$A$4:$A$1000000,$B2452)=0)</f>
        <v>0</v>
      </c>
      <c r="I2452" s="9" t="b">
        <f t="shared" si="190"/>
        <v>1</v>
      </c>
      <c r="J2452" s="9" t="b">
        <f t="shared" si="191"/>
        <v>1</v>
      </c>
      <c r="K2452" s="9" t="b">
        <f t="shared" si="192"/>
        <v>1</v>
      </c>
      <c r="L2452" s="9" t="b">
        <f t="shared" si="193"/>
        <v>1</v>
      </c>
      <c r="M2452" s="1" t="b">
        <f>IF(OR(入力シート!$C$5&lt;&gt;入力リスト!$N$4,入力シート!$J$22&lt;&gt;入力リスト!$K$4),TRUE,IF($F$2=入力リスト!$Q$4,IF(F2452-INT(F2452)&lt;0.6,TRUE,FALSE),TRUE))</f>
        <v>1</v>
      </c>
      <c r="N2452" s="9" t="str">
        <f>IF(F2452="","",IF($F$2=入力リスト!$Q$4,ROUNDDOWN(INT(F2452)+ROUNDDOWN((F2452-INT(F2452))*100,0)/60,2),従業員の給与情報!F2452))</f>
        <v/>
      </c>
      <c r="O2452" s="8"/>
      <c r="P2452" s="8"/>
    </row>
    <row r="2453" spans="1:16">
      <c r="A2453" s="336"/>
      <c r="B2453" s="337"/>
      <c r="C2453" s="337"/>
      <c r="D2453" s="3"/>
      <c r="E2453" s="337"/>
      <c r="F2453" s="338"/>
      <c r="G2453" s="248" t="str">
        <f t="shared" si="194"/>
        <v/>
      </c>
      <c r="H2453" s="1" t="b">
        <f>IF(B2453="",FALSE,COUNTIF('従業員情報(給与以外)'!$A$4:$A$1000000,$B2453)=0)</f>
        <v>0</v>
      </c>
      <c r="I2453" s="9" t="b">
        <f t="shared" si="190"/>
        <v>1</v>
      </c>
      <c r="J2453" s="9" t="b">
        <f t="shared" si="191"/>
        <v>1</v>
      </c>
      <c r="K2453" s="9" t="b">
        <f t="shared" si="192"/>
        <v>1</v>
      </c>
      <c r="L2453" s="9" t="b">
        <f t="shared" si="193"/>
        <v>1</v>
      </c>
      <c r="M2453" s="1" t="b">
        <f>IF(OR(入力シート!$C$5&lt;&gt;入力リスト!$N$4,入力シート!$J$22&lt;&gt;入力リスト!$K$4),TRUE,IF($F$2=入力リスト!$Q$4,IF(F2453-INT(F2453)&lt;0.6,TRUE,FALSE),TRUE))</f>
        <v>1</v>
      </c>
      <c r="N2453" s="9" t="str">
        <f>IF(F2453="","",IF($F$2=入力リスト!$Q$4,ROUNDDOWN(INT(F2453)+ROUNDDOWN((F2453-INT(F2453))*100,0)/60,2),従業員の給与情報!F2453))</f>
        <v/>
      </c>
      <c r="O2453" s="8"/>
      <c r="P2453" s="8"/>
    </row>
    <row r="2454" spans="1:16">
      <c r="A2454" s="336"/>
      <c r="B2454" s="337"/>
      <c r="C2454" s="337"/>
      <c r="D2454" s="3"/>
      <c r="E2454" s="337"/>
      <c r="F2454" s="338"/>
      <c r="G2454" s="248" t="str">
        <f t="shared" si="194"/>
        <v/>
      </c>
      <c r="H2454" s="1" t="b">
        <f>IF(B2454="",FALSE,COUNTIF('従業員情報(給与以外)'!$A$4:$A$1000000,$B2454)=0)</f>
        <v>0</v>
      </c>
      <c r="I2454" s="9" t="b">
        <f t="shared" si="190"/>
        <v>1</v>
      </c>
      <c r="J2454" s="9" t="b">
        <f t="shared" si="191"/>
        <v>1</v>
      </c>
      <c r="K2454" s="9" t="b">
        <f t="shared" si="192"/>
        <v>1</v>
      </c>
      <c r="L2454" s="9" t="b">
        <f t="shared" si="193"/>
        <v>1</v>
      </c>
      <c r="M2454" s="1" t="b">
        <f>IF(OR(入力シート!$C$5&lt;&gt;入力リスト!$N$4,入力シート!$J$22&lt;&gt;入力リスト!$K$4),TRUE,IF($F$2=入力リスト!$Q$4,IF(F2454-INT(F2454)&lt;0.6,TRUE,FALSE),TRUE))</f>
        <v>1</v>
      </c>
      <c r="N2454" s="9" t="str">
        <f>IF(F2454="","",IF($F$2=入力リスト!$Q$4,ROUNDDOWN(INT(F2454)+ROUNDDOWN((F2454-INT(F2454))*100,0)/60,2),従業員の給与情報!F2454))</f>
        <v/>
      </c>
      <c r="O2454" s="8"/>
      <c r="P2454" s="8"/>
    </row>
    <row r="2455" spans="1:16">
      <c r="A2455" s="336"/>
      <c r="B2455" s="337"/>
      <c r="C2455" s="337"/>
      <c r="D2455" s="3"/>
      <c r="E2455" s="337"/>
      <c r="F2455" s="338"/>
      <c r="G2455" s="248" t="str">
        <f t="shared" si="194"/>
        <v/>
      </c>
      <c r="H2455" s="1" t="b">
        <f>IF(B2455="",FALSE,COUNTIF('従業員情報(給与以外)'!$A$4:$A$1000000,$B2455)=0)</f>
        <v>0</v>
      </c>
      <c r="I2455" s="9" t="b">
        <f t="shared" si="190"/>
        <v>1</v>
      </c>
      <c r="J2455" s="9" t="b">
        <f t="shared" si="191"/>
        <v>1</v>
      </c>
      <c r="K2455" s="9" t="b">
        <f t="shared" si="192"/>
        <v>1</v>
      </c>
      <c r="L2455" s="9" t="b">
        <f t="shared" si="193"/>
        <v>1</v>
      </c>
      <c r="M2455" s="1" t="b">
        <f>IF(OR(入力シート!$C$5&lt;&gt;入力リスト!$N$4,入力シート!$J$22&lt;&gt;入力リスト!$K$4),TRUE,IF($F$2=入力リスト!$Q$4,IF(F2455-INT(F2455)&lt;0.6,TRUE,FALSE),TRUE))</f>
        <v>1</v>
      </c>
      <c r="N2455" s="9" t="str">
        <f>IF(F2455="","",IF($F$2=入力リスト!$Q$4,ROUNDDOWN(INT(F2455)+ROUNDDOWN((F2455-INT(F2455))*100,0)/60,2),従業員の給与情報!F2455))</f>
        <v/>
      </c>
      <c r="O2455" s="8"/>
      <c r="P2455" s="8"/>
    </row>
    <row r="2456" spans="1:16">
      <c r="A2456" s="336"/>
      <c r="B2456" s="337"/>
      <c r="C2456" s="337"/>
      <c r="D2456" s="3"/>
      <c r="E2456" s="337"/>
      <c r="F2456" s="338"/>
      <c r="G2456" s="248" t="str">
        <f t="shared" si="194"/>
        <v/>
      </c>
      <c r="H2456" s="1" t="b">
        <f>IF(B2456="",FALSE,COUNTIF('従業員情報(給与以外)'!$A$4:$A$1000000,$B2456)=0)</f>
        <v>0</v>
      </c>
      <c r="I2456" s="9" t="b">
        <f t="shared" si="190"/>
        <v>1</v>
      </c>
      <c r="J2456" s="9" t="b">
        <f t="shared" si="191"/>
        <v>1</v>
      </c>
      <c r="K2456" s="9" t="b">
        <f t="shared" si="192"/>
        <v>1</v>
      </c>
      <c r="L2456" s="9" t="b">
        <f t="shared" si="193"/>
        <v>1</v>
      </c>
      <c r="M2456" s="1" t="b">
        <f>IF(OR(入力シート!$C$5&lt;&gt;入力リスト!$N$4,入力シート!$J$22&lt;&gt;入力リスト!$K$4),TRUE,IF($F$2=入力リスト!$Q$4,IF(F2456-INT(F2456)&lt;0.6,TRUE,FALSE),TRUE))</f>
        <v>1</v>
      </c>
      <c r="N2456" s="9" t="str">
        <f>IF(F2456="","",IF($F$2=入力リスト!$Q$4,ROUNDDOWN(INT(F2456)+ROUNDDOWN((F2456-INT(F2456))*100,0)/60,2),従業員の給与情報!F2456))</f>
        <v/>
      </c>
      <c r="O2456" s="8"/>
      <c r="P2456" s="8"/>
    </row>
    <row r="2457" spans="1:16">
      <c r="A2457" s="336"/>
      <c r="B2457" s="337"/>
      <c r="C2457" s="337"/>
      <c r="D2457" s="3"/>
      <c r="E2457" s="337"/>
      <c r="F2457" s="338"/>
      <c r="G2457" s="248" t="str">
        <f t="shared" si="194"/>
        <v/>
      </c>
      <c r="H2457" s="1" t="b">
        <f>IF(B2457="",FALSE,COUNTIF('従業員情報(給与以外)'!$A$4:$A$1000000,$B2457)=0)</f>
        <v>0</v>
      </c>
      <c r="I2457" s="9" t="b">
        <f t="shared" si="190"/>
        <v>1</v>
      </c>
      <c r="J2457" s="9" t="b">
        <f t="shared" si="191"/>
        <v>1</v>
      </c>
      <c r="K2457" s="9" t="b">
        <f t="shared" si="192"/>
        <v>1</v>
      </c>
      <c r="L2457" s="9" t="b">
        <f t="shared" si="193"/>
        <v>1</v>
      </c>
      <c r="M2457" s="1" t="b">
        <f>IF(OR(入力シート!$C$5&lt;&gt;入力リスト!$N$4,入力シート!$J$22&lt;&gt;入力リスト!$K$4),TRUE,IF($F$2=入力リスト!$Q$4,IF(F2457-INT(F2457)&lt;0.6,TRUE,FALSE),TRUE))</f>
        <v>1</v>
      </c>
      <c r="N2457" s="9" t="str">
        <f>IF(F2457="","",IF($F$2=入力リスト!$Q$4,ROUNDDOWN(INT(F2457)+ROUNDDOWN((F2457-INT(F2457))*100,0)/60,2),従業員の給与情報!F2457))</f>
        <v/>
      </c>
      <c r="O2457" s="8"/>
      <c r="P2457" s="8"/>
    </row>
    <row r="2458" spans="1:16">
      <c r="A2458" s="336"/>
      <c r="B2458" s="337"/>
      <c r="C2458" s="337"/>
      <c r="D2458" s="3"/>
      <c r="E2458" s="337"/>
      <c r="F2458" s="338"/>
      <c r="G2458" s="248" t="str">
        <f t="shared" si="194"/>
        <v/>
      </c>
      <c r="H2458" s="1" t="b">
        <f>IF(B2458="",FALSE,COUNTIF('従業員情報(給与以外)'!$A$4:$A$1000000,$B2458)=0)</f>
        <v>0</v>
      </c>
      <c r="I2458" s="9" t="b">
        <f t="shared" si="190"/>
        <v>1</v>
      </c>
      <c r="J2458" s="9" t="b">
        <f t="shared" si="191"/>
        <v>1</v>
      </c>
      <c r="K2458" s="9" t="b">
        <f t="shared" si="192"/>
        <v>1</v>
      </c>
      <c r="L2458" s="9" t="b">
        <f t="shared" si="193"/>
        <v>1</v>
      </c>
      <c r="M2458" s="1" t="b">
        <f>IF(OR(入力シート!$C$5&lt;&gt;入力リスト!$N$4,入力シート!$J$22&lt;&gt;入力リスト!$K$4),TRUE,IF($F$2=入力リスト!$Q$4,IF(F2458-INT(F2458)&lt;0.6,TRUE,FALSE),TRUE))</f>
        <v>1</v>
      </c>
      <c r="N2458" s="9" t="str">
        <f>IF(F2458="","",IF($F$2=入力リスト!$Q$4,ROUNDDOWN(INT(F2458)+ROUNDDOWN((F2458-INT(F2458))*100,0)/60,2),従業員の給与情報!F2458))</f>
        <v/>
      </c>
      <c r="O2458" s="8"/>
      <c r="P2458" s="8"/>
    </row>
    <row r="2459" spans="1:16">
      <c r="A2459" s="336"/>
      <c r="B2459" s="337"/>
      <c r="C2459" s="337"/>
      <c r="D2459" s="3"/>
      <c r="E2459" s="337"/>
      <c r="F2459" s="338"/>
      <c r="G2459" s="248" t="str">
        <f t="shared" si="194"/>
        <v/>
      </c>
      <c r="H2459" s="1" t="b">
        <f>IF(B2459="",FALSE,COUNTIF('従業員情報(給与以外)'!$A$4:$A$1000000,$B2459)=0)</f>
        <v>0</v>
      </c>
      <c r="I2459" s="9" t="b">
        <f t="shared" si="190"/>
        <v>1</v>
      </c>
      <c r="J2459" s="9" t="b">
        <f t="shared" si="191"/>
        <v>1</v>
      </c>
      <c r="K2459" s="9" t="b">
        <f t="shared" si="192"/>
        <v>1</v>
      </c>
      <c r="L2459" s="9" t="b">
        <f t="shared" si="193"/>
        <v>1</v>
      </c>
      <c r="M2459" s="1" t="b">
        <f>IF(OR(入力シート!$C$5&lt;&gt;入力リスト!$N$4,入力シート!$J$22&lt;&gt;入力リスト!$K$4),TRUE,IF($F$2=入力リスト!$Q$4,IF(F2459-INT(F2459)&lt;0.6,TRUE,FALSE),TRUE))</f>
        <v>1</v>
      </c>
      <c r="N2459" s="9" t="str">
        <f>IF(F2459="","",IF($F$2=入力リスト!$Q$4,ROUNDDOWN(INT(F2459)+ROUNDDOWN((F2459-INT(F2459))*100,0)/60,2),従業員の給与情報!F2459))</f>
        <v/>
      </c>
      <c r="O2459" s="8"/>
      <c r="P2459" s="8"/>
    </row>
    <row r="2460" spans="1:16">
      <c r="A2460" s="336"/>
      <c r="B2460" s="337"/>
      <c r="C2460" s="337"/>
      <c r="D2460" s="3"/>
      <c r="E2460" s="337"/>
      <c r="F2460" s="338"/>
      <c r="G2460" s="248" t="str">
        <f t="shared" si="194"/>
        <v/>
      </c>
      <c r="H2460" s="1" t="b">
        <f>IF(B2460="",FALSE,COUNTIF('従業員情報(給与以外)'!$A$4:$A$1000000,$B2460)=0)</f>
        <v>0</v>
      </c>
      <c r="I2460" s="9" t="b">
        <f t="shared" si="190"/>
        <v>1</v>
      </c>
      <c r="J2460" s="9" t="b">
        <f t="shared" si="191"/>
        <v>1</v>
      </c>
      <c r="K2460" s="9" t="b">
        <f t="shared" si="192"/>
        <v>1</v>
      </c>
      <c r="L2460" s="9" t="b">
        <f t="shared" si="193"/>
        <v>1</v>
      </c>
      <c r="M2460" s="1" t="b">
        <f>IF(OR(入力シート!$C$5&lt;&gt;入力リスト!$N$4,入力シート!$J$22&lt;&gt;入力リスト!$K$4),TRUE,IF($F$2=入力リスト!$Q$4,IF(F2460-INT(F2460)&lt;0.6,TRUE,FALSE),TRUE))</f>
        <v>1</v>
      </c>
      <c r="N2460" s="9" t="str">
        <f>IF(F2460="","",IF($F$2=入力リスト!$Q$4,ROUNDDOWN(INT(F2460)+ROUNDDOWN((F2460-INT(F2460))*100,0)/60,2),従業員の給与情報!F2460))</f>
        <v/>
      </c>
      <c r="O2460" s="8"/>
      <c r="P2460" s="8"/>
    </row>
    <row r="2461" spans="1:16">
      <c r="A2461" s="336"/>
      <c r="B2461" s="337"/>
      <c r="C2461" s="337"/>
      <c r="D2461" s="3"/>
      <c r="E2461" s="337"/>
      <c r="F2461" s="338"/>
      <c r="G2461" s="248" t="str">
        <f t="shared" si="194"/>
        <v/>
      </c>
      <c r="H2461" s="1" t="b">
        <f>IF(B2461="",FALSE,COUNTIF('従業員情報(給与以外)'!$A$4:$A$1000000,$B2461)=0)</f>
        <v>0</v>
      </c>
      <c r="I2461" s="9" t="b">
        <f t="shared" si="190"/>
        <v>1</v>
      </c>
      <c r="J2461" s="9" t="b">
        <f t="shared" si="191"/>
        <v>1</v>
      </c>
      <c r="K2461" s="9" t="b">
        <f t="shared" si="192"/>
        <v>1</v>
      </c>
      <c r="L2461" s="9" t="b">
        <f t="shared" si="193"/>
        <v>1</v>
      </c>
      <c r="M2461" s="1" t="b">
        <f>IF(OR(入力シート!$C$5&lt;&gt;入力リスト!$N$4,入力シート!$J$22&lt;&gt;入力リスト!$K$4),TRUE,IF($F$2=入力リスト!$Q$4,IF(F2461-INT(F2461)&lt;0.6,TRUE,FALSE),TRUE))</f>
        <v>1</v>
      </c>
      <c r="N2461" s="9" t="str">
        <f>IF(F2461="","",IF($F$2=入力リスト!$Q$4,ROUNDDOWN(INT(F2461)+ROUNDDOWN((F2461-INT(F2461))*100,0)/60,2),従業員の給与情報!F2461))</f>
        <v/>
      </c>
      <c r="O2461" s="8"/>
      <c r="P2461" s="8"/>
    </row>
    <row r="2462" spans="1:16">
      <c r="A2462" s="336"/>
      <c r="B2462" s="337"/>
      <c r="C2462" s="337"/>
      <c r="D2462" s="3"/>
      <c r="E2462" s="337"/>
      <c r="F2462" s="338"/>
      <c r="G2462" s="248" t="str">
        <f t="shared" si="194"/>
        <v/>
      </c>
      <c r="H2462" s="1" t="b">
        <f>IF(B2462="",FALSE,COUNTIF('従業員情報(給与以外)'!$A$4:$A$1000000,$B2462)=0)</f>
        <v>0</v>
      </c>
      <c r="I2462" s="9" t="b">
        <f t="shared" si="190"/>
        <v>1</v>
      </c>
      <c r="J2462" s="9" t="b">
        <f t="shared" si="191"/>
        <v>1</v>
      </c>
      <c r="K2462" s="9" t="b">
        <f t="shared" si="192"/>
        <v>1</v>
      </c>
      <c r="L2462" s="9" t="b">
        <f t="shared" si="193"/>
        <v>1</v>
      </c>
      <c r="M2462" s="1" t="b">
        <f>IF(OR(入力シート!$C$5&lt;&gt;入力リスト!$N$4,入力シート!$J$22&lt;&gt;入力リスト!$K$4),TRUE,IF($F$2=入力リスト!$Q$4,IF(F2462-INT(F2462)&lt;0.6,TRUE,FALSE),TRUE))</f>
        <v>1</v>
      </c>
      <c r="N2462" s="9" t="str">
        <f>IF(F2462="","",IF($F$2=入力リスト!$Q$4,ROUNDDOWN(INT(F2462)+ROUNDDOWN((F2462-INT(F2462))*100,0)/60,2),従業員の給与情報!F2462))</f>
        <v/>
      </c>
      <c r="O2462" s="8"/>
      <c r="P2462" s="8"/>
    </row>
    <row r="2463" spans="1:16">
      <c r="A2463" s="336"/>
      <c r="B2463" s="337"/>
      <c r="C2463" s="337"/>
      <c r="D2463" s="3"/>
      <c r="E2463" s="337"/>
      <c r="F2463" s="338"/>
      <c r="G2463" s="248" t="str">
        <f t="shared" si="194"/>
        <v/>
      </c>
      <c r="H2463" s="1" t="b">
        <f>IF(B2463="",FALSE,COUNTIF('従業員情報(給与以外)'!$A$4:$A$1000000,$B2463)=0)</f>
        <v>0</v>
      </c>
      <c r="I2463" s="9" t="b">
        <f t="shared" si="190"/>
        <v>1</v>
      </c>
      <c r="J2463" s="9" t="b">
        <f t="shared" si="191"/>
        <v>1</v>
      </c>
      <c r="K2463" s="9" t="b">
        <f t="shared" si="192"/>
        <v>1</v>
      </c>
      <c r="L2463" s="9" t="b">
        <f t="shared" si="193"/>
        <v>1</v>
      </c>
      <c r="M2463" s="1" t="b">
        <f>IF(OR(入力シート!$C$5&lt;&gt;入力リスト!$N$4,入力シート!$J$22&lt;&gt;入力リスト!$K$4),TRUE,IF($F$2=入力リスト!$Q$4,IF(F2463-INT(F2463)&lt;0.6,TRUE,FALSE),TRUE))</f>
        <v>1</v>
      </c>
      <c r="N2463" s="9" t="str">
        <f>IF(F2463="","",IF($F$2=入力リスト!$Q$4,ROUNDDOWN(INT(F2463)+ROUNDDOWN((F2463-INT(F2463))*100,0)/60,2),従業員の給与情報!F2463))</f>
        <v/>
      </c>
      <c r="O2463" s="8"/>
      <c r="P2463" s="8"/>
    </row>
    <row r="2464" spans="1:16">
      <c r="A2464" s="336"/>
      <c r="B2464" s="337"/>
      <c r="C2464" s="337"/>
      <c r="D2464" s="3"/>
      <c r="E2464" s="337"/>
      <c r="F2464" s="338"/>
      <c r="G2464" s="248" t="str">
        <f t="shared" si="194"/>
        <v/>
      </c>
      <c r="H2464" s="1" t="b">
        <f>IF(B2464="",FALSE,COUNTIF('従業員情報(給与以外)'!$A$4:$A$1000000,$B2464)=0)</f>
        <v>0</v>
      </c>
      <c r="I2464" s="9" t="b">
        <f t="shared" si="190"/>
        <v>1</v>
      </c>
      <c r="J2464" s="9" t="b">
        <f t="shared" si="191"/>
        <v>1</v>
      </c>
      <c r="K2464" s="9" t="b">
        <f t="shared" si="192"/>
        <v>1</v>
      </c>
      <c r="L2464" s="9" t="b">
        <f t="shared" si="193"/>
        <v>1</v>
      </c>
      <c r="M2464" s="1" t="b">
        <f>IF(OR(入力シート!$C$5&lt;&gt;入力リスト!$N$4,入力シート!$J$22&lt;&gt;入力リスト!$K$4),TRUE,IF($F$2=入力リスト!$Q$4,IF(F2464-INT(F2464)&lt;0.6,TRUE,FALSE),TRUE))</f>
        <v>1</v>
      </c>
      <c r="N2464" s="9" t="str">
        <f>IF(F2464="","",IF($F$2=入力リスト!$Q$4,ROUNDDOWN(INT(F2464)+ROUNDDOWN((F2464-INT(F2464))*100,0)/60,2),従業員の給与情報!F2464))</f>
        <v/>
      </c>
      <c r="O2464" s="8"/>
      <c r="P2464" s="8"/>
    </row>
    <row r="2465" spans="1:16">
      <c r="A2465" s="336"/>
      <c r="B2465" s="337"/>
      <c r="C2465" s="337"/>
      <c r="D2465" s="3"/>
      <c r="E2465" s="337"/>
      <c r="F2465" s="338"/>
      <c r="G2465" s="248" t="str">
        <f t="shared" si="194"/>
        <v/>
      </c>
      <c r="H2465" s="1" t="b">
        <f>IF(B2465="",FALSE,COUNTIF('従業員情報(給与以外)'!$A$4:$A$1000000,$B2465)=0)</f>
        <v>0</v>
      </c>
      <c r="I2465" s="9" t="b">
        <f t="shared" si="190"/>
        <v>1</v>
      </c>
      <c r="J2465" s="9" t="b">
        <f t="shared" si="191"/>
        <v>1</v>
      </c>
      <c r="K2465" s="9" t="b">
        <f t="shared" si="192"/>
        <v>1</v>
      </c>
      <c r="L2465" s="9" t="b">
        <f t="shared" si="193"/>
        <v>1</v>
      </c>
      <c r="M2465" s="1" t="b">
        <f>IF(OR(入力シート!$C$5&lt;&gt;入力リスト!$N$4,入力シート!$J$22&lt;&gt;入力リスト!$K$4),TRUE,IF($F$2=入力リスト!$Q$4,IF(F2465-INT(F2465)&lt;0.6,TRUE,FALSE),TRUE))</f>
        <v>1</v>
      </c>
      <c r="N2465" s="9" t="str">
        <f>IF(F2465="","",IF($F$2=入力リスト!$Q$4,ROUNDDOWN(INT(F2465)+ROUNDDOWN((F2465-INT(F2465))*100,0)/60,2),従業員の給与情報!F2465))</f>
        <v/>
      </c>
      <c r="O2465" s="8"/>
      <c r="P2465" s="8"/>
    </row>
    <row r="2466" spans="1:16">
      <c r="A2466" s="336"/>
      <c r="B2466" s="337"/>
      <c r="C2466" s="337"/>
      <c r="D2466" s="3"/>
      <c r="E2466" s="337"/>
      <c r="F2466" s="338"/>
      <c r="G2466" s="248" t="str">
        <f t="shared" si="194"/>
        <v/>
      </c>
      <c r="H2466" s="1" t="b">
        <f>IF(B2466="",FALSE,COUNTIF('従業員情報(給与以外)'!$A$4:$A$1000000,$B2466)=0)</f>
        <v>0</v>
      </c>
      <c r="I2466" s="9" t="b">
        <f t="shared" si="190"/>
        <v>1</v>
      </c>
      <c r="J2466" s="9" t="b">
        <f t="shared" si="191"/>
        <v>1</v>
      </c>
      <c r="K2466" s="9" t="b">
        <f t="shared" si="192"/>
        <v>1</v>
      </c>
      <c r="L2466" s="9" t="b">
        <f t="shared" si="193"/>
        <v>1</v>
      </c>
      <c r="M2466" s="1" t="b">
        <f>IF(OR(入力シート!$C$5&lt;&gt;入力リスト!$N$4,入力シート!$J$22&lt;&gt;入力リスト!$K$4),TRUE,IF($F$2=入力リスト!$Q$4,IF(F2466-INT(F2466)&lt;0.6,TRUE,FALSE),TRUE))</f>
        <v>1</v>
      </c>
      <c r="N2466" s="9" t="str">
        <f>IF(F2466="","",IF($F$2=入力リスト!$Q$4,ROUNDDOWN(INT(F2466)+ROUNDDOWN((F2466-INT(F2466))*100,0)/60,2),従業員の給与情報!F2466))</f>
        <v/>
      </c>
      <c r="O2466" s="8"/>
      <c r="P2466" s="8"/>
    </row>
    <row r="2467" spans="1:16">
      <c r="A2467" s="336"/>
      <c r="B2467" s="337"/>
      <c r="C2467" s="337"/>
      <c r="D2467" s="3"/>
      <c r="E2467" s="337"/>
      <c r="F2467" s="338"/>
      <c r="G2467" s="248" t="str">
        <f t="shared" si="194"/>
        <v/>
      </c>
      <c r="H2467" s="1" t="b">
        <f>IF(B2467="",FALSE,COUNTIF('従業員情報(給与以外)'!$A$4:$A$1000000,$B2467)=0)</f>
        <v>0</v>
      </c>
      <c r="I2467" s="9" t="b">
        <f t="shared" si="190"/>
        <v>1</v>
      </c>
      <c r="J2467" s="9" t="b">
        <f t="shared" si="191"/>
        <v>1</v>
      </c>
      <c r="K2467" s="9" t="b">
        <f t="shared" si="192"/>
        <v>1</v>
      </c>
      <c r="L2467" s="9" t="b">
        <f t="shared" si="193"/>
        <v>1</v>
      </c>
      <c r="M2467" s="1" t="b">
        <f>IF(OR(入力シート!$C$5&lt;&gt;入力リスト!$N$4,入力シート!$J$22&lt;&gt;入力リスト!$K$4),TRUE,IF($F$2=入力リスト!$Q$4,IF(F2467-INT(F2467)&lt;0.6,TRUE,FALSE),TRUE))</f>
        <v>1</v>
      </c>
      <c r="N2467" s="9" t="str">
        <f>IF(F2467="","",IF($F$2=入力リスト!$Q$4,ROUNDDOWN(INT(F2467)+ROUNDDOWN((F2467-INT(F2467))*100,0)/60,2),従業員の給与情報!F2467))</f>
        <v/>
      </c>
      <c r="O2467" s="8"/>
      <c r="P2467" s="8"/>
    </row>
    <row r="2468" spans="1:16">
      <c r="A2468" s="336"/>
      <c r="B2468" s="337"/>
      <c r="C2468" s="337"/>
      <c r="D2468" s="3"/>
      <c r="E2468" s="337"/>
      <c r="F2468" s="338"/>
      <c r="G2468" s="248" t="str">
        <f t="shared" si="194"/>
        <v/>
      </c>
      <c r="H2468" s="1" t="b">
        <f>IF(B2468="",FALSE,COUNTIF('従業員情報(給与以外)'!$A$4:$A$1000000,$B2468)=0)</f>
        <v>0</v>
      </c>
      <c r="I2468" s="9" t="b">
        <f t="shared" si="190"/>
        <v>1</v>
      </c>
      <c r="J2468" s="9" t="b">
        <f t="shared" si="191"/>
        <v>1</v>
      </c>
      <c r="K2468" s="9" t="b">
        <f t="shared" si="192"/>
        <v>1</v>
      </c>
      <c r="L2468" s="9" t="b">
        <f t="shared" si="193"/>
        <v>1</v>
      </c>
      <c r="M2468" s="1" t="b">
        <f>IF(OR(入力シート!$C$5&lt;&gt;入力リスト!$N$4,入力シート!$J$22&lt;&gt;入力リスト!$K$4),TRUE,IF($F$2=入力リスト!$Q$4,IF(F2468-INT(F2468)&lt;0.6,TRUE,FALSE),TRUE))</f>
        <v>1</v>
      </c>
      <c r="N2468" s="9" t="str">
        <f>IF(F2468="","",IF($F$2=入力リスト!$Q$4,ROUNDDOWN(INT(F2468)+ROUNDDOWN((F2468-INT(F2468))*100,0)/60,2),従業員の給与情報!F2468))</f>
        <v/>
      </c>
      <c r="O2468" s="8"/>
      <c r="P2468" s="8"/>
    </row>
    <row r="2469" spans="1:16">
      <c r="A2469" s="336"/>
      <c r="B2469" s="337"/>
      <c r="C2469" s="337"/>
      <c r="D2469" s="3"/>
      <c r="E2469" s="337"/>
      <c r="F2469" s="338"/>
      <c r="G2469" s="248" t="str">
        <f t="shared" si="194"/>
        <v/>
      </c>
      <c r="H2469" s="1" t="b">
        <f>IF(B2469="",FALSE,COUNTIF('従業員情報(給与以外)'!$A$4:$A$1000000,$B2469)=0)</f>
        <v>0</v>
      </c>
      <c r="I2469" s="9" t="b">
        <f t="shared" si="190"/>
        <v>1</v>
      </c>
      <c r="J2469" s="9" t="b">
        <f t="shared" si="191"/>
        <v>1</v>
      </c>
      <c r="K2469" s="9" t="b">
        <f t="shared" si="192"/>
        <v>1</v>
      </c>
      <c r="L2469" s="9" t="b">
        <f t="shared" si="193"/>
        <v>1</v>
      </c>
      <c r="M2469" s="1" t="b">
        <f>IF(OR(入力シート!$C$5&lt;&gt;入力リスト!$N$4,入力シート!$J$22&lt;&gt;入力リスト!$K$4),TRUE,IF($F$2=入力リスト!$Q$4,IF(F2469-INT(F2469)&lt;0.6,TRUE,FALSE),TRUE))</f>
        <v>1</v>
      </c>
      <c r="N2469" s="9" t="str">
        <f>IF(F2469="","",IF($F$2=入力リスト!$Q$4,ROUNDDOWN(INT(F2469)+ROUNDDOWN((F2469-INT(F2469))*100,0)/60,2),従業員の給与情報!F2469))</f>
        <v/>
      </c>
      <c r="O2469" s="8"/>
      <c r="P2469" s="8"/>
    </row>
    <row r="2470" spans="1:16">
      <c r="A2470" s="336"/>
      <c r="B2470" s="337"/>
      <c r="C2470" s="337"/>
      <c r="D2470" s="3"/>
      <c r="E2470" s="337"/>
      <c r="F2470" s="338"/>
      <c r="G2470" s="248" t="str">
        <f t="shared" si="194"/>
        <v/>
      </c>
      <c r="H2470" s="1" t="b">
        <f>IF(B2470="",FALSE,COUNTIF('従業員情報(給与以外)'!$A$4:$A$1000000,$B2470)=0)</f>
        <v>0</v>
      </c>
      <c r="I2470" s="9" t="b">
        <f t="shared" si="190"/>
        <v>1</v>
      </c>
      <c r="J2470" s="9" t="b">
        <f t="shared" si="191"/>
        <v>1</v>
      </c>
      <c r="K2470" s="9" t="b">
        <f t="shared" si="192"/>
        <v>1</v>
      </c>
      <c r="L2470" s="9" t="b">
        <f t="shared" si="193"/>
        <v>1</v>
      </c>
      <c r="M2470" s="1" t="b">
        <f>IF(OR(入力シート!$C$5&lt;&gt;入力リスト!$N$4,入力シート!$J$22&lt;&gt;入力リスト!$K$4),TRUE,IF($F$2=入力リスト!$Q$4,IF(F2470-INT(F2470)&lt;0.6,TRUE,FALSE),TRUE))</f>
        <v>1</v>
      </c>
      <c r="N2470" s="9" t="str">
        <f>IF(F2470="","",IF($F$2=入力リスト!$Q$4,ROUNDDOWN(INT(F2470)+ROUNDDOWN((F2470-INT(F2470))*100,0)/60,2),従業員の給与情報!F2470))</f>
        <v/>
      </c>
      <c r="O2470" s="8"/>
      <c r="P2470" s="8"/>
    </row>
    <row r="2471" spans="1:16">
      <c r="A2471" s="336"/>
      <c r="B2471" s="337"/>
      <c r="C2471" s="337"/>
      <c r="D2471" s="3"/>
      <c r="E2471" s="337"/>
      <c r="F2471" s="338"/>
      <c r="G2471" s="248" t="str">
        <f t="shared" si="194"/>
        <v/>
      </c>
      <c r="H2471" s="1" t="b">
        <f>IF(B2471="",FALSE,COUNTIF('従業員情報(給与以外)'!$A$4:$A$1000000,$B2471)=0)</f>
        <v>0</v>
      </c>
      <c r="I2471" s="9" t="b">
        <f t="shared" si="190"/>
        <v>1</v>
      </c>
      <c r="J2471" s="9" t="b">
        <f t="shared" si="191"/>
        <v>1</v>
      </c>
      <c r="K2471" s="9" t="b">
        <f t="shared" si="192"/>
        <v>1</v>
      </c>
      <c r="L2471" s="9" t="b">
        <f t="shared" si="193"/>
        <v>1</v>
      </c>
      <c r="M2471" s="1" t="b">
        <f>IF(OR(入力シート!$C$5&lt;&gt;入力リスト!$N$4,入力シート!$J$22&lt;&gt;入力リスト!$K$4),TRUE,IF($F$2=入力リスト!$Q$4,IF(F2471-INT(F2471)&lt;0.6,TRUE,FALSE),TRUE))</f>
        <v>1</v>
      </c>
      <c r="N2471" s="9" t="str">
        <f>IF(F2471="","",IF($F$2=入力リスト!$Q$4,ROUNDDOWN(INT(F2471)+ROUNDDOWN((F2471-INT(F2471))*100,0)/60,2),従業員の給与情報!F2471))</f>
        <v/>
      </c>
      <c r="O2471" s="8"/>
      <c r="P2471" s="8"/>
    </row>
    <row r="2472" spans="1:16">
      <c r="A2472" s="336"/>
      <c r="B2472" s="337"/>
      <c r="C2472" s="337"/>
      <c r="D2472" s="3"/>
      <c r="E2472" s="337"/>
      <c r="F2472" s="338"/>
      <c r="G2472" s="248" t="str">
        <f t="shared" si="194"/>
        <v/>
      </c>
      <c r="H2472" s="1" t="b">
        <f>IF(B2472="",FALSE,COUNTIF('従業員情報(給与以外)'!$A$4:$A$1000000,$B2472)=0)</f>
        <v>0</v>
      </c>
      <c r="I2472" s="9" t="b">
        <f t="shared" si="190"/>
        <v>1</v>
      </c>
      <c r="J2472" s="9" t="b">
        <f t="shared" si="191"/>
        <v>1</v>
      </c>
      <c r="K2472" s="9" t="b">
        <f t="shared" si="192"/>
        <v>1</v>
      </c>
      <c r="L2472" s="9" t="b">
        <f t="shared" si="193"/>
        <v>1</v>
      </c>
      <c r="M2472" s="1" t="b">
        <f>IF(OR(入力シート!$C$5&lt;&gt;入力リスト!$N$4,入力シート!$J$22&lt;&gt;入力リスト!$K$4),TRUE,IF($F$2=入力リスト!$Q$4,IF(F2472-INT(F2472)&lt;0.6,TRUE,FALSE),TRUE))</f>
        <v>1</v>
      </c>
      <c r="N2472" s="9" t="str">
        <f>IF(F2472="","",IF($F$2=入力リスト!$Q$4,ROUNDDOWN(INT(F2472)+ROUNDDOWN((F2472-INT(F2472))*100,0)/60,2),従業員の給与情報!F2472))</f>
        <v/>
      </c>
      <c r="O2472" s="8"/>
      <c r="P2472" s="8"/>
    </row>
    <row r="2473" spans="1:16">
      <c r="A2473" s="336"/>
      <c r="B2473" s="337"/>
      <c r="C2473" s="337"/>
      <c r="D2473" s="3"/>
      <c r="E2473" s="337"/>
      <c r="F2473" s="338"/>
      <c r="G2473" s="248" t="str">
        <f t="shared" si="194"/>
        <v/>
      </c>
      <c r="H2473" s="1" t="b">
        <f>IF(B2473="",FALSE,COUNTIF('従業員情報(給与以外)'!$A$4:$A$1000000,$B2473)=0)</f>
        <v>0</v>
      </c>
      <c r="I2473" s="9" t="b">
        <f t="shared" si="190"/>
        <v>1</v>
      </c>
      <c r="J2473" s="9" t="b">
        <f t="shared" si="191"/>
        <v>1</v>
      </c>
      <c r="K2473" s="9" t="b">
        <f t="shared" si="192"/>
        <v>1</v>
      </c>
      <c r="L2473" s="9" t="b">
        <f t="shared" si="193"/>
        <v>1</v>
      </c>
      <c r="M2473" s="1" t="b">
        <f>IF(OR(入力シート!$C$5&lt;&gt;入力リスト!$N$4,入力シート!$J$22&lt;&gt;入力リスト!$K$4),TRUE,IF($F$2=入力リスト!$Q$4,IF(F2473-INT(F2473)&lt;0.6,TRUE,FALSE),TRUE))</f>
        <v>1</v>
      </c>
      <c r="N2473" s="9" t="str">
        <f>IF(F2473="","",IF($F$2=入力リスト!$Q$4,ROUNDDOWN(INT(F2473)+ROUNDDOWN((F2473-INT(F2473))*100,0)/60,2),従業員の給与情報!F2473))</f>
        <v/>
      </c>
      <c r="O2473" s="8"/>
      <c r="P2473" s="8"/>
    </row>
    <row r="2474" spans="1:16">
      <c r="A2474" s="336"/>
      <c r="B2474" s="337"/>
      <c r="C2474" s="337"/>
      <c r="D2474" s="3"/>
      <c r="E2474" s="337"/>
      <c r="F2474" s="338"/>
      <c r="G2474" s="248" t="str">
        <f t="shared" si="194"/>
        <v/>
      </c>
      <c r="H2474" s="1" t="b">
        <f>IF(B2474="",FALSE,COUNTIF('従業員情報(給与以外)'!$A$4:$A$1000000,$B2474)=0)</f>
        <v>0</v>
      </c>
      <c r="I2474" s="9" t="b">
        <f t="shared" si="190"/>
        <v>1</v>
      </c>
      <c r="J2474" s="9" t="b">
        <f t="shared" si="191"/>
        <v>1</v>
      </c>
      <c r="K2474" s="9" t="b">
        <f t="shared" si="192"/>
        <v>1</v>
      </c>
      <c r="L2474" s="9" t="b">
        <f t="shared" si="193"/>
        <v>1</v>
      </c>
      <c r="M2474" s="1" t="b">
        <f>IF(OR(入力シート!$C$5&lt;&gt;入力リスト!$N$4,入力シート!$J$22&lt;&gt;入力リスト!$K$4),TRUE,IF($F$2=入力リスト!$Q$4,IF(F2474-INT(F2474)&lt;0.6,TRUE,FALSE),TRUE))</f>
        <v>1</v>
      </c>
      <c r="N2474" s="9" t="str">
        <f>IF(F2474="","",IF($F$2=入力リスト!$Q$4,ROUNDDOWN(INT(F2474)+ROUNDDOWN((F2474-INT(F2474))*100,0)/60,2),従業員の給与情報!F2474))</f>
        <v/>
      </c>
      <c r="O2474" s="8"/>
      <c r="P2474" s="8"/>
    </row>
    <row r="2475" spans="1:16">
      <c r="A2475" s="336"/>
      <c r="B2475" s="337"/>
      <c r="C2475" s="337"/>
      <c r="D2475" s="3"/>
      <c r="E2475" s="337"/>
      <c r="F2475" s="338"/>
      <c r="G2475" s="248" t="str">
        <f t="shared" si="194"/>
        <v/>
      </c>
      <c r="H2475" s="1" t="b">
        <f>IF(B2475="",FALSE,COUNTIF('従業員情報(給与以外)'!$A$4:$A$1000000,$B2475)=0)</f>
        <v>0</v>
      </c>
      <c r="I2475" s="9" t="b">
        <f t="shared" si="190"/>
        <v>1</v>
      </c>
      <c r="J2475" s="9" t="b">
        <f t="shared" si="191"/>
        <v>1</v>
      </c>
      <c r="K2475" s="9" t="b">
        <f t="shared" si="192"/>
        <v>1</v>
      </c>
      <c r="L2475" s="9" t="b">
        <f t="shared" si="193"/>
        <v>1</v>
      </c>
      <c r="M2475" s="1" t="b">
        <f>IF(OR(入力シート!$C$5&lt;&gt;入力リスト!$N$4,入力シート!$J$22&lt;&gt;入力リスト!$K$4),TRUE,IF($F$2=入力リスト!$Q$4,IF(F2475-INT(F2475)&lt;0.6,TRUE,FALSE),TRUE))</f>
        <v>1</v>
      </c>
      <c r="N2475" s="9" t="str">
        <f>IF(F2475="","",IF($F$2=入力リスト!$Q$4,ROUNDDOWN(INT(F2475)+ROUNDDOWN((F2475-INT(F2475))*100,0)/60,2),従業員の給与情報!F2475))</f>
        <v/>
      </c>
      <c r="O2475" s="8"/>
      <c r="P2475" s="8"/>
    </row>
    <row r="2476" spans="1:16">
      <c r="A2476" s="336"/>
      <c r="B2476" s="337"/>
      <c r="C2476" s="337"/>
      <c r="D2476" s="3"/>
      <c r="E2476" s="337"/>
      <c r="F2476" s="338"/>
      <c r="G2476" s="248" t="str">
        <f t="shared" si="194"/>
        <v/>
      </c>
      <c r="H2476" s="1" t="b">
        <f>IF(B2476="",FALSE,COUNTIF('従業員情報(給与以外)'!$A$4:$A$1000000,$B2476)=0)</f>
        <v>0</v>
      </c>
      <c r="I2476" s="9" t="b">
        <f t="shared" si="190"/>
        <v>1</v>
      </c>
      <c r="J2476" s="9" t="b">
        <f t="shared" si="191"/>
        <v>1</v>
      </c>
      <c r="K2476" s="9" t="b">
        <f t="shared" si="192"/>
        <v>1</v>
      </c>
      <c r="L2476" s="9" t="b">
        <f t="shared" si="193"/>
        <v>1</v>
      </c>
      <c r="M2476" s="1" t="b">
        <f>IF(OR(入力シート!$C$5&lt;&gt;入力リスト!$N$4,入力シート!$J$22&lt;&gt;入力リスト!$K$4),TRUE,IF($F$2=入力リスト!$Q$4,IF(F2476-INT(F2476)&lt;0.6,TRUE,FALSE),TRUE))</f>
        <v>1</v>
      </c>
      <c r="N2476" s="9" t="str">
        <f>IF(F2476="","",IF($F$2=入力リスト!$Q$4,ROUNDDOWN(INT(F2476)+ROUNDDOWN((F2476-INT(F2476))*100,0)/60,2),従業員の給与情報!F2476))</f>
        <v/>
      </c>
      <c r="O2476" s="8"/>
      <c r="P2476" s="8"/>
    </row>
    <row r="2477" spans="1:16">
      <c r="A2477" s="336"/>
      <c r="B2477" s="337"/>
      <c r="C2477" s="337"/>
      <c r="D2477" s="3"/>
      <c r="E2477" s="337"/>
      <c r="F2477" s="338"/>
      <c r="G2477" s="248" t="str">
        <f t="shared" si="194"/>
        <v/>
      </c>
      <c r="H2477" s="1" t="b">
        <f>IF(B2477="",FALSE,COUNTIF('従業員情報(給与以外)'!$A$4:$A$1000000,$B2477)=0)</f>
        <v>0</v>
      </c>
      <c r="I2477" s="9" t="b">
        <f t="shared" si="190"/>
        <v>1</v>
      </c>
      <c r="J2477" s="9" t="b">
        <f t="shared" si="191"/>
        <v>1</v>
      </c>
      <c r="K2477" s="9" t="b">
        <f t="shared" si="192"/>
        <v>1</v>
      </c>
      <c r="L2477" s="9" t="b">
        <f t="shared" si="193"/>
        <v>1</v>
      </c>
      <c r="M2477" s="1" t="b">
        <f>IF(OR(入力シート!$C$5&lt;&gt;入力リスト!$N$4,入力シート!$J$22&lt;&gt;入力リスト!$K$4),TRUE,IF($F$2=入力リスト!$Q$4,IF(F2477-INT(F2477)&lt;0.6,TRUE,FALSE),TRUE))</f>
        <v>1</v>
      </c>
      <c r="N2477" s="9" t="str">
        <f>IF(F2477="","",IF($F$2=入力リスト!$Q$4,ROUNDDOWN(INT(F2477)+ROUNDDOWN((F2477-INT(F2477))*100,0)/60,2),従業員の給与情報!F2477))</f>
        <v/>
      </c>
      <c r="O2477" s="8"/>
      <c r="P2477" s="8"/>
    </row>
    <row r="2478" spans="1:16">
      <c r="A2478" s="336"/>
      <c r="B2478" s="337"/>
      <c r="C2478" s="337"/>
      <c r="D2478" s="3"/>
      <c r="E2478" s="337"/>
      <c r="F2478" s="338"/>
      <c r="G2478" s="248" t="str">
        <f t="shared" si="194"/>
        <v/>
      </c>
      <c r="H2478" s="1" t="b">
        <f>IF(B2478="",FALSE,COUNTIF('従業員情報(給与以外)'!$A$4:$A$1000000,$B2478)=0)</f>
        <v>0</v>
      </c>
      <c r="I2478" s="9" t="b">
        <f t="shared" si="190"/>
        <v>1</v>
      </c>
      <c r="J2478" s="9" t="b">
        <f t="shared" si="191"/>
        <v>1</v>
      </c>
      <c r="K2478" s="9" t="b">
        <f t="shared" si="192"/>
        <v>1</v>
      </c>
      <c r="L2478" s="9" t="b">
        <f t="shared" si="193"/>
        <v>1</v>
      </c>
      <c r="M2478" s="1" t="b">
        <f>IF(OR(入力シート!$C$5&lt;&gt;入力リスト!$N$4,入力シート!$J$22&lt;&gt;入力リスト!$K$4),TRUE,IF($F$2=入力リスト!$Q$4,IF(F2478-INT(F2478)&lt;0.6,TRUE,FALSE),TRUE))</f>
        <v>1</v>
      </c>
      <c r="N2478" s="9" t="str">
        <f>IF(F2478="","",IF($F$2=入力リスト!$Q$4,ROUNDDOWN(INT(F2478)+ROUNDDOWN((F2478-INT(F2478))*100,0)/60,2),従業員の給与情報!F2478))</f>
        <v/>
      </c>
      <c r="O2478" s="8"/>
      <c r="P2478" s="8"/>
    </row>
    <row r="2479" spans="1:16">
      <c r="A2479" s="336"/>
      <c r="B2479" s="337"/>
      <c r="C2479" s="337"/>
      <c r="D2479" s="3"/>
      <c r="E2479" s="337"/>
      <c r="F2479" s="338"/>
      <c r="G2479" s="248" t="str">
        <f t="shared" si="194"/>
        <v/>
      </c>
      <c r="H2479" s="1" t="b">
        <f>IF(B2479="",FALSE,COUNTIF('従業員情報(給与以外)'!$A$4:$A$1000000,$B2479)=0)</f>
        <v>0</v>
      </c>
      <c r="I2479" s="9" t="b">
        <f t="shared" si="190"/>
        <v>1</v>
      </c>
      <c r="J2479" s="9" t="b">
        <f t="shared" si="191"/>
        <v>1</v>
      </c>
      <c r="K2479" s="9" t="b">
        <f t="shared" si="192"/>
        <v>1</v>
      </c>
      <c r="L2479" s="9" t="b">
        <f t="shared" si="193"/>
        <v>1</v>
      </c>
      <c r="M2479" s="1" t="b">
        <f>IF(OR(入力シート!$C$5&lt;&gt;入力リスト!$N$4,入力シート!$J$22&lt;&gt;入力リスト!$K$4),TRUE,IF($F$2=入力リスト!$Q$4,IF(F2479-INT(F2479)&lt;0.6,TRUE,FALSE),TRUE))</f>
        <v>1</v>
      </c>
      <c r="N2479" s="9" t="str">
        <f>IF(F2479="","",IF($F$2=入力リスト!$Q$4,ROUNDDOWN(INT(F2479)+ROUNDDOWN((F2479-INT(F2479))*100,0)/60,2),従業員の給与情報!F2479))</f>
        <v/>
      </c>
      <c r="O2479" s="8"/>
      <c r="P2479" s="8"/>
    </row>
    <row r="2480" spans="1:16">
      <c r="A2480" s="336"/>
      <c r="B2480" s="337"/>
      <c r="C2480" s="337"/>
      <c r="D2480" s="3"/>
      <c r="E2480" s="337"/>
      <c r="F2480" s="338"/>
      <c r="G2480" s="248" t="str">
        <f t="shared" si="194"/>
        <v/>
      </c>
      <c r="H2480" s="1" t="b">
        <f>IF(B2480="",FALSE,COUNTIF('従業員情報(給与以外)'!$A$4:$A$1000000,$B2480)=0)</f>
        <v>0</v>
      </c>
      <c r="I2480" s="9" t="b">
        <f t="shared" si="190"/>
        <v>1</v>
      </c>
      <c r="J2480" s="9" t="b">
        <f t="shared" si="191"/>
        <v>1</v>
      </c>
      <c r="K2480" s="9" t="b">
        <f t="shared" si="192"/>
        <v>1</v>
      </c>
      <c r="L2480" s="9" t="b">
        <f t="shared" si="193"/>
        <v>1</v>
      </c>
      <c r="M2480" s="1" t="b">
        <f>IF(OR(入力シート!$C$5&lt;&gt;入力リスト!$N$4,入力シート!$J$22&lt;&gt;入力リスト!$K$4),TRUE,IF($F$2=入力リスト!$Q$4,IF(F2480-INT(F2480)&lt;0.6,TRUE,FALSE),TRUE))</f>
        <v>1</v>
      </c>
      <c r="N2480" s="9" t="str">
        <f>IF(F2480="","",IF($F$2=入力リスト!$Q$4,ROUNDDOWN(INT(F2480)+ROUNDDOWN((F2480-INT(F2480))*100,0)/60,2),従業員の給与情報!F2480))</f>
        <v/>
      </c>
      <c r="O2480" s="8"/>
      <c r="P2480" s="8"/>
    </row>
    <row r="2481" spans="1:16">
      <c r="A2481" s="336"/>
      <c r="B2481" s="337"/>
      <c r="C2481" s="337"/>
      <c r="D2481" s="3"/>
      <c r="E2481" s="337"/>
      <c r="F2481" s="338"/>
      <c r="G2481" s="248" t="str">
        <f t="shared" si="194"/>
        <v/>
      </c>
      <c r="H2481" s="1" t="b">
        <f>IF(B2481="",FALSE,COUNTIF('従業員情報(給与以外)'!$A$4:$A$1000000,$B2481)=0)</f>
        <v>0</v>
      </c>
      <c r="I2481" s="9" t="b">
        <f t="shared" si="190"/>
        <v>1</v>
      </c>
      <c r="J2481" s="9" t="b">
        <f t="shared" si="191"/>
        <v>1</v>
      </c>
      <c r="K2481" s="9" t="b">
        <f t="shared" si="192"/>
        <v>1</v>
      </c>
      <c r="L2481" s="9" t="b">
        <f t="shared" si="193"/>
        <v>1</v>
      </c>
      <c r="M2481" s="1" t="b">
        <f>IF(OR(入力シート!$C$5&lt;&gt;入力リスト!$N$4,入力シート!$J$22&lt;&gt;入力リスト!$K$4),TRUE,IF($F$2=入力リスト!$Q$4,IF(F2481-INT(F2481)&lt;0.6,TRUE,FALSE),TRUE))</f>
        <v>1</v>
      </c>
      <c r="N2481" s="9" t="str">
        <f>IF(F2481="","",IF($F$2=入力リスト!$Q$4,ROUNDDOWN(INT(F2481)+ROUNDDOWN((F2481-INT(F2481))*100,0)/60,2),従業員の給与情報!F2481))</f>
        <v/>
      </c>
      <c r="O2481" s="8"/>
      <c r="P2481" s="8"/>
    </row>
    <row r="2482" spans="1:16">
      <c r="A2482" s="336"/>
      <c r="B2482" s="337"/>
      <c r="C2482" s="337"/>
      <c r="D2482" s="3"/>
      <c r="E2482" s="337"/>
      <c r="F2482" s="338"/>
      <c r="G2482" s="248" t="str">
        <f t="shared" si="194"/>
        <v/>
      </c>
      <c r="H2482" s="1" t="b">
        <f>IF(B2482="",FALSE,COUNTIF('従業員情報(給与以外)'!$A$4:$A$1000000,$B2482)=0)</f>
        <v>0</v>
      </c>
      <c r="I2482" s="9" t="b">
        <f t="shared" ref="I2482:I2502" si="195">OR(C2482="",ISNUMBER(C2482))</f>
        <v>1</v>
      </c>
      <c r="J2482" s="9" t="b">
        <f t="shared" ref="J2482:J2502" si="196">OR(D2482="",ISNUMBER(D2482))</f>
        <v>1</v>
      </c>
      <c r="K2482" s="9" t="b">
        <f t="shared" ref="K2482:K2502" si="197">OR(E2482="",ISNUMBER(E2482))</f>
        <v>1</v>
      </c>
      <c r="L2482" s="9" t="b">
        <f t="shared" ref="L2482:L2502" si="198">OR(F2482="",ISNUMBER(F2482))</f>
        <v>1</v>
      </c>
      <c r="M2482" s="1" t="b">
        <f>IF(OR(入力シート!$C$5&lt;&gt;入力リスト!$N$4,入力シート!$J$22&lt;&gt;入力リスト!$K$4),TRUE,IF($F$2=入力リスト!$Q$4,IF(F2482-INT(F2482)&lt;0.6,TRUE,FALSE),TRUE))</f>
        <v>1</v>
      </c>
      <c r="N2482" s="9" t="str">
        <f>IF(F2482="","",IF($F$2=入力リスト!$Q$4,ROUNDDOWN(INT(F2482)+ROUNDDOWN((F2482-INT(F2482))*100,0)/60,2),従業員の給与情報!F2482))</f>
        <v/>
      </c>
      <c r="O2482" s="8"/>
      <c r="P2482" s="8"/>
    </row>
    <row r="2483" spans="1:16">
      <c r="A2483" s="336"/>
      <c r="B2483" s="337"/>
      <c r="C2483" s="337"/>
      <c r="D2483" s="3"/>
      <c r="E2483" s="337"/>
      <c r="F2483" s="338"/>
      <c r="G2483" s="248" t="str">
        <f t="shared" si="194"/>
        <v/>
      </c>
      <c r="H2483" s="1" t="b">
        <f>IF(B2483="",FALSE,COUNTIF('従業員情報(給与以外)'!$A$4:$A$1000000,$B2483)=0)</f>
        <v>0</v>
      </c>
      <c r="I2483" s="9" t="b">
        <f t="shared" si="195"/>
        <v>1</v>
      </c>
      <c r="J2483" s="9" t="b">
        <f t="shared" si="196"/>
        <v>1</v>
      </c>
      <c r="K2483" s="9" t="b">
        <f t="shared" si="197"/>
        <v>1</v>
      </c>
      <c r="L2483" s="9" t="b">
        <f t="shared" si="198"/>
        <v>1</v>
      </c>
      <c r="M2483" s="1" t="b">
        <f>IF(OR(入力シート!$C$5&lt;&gt;入力リスト!$N$4,入力シート!$J$22&lt;&gt;入力リスト!$K$4),TRUE,IF($F$2=入力リスト!$Q$4,IF(F2483-INT(F2483)&lt;0.6,TRUE,FALSE),TRUE))</f>
        <v>1</v>
      </c>
      <c r="N2483" s="9" t="str">
        <f>IF(F2483="","",IF($F$2=入力リスト!$Q$4,ROUNDDOWN(INT(F2483)+ROUNDDOWN((F2483-INT(F2483))*100,0)/60,2),従業員の給与情報!F2483))</f>
        <v/>
      </c>
      <c r="O2483" s="8"/>
      <c r="P2483" s="8"/>
    </row>
    <row r="2484" spans="1:16">
      <c r="A2484" s="336"/>
      <c r="B2484" s="337"/>
      <c r="C2484" s="337"/>
      <c r="D2484" s="3"/>
      <c r="E2484" s="337"/>
      <c r="F2484" s="338"/>
      <c r="G2484" s="248" t="str">
        <f t="shared" si="194"/>
        <v/>
      </c>
      <c r="H2484" s="1" t="b">
        <f>IF(B2484="",FALSE,COUNTIF('従業員情報(給与以外)'!$A$4:$A$1000000,$B2484)=0)</f>
        <v>0</v>
      </c>
      <c r="I2484" s="9" t="b">
        <f t="shared" si="195"/>
        <v>1</v>
      </c>
      <c r="J2484" s="9" t="b">
        <f t="shared" si="196"/>
        <v>1</v>
      </c>
      <c r="K2484" s="9" t="b">
        <f t="shared" si="197"/>
        <v>1</v>
      </c>
      <c r="L2484" s="9" t="b">
        <f t="shared" si="198"/>
        <v>1</v>
      </c>
      <c r="M2484" s="1" t="b">
        <f>IF(OR(入力シート!$C$5&lt;&gt;入力リスト!$N$4,入力シート!$J$22&lt;&gt;入力リスト!$K$4),TRUE,IF($F$2=入力リスト!$Q$4,IF(F2484-INT(F2484)&lt;0.6,TRUE,FALSE),TRUE))</f>
        <v>1</v>
      </c>
      <c r="N2484" s="9" t="str">
        <f>IF(F2484="","",IF($F$2=入力リスト!$Q$4,ROUNDDOWN(INT(F2484)+ROUNDDOWN((F2484-INT(F2484))*100,0)/60,2),従業員の給与情報!F2484))</f>
        <v/>
      </c>
      <c r="O2484" s="8"/>
      <c r="P2484" s="8"/>
    </row>
    <row r="2485" spans="1:16">
      <c r="A2485" s="336"/>
      <c r="B2485" s="337"/>
      <c r="C2485" s="337"/>
      <c r="D2485" s="3"/>
      <c r="E2485" s="337"/>
      <c r="F2485" s="338"/>
      <c r="G2485" s="248" t="str">
        <f t="shared" si="194"/>
        <v/>
      </c>
      <c r="H2485" s="1" t="b">
        <f>IF(B2485="",FALSE,COUNTIF('従業員情報(給与以外)'!$A$4:$A$1000000,$B2485)=0)</f>
        <v>0</v>
      </c>
      <c r="I2485" s="9" t="b">
        <f t="shared" si="195"/>
        <v>1</v>
      </c>
      <c r="J2485" s="9" t="b">
        <f t="shared" si="196"/>
        <v>1</v>
      </c>
      <c r="K2485" s="9" t="b">
        <f t="shared" si="197"/>
        <v>1</v>
      </c>
      <c r="L2485" s="9" t="b">
        <f t="shared" si="198"/>
        <v>1</v>
      </c>
      <c r="M2485" s="1" t="b">
        <f>IF(OR(入力シート!$C$5&lt;&gt;入力リスト!$N$4,入力シート!$J$22&lt;&gt;入力リスト!$K$4),TRUE,IF($F$2=入力リスト!$Q$4,IF(F2485-INT(F2485)&lt;0.6,TRUE,FALSE),TRUE))</f>
        <v>1</v>
      </c>
      <c r="N2485" s="9" t="str">
        <f>IF(F2485="","",IF($F$2=入力リスト!$Q$4,ROUNDDOWN(INT(F2485)+ROUNDDOWN((F2485-INT(F2485))*100,0)/60,2),従業員の給与情報!F2485))</f>
        <v/>
      </c>
      <c r="O2485" s="8"/>
      <c r="P2485" s="8"/>
    </row>
    <row r="2486" spans="1:16">
      <c r="A2486" s="336"/>
      <c r="B2486" s="337"/>
      <c r="C2486" s="337"/>
      <c r="D2486" s="3"/>
      <c r="E2486" s="337"/>
      <c r="F2486" s="338"/>
      <c r="G2486" s="248" t="str">
        <f t="shared" si="194"/>
        <v/>
      </c>
      <c r="H2486" s="1" t="b">
        <f>IF(B2486="",FALSE,COUNTIF('従業員情報(給与以外)'!$A$4:$A$1000000,$B2486)=0)</f>
        <v>0</v>
      </c>
      <c r="I2486" s="9" t="b">
        <f t="shared" si="195"/>
        <v>1</v>
      </c>
      <c r="J2486" s="9" t="b">
        <f t="shared" si="196"/>
        <v>1</v>
      </c>
      <c r="K2486" s="9" t="b">
        <f t="shared" si="197"/>
        <v>1</v>
      </c>
      <c r="L2486" s="9" t="b">
        <f t="shared" si="198"/>
        <v>1</v>
      </c>
      <c r="M2486" s="1" t="b">
        <f>IF(OR(入力シート!$C$5&lt;&gt;入力リスト!$N$4,入力シート!$J$22&lt;&gt;入力リスト!$K$4),TRUE,IF($F$2=入力リスト!$Q$4,IF(F2486-INT(F2486)&lt;0.6,TRUE,FALSE),TRUE))</f>
        <v>1</v>
      </c>
      <c r="N2486" s="9" t="str">
        <f>IF(F2486="","",IF($F$2=入力リスト!$Q$4,ROUNDDOWN(INT(F2486)+ROUNDDOWN((F2486-INT(F2486))*100,0)/60,2),従業員の給与情報!F2486))</f>
        <v/>
      </c>
      <c r="O2486" s="8"/>
      <c r="P2486" s="8"/>
    </row>
    <row r="2487" spans="1:16">
      <c r="A2487" s="336"/>
      <c r="B2487" s="337"/>
      <c r="C2487" s="337"/>
      <c r="D2487" s="3"/>
      <c r="E2487" s="337"/>
      <c r="F2487" s="338"/>
      <c r="G2487" s="248" t="str">
        <f t="shared" si="194"/>
        <v/>
      </c>
      <c r="H2487" s="1" t="b">
        <f>IF(B2487="",FALSE,COUNTIF('従業員情報(給与以外)'!$A$4:$A$1000000,$B2487)=0)</f>
        <v>0</v>
      </c>
      <c r="I2487" s="9" t="b">
        <f t="shared" si="195"/>
        <v>1</v>
      </c>
      <c r="J2487" s="9" t="b">
        <f t="shared" si="196"/>
        <v>1</v>
      </c>
      <c r="K2487" s="9" t="b">
        <f t="shared" si="197"/>
        <v>1</v>
      </c>
      <c r="L2487" s="9" t="b">
        <f t="shared" si="198"/>
        <v>1</v>
      </c>
      <c r="M2487" s="1" t="b">
        <f>IF(OR(入力シート!$C$5&lt;&gt;入力リスト!$N$4,入力シート!$J$22&lt;&gt;入力リスト!$K$4),TRUE,IF($F$2=入力リスト!$Q$4,IF(F2487-INT(F2487)&lt;0.6,TRUE,FALSE),TRUE))</f>
        <v>1</v>
      </c>
      <c r="N2487" s="9" t="str">
        <f>IF(F2487="","",IF($F$2=入力リスト!$Q$4,ROUNDDOWN(INT(F2487)+ROUNDDOWN((F2487-INT(F2487))*100,0)/60,2),従業員の給与情報!F2487))</f>
        <v/>
      </c>
      <c r="O2487" s="8"/>
      <c r="P2487" s="8"/>
    </row>
    <row r="2488" spans="1:16">
      <c r="A2488" s="336"/>
      <c r="B2488" s="337"/>
      <c r="C2488" s="337"/>
      <c r="D2488" s="3"/>
      <c r="E2488" s="337"/>
      <c r="F2488" s="338"/>
      <c r="G2488" s="248" t="str">
        <f t="shared" si="194"/>
        <v/>
      </c>
      <c r="H2488" s="1" t="b">
        <f>IF(B2488="",FALSE,COUNTIF('従業員情報(給与以外)'!$A$4:$A$1000000,$B2488)=0)</f>
        <v>0</v>
      </c>
      <c r="I2488" s="9" t="b">
        <f t="shared" si="195"/>
        <v>1</v>
      </c>
      <c r="J2488" s="9" t="b">
        <f t="shared" si="196"/>
        <v>1</v>
      </c>
      <c r="K2488" s="9" t="b">
        <f t="shared" si="197"/>
        <v>1</v>
      </c>
      <c r="L2488" s="9" t="b">
        <f t="shared" si="198"/>
        <v>1</v>
      </c>
      <c r="M2488" s="1" t="b">
        <f>IF(OR(入力シート!$C$5&lt;&gt;入力リスト!$N$4,入力シート!$J$22&lt;&gt;入力リスト!$K$4),TRUE,IF($F$2=入力リスト!$Q$4,IF(F2488-INT(F2488)&lt;0.6,TRUE,FALSE),TRUE))</f>
        <v>1</v>
      </c>
      <c r="N2488" s="9" t="str">
        <f>IF(F2488="","",IF($F$2=入力リスト!$Q$4,ROUNDDOWN(INT(F2488)+ROUNDDOWN((F2488-INT(F2488))*100,0)/60,2),従業員の給与情報!F2488))</f>
        <v/>
      </c>
      <c r="O2488" s="8"/>
      <c r="P2488" s="8"/>
    </row>
    <row r="2489" spans="1:16">
      <c r="A2489" s="336"/>
      <c r="B2489" s="337"/>
      <c r="C2489" s="337"/>
      <c r="D2489" s="3"/>
      <c r="E2489" s="337"/>
      <c r="F2489" s="338"/>
      <c r="G2489" s="248" t="str">
        <f t="shared" si="194"/>
        <v/>
      </c>
      <c r="H2489" s="1" t="b">
        <f>IF(B2489="",FALSE,COUNTIF('従業員情報(給与以外)'!$A$4:$A$1000000,$B2489)=0)</f>
        <v>0</v>
      </c>
      <c r="I2489" s="9" t="b">
        <f t="shared" si="195"/>
        <v>1</v>
      </c>
      <c r="J2489" s="9" t="b">
        <f t="shared" si="196"/>
        <v>1</v>
      </c>
      <c r="K2489" s="9" t="b">
        <f t="shared" si="197"/>
        <v>1</v>
      </c>
      <c r="L2489" s="9" t="b">
        <f t="shared" si="198"/>
        <v>1</v>
      </c>
      <c r="M2489" s="1" t="b">
        <f>IF(OR(入力シート!$C$5&lt;&gt;入力リスト!$N$4,入力シート!$J$22&lt;&gt;入力リスト!$K$4),TRUE,IF($F$2=入力リスト!$Q$4,IF(F2489-INT(F2489)&lt;0.6,TRUE,FALSE),TRUE))</f>
        <v>1</v>
      </c>
      <c r="N2489" s="9" t="str">
        <f>IF(F2489="","",IF($F$2=入力リスト!$Q$4,ROUNDDOWN(INT(F2489)+ROUNDDOWN((F2489-INT(F2489))*100,0)/60,2),従業員の給与情報!F2489))</f>
        <v/>
      </c>
      <c r="O2489" s="8"/>
      <c r="P2489" s="8"/>
    </row>
    <row r="2490" spans="1:16">
      <c r="A2490" s="336"/>
      <c r="B2490" s="337"/>
      <c r="C2490" s="337"/>
      <c r="D2490" s="3"/>
      <c r="E2490" s="337"/>
      <c r="F2490" s="338"/>
      <c r="G2490" s="248" t="str">
        <f t="shared" si="194"/>
        <v/>
      </c>
      <c r="H2490" s="1" t="b">
        <f>IF(B2490="",FALSE,COUNTIF('従業員情報(給与以外)'!$A$4:$A$1000000,$B2490)=0)</f>
        <v>0</v>
      </c>
      <c r="I2490" s="9" t="b">
        <f t="shared" si="195"/>
        <v>1</v>
      </c>
      <c r="J2490" s="9" t="b">
        <f t="shared" si="196"/>
        <v>1</v>
      </c>
      <c r="K2490" s="9" t="b">
        <f t="shared" si="197"/>
        <v>1</v>
      </c>
      <c r="L2490" s="9" t="b">
        <f t="shared" si="198"/>
        <v>1</v>
      </c>
      <c r="M2490" s="1" t="b">
        <f>IF(OR(入力シート!$C$5&lt;&gt;入力リスト!$N$4,入力シート!$J$22&lt;&gt;入力リスト!$K$4),TRUE,IF($F$2=入力リスト!$Q$4,IF(F2490-INT(F2490)&lt;0.6,TRUE,FALSE),TRUE))</f>
        <v>1</v>
      </c>
      <c r="N2490" s="9" t="str">
        <f>IF(F2490="","",IF($F$2=入力リスト!$Q$4,ROUNDDOWN(INT(F2490)+ROUNDDOWN((F2490-INT(F2490))*100,0)/60,2),従業員の給与情報!F2490))</f>
        <v/>
      </c>
      <c r="O2490" s="8"/>
      <c r="P2490" s="8"/>
    </row>
    <row r="2491" spans="1:16">
      <c r="A2491" s="336"/>
      <c r="B2491" s="337"/>
      <c r="C2491" s="337"/>
      <c r="D2491" s="3"/>
      <c r="E2491" s="337"/>
      <c r="F2491" s="338"/>
      <c r="G2491" s="248" t="str">
        <f t="shared" si="194"/>
        <v/>
      </c>
      <c r="H2491" s="1" t="b">
        <f>IF(B2491="",FALSE,COUNTIF('従業員情報(給与以外)'!$A$4:$A$1000000,$B2491)=0)</f>
        <v>0</v>
      </c>
      <c r="I2491" s="9" t="b">
        <f t="shared" si="195"/>
        <v>1</v>
      </c>
      <c r="J2491" s="9" t="b">
        <f t="shared" si="196"/>
        <v>1</v>
      </c>
      <c r="K2491" s="9" t="b">
        <f t="shared" si="197"/>
        <v>1</v>
      </c>
      <c r="L2491" s="9" t="b">
        <f t="shared" si="198"/>
        <v>1</v>
      </c>
      <c r="M2491" s="1" t="b">
        <f>IF(OR(入力シート!$C$5&lt;&gt;入力リスト!$N$4,入力シート!$J$22&lt;&gt;入力リスト!$K$4),TRUE,IF($F$2=入力リスト!$Q$4,IF(F2491-INT(F2491)&lt;0.6,TRUE,FALSE),TRUE))</f>
        <v>1</v>
      </c>
      <c r="N2491" s="9" t="str">
        <f>IF(F2491="","",IF($F$2=入力リスト!$Q$4,ROUNDDOWN(INT(F2491)+ROUNDDOWN((F2491-INT(F2491))*100,0)/60,2),従業員の給与情報!F2491))</f>
        <v/>
      </c>
      <c r="O2491" s="8"/>
      <c r="P2491" s="8"/>
    </row>
    <row r="2492" spans="1:16">
      <c r="A2492" s="336"/>
      <c r="B2492" s="337"/>
      <c r="C2492" s="337"/>
      <c r="D2492" s="3"/>
      <c r="E2492" s="337"/>
      <c r="F2492" s="338"/>
      <c r="G2492" s="248" t="str">
        <f t="shared" si="194"/>
        <v/>
      </c>
      <c r="H2492" s="1" t="b">
        <f>IF(B2492="",FALSE,COUNTIF('従業員情報(給与以外)'!$A$4:$A$1000000,$B2492)=0)</f>
        <v>0</v>
      </c>
      <c r="I2492" s="9" t="b">
        <f t="shared" si="195"/>
        <v>1</v>
      </c>
      <c r="J2492" s="9" t="b">
        <f t="shared" si="196"/>
        <v>1</v>
      </c>
      <c r="K2492" s="9" t="b">
        <f t="shared" si="197"/>
        <v>1</v>
      </c>
      <c r="L2492" s="9" t="b">
        <f t="shared" si="198"/>
        <v>1</v>
      </c>
      <c r="M2492" s="1" t="b">
        <f>IF(OR(入力シート!$C$5&lt;&gt;入力リスト!$N$4,入力シート!$J$22&lt;&gt;入力リスト!$K$4),TRUE,IF($F$2=入力リスト!$Q$4,IF(F2492-INT(F2492)&lt;0.6,TRUE,FALSE),TRUE))</f>
        <v>1</v>
      </c>
      <c r="N2492" s="9" t="str">
        <f>IF(F2492="","",IF($F$2=入力リスト!$Q$4,ROUNDDOWN(INT(F2492)+ROUNDDOWN((F2492-INT(F2492))*100,0)/60,2),従業員の給与情報!F2492))</f>
        <v/>
      </c>
      <c r="O2492" s="8"/>
      <c r="P2492" s="8"/>
    </row>
    <row r="2493" spans="1:16">
      <c r="A2493" s="336"/>
      <c r="B2493" s="337"/>
      <c r="C2493" s="337"/>
      <c r="D2493" s="3"/>
      <c r="E2493" s="337"/>
      <c r="F2493" s="338"/>
      <c r="G2493" s="248" t="str">
        <f t="shared" si="194"/>
        <v/>
      </c>
      <c r="H2493" s="1" t="b">
        <f>IF(B2493="",FALSE,COUNTIF('従業員情報(給与以外)'!$A$4:$A$1000000,$B2493)=0)</f>
        <v>0</v>
      </c>
      <c r="I2493" s="9" t="b">
        <f t="shared" si="195"/>
        <v>1</v>
      </c>
      <c r="J2493" s="9" t="b">
        <f t="shared" si="196"/>
        <v>1</v>
      </c>
      <c r="K2493" s="9" t="b">
        <f t="shared" si="197"/>
        <v>1</v>
      </c>
      <c r="L2493" s="9" t="b">
        <f t="shared" si="198"/>
        <v>1</v>
      </c>
      <c r="M2493" s="1" t="b">
        <f>IF(OR(入力シート!$C$5&lt;&gt;入力リスト!$N$4,入力シート!$J$22&lt;&gt;入力リスト!$K$4),TRUE,IF($F$2=入力リスト!$Q$4,IF(F2493-INT(F2493)&lt;0.6,TRUE,FALSE),TRUE))</f>
        <v>1</v>
      </c>
      <c r="N2493" s="9" t="str">
        <f>IF(F2493="","",IF($F$2=入力リスト!$Q$4,ROUNDDOWN(INT(F2493)+ROUNDDOWN((F2493-INT(F2493))*100,0)/60,2),従業員の給与情報!F2493))</f>
        <v/>
      </c>
      <c r="O2493" s="8"/>
      <c r="P2493" s="8"/>
    </row>
    <row r="2494" spans="1:16">
      <c r="A2494" s="336"/>
      <c r="B2494" s="337"/>
      <c r="C2494" s="337"/>
      <c r="D2494" s="3"/>
      <c r="E2494" s="337"/>
      <c r="F2494" s="338"/>
      <c r="G2494" s="248" t="str">
        <f t="shared" si="194"/>
        <v/>
      </c>
      <c r="H2494" s="1" t="b">
        <f>IF(B2494="",FALSE,COUNTIF('従業員情報(給与以外)'!$A$4:$A$1000000,$B2494)=0)</f>
        <v>0</v>
      </c>
      <c r="I2494" s="9" t="b">
        <f t="shared" si="195"/>
        <v>1</v>
      </c>
      <c r="J2494" s="9" t="b">
        <f t="shared" si="196"/>
        <v>1</v>
      </c>
      <c r="K2494" s="9" t="b">
        <f t="shared" si="197"/>
        <v>1</v>
      </c>
      <c r="L2494" s="9" t="b">
        <f t="shared" si="198"/>
        <v>1</v>
      </c>
      <c r="M2494" s="1" t="b">
        <f>IF(OR(入力シート!$C$5&lt;&gt;入力リスト!$N$4,入力シート!$J$22&lt;&gt;入力リスト!$K$4),TRUE,IF($F$2=入力リスト!$Q$4,IF(F2494-INT(F2494)&lt;0.6,TRUE,FALSE),TRUE))</f>
        <v>1</v>
      </c>
      <c r="N2494" s="9" t="str">
        <f>IF(F2494="","",IF($F$2=入力リスト!$Q$4,ROUNDDOWN(INT(F2494)+ROUNDDOWN((F2494-INT(F2494))*100,0)/60,2),従業員の給与情報!F2494))</f>
        <v/>
      </c>
      <c r="O2494" s="8"/>
      <c r="P2494" s="8"/>
    </row>
    <row r="2495" spans="1:16">
      <c r="A2495" s="336"/>
      <c r="B2495" s="337"/>
      <c r="C2495" s="337"/>
      <c r="D2495" s="3"/>
      <c r="E2495" s="337"/>
      <c r="F2495" s="338"/>
      <c r="G2495" s="248" t="str">
        <f t="shared" si="194"/>
        <v/>
      </c>
      <c r="H2495" s="1" t="b">
        <f>IF(B2495="",FALSE,COUNTIF('従業員情報(給与以外)'!$A$4:$A$1000000,$B2495)=0)</f>
        <v>0</v>
      </c>
      <c r="I2495" s="9" t="b">
        <f t="shared" si="195"/>
        <v>1</v>
      </c>
      <c r="J2495" s="9" t="b">
        <f t="shared" si="196"/>
        <v>1</v>
      </c>
      <c r="K2495" s="9" t="b">
        <f t="shared" si="197"/>
        <v>1</v>
      </c>
      <c r="L2495" s="9" t="b">
        <f t="shared" si="198"/>
        <v>1</v>
      </c>
      <c r="M2495" s="1" t="b">
        <f>IF(OR(入力シート!$C$5&lt;&gt;入力リスト!$N$4,入力シート!$J$22&lt;&gt;入力リスト!$K$4),TRUE,IF($F$2=入力リスト!$Q$4,IF(F2495-INT(F2495)&lt;0.6,TRUE,FALSE),TRUE))</f>
        <v>1</v>
      </c>
      <c r="N2495" s="9" t="str">
        <f>IF(F2495="","",IF($F$2=入力リスト!$Q$4,ROUNDDOWN(INT(F2495)+ROUNDDOWN((F2495-INT(F2495))*100,0)/60,2),従業員の給与情報!F2495))</f>
        <v/>
      </c>
      <c r="O2495" s="8"/>
      <c r="P2495" s="8"/>
    </row>
    <row r="2496" spans="1:16">
      <c r="A2496" s="336"/>
      <c r="B2496" s="337"/>
      <c r="C2496" s="337"/>
      <c r="D2496" s="3"/>
      <c r="E2496" s="337"/>
      <c r="F2496" s="338"/>
      <c r="G2496" s="248" t="str">
        <f t="shared" si="194"/>
        <v/>
      </c>
      <c r="H2496" s="1" t="b">
        <f>IF(B2496="",FALSE,COUNTIF('従業員情報(給与以外)'!$A$4:$A$1000000,$B2496)=0)</f>
        <v>0</v>
      </c>
      <c r="I2496" s="9" t="b">
        <f t="shared" si="195"/>
        <v>1</v>
      </c>
      <c r="J2496" s="9" t="b">
        <f t="shared" si="196"/>
        <v>1</v>
      </c>
      <c r="K2496" s="9" t="b">
        <f t="shared" si="197"/>
        <v>1</v>
      </c>
      <c r="L2496" s="9" t="b">
        <f t="shared" si="198"/>
        <v>1</v>
      </c>
      <c r="M2496" s="1" t="b">
        <f>IF(OR(入力シート!$C$5&lt;&gt;入力リスト!$N$4,入力シート!$J$22&lt;&gt;入力リスト!$K$4),TRUE,IF($F$2=入力リスト!$Q$4,IF(F2496-INT(F2496)&lt;0.6,TRUE,FALSE),TRUE))</f>
        <v>1</v>
      </c>
      <c r="N2496" s="9" t="str">
        <f>IF(F2496="","",IF($F$2=入力リスト!$Q$4,ROUNDDOWN(INT(F2496)+ROUNDDOWN((F2496-INT(F2496))*100,0)/60,2),従業員の給与情報!F2496))</f>
        <v/>
      </c>
      <c r="O2496" s="8"/>
      <c r="P2496" s="8"/>
    </row>
    <row r="2497" spans="1:16">
      <c r="A2497" s="336"/>
      <c r="B2497" s="337"/>
      <c r="C2497" s="337"/>
      <c r="D2497" s="3"/>
      <c r="E2497" s="337"/>
      <c r="F2497" s="338"/>
      <c r="G2497" s="248" t="str">
        <f t="shared" si="194"/>
        <v/>
      </c>
      <c r="H2497" s="1" t="b">
        <f>IF(B2497="",FALSE,COUNTIF('従業員情報(給与以外)'!$A$4:$A$1000000,$B2497)=0)</f>
        <v>0</v>
      </c>
      <c r="I2497" s="9" t="b">
        <f t="shared" si="195"/>
        <v>1</v>
      </c>
      <c r="J2497" s="9" t="b">
        <f t="shared" si="196"/>
        <v>1</v>
      </c>
      <c r="K2497" s="9" t="b">
        <f t="shared" si="197"/>
        <v>1</v>
      </c>
      <c r="L2497" s="9" t="b">
        <f t="shared" si="198"/>
        <v>1</v>
      </c>
      <c r="M2497" s="1" t="b">
        <f>IF(OR(入力シート!$C$5&lt;&gt;入力リスト!$N$4,入力シート!$J$22&lt;&gt;入力リスト!$K$4),TRUE,IF($F$2=入力リスト!$Q$4,IF(F2497-INT(F2497)&lt;0.6,TRUE,FALSE),TRUE))</f>
        <v>1</v>
      </c>
      <c r="N2497" s="9" t="str">
        <f>IF(F2497="","",IF($F$2=入力リスト!$Q$4,ROUNDDOWN(INT(F2497)+ROUNDDOWN((F2497-INT(F2497))*100,0)/60,2),従業員の給与情報!F2497))</f>
        <v/>
      </c>
      <c r="O2497" s="8"/>
      <c r="P2497" s="8"/>
    </row>
    <row r="2498" spans="1:16">
      <c r="A2498" s="336"/>
      <c r="B2498" s="337"/>
      <c r="C2498" s="337"/>
      <c r="D2498" s="3"/>
      <c r="E2498" s="337"/>
      <c r="F2498" s="338"/>
      <c r="G2498" s="248" t="str">
        <f t="shared" si="194"/>
        <v/>
      </c>
      <c r="H2498" s="1" t="b">
        <f>IF(B2498="",FALSE,COUNTIF('従業員情報(給与以外)'!$A$4:$A$1000000,$B2498)=0)</f>
        <v>0</v>
      </c>
      <c r="I2498" s="9" t="b">
        <f t="shared" si="195"/>
        <v>1</v>
      </c>
      <c r="J2498" s="9" t="b">
        <f t="shared" si="196"/>
        <v>1</v>
      </c>
      <c r="K2498" s="9" t="b">
        <f t="shared" si="197"/>
        <v>1</v>
      </c>
      <c r="L2498" s="9" t="b">
        <f t="shared" si="198"/>
        <v>1</v>
      </c>
      <c r="M2498" s="1" t="b">
        <f>IF(OR(入力シート!$C$5&lt;&gt;入力リスト!$N$4,入力シート!$J$22&lt;&gt;入力リスト!$K$4),TRUE,IF($F$2=入力リスト!$Q$4,IF(F2498-INT(F2498)&lt;0.6,TRUE,FALSE),TRUE))</f>
        <v>1</v>
      </c>
      <c r="N2498" s="9" t="str">
        <f>IF(F2498="","",IF($F$2=入力リスト!$Q$4,ROUNDDOWN(INT(F2498)+ROUNDDOWN((F2498-INT(F2498))*100,0)/60,2),従業員の給与情報!F2498))</f>
        <v/>
      </c>
      <c r="O2498" s="8"/>
      <c r="P2498" s="8"/>
    </row>
    <row r="2499" spans="1:16">
      <c r="A2499" s="336"/>
      <c r="B2499" s="337"/>
      <c r="C2499" s="337"/>
      <c r="D2499" s="3"/>
      <c r="E2499" s="337"/>
      <c r="F2499" s="338"/>
      <c r="G2499" s="248" t="str">
        <f t="shared" si="194"/>
        <v/>
      </c>
      <c r="H2499" s="1" t="b">
        <f>IF(B2499="",FALSE,COUNTIF('従業員情報(給与以外)'!$A$4:$A$1000000,$B2499)=0)</f>
        <v>0</v>
      </c>
      <c r="I2499" s="9" t="b">
        <f t="shared" si="195"/>
        <v>1</v>
      </c>
      <c r="J2499" s="9" t="b">
        <f t="shared" si="196"/>
        <v>1</v>
      </c>
      <c r="K2499" s="9" t="b">
        <f t="shared" si="197"/>
        <v>1</v>
      </c>
      <c r="L2499" s="9" t="b">
        <f t="shared" si="198"/>
        <v>1</v>
      </c>
      <c r="M2499" s="1" t="b">
        <f>IF(OR(入力シート!$C$5&lt;&gt;入力リスト!$N$4,入力シート!$J$22&lt;&gt;入力リスト!$K$4),TRUE,IF($F$2=入力リスト!$Q$4,IF(F2499-INT(F2499)&lt;0.6,TRUE,FALSE),TRUE))</f>
        <v>1</v>
      </c>
      <c r="N2499" s="9" t="str">
        <f>IF(F2499="","",IF($F$2=入力リスト!$Q$4,ROUNDDOWN(INT(F2499)+ROUNDDOWN((F2499-INT(F2499))*100,0)/60,2),従業員の給与情報!F2499))</f>
        <v/>
      </c>
      <c r="O2499" s="8"/>
      <c r="P2499" s="8"/>
    </row>
    <row r="2500" spans="1:16">
      <c r="A2500" s="336"/>
      <c r="B2500" s="337"/>
      <c r="C2500" s="337"/>
      <c r="D2500" s="3"/>
      <c r="E2500" s="337"/>
      <c r="F2500" s="338"/>
      <c r="G2500" s="248" t="str">
        <f t="shared" si="194"/>
        <v/>
      </c>
      <c r="H2500" s="1" t="b">
        <f>IF(B2500="",FALSE,COUNTIF('従業員情報(給与以外)'!$A$4:$A$1000000,$B2500)=0)</f>
        <v>0</v>
      </c>
      <c r="I2500" s="9" t="b">
        <f t="shared" si="195"/>
        <v>1</v>
      </c>
      <c r="J2500" s="9" t="b">
        <f t="shared" si="196"/>
        <v>1</v>
      </c>
      <c r="K2500" s="9" t="b">
        <f t="shared" si="197"/>
        <v>1</v>
      </c>
      <c r="L2500" s="9" t="b">
        <f t="shared" si="198"/>
        <v>1</v>
      </c>
      <c r="M2500" s="1" t="b">
        <f>IF(OR(入力シート!$C$5&lt;&gt;入力リスト!$N$4,入力シート!$J$22&lt;&gt;入力リスト!$K$4),TRUE,IF($F$2=入力リスト!$Q$4,IF(F2500-INT(F2500)&lt;0.6,TRUE,FALSE),TRUE))</f>
        <v>1</v>
      </c>
      <c r="N2500" s="9" t="str">
        <f>IF(F2500="","",IF($F$2=入力リスト!$Q$4,ROUNDDOWN(INT(F2500)+ROUNDDOWN((F2500-INT(F2500))*100,0)/60,2),従業員の給与情報!F2500))</f>
        <v/>
      </c>
      <c r="O2500" s="8"/>
      <c r="P2500" s="8"/>
    </row>
    <row r="2501" spans="1:16">
      <c r="A2501" s="336"/>
      <c r="B2501" s="337"/>
      <c r="C2501" s="337"/>
      <c r="D2501" s="3"/>
      <c r="E2501" s="337"/>
      <c r="F2501" s="338"/>
      <c r="G2501" s="248" t="str">
        <f>IF(AND($B2501="",OR(B2501&lt;&gt;"",C2501&lt;&gt;"",D2501&lt;&gt;"",E2501&lt;&gt;"",F2501&lt;&gt;"")),"従業員番号が空白です。",IF($H2501=TRUE,"この従業員番号は、シート［従業員情報（給与以外）］に存在しません。",IF(I2501=FALSE,"「毎月の固定給与額」","")&amp;IF(AND(I2501=FALSE,OR(J2501=FALSE,K2501=FALSE,L2501=FALSE)),",","")&amp;IF(J2501=FALSE,"「賞与額等」","")&amp;IF(AND(J2501=FALSE,OR(K2501=FALSE,L2501=FALSE)),",","")&amp;IF(K2501=FALSE,"「残業手当」","")&amp;IF(AND(K2501=FALSE,L2501=FALSE),",","")&amp;IF(L2501=FALSE,"「残業時間」","")&amp;IF(OR(I2501=FALSE,J2501=FALSE,K2501=FALSE,L2501=FALSE),"に数値以外が入力されています。","")&amp;IF(M2501,"","「残業時間」を分単位で入力した場合、小数点以下の値は0.6未満にしてください。")))</f>
        <v/>
      </c>
      <c r="H2501" s="1" t="b">
        <f>IF(B2501="",FALSE,COUNTIF('従業員情報(給与以外)'!$A$4:$A$1000000,$B2501)=0)</f>
        <v>0</v>
      </c>
      <c r="I2501" s="9" t="b">
        <f t="shared" si="195"/>
        <v>1</v>
      </c>
      <c r="J2501" s="9" t="b">
        <f t="shared" si="196"/>
        <v>1</v>
      </c>
      <c r="K2501" s="9" t="b">
        <f t="shared" si="197"/>
        <v>1</v>
      </c>
      <c r="L2501" s="9" t="b">
        <f t="shared" si="198"/>
        <v>1</v>
      </c>
      <c r="M2501" s="1" t="b">
        <f>IF(OR(入力シート!$C$5&lt;&gt;入力リスト!$N$4,入力シート!$J$22&lt;&gt;入力リスト!$K$4),TRUE,IF($F$2=入力リスト!$Q$4,IF(F2501-INT(F2501)&lt;0.6,TRUE,FALSE),TRUE))</f>
        <v>1</v>
      </c>
      <c r="N2501" s="9" t="str">
        <f>IF(F2501="","",IF($F$2=入力リスト!$Q$4,ROUNDDOWN(INT(F2501)+ROUNDDOWN((F2501-INT(F2501))*100,0)/60,2),従業員の給与情報!F2501))</f>
        <v/>
      </c>
      <c r="O2501" s="8"/>
      <c r="P2501" s="8"/>
    </row>
    <row r="2502" spans="1:16">
      <c r="A2502" s="336"/>
      <c r="B2502" s="337"/>
      <c r="C2502" s="337"/>
      <c r="D2502" s="3"/>
      <c r="E2502" s="337"/>
      <c r="F2502" s="338"/>
      <c r="G2502" s="388" t="str">
        <f>IF(AND($B2502="",OR(B2502&lt;&gt;"",C2502&lt;&gt;"",D2502&lt;&gt;"",E2502&lt;&gt;"",F2502&lt;&gt;"")),"従業員番号が空白です。",IF($H2502=TRUE,"この従業員番号は、シート［従業員情報（給与以外）］に存在しません。",IF(I2502=FALSE,"「毎月の固定給与額」","")&amp;IF(AND(I2502=FALSE,OR(J2502=FALSE,K2502=FALSE,L2502=FALSE)),",","")&amp;IF(J2502=FALSE,"「賞与額等」","")&amp;IF(AND(J2502=FALSE,OR(K2502=FALSE,L2502=FALSE)),",","")&amp;IF(K2502=FALSE,"「残業手当」","")&amp;IF(AND(K2502=FALSE,L2502=FALSE),",","")&amp;IF(L2502=FALSE,"「残業時間」","")&amp;IF(OR(I2502=FALSE,J2502=FALSE,K2502=FALSE,L2502=FALSE),"に数値以外が入力されています。","")&amp;IF(M2502,"","「残業時間」を分単位で入力した場合、小数点以下の値は0.6未満にしてください。")))</f>
        <v/>
      </c>
      <c r="H2502" s="389" t="b">
        <f>IF(B2502="",FALSE,COUNTIF('従業員情報(給与以外)'!$A$4:$A$1000000,$B2502)=0)</f>
        <v>0</v>
      </c>
      <c r="I2502" s="390" t="b">
        <f t="shared" si="195"/>
        <v>1</v>
      </c>
      <c r="J2502" s="390" t="b">
        <f t="shared" si="196"/>
        <v>1</v>
      </c>
      <c r="K2502" s="390" t="b">
        <f t="shared" si="197"/>
        <v>1</v>
      </c>
      <c r="L2502" s="390" t="b">
        <f t="shared" si="198"/>
        <v>1</v>
      </c>
      <c r="M2502" s="389" t="b">
        <f>IF(OR(入力シート!$C$5&lt;&gt;入力リスト!$N$4,入力シート!$J$22&lt;&gt;入力リスト!$K$4),TRUE,IF($F$2=入力リスト!$Q$4,IF(F2502-INT(F2502)&lt;0.6,TRUE,FALSE),TRUE))</f>
        <v>1</v>
      </c>
      <c r="N2502" s="390" t="str">
        <f>IF(F2502="","",IF($F$2=入力リスト!$Q$4,ROUNDDOWN(INT(F2502)+ROUNDDOWN((F2502-INT(F2502))*100,0)/60,2),従業員の給与情報!F2502))</f>
        <v/>
      </c>
      <c r="O2502" s="217" t="s">
        <v>1338</v>
      </c>
      <c r="P2502" s="22"/>
    </row>
    <row r="2503" spans="1:16">
      <c r="G2503" s="255" t="str">
        <f>IF(AND($B2503="",OR(B2503&lt;&gt;"",C2503&lt;&gt;"",D2503&lt;&gt;"",E2503&lt;&gt;"",F2503&lt;&gt;"")),"従業員番号が空白です。",IF($H2503=TRUE,"この従業員番号は、シート［従業員情報（給与以外）］に存在しません。",IF(I2503=FALSE,"「毎月の固定給与額」","")&amp;IF(AND(I2503=FALSE,OR(J2503=FALSE,K2503=FALSE,L2503=FALSE)),",","")&amp;IF(J2503=FALSE,"「賞与額等」","")&amp;IF(AND(J2503=FALSE,OR(K2503=FALSE,L2503=FALSE)),",","")&amp;IF(K2503=FALSE,"「残業手当」","")&amp;IF(AND(K2503=FALSE,L2503=FALSE),",","")&amp;IF(L2503=FALSE,"「残業時間」","")&amp;IF(OR(I2503=FALSE,J2503=FALSE,K2503=FALSE,L2503=FALSE),"に数値以外が入力されています。","")&amp;IF(M2503,"","「残業時間」を分単位で入力した場合、小数点以下の値は0.6未満にしてください。")))</f>
        <v/>
      </c>
      <c r="H2503" s="249" t="b">
        <f>IF(B2503="",FALSE,COUNTIF('従業員情報(給与以外)'!$A$4:$A$1000000,$B2503)=0)</f>
        <v>0</v>
      </c>
      <c r="I2503" s="250" t="b">
        <f t="shared" ref="I2503" si="199">OR(C2503="",ISNUMBER(C2503))</f>
        <v>1</v>
      </c>
      <c r="J2503" s="250" t="b">
        <f t="shared" ref="J2503" si="200">OR(D2503="",ISNUMBER(D2503))</f>
        <v>1</v>
      </c>
      <c r="K2503" s="250" t="b">
        <f t="shared" ref="K2503" si="201">OR(E2503="",ISNUMBER(E2503))</f>
        <v>1</v>
      </c>
      <c r="L2503" s="250" t="b">
        <f t="shared" ref="L2503" si="202">OR(F2503="",ISNUMBER(F2503))</f>
        <v>1</v>
      </c>
      <c r="M2503" s="249" t="b">
        <f>IF(OR(入力シート!$C$5&lt;&gt;入力リスト!$N$4,入力シート!$J$22&lt;&gt;入力リスト!$K$4),TRUE,IF($F$2=入力リスト!$Q$4,IF(F2503-INT(F2503)&lt;0.6,TRUE,FALSE),TRUE))</f>
        <v>1</v>
      </c>
      <c r="N2503" s="250" t="str">
        <f>IF(F2503="","",IF($F$2=入力リスト!$Q$4,ROUNDDOWN(INT(F2503)+ROUNDDOWN((F2503-INT(F2503))*100,0)/60,2),従業員の給与情報!F2503))</f>
        <v/>
      </c>
      <c r="O2503" s="256" t="s">
        <v>5100</v>
      </c>
    </row>
    <row r="2504" spans="1:16">
      <c r="H2504" s="249"/>
      <c r="I2504" s="250"/>
      <c r="J2504" s="250"/>
      <c r="K2504" s="250"/>
      <c r="L2504" s="250"/>
      <c r="M2504" s="249"/>
      <c r="N2504" s="250"/>
      <c r="O2504" s="256"/>
    </row>
    <row r="2505" spans="1:16">
      <c r="H2505" s="249"/>
      <c r="I2505" s="250"/>
      <c r="J2505" s="250"/>
      <c r="K2505" s="250"/>
      <c r="L2505" s="250"/>
      <c r="M2505" s="249"/>
      <c r="N2505" s="250"/>
      <c r="O2505" s="256"/>
    </row>
    <row r="2506" spans="1:16">
      <c r="H2506" s="249"/>
      <c r="I2506" s="250"/>
      <c r="J2506" s="250"/>
      <c r="K2506" s="250"/>
      <c r="L2506" s="250"/>
      <c r="M2506" s="249"/>
      <c r="N2506" s="250"/>
      <c r="O2506" s="256"/>
    </row>
    <row r="2507" spans="1:16">
      <c r="H2507" s="249"/>
      <c r="I2507" s="250"/>
      <c r="J2507" s="250"/>
      <c r="K2507" s="250"/>
      <c r="L2507" s="250"/>
      <c r="M2507" s="249"/>
      <c r="N2507" s="250"/>
      <c r="O2507" s="256"/>
    </row>
  </sheetData>
  <sheetProtection algorithmName="SHA-512" hashValue="SSaRv3kUtzzUhdQqiYl8oG3hnmX0KDJ0pI7ch753QbwljgPAYIk9KYfZc6JKa/1t1GdcS51VCLDPuIDwatPbDA==" saltValue="VlLPQeKE+xT9FFuwP0G+WQ==" spinCount="100000" sheet="1" objects="1" scenarios="1"/>
  <mergeCells count="6">
    <mergeCell ref="C1:C2"/>
    <mergeCell ref="B1:B2"/>
    <mergeCell ref="A1:A2"/>
    <mergeCell ref="O1:P3"/>
    <mergeCell ref="E1:E2"/>
    <mergeCell ref="D1:D2"/>
  </mergeCells>
  <phoneticPr fontId="3"/>
  <conditionalFormatting sqref="G3">
    <cfRule type="expression" dxfId="4" priority="4">
      <formula>$F$1="入力内容にエラーはありません。"</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stopIfTrue="1" id="{8786077C-D606-ED4B-ACD0-9996C9C21DA1}">
            <xm:f>OR(エラー_給与!$O$5=$G$1,$G$1=エラー_給与!$O$4,$G$1=エラー_給与!$O$7,$G$1=エラー_給与!$O$8)</xm:f>
            <x14:dxf>
              <font>
                <color theme="0" tint="-0.24994659260841701"/>
              </font>
              <fill>
                <patternFill>
                  <bgColor theme="0" tint="-0.24994659260841701"/>
                </patternFill>
              </fill>
            </x14:dxf>
          </x14:cfRule>
          <xm:sqref>A4:F2502</xm:sqref>
        </x14:conditionalFormatting>
        <x14:conditionalFormatting xmlns:xm="http://schemas.microsoft.com/office/excel/2006/main">
          <x14:cfRule type="expression" priority="2" id="{DF538852-014A-8D4F-A929-42FB998B8EA9}">
            <xm:f>入力シート!$J$22=入力リスト!$K$5</xm:f>
            <x14:dxf>
              <font>
                <color rgb="FFC00000"/>
              </font>
            </x14:dxf>
          </x14:cfRule>
          <xm:sqref>F3</xm:sqref>
        </x14:conditionalFormatting>
        <x14:conditionalFormatting xmlns:xm="http://schemas.microsoft.com/office/excel/2006/main">
          <x14:cfRule type="expression" priority="3" id="{5B746737-7B25-904F-9B7C-D0EC75D97905}">
            <xm:f>入力シート!$J$22=入力リスト!$K$5</xm:f>
            <x14:dxf>
              <fill>
                <patternFill patternType="lightGray">
                  <fgColor theme="0" tint="-0.24994659260841701"/>
                  <bgColor theme="0" tint="-0.24994659260841701"/>
                </patternFill>
              </fill>
            </x14:dxf>
          </x14:cfRule>
          <xm:sqref>F4:F502</xm:sqref>
        </x14:conditionalFormatting>
        <x14:conditionalFormatting xmlns:xm="http://schemas.microsoft.com/office/excel/2006/main">
          <x14:cfRule type="expression" priority="5" stopIfTrue="1" id="{00000000-000E-0000-0300-000005000000}">
            <xm:f>VLOOKUP(TRUE,エラー_給与!N$4:Q$12,4,0)=1</xm:f>
            <x14:dxf>
              <font>
                <color rgb="FFC00000"/>
              </font>
            </x14:dxf>
          </x14:cfRule>
          <xm:sqref>G1:G2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90730B2-3840-434E-B406-3DE284B7B462}">
          <x14:formula1>
            <xm:f>入力リスト!$Q$3:$Q$5</xm:f>
          </x14:formula1>
          <xm:sqref>F2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8AEC2-7F3C-274F-8FB4-F7E9B1F6C3E8}">
  <dimension ref="A1:S130"/>
  <sheetViews>
    <sheetView workbookViewId="0">
      <pane xSplit="19" ySplit="2" topLeftCell="T87" activePane="bottomRight" state="frozen"/>
      <selection sqref="A1:XFD1048576"/>
      <selection pane="topRight" sqref="A1:XFD1048576"/>
      <selection pane="bottomLeft" sqref="A1:XFD1048576"/>
      <selection pane="bottomRight" sqref="A1:XFD1048576"/>
    </sheetView>
  </sheetViews>
  <sheetFormatPr defaultColWidth="0" defaultRowHeight="19.5"/>
  <cols>
    <col min="1" max="18" width="0" hidden="1" customWidth="1"/>
    <col min="19" max="19" width="0" style="4" hidden="1" customWidth="1"/>
    <col min="20" max="16384" width="10.77734375" hidden="1"/>
  </cols>
  <sheetData>
    <row r="1" spans="1:19" s="132" customFormat="1" ht="15.75">
      <c r="A1" s="131" t="s">
        <v>1259</v>
      </c>
      <c r="B1" s="949" t="s">
        <v>14</v>
      </c>
      <c r="C1" s="949"/>
      <c r="D1" s="949"/>
      <c r="E1" s="949"/>
      <c r="F1" s="949" t="s">
        <v>20</v>
      </c>
      <c r="G1" s="949"/>
      <c r="H1" s="949"/>
      <c r="I1" s="949" t="s">
        <v>14</v>
      </c>
      <c r="J1" s="949"/>
      <c r="K1" s="949"/>
      <c r="L1" s="949"/>
      <c r="M1" s="949" t="s">
        <v>20</v>
      </c>
      <c r="N1" s="949"/>
      <c r="O1" s="949"/>
      <c r="P1" s="131"/>
      <c r="Q1" s="131" t="s">
        <v>1260</v>
      </c>
      <c r="R1" s="131" t="s">
        <v>1261</v>
      </c>
      <c r="S1" s="242" t="s">
        <v>1279</v>
      </c>
    </row>
    <row r="2" spans="1:19" s="132" customFormat="1" ht="18.75">
      <c r="A2" s="131"/>
      <c r="B2" s="133" t="s">
        <v>1329</v>
      </c>
      <c r="C2" s="133" t="s">
        <v>4</v>
      </c>
      <c r="D2" s="133" t="s">
        <v>1263</v>
      </c>
      <c r="E2" s="133" t="s">
        <v>1264</v>
      </c>
      <c r="F2" s="133" t="s">
        <v>1329</v>
      </c>
      <c r="G2" s="133" t="s">
        <v>4</v>
      </c>
      <c r="H2" s="133" t="s">
        <v>1264</v>
      </c>
      <c r="I2" s="133" t="s">
        <v>1262</v>
      </c>
      <c r="J2" s="133" t="s">
        <v>4</v>
      </c>
      <c r="K2" s="133" t="s">
        <v>1263</v>
      </c>
      <c r="L2" s="133" t="s">
        <v>1264</v>
      </c>
      <c r="M2" s="133" t="s">
        <v>1262</v>
      </c>
      <c r="N2" s="133" t="s">
        <v>4</v>
      </c>
      <c r="O2" s="133" t="s">
        <v>1264</v>
      </c>
      <c r="P2" s="134" t="s">
        <v>1278</v>
      </c>
      <c r="Q2" s="131"/>
      <c r="R2" s="131"/>
      <c r="S2" s="243"/>
    </row>
    <row r="3" spans="1:19" s="132" customFormat="1" ht="16.899999999999999" customHeight="1">
      <c r="A3" s="133">
        <v>1</v>
      </c>
      <c r="B3" s="245" t="s">
        <v>1330</v>
      </c>
      <c r="C3" s="245" t="s">
        <v>1330</v>
      </c>
      <c r="D3" s="245" t="s">
        <v>1330</v>
      </c>
      <c r="E3" s="245" t="s">
        <v>1330</v>
      </c>
      <c r="F3" s="245" t="s">
        <v>1330</v>
      </c>
      <c r="G3" s="245" t="s">
        <v>1330</v>
      </c>
      <c r="H3" s="245" t="s">
        <v>1330</v>
      </c>
      <c r="I3" s="133" t="b">
        <f>IF(B3="○",課題タイプ2!$D$4,課題タイプ2!$D$5)</f>
        <v>1</v>
      </c>
      <c r="J3" s="133" t="b">
        <f>IF(C3="○",課題タイプ2!$D$6,課題タイプ2!$D$7)</f>
        <v>1</v>
      </c>
      <c r="K3" s="133" t="b">
        <f>IF(D3="○",課題タイプ2!$D$8,課題タイプ2!$D$9)</f>
        <v>1</v>
      </c>
      <c r="L3" s="133" t="b">
        <f>IF(E3="○",課題タイプ2!$D$10,課題タイプ2!$D$11)</f>
        <v>0</v>
      </c>
      <c r="M3" s="133" t="b">
        <f>IF(F3="○",課題タイプ2!$D$12,課題タイプ2!$D$13)</f>
        <v>1</v>
      </c>
      <c r="N3" s="133" t="b">
        <f>IF(G3="○",課題タイプ2!$D$14,課題タイプ2!$D$15)</f>
        <v>1</v>
      </c>
      <c r="O3" s="133" t="b">
        <f>IF(H3="○",課題タイプ2!$D$16,課題タイプ2!$D$17)</f>
        <v>0</v>
      </c>
      <c r="P3" s="133" t="b">
        <f>AND(I3,J3,K3,L3,M3,N3,O3)</f>
        <v>0</v>
      </c>
      <c r="Q3" s="133" t="s">
        <v>1265</v>
      </c>
      <c r="R3" s="133" t="s">
        <v>1266</v>
      </c>
      <c r="S3" s="243" t="s">
        <v>1280</v>
      </c>
    </row>
    <row r="4" spans="1:19" s="132" customFormat="1" ht="16.899999999999999" customHeight="1">
      <c r="A4" s="133">
        <v>2</v>
      </c>
      <c r="B4" s="245" t="s">
        <v>1330</v>
      </c>
      <c r="C4" s="245" t="s">
        <v>1330</v>
      </c>
      <c r="D4" s="245" t="s">
        <v>1330</v>
      </c>
      <c r="E4" s="245" t="s">
        <v>1330</v>
      </c>
      <c r="F4" s="245" t="s">
        <v>1330</v>
      </c>
      <c r="G4" s="245" t="s">
        <v>1330</v>
      </c>
      <c r="H4" s="133" t="s">
        <v>1267</v>
      </c>
      <c r="I4" s="133" t="b">
        <f>IF(B4="○",課題タイプ2!$D$4,課題タイプ2!$D$5)</f>
        <v>1</v>
      </c>
      <c r="J4" s="133" t="b">
        <f>IF(C4="○",課題タイプ2!$D$6,課題タイプ2!$D$7)</f>
        <v>1</v>
      </c>
      <c r="K4" s="133" t="b">
        <f>IF(D4="○",課題タイプ2!$D$8,課題タイプ2!$D$9)</f>
        <v>1</v>
      </c>
      <c r="L4" s="133" t="b">
        <f>IF(E4="○",課題タイプ2!$D$10,課題タイプ2!$D$11)</f>
        <v>0</v>
      </c>
      <c r="M4" s="133" t="b">
        <f>IF(F4="○",課題タイプ2!$D$12,課題タイプ2!$D$13)</f>
        <v>1</v>
      </c>
      <c r="N4" s="133" t="b">
        <f>IF(G4="○",課題タイプ2!$D$14,課題タイプ2!$D$15)</f>
        <v>1</v>
      </c>
      <c r="O4" s="133" t="b">
        <f>IF(H4="○",課題タイプ2!$D$16,課題タイプ2!$D$17)</f>
        <v>1</v>
      </c>
      <c r="P4" s="133" t="b">
        <f t="shared" ref="P4:P67" si="0">AND(I4,J4,K4,L4,M4,N4,O4)</f>
        <v>0</v>
      </c>
      <c r="Q4" s="133" t="s">
        <v>1265</v>
      </c>
      <c r="R4" s="133" t="s">
        <v>1266</v>
      </c>
      <c r="S4" s="244" t="s">
        <v>1280</v>
      </c>
    </row>
    <row r="5" spans="1:19" s="132" customFormat="1" ht="16.899999999999999" customHeight="1">
      <c r="A5" s="133">
        <v>3</v>
      </c>
      <c r="B5" s="245" t="s">
        <v>1330</v>
      </c>
      <c r="C5" s="245" t="s">
        <v>1330</v>
      </c>
      <c r="D5" s="245" t="s">
        <v>1330</v>
      </c>
      <c r="E5" s="245" t="s">
        <v>1330</v>
      </c>
      <c r="F5" s="245" t="s">
        <v>1330</v>
      </c>
      <c r="G5" s="133" t="s">
        <v>1267</v>
      </c>
      <c r="H5" s="245" t="s">
        <v>1330</v>
      </c>
      <c r="I5" s="133" t="b">
        <f>IF(B5="○",課題タイプ2!$D$4,課題タイプ2!$D$5)</f>
        <v>1</v>
      </c>
      <c r="J5" s="133" t="b">
        <f>IF(C5="○",課題タイプ2!$D$6,課題タイプ2!$D$7)</f>
        <v>1</v>
      </c>
      <c r="K5" s="133" t="b">
        <f>IF(D5="○",課題タイプ2!$D$8,課題タイプ2!$D$9)</f>
        <v>1</v>
      </c>
      <c r="L5" s="133" t="b">
        <f>IF(E5="○",課題タイプ2!$D$10,課題タイプ2!$D$11)</f>
        <v>0</v>
      </c>
      <c r="M5" s="133" t="b">
        <f>IF(F5="○",課題タイプ2!$D$12,課題タイプ2!$D$13)</f>
        <v>1</v>
      </c>
      <c r="N5" s="133" t="b">
        <f>IF(G5="○",課題タイプ2!$D$14,課題タイプ2!$D$15)</f>
        <v>0</v>
      </c>
      <c r="O5" s="133" t="b">
        <f>IF(H5="○",課題タイプ2!$D$16,課題タイプ2!$D$17)</f>
        <v>0</v>
      </c>
      <c r="P5" s="133" t="b">
        <f t="shared" si="0"/>
        <v>0</v>
      </c>
      <c r="Q5" s="133" t="s">
        <v>1265</v>
      </c>
      <c r="R5" s="133" t="s">
        <v>1266</v>
      </c>
      <c r="S5" s="244" t="s">
        <v>1280</v>
      </c>
    </row>
    <row r="6" spans="1:19" s="132" customFormat="1" ht="16.899999999999999" customHeight="1">
      <c r="A6" s="133">
        <v>4</v>
      </c>
      <c r="B6" s="245" t="s">
        <v>1330</v>
      </c>
      <c r="C6" s="245" t="s">
        <v>1330</v>
      </c>
      <c r="D6" s="245" t="s">
        <v>1330</v>
      </c>
      <c r="E6" s="245" t="s">
        <v>1330</v>
      </c>
      <c r="F6" s="245" t="s">
        <v>1330</v>
      </c>
      <c r="G6" s="133" t="s">
        <v>1267</v>
      </c>
      <c r="H6" s="133" t="s">
        <v>1267</v>
      </c>
      <c r="I6" s="133" t="b">
        <f>IF(B6="○",課題タイプ2!$D$4,課題タイプ2!$D$5)</f>
        <v>1</v>
      </c>
      <c r="J6" s="133" t="b">
        <f>IF(C6="○",課題タイプ2!$D$6,課題タイプ2!$D$7)</f>
        <v>1</v>
      </c>
      <c r="K6" s="133" t="b">
        <f>IF(D6="○",課題タイプ2!$D$8,課題タイプ2!$D$9)</f>
        <v>1</v>
      </c>
      <c r="L6" s="133" t="b">
        <f>IF(E6="○",課題タイプ2!$D$10,課題タイプ2!$D$11)</f>
        <v>0</v>
      </c>
      <c r="M6" s="133" t="b">
        <f>IF(F6="○",課題タイプ2!$D$12,課題タイプ2!$D$13)</f>
        <v>1</v>
      </c>
      <c r="N6" s="133" t="b">
        <f>IF(G6="○",課題タイプ2!$D$14,課題タイプ2!$D$15)</f>
        <v>0</v>
      </c>
      <c r="O6" s="133" t="b">
        <f>IF(H6="○",課題タイプ2!$D$16,課題タイプ2!$D$17)</f>
        <v>1</v>
      </c>
      <c r="P6" s="133" t="b">
        <f t="shared" si="0"/>
        <v>0</v>
      </c>
      <c r="Q6" s="133" t="s">
        <v>1265</v>
      </c>
      <c r="R6" s="133" t="s">
        <v>1266</v>
      </c>
      <c r="S6" s="243" t="s">
        <v>1280</v>
      </c>
    </row>
    <row r="7" spans="1:19" s="132" customFormat="1" ht="16.899999999999999" customHeight="1">
      <c r="A7" s="133">
        <v>5</v>
      </c>
      <c r="B7" s="245" t="s">
        <v>1330</v>
      </c>
      <c r="C7" s="245" t="s">
        <v>1330</v>
      </c>
      <c r="D7" s="245" t="s">
        <v>1330</v>
      </c>
      <c r="E7" s="245" t="s">
        <v>1330</v>
      </c>
      <c r="F7" s="133" t="s">
        <v>1267</v>
      </c>
      <c r="G7" s="245" t="s">
        <v>1330</v>
      </c>
      <c r="H7" s="245" t="s">
        <v>1330</v>
      </c>
      <c r="I7" s="133" t="b">
        <f>IF(B7="○",課題タイプ2!$D$4,課題タイプ2!$D$5)</f>
        <v>1</v>
      </c>
      <c r="J7" s="133" t="b">
        <f>IF(C7="○",課題タイプ2!$D$6,課題タイプ2!$D$7)</f>
        <v>1</v>
      </c>
      <c r="K7" s="133" t="b">
        <f>IF(D7="○",課題タイプ2!$D$8,課題タイプ2!$D$9)</f>
        <v>1</v>
      </c>
      <c r="L7" s="133" t="b">
        <f>IF(E7="○",課題タイプ2!$D$10,課題タイプ2!$D$11)</f>
        <v>0</v>
      </c>
      <c r="M7" s="133" t="b">
        <f>IF(F7="○",課題タイプ2!$D$12,課題タイプ2!$D$13)</f>
        <v>0</v>
      </c>
      <c r="N7" s="133" t="b">
        <f>IF(G7="○",課題タイプ2!$D$14,課題タイプ2!$D$15)</f>
        <v>1</v>
      </c>
      <c r="O7" s="133" t="b">
        <f>IF(H7="○",課題タイプ2!$D$16,課題タイプ2!$D$17)</f>
        <v>0</v>
      </c>
      <c r="P7" s="133" t="b">
        <f t="shared" si="0"/>
        <v>0</v>
      </c>
      <c r="Q7" s="133" t="s">
        <v>1265</v>
      </c>
      <c r="R7" s="133" t="s">
        <v>1266</v>
      </c>
      <c r="S7" s="243" t="s">
        <v>1280</v>
      </c>
    </row>
    <row r="8" spans="1:19" s="132" customFormat="1" ht="16.899999999999999" customHeight="1">
      <c r="A8" s="133">
        <v>6</v>
      </c>
      <c r="B8" s="245" t="s">
        <v>1330</v>
      </c>
      <c r="C8" s="245" t="s">
        <v>1330</v>
      </c>
      <c r="D8" s="245" t="s">
        <v>1330</v>
      </c>
      <c r="E8" s="245" t="s">
        <v>1330</v>
      </c>
      <c r="F8" s="133" t="s">
        <v>1267</v>
      </c>
      <c r="G8" s="245" t="s">
        <v>1330</v>
      </c>
      <c r="H8" s="133" t="s">
        <v>1267</v>
      </c>
      <c r="I8" s="133" t="b">
        <f>IF(B8="○",課題タイプ2!$D$4,課題タイプ2!$D$5)</f>
        <v>1</v>
      </c>
      <c r="J8" s="133" t="b">
        <f>IF(C8="○",課題タイプ2!$D$6,課題タイプ2!$D$7)</f>
        <v>1</v>
      </c>
      <c r="K8" s="133" t="b">
        <f>IF(D8="○",課題タイプ2!$D$8,課題タイプ2!$D$9)</f>
        <v>1</v>
      </c>
      <c r="L8" s="133" t="b">
        <f>IF(E8="○",課題タイプ2!$D$10,課題タイプ2!$D$11)</f>
        <v>0</v>
      </c>
      <c r="M8" s="133" t="b">
        <f>IF(F8="○",課題タイプ2!$D$12,課題タイプ2!$D$13)</f>
        <v>0</v>
      </c>
      <c r="N8" s="133" t="b">
        <f>IF(G8="○",課題タイプ2!$D$14,課題タイプ2!$D$15)</f>
        <v>1</v>
      </c>
      <c r="O8" s="133" t="b">
        <f>IF(H8="○",課題タイプ2!$D$16,課題タイプ2!$D$17)</f>
        <v>1</v>
      </c>
      <c r="P8" s="133" t="b">
        <f t="shared" si="0"/>
        <v>0</v>
      </c>
      <c r="Q8" s="133" t="s">
        <v>1265</v>
      </c>
      <c r="R8" s="133" t="s">
        <v>1266</v>
      </c>
      <c r="S8" s="243" t="s">
        <v>1280</v>
      </c>
    </row>
    <row r="9" spans="1:19" s="132" customFormat="1" ht="16.899999999999999" customHeight="1">
      <c r="A9" s="133">
        <v>7</v>
      </c>
      <c r="B9" s="245" t="s">
        <v>1330</v>
      </c>
      <c r="C9" s="245" t="s">
        <v>1330</v>
      </c>
      <c r="D9" s="245" t="s">
        <v>1330</v>
      </c>
      <c r="E9" s="245" t="s">
        <v>1330</v>
      </c>
      <c r="F9" s="133" t="s">
        <v>1267</v>
      </c>
      <c r="G9" s="133" t="s">
        <v>1267</v>
      </c>
      <c r="H9" s="245" t="s">
        <v>1330</v>
      </c>
      <c r="I9" s="133" t="b">
        <f>IF(B9="○",課題タイプ2!$D$4,課題タイプ2!$D$5)</f>
        <v>1</v>
      </c>
      <c r="J9" s="133" t="b">
        <f>IF(C9="○",課題タイプ2!$D$6,課題タイプ2!$D$7)</f>
        <v>1</v>
      </c>
      <c r="K9" s="133" t="b">
        <f>IF(D9="○",課題タイプ2!$D$8,課題タイプ2!$D$9)</f>
        <v>1</v>
      </c>
      <c r="L9" s="133" t="b">
        <f>IF(E9="○",課題タイプ2!$D$10,課題タイプ2!$D$11)</f>
        <v>0</v>
      </c>
      <c r="M9" s="133" t="b">
        <f>IF(F9="○",課題タイプ2!$D$12,課題タイプ2!$D$13)</f>
        <v>0</v>
      </c>
      <c r="N9" s="133" t="b">
        <f>IF(G9="○",課題タイプ2!$D$14,課題タイプ2!$D$15)</f>
        <v>0</v>
      </c>
      <c r="O9" s="133" t="b">
        <f>IF(H9="○",課題タイプ2!$D$16,課題タイプ2!$D$17)</f>
        <v>0</v>
      </c>
      <c r="P9" s="133" t="b">
        <f t="shared" si="0"/>
        <v>0</v>
      </c>
      <c r="Q9" s="133" t="s">
        <v>1265</v>
      </c>
      <c r="R9" s="133" t="s">
        <v>1266</v>
      </c>
      <c r="S9" s="243" t="s">
        <v>1280</v>
      </c>
    </row>
    <row r="10" spans="1:19" s="132" customFormat="1" ht="16.899999999999999" customHeight="1">
      <c r="A10" s="133">
        <v>8</v>
      </c>
      <c r="B10" s="245" t="s">
        <v>1330</v>
      </c>
      <c r="C10" s="245" t="s">
        <v>1330</v>
      </c>
      <c r="D10" s="245" t="s">
        <v>1330</v>
      </c>
      <c r="E10" s="245" t="s">
        <v>1330</v>
      </c>
      <c r="F10" s="133" t="s">
        <v>1267</v>
      </c>
      <c r="G10" s="133" t="s">
        <v>1267</v>
      </c>
      <c r="H10" s="133" t="s">
        <v>1267</v>
      </c>
      <c r="I10" s="133" t="b">
        <f>IF(B10="○",課題タイプ2!$D$4,課題タイプ2!$D$5)</f>
        <v>1</v>
      </c>
      <c r="J10" s="133" t="b">
        <f>IF(C10="○",課題タイプ2!$D$6,課題タイプ2!$D$7)</f>
        <v>1</v>
      </c>
      <c r="K10" s="133" t="b">
        <f>IF(D10="○",課題タイプ2!$D$8,課題タイプ2!$D$9)</f>
        <v>1</v>
      </c>
      <c r="L10" s="133" t="b">
        <f>IF(E10="○",課題タイプ2!$D$10,課題タイプ2!$D$11)</f>
        <v>0</v>
      </c>
      <c r="M10" s="133" t="b">
        <f>IF(F10="○",課題タイプ2!$D$12,課題タイプ2!$D$13)</f>
        <v>0</v>
      </c>
      <c r="N10" s="133" t="b">
        <f>IF(G10="○",課題タイプ2!$D$14,課題タイプ2!$D$15)</f>
        <v>0</v>
      </c>
      <c r="O10" s="133" t="b">
        <f>IF(H10="○",課題タイプ2!$D$16,課題タイプ2!$D$17)</f>
        <v>1</v>
      </c>
      <c r="P10" s="133" t="b">
        <f t="shared" si="0"/>
        <v>0</v>
      </c>
      <c r="Q10" s="133" t="s">
        <v>1265</v>
      </c>
      <c r="R10" s="133" t="s">
        <v>1266</v>
      </c>
      <c r="S10" s="243" t="s">
        <v>1280</v>
      </c>
    </row>
    <row r="11" spans="1:19" s="132" customFormat="1" ht="16.899999999999999" customHeight="1">
      <c r="A11" s="133">
        <v>9</v>
      </c>
      <c r="B11" s="245" t="s">
        <v>1330</v>
      </c>
      <c r="C11" s="245" t="s">
        <v>1330</v>
      </c>
      <c r="D11" s="245" t="s">
        <v>1330</v>
      </c>
      <c r="E11" s="133" t="s">
        <v>1267</v>
      </c>
      <c r="F11" s="245" t="s">
        <v>1330</v>
      </c>
      <c r="G11" s="245" t="s">
        <v>1330</v>
      </c>
      <c r="H11" s="245" t="s">
        <v>1330</v>
      </c>
      <c r="I11" s="133" t="b">
        <f>IF(B11="○",課題タイプ2!$D$4,課題タイプ2!$D$5)</f>
        <v>1</v>
      </c>
      <c r="J11" s="133" t="b">
        <f>IF(C11="○",課題タイプ2!$D$6,課題タイプ2!$D$7)</f>
        <v>1</v>
      </c>
      <c r="K11" s="133" t="b">
        <f>IF(D11="○",課題タイプ2!$D$8,課題タイプ2!$D$9)</f>
        <v>1</v>
      </c>
      <c r="L11" s="133" t="b">
        <f>IF(E11="○",課題タイプ2!$D$10,課題タイプ2!$D$11)</f>
        <v>1</v>
      </c>
      <c r="M11" s="133" t="b">
        <f>IF(F11="○",課題タイプ2!$D$12,課題タイプ2!$D$13)</f>
        <v>1</v>
      </c>
      <c r="N11" s="133" t="b">
        <f>IF(G11="○",課題タイプ2!$D$14,課題タイプ2!$D$15)</f>
        <v>1</v>
      </c>
      <c r="O11" s="133" t="b">
        <f>IF(H11="○",課題タイプ2!$D$16,課題タイプ2!$D$17)</f>
        <v>0</v>
      </c>
      <c r="P11" s="133" t="b">
        <f t="shared" si="0"/>
        <v>0</v>
      </c>
      <c r="Q11" s="133" t="s">
        <v>1265</v>
      </c>
      <c r="R11" s="133"/>
      <c r="S11" s="243" t="s">
        <v>1281</v>
      </c>
    </row>
    <row r="12" spans="1:19" s="132" customFormat="1" ht="16.899999999999999" customHeight="1">
      <c r="A12" s="133">
        <v>10</v>
      </c>
      <c r="B12" s="245" t="s">
        <v>1330</v>
      </c>
      <c r="C12" s="245" t="s">
        <v>1330</v>
      </c>
      <c r="D12" s="245" t="s">
        <v>1330</v>
      </c>
      <c r="E12" s="133" t="s">
        <v>1267</v>
      </c>
      <c r="F12" s="245" t="s">
        <v>1330</v>
      </c>
      <c r="G12" s="245" t="s">
        <v>1330</v>
      </c>
      <c r="H12" s="133" t="s">
        <v>1267</v>
      </c>
      <c r="I12" s="133" t="b">
        <f>IF(B12="○",課題タイプ2!$D$4,課題タイプ2!$D$5)</f>
        <v>1</v>
      </c>
      <c r="J12" s="133" t="b">
        <f>IF(C12="○",課題タイプ2!$D$6,課題タイプ2!$D$7)</f>
        <v>1</v>
      </c>
      <c r="K12" s="133" t="b">
        <f>IF(D12="○",課題タイプ2!$D$8,課題タイプ2!$D$9)</f>
        <v>1</v>
      </c>
      <c r="L12" s="133" t="b">
        <f>IF(E12="○",課題タイプ2!$D$10,課題タイプ2!$D$11)</f>
        <v>1</v>
      </c>
      <c r="M12" s="133" t="b">
        <f>IF(F12="○",課題タイプ2!$D$12,課題タイプ2!$D$13)</f>
        <v>1</v>
      </c>
      <c r="N12" s="133" t="b">
        <f>IF(G12="○",課題タイプ2!$D$14,課題タイプ2!$D$15)</f>
        <v>1</v>
      </c>
      <c r="O12" s="133" t="b">
        <f>IF(H12="○",課題タイプ2!$D$16,課題タイプ2!$D$17)</f>
        <v>1</v>
      </c>
      <c r="P12" s="133" t="b">
        <f t="shared" si="0"/>
        <v>1</v>
      </c>
      <c r="Q12" s="133" t="s">
        <v>1265</v>
      </c>
      <c r="R12" s="133"/>
      <c r="S12" s="243" t="s">
        <v>1281</v>
      </c>
    </row>
    <row r="13" spans="1:19" s="132" customFormat="1" ht="16.899999999999999" customHeight="1">
      <c r="A13" s="133">
        <v>11</v>
      </c>
      <c r="B13" s="245" t="s">
        <v>1330</v>
      </c>
      <c r="C13" s="245" t="s">
        <v>1330</v>
      </c>
      <c r="D13" s="245" t="s">
        <v>1330</v>
      </c>
      <c r="E13" s="133" t="s">
        <v>1267</v>
      </c>
      <c r="F13" s="245" t="s">
        <v>1330</v>
      </c>
      <c r="G13" s="133" t="s">
        <v>1267</v>
      </c>
      <c r="H13" s="245" t="s">
        <v>1330</v>
      </c>
      <c r="I13" s="133" t="b">
        <f>IF(B13="○",課題タイプ2!$D$4,課題タイプ2!$D$5)</f>
        <v>1</v>
      </c>
      <c r="J13" s="133" t="b">
        <f>IF(C13="○",課題タイプ2!$D$6,課題タイプ2!$D$7)</f>
        <v>1</v>
      </c>
      <c r="K13" s="133" t="b">
        <f>IF(D13="○",課題タイプ2!$D$8,課題タイプ2!$D$9)</f>
        <v>1</v>
      </c>
      <c r="L13" s="133" t="b">
        <f>IF(E13="○",課題タイプ2!$D$10,課題タイプ2!$D$11)</f>
        <v>1</v>
      </c>
      <c r="M13" s="133" t="b">
        <f>IF(F13="○",課題タイプ2!$D$12,課題タイプ2!$D$13)</f>
        <v>1</v>
      </c>
      <c r="N13" s="133" t="b">
        <f>IF(G13="○",課題タイプ2!$D$14,課題タイプ2!$D$15)</f>
        <v>0</v>
      </c>
      <c r="O13" s="133" t="b">
        <f>IF(H13="○",課題タイプ2!$D$16,課題タイプ2!$D$17)</f>
        <v>0</v>
      </c>
      <c r="P13" s="133" t="b">
        <f t="shared" si="0"/>
        <v>0</v>
      </c>
      <c r="Q13" s="133" t="s">
        <v>1265</v>
      </c>
      <c r="R13" s="133"/>
      <c r="S13" s="243" t="s">
        <v>1281</v>
      </c>
    </row>
    <row r="14" spans="1:19" s="132" customFormat="1" ht="16.899999999999999" customHeight="1">
      <c r="A14" s="133">
        <v>12</v>
      </c>
      <c r="B14" s="245" t="s">
        <v>1330</v>
      </c>
      <c r="C14" s="245" t="s">
        <v>1330</v>
      </c>
      <c r="D14" s="245" t="s">
        <v>1330</v>
      </c>
      <c r="E14" s="133" t="s">
        <v>1267</v>
      </c>
      <c r="F14" s="245" t="s">
        <v>1330</v>
      </c>
      <c r="G14" s="133" t="s">
        <v>1267</v>
      </c>
      <c r="H14" s="133" t="s">
        <v>1267</v>
      </c>
      <c r="I14" s="133" t="b">
        <f>IF(B14="○",課題タイプ2!$D$4,課題タイプ2!$D$5)</f>
        <v>1</v>
      </c>
      <c r="J14" s="133" t="b">
        <f>IF(C14="○",課題タイプ2!$D$6,課題タイプ2!$D$7)</f>
        <v>1</v>
      </c>
      <c r="K14" s="133" t="b">
        <f>IF(D14="○",課題タイプ2!$D$8,課題タイプ2!$D$9)</f>
        <v>1</v>
      </c>
      <c r="L14" s="133" t="b">
        <f>IF(E14="○",課題タイプ2!$D$10,課題タイプ2!$D$11)</f>
        <v>1</v>
      </c>
      <c r="M14" s="133" t="b">
        <f>IF(F14="○",課題タイプ2!$D$12,課題タイプ2!$D$13)</f>
        <v>1</v>
      </c>
      <c r="N14" s="133" t="b">
        <f>IF(G14="○",課題タイプ2!$D$14,課題タイプ2!$D$15)</f>
        <v>0</v>
      </c>
      <c r="O14" s="133" t="b">
        <f>IF(H14="○",課題タイプ2!$D$16,課題タイプ2!$D$17)</f>
        <v>1</v>
      </c>
      <c r="P14" s="133" t="b">
        <f t="shared" si="0"/>
        <v>0</v>
      </c>
      <c r="Q14" s="133" t="s">
        <v>1265</v>
      </c>
      <c r="R14" s="133"/>
      <c r="S14" s="243" t="s">
        <v>1281</v>
      </c>
    </row>
    <row r="15" spans="1:19" s="132" customFormat="1" ht="16.899999999999999" customHeight="1">
      <c r="A15" s="133">
        <v>13</v>
      </c>
      <c r="B15" s="245" t="s">
        <v>1330</v>
      </c>
      <c r="C15" s="245" t="s">
        <v>1330</v>
      </c>
      <c r="D15" s="245" t="s">
        <v>1330</v>
      </c>
      <c r="E15" s="133" t="s">
        <v>1267</v>
      </c>
      <c r="F15" s="133" t="s">
        <v>1267</v>
      </c>
      <c r="G15" s="245" t="s">
        <v>1330</v>
      </c>
      <c r="H15" s="245" t="s">
        <v>1330</v>
      </c>
      <c r="I15" s="133" t="b">
        <f>IF(B15="○",課題タイプ2!$D$4,課題タイプ2!$D$5)</f>
        <v>1</v>
      </c>
      <c r="J15" s="133" t="b">
        <f>IF(C15="○",課題タイプ2!$D$6,課題タイプ2!$D$7)</f>
        <v>1</v>
      </c>
      <c r="K15" s="133" t="b">
        <f>IF(D15="○",課題タイプ2!$D$8,課題タイプ2!$D$9)</f>
        <v>1</v>
      </c>
      <c r="L15" s="133" t="b">
        <f>IF(E15="○",課題タイプ2!$D$10,課題タイプ2!$D$11)</f>
        <v>1</v>
      </c>
      <c r="M15" s="133" t="b">
        <f>IF(F15="○",課題タイプ2!$D$12,課題タイプ2!$D$13)</f>
        <v>0</v>
      </c>
      <c r="N15" s="133" t="b">
        <f>IF(G15="○",課題タイプ2!$D$14,課題タイプ2!$D$15)</f>
        <v>1</v>
      </c>
      <c r="O15" s="133" t="b">
        <f>IF(H15="○",課題タイプ2!$D$16,課題タイプ2!$D$17)</f>
        <v>0</v>
      </c>
      <c r="P15" s="133" t="b">
        <f t="shared" si="0"/>
        <v>0</v>
      </c>
      <c r="Q15" s="133" t="s">
        <v>1265</v>
      </c>
      <c r="R15" s="133"/>
      <c r="S15" s="243" t="s">
        <v>1281</v>
      </c>
    </row>
    <row r="16" spans="1:19" s="132" customFormat="1" ht="16.899999999999999" customHeight="1">
      <c r="A16" s="133">
        <v>14</v>
      </c>
      <c r="B16" s="245" t="s">
        <v>1330</v>
      </c>
      <c r="C16" s="245" t="s">
        <v>1330</v>
      </c>
      <c r="D16" s="245" t="s">
        <v>1330</v>
      </c>
      <c r="E16" s="133" t="s">
        <v>1267</v>
      </c>
      <c r="F16" s="133" t="s">
        <v>1267</v>
      </c>
      <c r="G16" s="245" t="s">
        <v>1330</v>
      </c>
      <c r="H16" s="133" t="s">
        <v>1267</v>
      </c>
      <c r="I16" s="133" t="b">
        <f>IF(B16="○",課題タイプ2!$D$4,課題タイプ2!$D$5)</f>
        <v>1</v>
      </c>
      <c r="J16" s="133" t="b">
        <f>IF(C16="○",課題タイプ2!$D$6,課題タイプ2!$D$7)</f>
        <v>1</v>
      </c>
      <c r="K16" s="133" t="b">
        <f>IF(D16="○",課題タイプ2!$D$8,課題タイプ2!$D$9)</f>
        <v>1</v>
      </c>
      <c r="L16" s="133" t="b">
        <f>IF(E16="○",課題タイプ2!$D$10,課題タイプ2!$D$11)</f>
        <v>1</v>
      </c>
      <c r="M16" s="133" t="b">
        <f>IF(F16="○",課題タイプ2!$D$12,課題タイプ2!$D$13)</f>
        <v>0</v>
      </c>
      <c r="N16" s="133" t="b">
        <f>IF(G16="○",課題タイプ2!$D$14,課題タイプ2!$D$15)</f>
        <v>1</v>
      </c>
      <c r="O16" s="133" t="b">
        <f>IF(H16="○",課題タイプ2!$D$16,課題タイプ2!$D$17)</f>
        <v>1</v>
      </c>
      <c r="P16" s="133" t="b">
        <f t="shared" si="0"/>
        <v>0</v>
      </c>
      <c r="Q16" s="133" t="s">
        <v>1265</v>
      </c>
      <c r="R16" s="133"/>
      <c r="S16" s="243" t="s">
        <v>1281</v>
      </c>
    </row>
    <row r="17" spans="1:19" s="132" customFormat="1" ht="16.899999999999999" customHeight="1">
      <c r="A17" s="133">
        <v>15</v>
      </c>
      <c r="B17" s="245" t="s">
        <v>1330</v>
      </c>
      <c r="C17" s="245" t="s">
        <v>1330</v>
      </c>
      <c r="D17" s="245" t="s">
        <v>1330</v>
      </c>
      <c r="E17" s="133" t="s">
        <v>1267</v>
      </c>
      <c r="F17" s="133" t="s">
        <v>1267</v>
      </c>
      <c r="G17" s="133" t="s">
        <v>1267</v>
      </c>
      <c r="H17" s="245" t="s">
        <v>1330</v>
      </c>
      <c r="I17" s="133" t="b">
        <f>IF(B17="○",課題タイプ2!$D$4,課題タイプ2!$D$5)</f>
        <v>1</v>
      </c>
      <c r="J17" s="133" t="b">
        <f>IF(C17="○",課題タイプ2!$D$6,課題タイプ2!$D$7)</f>
        <v>1</v>
      </c>
      <c r="K17" s="133" t="b">
        <f>IF(D17="○",課題タイプ2!$D$8,課題タイプ2!$D$9)</f>
        <v>1</v>
      </c>
      <c r="L17" s="133" t="b">
        <f>IF(E17="○",課題タイプ2!$D$10,課題タイプ2!$D$11)</f>
        <v>1</v>
      </c>
      <c r="M17" s="133" t="b">
        <f>IF(F17="○",課題タイプ2!$D$12,課題タイプ2!$D$13)</f>
        <v>0</v>
      </c>
      <c r="N17" s="133" t="b">
        <f>IF(G17="○",課題タイプ2!$D$14,課題タイプ2!$D$15)</f>
        <v>0</v>
      </c>
      <c r="O17" s="133" t="b">
        <f>IF(H17="○",課題タイプ2!$D$16,課題タイプ2!$D$17)</f>
        <v>0</v>
      </c>
      <c r="P17" s="133" t="b">
        <f t="shared" si="0"/>
        <v>0</v>
      </c>
      <c r="Q17" s="133" t="s">
        <v>1265</v>
      </c>
      <c r="R17" s="133"/>
      <c r="S17" s="243" t="s">
        <v>1281</v>
      </c>
    </row>
    <row r="18" spans="1:19" s="132" customFormat="1" ht="16.899999999999999" customHeight="1">
      <c r="A18" s="133">
        <v>16</v>
      </c>
      <c r="B18" s="245" t="s">
        <v>1330</v>
      </c>
      <c r="C18" s="245" t="s">
        <v>1330</v>
      </c>
      <c r="D18" s="245" t="s">
        <v>1330</v>
      </c>
      <c r="E18" s="133" t="s">
        <v>1267</v>
      </c>
      <c r="F18" s="133" t="s">
        <v>1267</v>
      </c>
      <c r="G18" s="133" t="s">
        <v>1267</v>
      </c>
      <c r="H18" s="133" t="s">
        <v>1267</v>
      </c>
      <c r="I18" s="133" t="b">
        <f>IF(B18="○",課題タイプ2!$D$4,課題タイプ2!$D$5)</f>
        <v>1</v>
      </c>
      <c r="J18" s="133" t="b">
        <f>IF(C18="○",課題タイプ2!$D$6,課題タイプ2!$D$7)</f>
        <v>1</v>
      </c>
      <c r="K18" s="133" t="b">
        <f>IF(D18="○",課題タイプ2!$D$8,課題タイプ2!$D$9)</f>
        <v>1</v>
      </c>
      <c r="L18" s="133" t="b">
        <f>IF(E18="○",課題タイプ2!$D$10,課題タイプ2!$D$11)</f>
        <v>1</v>
      </c>
      <c r="M18" s="133" t="b">
        <f>IF(F18="○",課題タイプ2!$D$12,課題タイプ2!$D$13)</f>
        <v>0</v>
      </c>
      <c r="N18" s="133" t="b">
        <f>IF(G18="○",課題タイプ2!$D$14,課題タイプ2!$D$15)</f>
        <v>0</v>
      </c>
      <c r="O18" s="133" t="b">
        <f>IF(H18="○",課題タイプ2!$D$16,課題タイプ2!$D$17)</f>
        <v>1</v>
      </c>
      <c r="P18" s="133" t="b">
        <f t="shared" si="0"/>
        <v>0</v>
      </c>
      <c r="Q18" s="133" t="s">
        <v>1265</v>
      </c>
      <c r="R18" s="133"/>
      <c r="S18" s="243" t="s">
        <v>1281</v>
      </c>
    </row>
    <row r="19" spans="1:19" s="132" customFormat="1" ht="16.899999999999999" customHeight="1">
      <c r="A19" s="133">
        <v>17</v>
      </c>
      <c r="B19" s="245" t="s">
        <v>1330</v>
      </c>
      <c r="C19" s="245" t="s">
        <v>1330</v>
      </c>
      <c r="D19" s="133" t="s">
        <v>1267</v>
      </c>
      <c r="E19" s="245" t="s">
        <v>1330</v>
      </c>
      <c r="F19" s="245" t="s">
        <v>1330</v>
      </c>
      <c r="G19" s="245" t="s">
        <v>1330</v>
      </c>
      <c r="H19" s="245" t="s">
        <v>1330</v>
      </c>
      <c r="I19" s="133" t="b">
        <f>IF(B19="○",課題タイプ2!$D$4,課題タイプ2!$D$5)</f>
        <v>1</v>
      </c>
      <c r="J19" s="133" t="b">
        <f>IF(C19="○",課題タイプ2!$D$6,課題タイプ2!$D$7)</f>
        <v>1</v>
      </c>
      <c r="K19" s="133" t="b">
        <f>IF(D19="○",課題タイプ2!$D$8,課題タイプ2!$D$9)</f>
        <v>0</v>
      </c>
      <c r="L19" s="133" t="b">
        <f>IF(E19="○",課題タイプ2!$D$10,課題タイプ2!$D$11)</f>
        <v>0</v>
      </c>
      <c r="M19" s="133" t="b">
        <f>IF(F19="○",課題タイプ2!$D$12,課題タイプ2!$D$13)</f>
        <v>1</v>
      </c>
      <c r="N19" s="133" t="b">
        <f>IF(G19="○",課題タイプ2!$D$14,課題タイプ2!$D$15)</f>
        <v>1</v>
      </c>
      <c r="O19" s="133" t="b">
        <f>IF(H19="○",課題タイプ2!$D$16,課題タイプ2!$D$17)</f>
        <v>0</v>
      </c>
      <c r="P19" s="133" t="b">
        <f t="shared" si="0"/>
        <v>0</v>
      </c>
      <c r="Q19" s="133" t="s">
        <v>1265</v>
      </c>
      <c r="R19" s="133" t="s">
        <v>1266</v>
      </c>
      <c r="S19" s="243" t="s">
        <v>1280</v>
      </c>
    </row>
    <row r="20" spans="1:19" s="132" customFormat="1" ht="16.899999999999999" customHeight="1">
      <c r="A20" s="133">
        <v>18</v>
      </c>
      <c r="B20" s="245" t="s">
        <v>1330</v>
      </c>
      <c r="C20" s="245" t="s">
        <v>1330</v>
      </c>
      <c r="D20" s="133" t="s">
        <v>1267</v>
      </c>
      <c r="E20" s="245" t="s">
        <v>1330</v>
      </c>
      <c r="F20" s="245" t="s">
        <v>1330</v>
      </c>
      <c r="G20" s="245" t="s">
        <v>1330</v>
      </c>
      <c r="H20" s="133" t="s">
        <v>1267</v>
      </c>
      <c r="I20" s="133" t="b">
        <f>IF(B20="○",課題タイプ2!$D$4,課題タイプ2!$D$5)</f>
        <v>1</v>
      </c>
      <c r="J20" s="133" t="b">
        <f>IF(C20="○",課題タイプ2!$D$6,課題タイプ2!$D$7)</f>
        <v>1</v>
      </c>
      <c r="K20" s="133" t="b">
        <f>IF(D20="○",課題タイプ2!$D$8,課題タイプ2!$D$9)</f>
        <v>0</v>
      </c>
      <c r="L20" s="133" t="b">
        <f>IF(E20="○",課題タイプ2!$D$10,課題タイプ2!$D$11)</f>
        <v>0</v>
      </c>
      <c r="M20" s="133" t="b">
        <f>IF(F20="○",課題タイプ2!$D$12,課題タイプ2!$D$13)</f>
        <v>1</v>
      </c>
      <c r="N20" s="133" t="b">
        <f>IF(G20="○",課題タイプ2!$D$14,課題タイプ2!$D$15)</f>
        <v>1</v>
      </c>
      <c r="O20" s="133" t="b">
        <f>IF(H20="○",課題タイプ2!$D$16,課題タイプ2!$D$17)</f>
        <v>1</v>
      </c>
      <c r="P20" s="133" t="b">
        <f t="shared" si="0"/>
        <v>0</v>
      </c>
      <c r="Q20" s="133" t="s">
        <v>1265</v>
      </c>
      <c r="R20" s="133" t="s">
        <v>1266</v>
      </c>
      <c r="S20" s="243" t="s">
        <v>1280</v>
      </c>
    </row>
    <row r="21" spans="1:19" s="132" customFormat="1" ht="16.899999999999999" customHeight="1">
      <c r="A21" s="133">
        <v>19</v>
      </c>
      <c r="B21" s="245" t="s">
        <v>1330</v>
      </c>
      <c r="C21" s="245" t="s">
        <v>1330</v>
      </c>
      <c r="D21" s="133" t="s">
        <v>1267</v>
      </c>
      <c r="E21" s="245" t="s">
        <v>1330</v>
      </c>
      <c r="F21" s="245" t="s">
        <v>1330</v>
      </c>
      <c r="G21" s="133" t="s">
        <v>1267</v>
      </c>
      <c r="H21" s="245" t="s">
        <v>1330</v>
      </c>
      <c r="I21" s="133" t="b">
        <f>IF(B21="○",課題タイプ2!$D$4,課題タイプ2!$D$5)</f>
        <v>1</v>
      </c>
      <c r="J21" s="133" t="b">
        <f>IF(C21="○",課題タイプ2!$D$6,課題タイプ2!$D$7)</f>
        <v>1</v>
      </c>
      <c r="K21" s="133" t="b">
        <f>IF(D21="○",課題タイプ2!$D$8,課題タイプ2!$D$9)</f>
        <v>0</v>
      </c>
      <c r="L21" s="133" t="b">
        <f>IF(E21="○",課題タイプ2!$D$10,課題タイプ2!$D$11)</f>
        <v>0</v>
      </c>
      <c r="M21" s="133" t="b">
        <f>IF(F21="○",課題タイプ2!$D$12,課題タイプ2!$D$13)</f>
        <v>1</v>
      </c>
      <c r="N21" s="133" t="b">
        <f>IF(G21="○",課題タイプ2!$D$14,課題タイプ2!$D$15)</f>
        <v>0</v>
      </c>
      <c r="O21" s="133" t="b">
        <f>IF(H21="○",課題タイプ2!$D$16,課題タイプ2!$D$17)</f>
        <v>0</v>
      </c>
      <c r="P21" s="133" t="b">
        <f t="shared" si="0"/>
        <v>0</v>
      </c>
      <c r="Q21" s="133" t="s">
        <v>1265</v>
      </c>
      <c r="R21" s="133" t="s">
        <v>1266</v>
      </c>
      <c r="S21" s="243" t="s">
        <v>1280</v>
      </c>
    </row>
    <row r="22" spans="1:19" s="132" customFormat="1" ht="16.899999999999999" customHeight="1">
      <c r="A22" s="133">
        <v>20</v>
      </c>
      <c r="B22" s="245" t="s">
        <v>1330</v>
      </c>
      <c r="C22" s="245" t="s">
        <v>1330</v>
      </c>
      <c r="D22" s="133" t="s">
        <v>1267</v>
      </c>
      <c r="E22" s="245" t="s">
        <v>1330</v>
      </c>
      <c r="F22" s="245" t="s">
        <v>1330</v>
      </c>
      <c r="G22" s="133" t="s">
        <v>1267</v>
      </c>
      <c r="H22" s="133" t="s">
        <v>1267</v>
      </c>
      <c r="I22" s="133" t="b">
        <f>IF(B22="○",課題タイプ2!$D$4,課題タイプ2!$D$5)</f>
        <v>1</v>
      </c>
      <c r="J22" s="133" t="b">
        <f>IF(C22="○",課題タイプ2!$D$6,課題タイプ2!$D$7)</f>
        <v>1</v>
      </c>
      <c r="K22" s="133" t="b">
        <f>IF(D22="○",課題タイプ2!$D$8,課題タイプ2!$D$9)</f>
        <v>0</v>
      </c>
      <c r="L22" s="133" t="b">
        <f>IF(E22="○",課題タイプ2!$D$10,課題タイプ2!$D$11)</f>
        <v>0</v>
      </c>
      <c r="M22" s="133" t="b">
        <f>IF(F22="○",課題タイプ2!$D$12,課題タイプ2!$D$13)</f>
        <v>1</v>
      </c>
      <c r="N22" s="133" t="b">
        <f>IF(G22="○",課題タイプ2!$D$14,課題タイプ2!$D$15)</f>
        <v>0</v>
      </c>
      <c r="O22" s="133" t="b">
        <f>IF(H22="○",課題タイプ2!$D$16,課題タイプ2!$D$17)</f>
        <v>1</v>
      </c>
      <c r="P22" s="133" t="b">
        <f t="shared" si="0"/>
        <v>0</v>
      </c>
      <c r="Q22" s="133" t="s">
        <v>1265</v>
      </c>
      <c r="R22" s="133" t="s">
        <v>1266</v>
      </c>
      <c r="S22" s="243" t="s">
        <v>1280</v>
      </c>
    </row>
    <row r="23" spans="1:19" s="132" customFormat="1" ht="16.899999999999999" customHeight="1">
      <c r="A23" s="133">
        <v>21</v>
      </c>
      <c r="B23" s="245" t="s">
        <v>1330</v>
      </c>
      <c r="C23" s="245" t="s">
        <v>1330</v>
      </c>
      <c r="D23" s="133" t="s">
        <v>1267</v>
      </c>
      <c r="E23" s="245" t="s">
        <v>1330</v>
      </c>
      <c r="F23" s="133" t="s">
        <v>1267</v>
      </c>
      <c r="G23" s="245" t="s">
        <v>1330</v>
      </c>
      <c r="H23" s="245" t="s">
        <v>1330</v>
      </c>
      <c r="I23" s="133" t="b">
        <f>IF(B23="○",課題タイプ2!$D$4,課題タイプ2!$D$5)</f>
        <v>1</v>
      </c>
      <c r="J23" s="133" t="b">
        <f>IF(C23="○",課題タイプ2!$D$6,課題タイプ2!$D$7)</f>
        <v>1</v>
      </c>
      <c r="K23" s="133" t="b">
        <f>IF(D23="○",課題タイプ2!$D$8,課題タイプ2!$D$9)</f>
        <v>0</v>
      </c>
      <c r="L23" s="133" t="b">
        <f>IF(E23="○",課題タイプ2!$D$10,課題タイプ2!$D$11)</f>
        <v>0</v>
      </c>
      <c r="M23" s="133" t="b">
        <f>IF(F23="○",課題タイプ2!$D$12,課題タイプ2!$D$13)</f>
        <v>0</v>
      </c>
      <c r="N23" s="133" t="b">
        <f>IF(G23="○",課題タイプ2!$D$14,課題タイプ2!$D$15)</f>
        <v>1</v>
      </c>
      <c r="O23" s="133" t="b">
        <f>IF(H23="○",課題タイプ2!$D$16,課題タイプ2!$D$17)</f>
        <v>0</v>
      </c>
      <c r="P23" s="133" t="b">
        <f t="shared" si="0"/>
        <v>0</v>
      </c>
      <c r="Q23" s="133" t="s">
        <v>1265</v>
      </c>
      <c r="R23" s="133" t="s">
        <v>1266</v>
      </c>
      <c r="S23" s="243" t="s">
        <v>1280</v>
      </c>
    </row>
    <row r="24" spans="1:19" s="132" customFormat="1" ht="16.899999999999999" customHeight="1">
      <c r="A24" s="133">
        <v>22</v>
      </c>
      <c r="B24" s="245" t="s">
        <v>1330</v>
      </c>
      <c r="C24" s="245" t="s">
        <v>1330</v>
      </c>
      <c r="D24" s="133" t="s">
        <v>1267</v>
      </c>
      <c r="E24" s="245" t="s">
        <v>1330</v>
      </c>
      <c r="F24" s="133" t="s">
        <v>1267</v>
      </c>
      <c r="G24" s="245" t="s">
        <v>1330</v>
      </c>
      <c r="H24" s="133" t="s">
        <v>1267</v>
      </c>
      <c r="I24" s="133" t="b">
        <f>IF(B24="○",課題タイプ2!$D$4,課題タイプ2!$D$5)</f>
        <v>1</v>
      </c>
      <c r="J24" s="133" t="b">
        <f>IF(C24="○",課題タイプ2!$D$6,課題タイプ2!$D$7)</f>
        <v>1</v>
      </c>
      <c r="K24" s="133" t="b">
        <f>IF(D24="○",課題タイプ2!$D$8,課題タイプ2!$D$9)</f>
        <v>0</v>
      </c>
      <c r="L24" s="133" t="b">
        <f>IF(E24="○",課題タイプ2!$D$10,課題タイプ2!$D$11)</f>
        <v>0</v>
      </c>
      <c r="M24" s="133" t="b">
        <f>IF(F24="○",課題タイプ2!$D$12,課題タイプ2!$D$13)</f>
        <v>0</v>
      </c>
      <c r="N24" s="133" t="b">
        <f>IF(G24="○",課題タイプ2!$D$14,課題タイプ2!$D$15)</f>
        <v>1</v>
      </c>
      <c r="O24" s="133" t="b">
        <f>IF(H24="○",課題タイプ2!$D$16,課題タイプ2!$D$17)</f>
        <v>1</v>
      </c>
      <c r="P24" s="133" t="b">
        <f t="shared" si="0"/>
        <v>0</v>
      </c>
      <c r="Q24" s="133" t="s">
        <v>1265</v>
      </c>
      <c r="R24" s="133" t="s">
        <v>1266</v>
      </c>
      <c r="S24" s="243" t="s">
        <v>1280</v>
      </c>
    </row>
    <row r="25" spans="1:19" s="132" customFormat="1" ht="16.899999999999999" customHeight="1">
      <c r="A25" s="133">
        <v>23</v>
      </c>
      <c r="B25" s="245" t="s">
        <v>1330</v>
      </c>
      <c r="C25" s="245" t="s">
        <v>1330</v>
      </c>
      <c r="D25" s="133" t="s">
        <v>1267</v>
      </c>
      <c r="E25" s="245" t="s">
        <v>1330</v>
      </c>
      <c r="F25" s="133" t="s">
        <v>1267</v>
      </c>
      <c r="G25" s="133" t="s">
        <v>1267</v>
      </c>
      <c r="H25" s="245" t="s">
        <v>1330</v>
      </c>
      <c r="I25" s="133" t="b">
        <f>IF(B25="○",課題タイプ2!$D$4,課題タイプ2!$D$5)</f>
        <v>1</v>
      </c>
      <c r="J25" s="133" t="b">
        <f>IF(C25="○",課題タイプ2!$D$6,課題タイプ2!$D$7)</f>
        <v>1</v>
      </c>
      <c r="K25" s="133" t="b">
        <f>IF(D25="○",課題タイプ2!$D$8,課題タイプ2!$D$9)</f>
        <v>0</v>
      </c>
      <c r="L25" s="133" t="b">
        <f>IF(E25="○",課題タイプ2!$D$10,課題タイプ2!$D$11)</f>
        <v>0</v>
      </c>
      <c r="M25" s="133" t="b">
        <f>IF(F25="○",課題タイプ2!$D$12,課題タイプ2!$D$13)</f>
        <v>0</v>
      </c>
      <c r="N25" s="133" t="b">
        <f>IF(G25="○",課題タイプ2!$D$14,課題タイプ2!$D$15)</f>
        <v>0</v>
      </c>
      <c r="O25" s="133" t="b">
        <f>IF(H25="○",課題タイプ2!$D$16,課題タイプ2!$D$17)</f>
        <v>0</v>
      </c>
      <c r="P25" s="133" t="b">
        <f t="shared" si="0"/>
        <v>0</v>
      </c>
      <c r="Q25" s="133" t="s">
        <v>1265</v>
      </c>
      <c r="R25" s="133" t="s">
        <v>1266</v>
      </c>
      <c r="S25" s="243" t="s">
        <v>1280</v>
      </c>
    </row>
    <row r="26" spans="1:19" s="132" customFormat="1" ht="16.899999999999999" customHeight="1">
      <c r="A26" s="133">
        <v>24</v>
      </c>
      <c r="B26" s="245" t="s">
        <v>1330</v>
      </c>
      <c r="C26" s="245" t="s">
        <v>1330</v>
      </c>
      <c r="D26" s="133" t="s">
        <v>1267</v>
      </c>
      <c r="E26" s="245" t="s">
        <v>1330</v>
      </c>
      <c r="F26" s="133" t="s">
        <v>1267</v>
      </c>
      <c r="G26" s="133" t="s">
        <v>1267</v>
      </c>
      <c r="H26" s="133" t="s">
        <v>1267</v>
      </c>
      <c r="I26" s="133" t="b">
        <f>IF(B26="○",課題タイプ2!$D$4,課題タイプ2!$D$5)</f>
        <v>1</v>
      </c>
      <c r="J26" s="133" t="b">
        <f>IF(C26="○",課題タイプ2!$D$6,課題タイプ2!$D$7)</f>
        <v>1</v>
      </c>
      <c r="K26" s="133" t="b">
        <f>IF(D26="○",課題タイプ2!$D$8,課題タイプ2!$D$9)</f>
        <v>0</v>
      </c>
      <c r="L26" s="133" t="b">
        <f>IF(E26="○",課題タイプ2!$D$10,課題タイプ2!$D$11)</f>
        <v>0</v>
      </c>
      <c r="M26" s="133" t="b">
        <f>IF(F26="○",課題タイプ2!$D$12,課題タイプ2!$D$13)</f>
        <v>0</v>
      </c>
      <c r="N26" s="133" t="b">
        <f>IF(G26="○",課題タイプ2!$D$14,課題タイプ2!$D$15)</f>
        <v>0</v>
      </c>
      <c r="O26" s="133" t="b">
        <f>IF(H26="○",課題タイプ2!$D$16,課題タイプ2!$D$17)</f>
        <v>1</v>
      </c>
      <c r="P26" s="133" t="b">
        <f t="shared" si="0"/>
        <v>0</v>
      </c>
      <c r="Q26" s="133" t="s">
        <v>1265</v>
      </c>
      <c r="R26" s="133" t="s">
        <v>1266</v>
      </c>
      <c r="S26" s="243" t="s">
        <v>1280</v>
      </c>
    </row>
    <row r="27" spans="1:19" s="132" customFormat="1" ht="16.899999999999999" customHeight="1">
      <c r="A27" s="133">
        <v>25</v>
      </c>
      <c r="B27" s="245" t="s">
        <v>1330</v>
      </c>
      <c r="C27" s="245" t="s">
        <v>1330</v>
      </c>
      <c r="D27" s="133" t="s">
        <v>1267</v>
      </c>
      <c r="E27" s="133" t="s">
        <v>1267</v>
      </c>
      <c r="F27" s="245" t="s">
        <v>1330</v>
      </c>
      <c r="G27" s="245" t="s">
        <v>1330</v>
      </c>
      <c r="H27" s="245" t="s">
        <v>1330</v>
      </c>
      <c r="I27" s="133" t="b">
        <f>IF(B27="○",課題タイプ2!$D$4,課題タイプ2!$D$5)</f>
        <v>1</v>
      </c>
      <c r="J27" s="133" t="b">
        <f>IF(C27="○",課題タイプ2!$D$6,課題タイプ2!$D$7)</f>
        <v>1</v>
      </c>
      <c r="K27" s="133" t="b">
        <f>IF(D27="○",課題タイプ2!$D$8,課題タイプ2!$D$9)</f>
        <v>0</v>
      </c>
      <c r="L27" s="133" t="b">
        <f>IF(E27="○",課題タイプ2!$D$10,課題タイプ2!$D$11)</f>
        <v>1</v>
      </c>
      <c r="M27" s="133" t="b">
        <f>IF(F27="○",課題タイプ2!$D$12,課題タイプ2!$D$13)</f>
        <v>1</v>
      </c>
      <c r="N27" s="133" t="b">
        <f>IF(G27="○",課題タイプ2!$D$14,課題タイプ2!$D$15)</f>
        <v>1</v>
      </c>
      <c r="O27" s="133" t="b">
        <f>IF(H27="○",課題タイプ2!$D$16,課題タイプ2!$D$17)</f>
        <v>0</v>
      </c>
      <c r="P27" s="133" t="b">
        <f t="shared" si="0"/>
        <v>0</v>
      </c>
      <c r="Q27" s="133" t="s">
        <v>1265</v>
      </c>
      <c r="R27" s="133"/>
      <c r="S27" s="243" t="s">
        <v>1281</v>
      </c>
    </row>
    <row r="28" spans="1:19" s="132" customFormat="1" ht="16.899999999999999" customHeight="1">
      <c r="A28" s="133">
        <v>26</v>
      </c>
      <c r="B28" s="245" t="s">
        <v>1330</v>
      </c>
      <c r="C28" s="245" t="s">
        <v>1330</v>
      </c>
      <c r="D28" s="133" t="s">
        <v>1267</v>
      </c>
      <c r="E28" s="133" t="s">
        <v>1267</v>
      </c>
      <c r="F28" s="245" t="s">
        <v>1330</v>
      </c>
      <c r="G28" s="245" t="s">
        <v>1330</v>
      </c>
      <c r="H28" s="133" t="s">
        <v>1267</v>
      </c>
      <c r="I28" s="133" t="b">
        <f>IF(B28="○",課題タイプ2!$D$4,課題タイプ2!$D$5)</f>
        <v>1</v>
      </c>
      <c r="J28" s="133" t="b">
        <f>IF(C28="○",課題タイプ2!$D$6,課題タイプ2!$D$7)</f>
        <v>1</v>
      </c>
      <c r="K28" s="133" t="b">
        <f>IF(D28="○",課題タイプ2!$D$8,課題タイプ2!$D$9)</f>
        <v>0</v>
      </c>
      <c r="L28" s="133" t="b">
        <f>IF(E28="○",課題タイプ2!$D$10,課題タイプ2!$D$11)</f>
        <v>1</v>
      </c>
      <c r="M28" s="133" t="b">
        <f>IF(F28="○",課題タイプ2!$D$12,課題タイプ2!$D$13)</f>
        <v>1</v>
      </c>
      <c r="N28" s="133" t="b">
        <f>IF(G28="○",課題タイプ2!$D$14,課題タイプ2!$D$15)</f>
        <v>1</v>
      </c>
      <c r="O28" s="133" t="b">
        <f>IF(H28="○",課題タイプ2!$D$16,課題タイプ2!$D$17)</f>
        <v>1</v>
      </c>
      <c r="P28" s="133" t="b">
        <f t="shared" si="0"/>
        <v>0</v>
      </c>
      <c r="Q28" s="133" t="s">
        <v>1265</v>
      </c>
      <c r="R28" s="133"/>
      <c r="S28" s="243" t="s">
        <v>1281</v>
      </c>
    </row>
    <row r="29" spans="1:19" s="132" customFormat="1" ht="16.899999999999999" customHeight="1">
      <c r="A29" s="133">
        <v>27</v>
      </c>
      <c r="B29" s="245" t="s">
        <v>1330</v>
      </c>
      <c r="C29" s="245" t="s">
        <v>1330</v>
      </c>
      <c r="D29" s="133" t="s">
        <v>1267</v>
      </c>
      <c r="E29" s="133" t="s">
        <v>1267</v>
      </c>
      <c r="F29" s="245" t="s">
        <v>1330</v>
      </c>
      <c r="G29" s="133" t="s">
        <v>1267</v>
      </c>
      <c r="H29" s="245" t="s">
        <v>1330</v>
      </c>
      <c r="I29" s="133" t="b">
        <f>IF(B29="○",課題タイプ2!$D$4,課題タイプ2!$D$5)</f>
        <v>1</v>
      </c>
      <c r="J29" s="133" t="b">
        <f>IF(C29="○",課題タイプ2!$D$6,課題タイプ2!$D$7)</f>
        <v>1</v>
      </c>
      <c r="K29" s="133" t="b">
        <f>IF(D29="○",課題タイプ2!$D$8,課題タイプ2!$D$9)</f>
        <v>0</v>
      </c>
      <c r="L29" s="133" t="b">
        <f>IF(E29="○",課題タイプ2!$D$10,課題タイプ2!$D$11)</f>
        <v>1</v>
      </c>
      <c r="M29" s="133" t="b">
        <f>IF(F29="○",課題タイプ2!$D$12,課題タイプ2!$D$13)</f>
        <v>1</v>
      </c>
      <c r="N29" s="133" t="b">
        <f>IF(G29="○",課題タイプ2!$D$14,課題タイプ2!$D$15)</f>
        <v>0</v>
      </c>
      <c r="O29" s="133" t="b">
        <f>IF(H29="○",課題タイプ2!$D$16,課題タイプ2!$D$17)</f>
        <v>0</v>
      </c>
      <c r="P29" s="133" t="b">
        <f t="shared" si="0"/>
        <v>0</v>
      </c>
      <c r="Q29" s="133" t="s">
        <v>1265</v>
      </c>
      <c r="R29" s="133"/>
      <c r="S29" s="243" t="s">
        <v>1281</v>
      </c>
    </row>
    <row r="30" spans="1:19" s="132" customFormat="1" ht="16.899999999999999" customHeight="1">
      <c r="A30" s="133">
        <v>28</v>
      </c>
      <c r="B30" s="245" t="s">
        <v>1330</v>
      </c>
      <c r="C30" s="245" t="s">
        <v>1330</v>
      </c>
      <c r="D30" s="133" t="s">
        <v>1267</v>
      </c>
      <c r="E30" s="133" t="s">
        <v>1267</v>
      </c>
      <c r="F30" s="245" t="s">
        <v>1330</v>
      </c>
      <c r="G30" s="133" t="s">
        <v>1267</v>
      </c>
      <c r="H30" s="133" t="s">
        <v>1267</v>
      </c>
      <c r="I30" s="133" t="b">
        <f>IF(B30="○",課題タイプ2!$D$4,課題タイプ2!$D$5)</f>
        <v>1</v>
      </c>
      <c r="J30" s="133" t="b">
        <f>IF(C30="○",課題タイプ2!$D$6,課題タイプ2!$D$7)</f>
        <v>1</v>
      </c>
      <c r="K30" s="133" t="b">
        <f>IF(D30="○",課題タイプ2!$D$8,課題タイプ2!$D$9)</f>
        <v>0</v>
      </c>
      <c r="L30" s="133" t="b">
        <f>IF(E30="○",課題タイプ2!$D$10,課題タイプ2!$D$11)</f>
        <v>1</v>
      </c>
      <c r="M30" s="133" t="b">
        <f>IF(F30="○",課題タイプ2!$D$12,課題タイプ2!$D$13)</f>
        <v>1</v>
      </c>
      <c r="N30" s="133" t="b">
        <f>IF(G30="○",課題タイプ2!$D$14,課題タイプ2!$D$15)</f>
        <v>0</v>
      </c>
      <c r="O30" s="133" t="b">
        <f>IF(H30="○",課題タイプ2!$D$16,課題タイプ2!$D$17)</f>
        <v>1</v>
      </c>
      <c r="P30" s="133" t="b">
        <f t="shared" si="0"/>
        <v>0</v>
      </c>
      <c r="Q30" s="133" t="s">
        <v>1265</v>
      </c>
      <c r="R30" s="133"/>
      <c r="S30" s="243" t="s">
        <v>1281</v>
      </c>
    </row>
    <row r="31" spans="1:19" s="132" customFormat="1" ht="16.899999999999999" customHeight="1">
      <c r="A31" s="133">
        <v>29</v>
      </c>
      <c r="B31" s="245" t="s">
        <v>1330</v>
      </c>
      <c r="C31" s="245" t="s">
        <v>1330</v>
      </c>
      <c r="D31" s="133" t="s">
        <v>1267</v>
      </c>
      <c r="E31" s="133" t="s">
        <v>1267</v>
      </c>
      <c r="F31" s="133" t="s">
        <v>1267</v>
      </c>
      <c r="G31" s="245" t="s">
        <v>1330</v>
      </c>
      <c r="H31" s="245" t="s">
        <v>1330</v>
      </c>
      <c r="I31" s="133" t="b">
        <f>IF(B31="○",課題タイプ2!$D$4,課題タイプ2!$D$5)</f>
        <v>1</v>
      </c>
      <c r="J31" s="133" t="b">
        <f>IF(C31="○",課題タイプ2!$D$6,課題タイプ2!$D$7)</f>
        <v>1</v>
      </c>
      <c r="K31" s="133" t="b">
        <f>IF(D31="○",課題タイプ2!$D$8,課題タイプ2!$D$9)</f>
        <v>0</v>
      </c>
      <c r="L31" s="133" t="b">
        <f>IF(E31="○",課題タイプ2!$D$10,課題タイプ2!$D$11)</f>
        <v>1</v>
      </c>
      <c r="M31" s="133" t="b">
        <f>IF(F31="○",課題タイプ2!$D$12,課題タイプ2!$D$13)</f>
        <v>0</v>
      </c>
      <c r="N31" s="133" t="b">
        <f>IF(G31="○",課題タイプ2!$D$14,課題タイプ2!$D$15)</f>
        <v>1</v>
      </c>
      <c r="O31" s="133" t="b">
        <f>IF(H31="○",課題タイプ2!$D$16,課題タイプ2!$D$17)</f>
        <v>0</v>
      </c>
      <c r="P31" s="133" t="b">
        <f t="shared" si="0"/>
        <v>0</v>
      </c>
      <c r="Q31" s="133" t="s">
        <v>1265</v>
      </c>
      <c r="R31" s="133"/>
      <c r="S31" s="243" t="s">
        <v>1281</v>
      </c>
    </row>
    <row r="32" spans="1:19" s="132" customFormat="1" ht="16.899999999999999" customHeight="1">
      <c r="A32" s="133">
        <v>30</v>
      </c>
      <c r="B32" s="245" t="s">
        <v>1330</v>
      </c>
      <c r="C32" s="245" t="s">
        <v>1330</v>
      </c>
      <c r="D32" s="133" t="s">
        <v>1267</v>
      </c>
      <c r="E32" s="133" t="s">
        <v>1267</v>
      </c>
      <c r="F32" s="133" t="s">
        <v>1267</v>
      </c>
      <c r="G32" s="245" t="s">
        <v>1330</v>
      </c>
      <c r="H32" s="133" t="s">
        <v>1267</v>
      </c>
      <c r="I32" s="133" t="b">
        <f>IF(B32="○",課題タイプ2!$D$4,課題タイプ2!$D$5)</f>
        <v>1</v>
      </c>
      <c r="J32" s="133" t="b">
        <f>IF(C32="○",課題タイプ2!$D$6,課題タイプ2!$D$7)</f>
        <v>1</v>
      </c>
      <c r="K32" s="133" t="b">
        <f>IF(D32="○",課題タイプ2!$D$8,課題タイプ2!$D$9)</f>
        <v>0</v>
      </c>
      <c r="L32" s="133" t="b">
        <f>IF(E32="○",課題タイプ2!$D$10,課題タイプ2!$D$11)</f>
        <v>1</v>
      </c>
      <c r="M32" s="133" t="b">
        <f>IF(F32="○",課題タイプ2!$D$12,課題タイプ2!$D$13)</f>
        <v>0</v>
      </c>
      <c r="N32" s="133" t="b">
        <f>IF(G32="○",課題タイプ2!$D$14,課題タイプ2!$D$15)</f>
        <v>1</v>
      </c>
      <c r="O32" s="133" t="b">
        <f>IF(H32="○",課題タイプ2!$D$16,課題タイプ2!$D$17)</f>
        <v>1</v>
      </c>
      <c r="P32" s="133" t="b">
        <f t="shared" si="0"/>
        <v>0</v>
      </c>
      <c r="Q32" s="133" t="s">
        <v>1265</v>
      </c>
      <c r="R32" s="133"/>
      <c r="S32" s="243" t="s">
        <v>1281</v>
      </c>
    </row>
    <row r="33" spans="1:19" s="132" customFormat="1" ht="16.899999999999999" customHeight="1">
      <c r="A33" s="133">
        <v>31</v>
      </c>
      <c r="B33" s="245" t="s">
        <v>1330</v>
      </c>
      <c r="C33" s="245" t="s">
        <v>1330</v>
      </c>
      <c r="D33" s="133" t="s">
        <v>1267</v>
      </c>
      <c r="E33" s="133" t="s">
        <v>1267</v>
      </c>
      <c r="F33" s="133" t="s">
        <v>1267</v>
      </c>
      <c r="G33" s="133" t="s">
        <v>1267</v>
      </c>
      <c r="H33" s="245" t="s">
        <v>1330</v>
      </c>
      <c r="I33" s="133" t="b">
        <f>IF(B33="○",課題タイプ2!$D$4,課題タイプ2!$D$5)</f>
        <v>1</v>
      </c>
      <c r="J33" s="133" t="b">
        <f>IF(C33="○",課題タイプ2!$D$6,課題タイプ2!$D$7)</f>
        <v>1</v>
      </c>
      <c r="K33" s="133" t="b">
        <f>IF(D33="○",課題タイプ2!$D$8,課題タイプ2!$D$9)</f>
        <v>0</v>
      </c>
      <c r="L33" s="133" t="b">
        <f>IF(E33="○",課題タイプ2!$D$10,課題タイプ2!$D$11)</f>
        <v>1</v>
      </c>
      <c r="M33" s="133" t="b">
        <f>IF(F33="○",課題タイプ2!$D$12,課題タイプ2!$D$13)</f>
        <v>0</v>
      </c>
      <c r="N33" s="133" t="b">
        <f>IF(G33="○",課題タイプ2!$D$14,課題タイプ2!$D$15)</f>
        <v>0</v>
      </c>
      <c r="O33" s="133" t="b">
        <f>IF(H33="○",課題タイプ2!$D$16,課題タイプ2!$D$17)</f>
        <v>0</v>
      </c>
      <c r="P33" s="133" t="b">
        <f t="shared" si="0"/>
        <v>0</v>
      </c>
      <c r="Q33" s="133" t="s">
        <v>1265</v>
      </c>
      <c r="R33" s="133"/>
      <c r="S33" s="243" t="s">
        <v>1281</v>
      </c>
    </row>
    <row r="34" spans="1:19" s="132" customFormat="1" ht="16.899999999999999" customHeight="1">
      <c r="A34" s="133">
        <v>32</v>
      </c>
      <c r="B34" s="245" t="s">
        <v>1330</v>
      </c>
      <c r="C34" s="245" t="s">
        <v>1330</v>
      </c>
      <c r="D34" s="133" t="s">
        <v>1267</v>
      </c>
      <c r="E34" s="133" t="s">
        <v>1267</v>
      </c>
      <c r="F34" s="133" t="s">
        <v>1267</v>
      </c>
      <c r="G34" s="133" t="s">
        <v>1267</v>
      </c>
      <c r="H34" s="133" t="s">
        <v>1267</v>
      </c>
      <c r="I34" s="133" t="b">
        <f>IF(B34="○",課題タイプ2!$D$4,課題タイプ2!$D$5)</f>
        <v>1</v>
      </c>
      <c r="J34" s="133" t="b">
        <f>IF(C34="○",課題タイプ2!$D$6,課題タイプ2!$D$7)</f>
        <v>1</v>
      </c>
      <c r="K34" s="133" t="b">
        <f>IF(D34="○",課題タイプ2!$D$8,課題タイプ2!$D$9)</f>
        <v>0</v>
      </c>
      <c r="L34" s="133" t="b">
        <f>IF(E34="○",課題タイプ2!$D$10,課題タイプ2!$D$11)</f>
        <v>1</v>
      </c>
      <c r="M34" s="133" t="b">
        <f>IF(F34="○",課題タイプ2!$D$12,課題タイプ2!$D$13)</f>
        <v>0</v>
      </c>
      <c r="N34" s="133" t="b">
        <f>IF(G34="○",課題タイプ2!$D$14,課題タイプ2!$D$15)</f>
        <v>0</v>
      </c>
      <c r="O34" s="133" t="b">
        <f>IF(H34="○",課題タイプ2!$D$16,課題タイプ2!$D$17)</f>
        <v>1</v>
      </c>
      <c r="P34" s="133" t="b">
        <f t="shared" si="0"/>
        <v>0</v>
      </c>
      <c r="Q34" s="133" t="s">
        <v>1265</v>
      </c>
      <c r="R34" s="133"/>
      <c r="S34" s="243" t="s">
        <v>1281</v>
      </c>
    </row>
    <row r="35" spans="1:19" s="132" customFormat="1" ht="16.899999999999999" customHeight="1">
      <c r="A35" s="133">
        <v>33</v>
      </c>
      <c r="B35" s="245" t="s">
        <v>1330</v>
      </c>
      <c r="C35" s="133" t="s">
        <v>1267</v>
      </c>
      <c r="D35" s="245" t="s">
        <v>1330</v>
      </c>
      <c r="E35" s="245" t="s">
        <v>1330</v>
      </c>
      <c r="F35" s="245" t="s">
        <v>1330</v>
      </c>
      <c r="G35" s="245" t="s">
        <v>1330</v>
      </c>
      <c r="H35" s="245" t="s">
        <v>1330</v>
      </c>
      <c r="I35" s="133" t="b">
        <f>IF(B35="○",課題タイプ2!$D$4,課題タイプ2!$D$5)</f>
        <v>1</v>
      </c>
      <c r="J35" s="133" t="b">
        <f>IF(C35="○",課題タイプ2!$D$6,課題タイプ2!$D$7)</f>
        <v>0</v>
      </c>
      <c r="K35" s="133" t="b">
        <f>IF(D35="○",課題タイプ2!$D$8,課題タイプ2!$D$9)</f>
        <v>1</v>
      </c>
      <c r="L35" s="133" t="b">
        <f>IF(E35="○",課題タイプ2!$D$10,課題タイプ2!$D$11)</f>
        <v>0</v>
      </c>
      <c r="M35" s="133" t="b">
        <f>IF(F35="○",課題タイプ2!$D$12,課題タイプ2!$D$13)</f>
        <v>1</v>
      </c>
      <c r="N35" s="133" t="b">
        <f>IF(G35="○",課題タイプ2!$D$14,課題タイプ2!$D$15)</f>
        <v>1</v>
      </c>
      <c r="O35" s="133" t="b">
        <f>IF(H35="○",課題タイプ2!$D$16,課題タイプ2!$D$17)</f>
        <v>0</v>
      </c>
      <c r="P35" s="133" t="b">
        <f t="shared" si="0"/>
        <v>0</v>
      </c>
      <c r="Q35" s="133" t="s">
        <v>1265</v>
      </c>
      <c r="R35" s="133" t="s">
        <v>1266</v>
      </c>
      <c r="S35" s="243" t="s">
        <v>1280</v>
      </c>
    </row>
    <row r="36" spans="1:19" s="132" customFormat="1" ht="16.899999999999999" customHeight="1">
      <c r="A36" s="133">
        <v>34</v>
      </c>
      <c r="B36" s="245" t="s">
        <v>1330</v>
      </c>
      <c r="C36" s="133" t="s">
        <v>1267</v>
      </c>
      <c r="D36" s="245" t="s">
        <v>1330</v>
      </c>
      <c r="E36" s="245" t="s">
        <v>1330</v>
      </c>
      <c r="F36" s="245" t="s">
        <v>1330</v>
      </c>
      <c r="G36" s="245" t="s">
        <v>1330</v>
      </c>
      <c r="H36" s="133" t="s">
        <v>1267</v>
      </c>
      <c r="I36" s="133" t="b">
        <f>IF(B36="○",課題タイプ2!$D$4,課題タイプ2!$D$5)</f>
        <v>1</v>
      </c>
      <c r="J36" s="133" t="b">
        <f>IF(C36="○",課題タイプ2!$D$6,課題タイプ2!$D$7)</f>
        <v>0</v>
      </c>
      <c r="K36" s="133" t="b">
        <f>IF(D36="○",課題タイプ2!$D$8,課題タイプ2!$D$9)</f>
        <v>1</v>
      </c>
      <c r="L36" s="133" t="b">
        <f>IF(E36="○",課題タイプ2!$D$10,課題タイプ2!$D$11)</f>
        <v>0</v>
      </c>
      <c r="M36" s="133" t="b">
        <f>IF(F36="○",課題タイプ2!$D$12,課題タイプ2!$D$13)</f>
        <v>1</v>
      </c>
      <c r="N36" s="133" t="b">
        <f>IF(G36="○",課題タイプ2!$D$14,課題タイプ2!$D$15)</f>
        <v>1</v>
      </c>
      <c r="O36" s="133" t="b">
        <f>IF(H36="○",課題タイプ2!$D$16,課題タイプ2!$D$17)</f>
        <v>1</v>
      </c>
      <c r="P36" s="133" t="b">
        <f t="shared" si="0"/>
        <v>0</v>
      </c>
      <c r="Q36" s="133" t="s">
        <v>1265</v>
      </c>
      <c r="R36" s="133" t="s">
        <v>1266</v>
      </c>
      <c r="S36" s="243" t="s">
        <v>1280</v>
      </c>
    </row>
    <row r="37" spans="1:19" s="132" customFormat="1" ht="16.899999999999999" customHeight="1">
      <c r="A37" s="133">
        <v>35</v>
      </c>
      <c r="B37" s="245" t="s">
        <v>1330</v>
      </c>
      <c r="C37" s="133" t="s">
        <v>1267</v>
      </c>
      <c r="D37" s="245" t="s">
        <v>1330</v>
      </c>
      <c r="E37" s="245" t="s">
        <v>1330</v>
      </c>
      <c r="F37" s="245" t="s">
        <v>1330</v>
      </c>
      <c r="G37" s="133" t="s">
        <v>1267</v>
      </c>
      <c r="H37" s="245" t="s">
        <v>1330</v>
      </c>
      <c r="I37" s="133" t="b">
        <f>IF(B37="○",課題タイプ2!$D$4,課題タイプ2!$D$5)</f>
        <v>1</v>
      </c>
      <c r="J37" s="133" t="b">
        <f>IF(C37="○",課題タイプ2!$D$6,課題タイプ2!$D$7)</f>
        <v>0</v>
      </c>
      <c r="K37" s="133" t="b">
        <f>IF(D37="○",課題タイプ2!$D$8,課題タイプ2!$D$9)</f>
        <v>1</v>
      </c>
      <c r="L37" s="133" t="b">
        <f>IF(E37="○",課題タイプ2!$D$10,課題タイプ2!$D$11)</f>
        <v>0</v>
      </c>
      <c r="M37" s="133" t="b">
        <f>IF(F37="○",課題タイプ2!$D$12,課題タイプ2!$D$13)</f>
        <v>1</v>
      </c>
      <c r="N37" s="133" t="b">
        <f>IF(G37="○",課題タイプ2!$D$14,課題タイプ2!$D$15)</f>
        <v>0</v>
      </c>
      <c r="O37" s="133" t="b">
        <f>IF(H37="○",課題タイプ2!$D$16,課題タイプ2!$D$17)</f>
        <v>0</v>
      </c>
      <c r="P37" s="133" t="b">
        <f t="shared" si="0"/>
        <v>0</v>
      </c>
      <c r="Q37" s="133" t="s">
        <v>1265</v>
      </c>
      <c r="R37" s="133" t="s">
        <v>1266</v>
      </c>
      <c r="S37" s="243" t="s">
        <v>1280</v>
      </c>
    </row>
    <row r="38" spans="1:19" s="132" customFormat="1" ht="16.899999999999999" customHeight="1">
      <c r="A38" s="133">
        <v>36</v>
      </c>
      <c r="B38" s="245" t="s">
        <v>1330</v>
      </c>
      <c r="C38" s="133" t="s">
        <v>1267</v>
      </c>
      <c r="D38" s="245" t="s">
        <v>1330</v>
      </c>
      <c r="E38" s="245" t="s">
        <v>1330</v>
      </c>
      <c r="F38" s="245" t="s">
        <v>1330</v>
      </c>
      <c r="G38" s="133" t="s">
        <v>1267</v>
      </c>
      <c r="H38" s="133" t="s">
        <v>1267</v>
      </c>
      <c r="I38" s="133" t="b">
        <f>IF(B38="○",課題タイプ2!$D$4,課題タイプ2!$D$5)</f>
        <v>1</v>
      </c>
      <c r="J38" s="133" t="b">
        <f>IF(C38="○",課題タイプ2!$D$6,課題タイプ2!$D$7)</f>
        <v>0</v>
      </c>
      <c r="K38" s="133" t="b">
        <f>IF(D38="○",課題タイプ2!$D$8,課題タイプ2!$D$9)</f>
        <v>1</v>
      </c>
      <c r="L38" s="133" t="b">
        <f>IF(E38="○",課題タイプ2!$D$10,課題タイプ2!$D$11)</f>
        <v>0</v>
      </c>
      <c r="M38" s="133" t="b">
        <f>IF(F38="○",課題タイプ2!$D$12,課題タイプ2!$D$13)</f>
        <v>1</v>
      </c>
      <c r="N38" s="133" t="b">
        <f>IF(G38="○",課題タイプ2!$D$14,課題タイプ2!$D$15)</f>
        <v>0</v>
      </c>
      <c r="O38" s="133" t="b">
        <f>IF(H38="○",課題タイプ2!$D$16,課題タイプ2!$D$17)</f>
        <v>1</v>
      </c>
      <c r="P38" s="133" t="b">
        <f t="shared" si="0"/>
        <v>0</v>
      </c>
      <c r="Q38" s="133" t="s">
        <v>1265</v>
      </c>
      <c r="R38" s="133" t="s">
        <v>1266</v>
      </c>
      <c r="S38" s="243" t="s">
        <v>1280</v>
      </c>
    </row>
    <row r="39" spans="1:19" s="132" customFormat="1" ht="16.899999999999999" customHeight="1">
      <c r="A39" s="133">
        <v>37</v>
      </c>
      <c r="B39" s="245" t="s">
        <v>1330</v>
      </c>
      <c r="C39" s="133" t="s">
        <v>1267</v>
      </c>
      <c r="D39" s="245" t="s">
        <v>1330</v>
      </c>
      <c r="E39" s="245" t="s">
        <v>1330</v>
      </c>
      <c r="F39" s="133" t="s">
        <v>1267</v>
      </c>
      <c r="G39" s="245" t="s">
        <v>1330</v>
      </c>
      <c r="H39" s="245" t="s">
        <v>1330</v>
      </c>
      <c r="I39" s="133" t="b">
        <f>IF(B39="○",課題タイプ2!$D$4,課題タイプ2!$D$5)</f>
        <v>1</v>
      </c>
      <c r="J39" s="133" t="b">
        <f>IF(C39="○",課題タイプ2!$D$6,課題タイプ2!$D$7)</f>
        <v>0</v>
      </c>
      <c r="K39" s="133" t="b">
        <f>IF(D39="○",課題タイプ2!$D$8,課題タイプ2!$D$9)</f>
        <v>1</v>
      </c>
      <c r="L39" s="133" t="b">
        <f>IF(E39="○",課題タイプ2!$D$10,課題タイプ2!$D$11)</f>
        <v>0</v>
      </c>
      <c r="M39" s="133" t="b">
        <f>IF(F39="○",課題タイプ2!$D$12,課題タイプ2!$D$13)</f>
        <v>0</v>
      </c>
      <c r="N39" s="133" t="b">
        <f>IF(G39="○",課題タイプ2!$D$14,課題タイプ2!$D$15)</f>
        <v>1</v>
      </c>
      <c r="O39" s="133" t="b">
        <f>IF(H39="○",課題タイプ2!$D$16,課題タイプ2!$D$17)</f>
        <v>0</v>
      </c>
      <c r="P39" s="133" t="b">
        <f t="shared" si="0"/>
        <v>0</v>
      </c>
      <c r="Q39" s="133" t="s">
        <v>1265</v>
      </c>
      <c r="R39" s="133" t="s">
        <v>1266</v>
      </c>
      <c r="S39" s="243" t="s">
        <v>1280</v>
      </c>
    </row>
    <row r="40" spans="1:19" s="132" customFormat="1" ht="16.899999999999999" customHeight="1">
      <c r="A40" s="133">
        <v>38</v>
      </c>
      <c r="B40" s="245" t="s">
        <v>1330</v>
      </c>
      <c r="C40" s="133" t="s">
        <v>1267</v>
      </c>
      <c r="D40" s="245" t="s">
        <v>1330</v>
      </c>
      <c r="E40" s="245" t="s">
        <v>1330</v>
      </c>
      <c r="F40" s="133" t="s">
        <v>1267</v>
      </c>
      <c r="G40" s="245" t="s">
        <v>1330</v>
      </c>
      <c r="H40" s="133" t="s">
        <v>1267</v>
      </c>
      <c r="I40" s="133" t="b">
        <f>IF(B40="○",課題タイプ2!$D$4,課題タイプ2!$D$5)</f>
        <v>1</v>
      </c>
      <c r="J40" s="133" t="b">
        <f>IF(C40="○",課題タイプ2!$D$6,課題タイプ2!$D$7)</f>
        <v>0</v>
      </c>
      <c r="K40" s="133" t="b">
        <f>IF(D40="○",課題タイプ2!$D$8,課題タイプ2!$D$9)</f>
        <v>1</v>
      </c>
      <c r="L40" s="133" t="b">
        <f>IF(E40="○",課題タイプ2!$D$10,課題タイプ2!$D$11)</f>
        <v>0</v>
      </c>
      <c r="M40" s="133" t="b">
        <f>IF(F40="○",課題タイプ2!$D$12,課題タイプ2!$D$13)</f>
        <v>0</v>
      </c>
      <c r="N40" s="133" t="b">
        <f>IF(G40="○",課題タイプ2!$D$14,課題タイプ2!$D$15)</f>
        <v>1</v>
      </c>
      <c r="O40" s="133" t="b">
        <f>IF(H40="○",課題タイプ2!$D$16,課題タイプ2!$D$17)</f>
        <v>1</v>
      </c>
      <c r="P40" s="133" t="b">
        <f t="shared" si="0"/>
        <v>0</v>
      </c>
      <c r="Q40" s="133" t="s">
        <v>1265</v>
      </c>
      <c r="R40" s="133" t="s">
        <v>1266</v>
      </c>
      <c r="S40" s="243" t="s">
        <v>1280</v>
      </c>
    </row>
    <row r="41" spans="1:19" s="132" customFormat="1" ht="16.899999999999999" customHeight="1">
      <c r="A41" s="133">
        <v>39</v>
      </c>
      <c r="B41" s="245" t="s">
        <v>1330</v>
      </c>
      <c r="C41" s="133" t="s">
        <v>1267</v>
      </c>
      <c r="D41" s="245" t="s">
        <v>1330</v>
      </c>
      <c r="E41" s="245" t="s">
        <v>1330</v>
      </c>
      <c r="F41" s="133" t="s">
        <v>1267</v>
      </c>
      <c r="G41" s="133" t="s">
        <v>1267</v>
      </c>
      <c r="H41" s="245" t="s">
        <v>1330</v>
      </c>
      <c r="I41" s="133" t="b">
        <f>IF(B41="○",課題タイプ2!$D$4,課題タイプ2!$D$5)</f>
        <v>1</v>
      </c>
      <c r="J41" s="133" t="b">
        <f>IF(C41="○",課題タイプ2!$D$6,課題タイプ2!$D$7)</f>
        <v>0</v>
      </c>
      <c r="K41" s="133" t="b">
        <f>IF(D41="○",課題タイプ2!$D$8,課題タイプ2!$D$9)</f>
        <v>1</v>
      </c>
      <c r="L41" s="133" t="b">
        <f>IF(E41="○",課題タイプ2!$D$10,課題タイプ2!$D$11)</f>
        <v>0</v>
      </c>
      <c r="M41" s="133" t="b">
        <f>IF(F41="○",課題タイプ2!$D$12,課題タイプ2!$D$13)</f>
        <v>0</v>
      </c>
      <c r="N41" s="133" t="b">
        <f>IF(G41="○",課題タイプ2!$D$14,課題タイプ2!$D$15)</f>
        <v>0</v>
      </c>
      <c r="O41" s="133" t="b">
        <f>IF(H41="○",課題タイプ2!$D$16,課題タイプ2!$D$17)</f>
        <v>0</v>
      </c>
      <c r="P41" s="133" t="b">
        <f t="shared" si="0"/>
        <v>0</v>
      </c>
      <c r="Q41" s="133" t="s">
        <v>1265</v>
      </c>
      <c r="R41" s="133" t="s">
        <v>1266</v>
      </c>
      <c r="S41" s="243" t="s">
        <v>1280</v>
      </c>
    </row>
    <row r="42" spans="1:19" s="132" customFormat="1" ht="16.899999999999999" customHeight="1">
      <c r="A42" s="133">
        <v>40</v>
      </c>
      <c r="B42" s="245" t="s">
        <v>1330</v>
      </c>
      <c r="C42" s="133" t="s">
        <v>1267</v>
      </c>
      <c r="D42" s="245" t="s">
        <v>1330</v>
      </c>
      <c r="E42" s="245" t="s">
        <v>1330</v>
      </c>
      <c r="F42" s="133" t="s">
        <v>1267</v>
      </c>
      <c r="G42" s="133" t="s">
        <v>1267</v>
      </c>
      <c r="H42" s="133" t="s">
        <v>1267</v>
      </c>
      <c r="I42" s="133" t="b">
        <f>IF(B42="○",課題タイプ2!$D$4,課題タイプ2!$D$5)</f>
        <v>1</v>
      </c>
      <c r="J42" s="133" t="b">
        <f>IF(C42="○",課題タイプ2!$D$6,課題タイプ2!$D$7)</f>
        <v>0</v>
      </c>
      <c r="K42" s="133" t="b">
        <f>IF(D42="○",課題タイプ2!$D$8,課題タイプ2!$D$9)</f>
        <v>1</v>
      </c>
      <c r="L42" s="133" t="b">
        <f>IF(E42="○",課題タイプ2!$D$10,課題タイプ2!$D$11)</f>
        <v>0</v>
      </c>
      <c r="M42" s="133" t="b">
        <f>IF(F42="○",課題タイプ2!$D$12,課題タイプ2!$D$13)</f>
        <v>0</v>
      </c>
      <c r="N42" s="133" t="b">
        <f>IF(G42="○",課題タイプ2!$D$14,課題タイプ2!$D$15)</f>
        <v>0</v>
      </c>
      <c r="O42" s="133" t="b">
        <f>IF(H42="○",課題タイプ2!$D$16,課題タイプ2!$D$17)</f>
        <v>1</v>
      </c>
      <c r="P42" s="133" t="b">
        <f t="shared" si="0"/>
        <v>0</v>
      </c>
      <c r="Q42" s="133" t="s">
        <v>1265</v>
      </c>
      <c r="R42" s="133" t="s">
        <v>1266</v>
      </c>
      <c r="S42" s="243" t="s">
        <v>1280</v>
      </c>
    </row>
    <row r="43" spans="1:19" s="132" customFormat="1" ht="16.899999999999999" customHeight="1">
      <c r="A43" s="133">
        <v>41</v>
      </c>
      <c r="B43" s="245" t="s">
        <v>1330</v>
      </c>
      <c r="C43" s="133" t="s">
        <v>1267</v>
      </c>
      <c r="D43" s="245" t="s">
        <v>1330</v>
      </c>
      <c r="E43" s="133" t="s">
        <v>1267</v>
      </c>
      <c r="F43" s="245" t="s">
        <v>1330</v>
      </c>
      <c r="G43" s="245" t="s">
        <v>1330</v>
      </c>
      <c r="H43" s="245" t="s">
        <v>1330</v>
      </c>
      <c r="I43" s="133" t="b">
        <f>IF(B43="○",課題タイプ2!$D$4,課題タイプ2!$D$5)</f>
        <v>1</v>
      </c>
      <c r="J43" s="133" t="b">
        <f>IF(C43="○",課題タイプ2!$D$6,課題タイプ2!$D$7)</f>
        <v>0</v>
      </c>
      <c r="K43" s="133" t="b">
        <f>IF(D43="○",課題タイプ2!$D$8,課題タイプ2!$D$9)</f>
        <v>1</v>
      </c>
      <c r="L43" s="133" t="b">
        <f>IF(E43="○",課題タイプ2!$D$10,課題タイプ2!$D$11)</f>
        <v>1</v>
      </c>
      <c r="M43" s="133" t="b">
        <f>IF(F43="○",課題タイプ2!$D$12,課題タイプ2!$D$13)</f>
        <v>1</v>
      </c>
      <c r="N43" s="133" t="b">
        <f>IF(G43="○",課題タイプ2!$D$14,課題タイプ2!$D$15)</f>
        <v>1</v>
      </c>
      <c r="O43" s="133" t="b">
        <f>IF(H43="○",課題タイプ2!$D$16,課題タイプ2!$D$17)</f>
        <v>0</v>
      </c>
      <c r="P43" s="133" t="b">
        <f t="shared" si="0"/>
        <v>0</v>
      </c>
      <c r="Q43" s="133" t="s">
        <v>1265</v>
      </c>
      <c r="R43" s="133"/>
      <c r="S43" s="243" t="s">
        <v>1281</v>
      </c>
    </row>
    <row r="44" spans="1:19" s="132" customFormat="1" ht="16.899999999999999" customHeight="1">
      <c r="A44" s="133">
        <v>42</v>
      </c>
      <c r="B44" s="245" t="s">
        <v>1330</v>
      </c>
      <c r="C44" s="133" t="s">
        <v>1267</v>
      </c>
      <c r="D44" s="245" t="s">
        <v>1330</v>
      </c>
      <c r="E44" s="133" t="s">
        <v>1267</v>
      </c>
      <c r="F44" s="245" t="s">
        <v>1330</v>
      </c>
      <c r="G44" s="245" t="s">
        <v>1330</v>
      </c>
      <c r="H44" s="133" t="s">
        <v>1267</v>
      </c>
      <c r="I44" s="133" t="b">
        <f>IF(B44="○",課題タイプ2!$D$4,課題タイプ2!$D$5)</f>
        <v>1</v>
      </c>
      <c r="J44" s="133" t="b">
        <f>IF(C44="○",課題タイプ2!$D$6,課題タイプ2!$D$7)</f>
        <v>0</v>
      </c>
      <c r="K44" s="133" t="b">
        <f>IF(D44="○",課題タイプ2!$D$8,課題タイプ2!$D$9)</f>
        <v>1</v>
      </c>
      <c r="L44" s="133" t="b">
        <f>IF(E44="○",課題タイプ2!$D$10,課題タイプ2!$D$11)</f>
        <v>1</v>
      </c>
      <c r="M44" s="133" t="b">
        <f>IF(F44="○",課題タイプ2!$D$12,課題タイプ2!$D$13)</f>
        <v>1</v>
      </c>
      <c r="N44" s="133" t="b">
        <f>IF(G44="○",課題タイプ2!$D$14,課題タイプ2!$D$15)</f>
        <v>1</v>
      </c>
      <c r="O44" s="133" t="b">
        <f>IF(H44="○",課題タイプ2!$D$16,課題タイプ2!$D$17)</f>
        <v>1</v>
      </c>
      <c r="P44" s="133" t="b">
        <f t="shared" si="0"/>
        <v>0</v>
      </c>
      <c r="Q44" s="133" t="s">
        <v>1265</v>
      </c>
      <c r="R44" s="133"/>
      <c r="S44" s="243" t="s">
        <v>1281</v>
      </c>
    </row>
    <row r="45" spans="1:19" s="132" customFormat="1" ht="16.899999999999999" customHeight="1">
      <c r="A45" s="133">
        <v>43</v>
      </c>
      <c r="B45" s="245" t="s">
        <v>1330</v>
      </c>
      <c r="C45" s="133" t="s">
        <v>1267</v>
      </c>
      <c r="D45" s="245" t="s">
        <v>1330</v>
      </c>
      <c r="E45" s="133" t="s">
        <v>1267</v>
      </c>
      <c r="F45" s="245" t="s">
        <v>1330</v>
      </c>
      <c r="G45" s="133" t="s">
        <v>1267</v>
      </c>
      <c r="H45" s="245" t="s">
        <v>1330</v>
      </c>
      <c r="I45" s="133" t="b">
        <f>IF(B45="○",課題タイプ2!$D$4,課題タイプ2!$D$5)</f>
        <v>1</v>
      </c>
      <c r="J45" s="133" t="b">
        <f>IF(C45="○",課題タイプ2!$D$6,課題タイプ2!$D$7)</f>
        <v>0</v>
      </c>
      <c r="K45" s="133" t="b">
        <f>IF(D45="○",課題タイプ2!$D$8,課題タイプ2!$D$9)</f>
        <v>1</v>
      </c>
      <c r="L45" s="133" t="b">
        <f>IF(E45="○",課題タイプ2!$D$10,課題タイプ2!$D$11)</f>
        <v>1</v>
      </c>
      <c r="M45" s="133" t="b">
        <f>IF(F45="○",課題タイプ2!$D$12,課題タイプ2!$D$13)</f>
        <v>1</v>
      </c>
      <c r="N45" s="133" t="b">
        <f>IF(G45="○",課題タイプ2!$D$14,課題タイプ2!$D$15)</f>
        <v>0</v>
      </c>
      <c r="O45" s="133" t="b">
        <f>IF(H45="○",課題タイプ2!$D$16,課題タイプ2!$D$17)</f>
        <v>0</v>
      </c>
      <c r="P45" s="133" t="b">
        <f t="shared" si="0"/>
        <v>0</v>
      </c>
      <c r="Q45" s="133" t="s">
        <v>1265</v>
      </c>
      <c r="R45" s="133"/>
      <c r="S45" s="243" t="s">
        <v>1281</v>
      </c>
    </row>
    <row r="46" spans="1:19" s="132" customFormat="1" ht="16.899999999999999" customHeight="1">
      <c r="A46" s="133">
        <v>44</v>
      </c>
      <c r="B46" s="245" t="s">
        <v>1330</v>
      </c>
      <c r="C46" s="133" t="s">
        <v>1267</v>
      </c>
      <c r="D46" s="245" t="s">
        <v>1330</v>
      </c>
      <c r="E46" s="133" t="s">
        <v>1267</v>
      </c>
      <c r="F46" s="245" t="s">
        <v>1330</v>
      </c>
      <c r="G46" s="133" t="s">
        <v>1267</v>
      </c>
      <c r="H46" s="133" t="s">
        <v>1267</v>
      </c>
      <c r="I46" s="133" t="b">
        <f>IF(B46="○",課題タイプ2!$D$4,課題タイプ2!$D$5)</f>
        <v>1</v>
      </c>
      <c r="J46" s="133" t="b">
        <f>IF(C46="○",課題タイプ2!$D$6,課題タイプ2!$D$7)</f>
        <v>0</v>
      </c>
      <c r="K46" s="133" t="b">
        <f>IF(D46="○",課題タイプ2!$D$8,課題タイプ2!$D$9)</f>
        <v>1</v>
      </c>
      <c r="L46" s="133" t="b">
        <f>IF(E46="○",課題タイプ2!$D$10,課題タイプ2!$D$11)</f>
        <v>1</v>
      </c>
      <c r="M46" s="133" t="b">
        <f>IF(F46="○",課題タイプ2!$D$12,課題タイプ2!$D$13)</f>
        <v>1</v>
      </c>
      <c r="N46" s="133" t="b">
        <f>IF(G46="○",課題タイプ2!$D$14,課題タイプ2!$D$15)</f>
        <v>0</v>
      </c>
      <c r="O46" s="133" t="b">
        <f>IF(H46="○",課題タイプ2!$D$16,課題タイプ2!$D$17)</f>
        <v>1</v>
      </c>
      <c r="P46" s="133" t="b">
        <f t="shared" si="0"/>
        <v>0</v>
      </c>
      <c r="Q46" s="133" t="s">
        <v>1265</v>
      </c>
      <c r="R46" s="133"/>
      <c r="S46" s="243" t="s">
        <v>1281</v>
      </c>
    </row>
    <row r="47" spans="1:19" s="132" customFormat="1" ht="16.899999999999999" customHeight="1">
      <c r="A47" s="133">
        <v>45</v>
      </c>
      <c r="B47" s="245" t="s">
        <v>1330</v>
      </c>
      <c r="C47" s="133" t="s">
        <v>1267</v>
      </c>
      <c r="D47" s="245" t="s">
        <v>1330</v>
      </c>
      <c r="E47" s="133" t="s">
        <v>1267</v>
      </c>
      <c r="F47" s="133" t="s">
        <v>1267</v>
      </c>
      <c r="G47" s="245" t="s">
        <v>1330</v>
      </c>
      <c r="H47" s="245" t="s">
        <v>1330</v>
      </c>
      <c r="I47" s="133" t="b">
        <f>IF(B47="○",課題タイプ2!$D$4,課題タイプ2!$D$5)</f>
        <v>1</v>
      </c>
      <c r="J47" s="133" t="b">
        <f>IF(C47="○",課題タイプ2!$D$6,課題タイプ2!$D$7)</f>
        <v>0</v>
      </c>
      <c r="K47" s="133" t="b">
        <f>IF(D47="○",課題タイプ2!$D$8,課題タイプ2!$D$9)</f>
        <v>1</v>
      </c>
      <c r="L47" s="133" t="b">
        <f>IF(E47="○",課題タイプ2!$D$10,課題タイプ2!$D$11)</f>
        <v>1</v>
      </c>
      <c r="M47" s="133" t="b">
        <f>IF(F47="○",課題タイプ2!$D$12,課題タイプ2!$D$13)</f>
        <v>0</v>
      </c>
      <c r="N47" s="133" t="b">
        <f>IF(G47="○",課題タイプ2!$D$14,課題タイプ2!$D$15)</f>
        <v>1</v>
      </c>
      <c r="O47" s="133" t="b">
        <f>IF(H47="○",課題タイプ2!$D$16,課題タイプ2!$D$17)</f>
        <v>0</v>
      </c>
      <c r="P47" s="133" t="b">
        <f t="shared" si="0"/>
        <v>0</v>
      </c>
      <c r="Q47" s="133" t="s">
        <v>1265</v>
      </c>
      <c r="R47" s="133"/>
      <c r="S47" s="243" t="s">
        <v>1281</v>
      </c>
    </row>
    <row r="48" spans="1:19" s="132" customFormat="1" ht="16.899999999999999" customHeight="1">
      <c r="A48" s="133">
        <v>46</v>
      </c>
      <c r="B48" s="245" t="s">
        <v>1330</v>
      </c>
      <c r="C48" s="133" t="s">
        <v>1267</v>
      </c>
      <c r="D48" s="245" t="s">
        <v>1330</v>
      </c>
      <c r="E48" s="133" t="s">
        <v>1267</v>
      </c>
      <c r="F48" s="133" t="s">
        <v>1267</v>
      </c>
      <c r="G48" s="245" t="s">
        <v>1330</v>
      </c>
      <c r="H48" s="133" t="s">
        <v>1267</v>
      </c>
      <c r="I48" s="133" t="b">
        <f>IF(B48="○",課題タイプ2!$D$4,課題タイプ2!$D$5)</f>
        <v>1</v>
      </c>
      <c r="J48" s="133" t="b">
        <f>IF(C48="○",課題タイプ2!$D$6,課題タイプ2!$D$7)</f>
        <v>0</v>
      </c>
      <c r="K48" s="133" t="b">
        <f>IF(D48="○",課題タイプ2!$D$8,課題タイプ2!$D$9)</f>
        <v>1</v>
      </c>
      <c r="L48" s="133" t="b">
        <f>IF(E48="○",課題タイプ2!$D$10,課題タイプ2!$D$11)</f>
        <v>1</v>
      </c>
      <c r="M48" s="133" t="b">
        <f>IF(F48="○",課題タイプ2!$D$12,課題タイプ2!$D$13)</f>
        <v>0</v>
      </c>
      <c r="N48" s="133" t="b">
        <f>IF(G48="○",課題タイプ2!$D$14,課題タイプ2!$D$15)</f>
        <v>1</v>
      </c>
      <c r="O48" s="133" t="b">
        <f>IF(H48="○",課題タイプ2!$D$16,課題タイプ2!$D$17)</f>
        <v>1</v>
      </c>
      <c r="P48" s="133" t="b">
        <f t="shared" si="0"/>
        <v>0</v>
      </c>
      <c r="Q48" s="133" t="s">
        <v>1265</v>
      </c>
      <c r="R48" s="133"/>
      <c r="S48" s="243" t="s">
        <v>1281</v>
      </c>
    </row>
    <row r="49" spans="1:19" s="132" customFormat="1" ht="16.899999999999999" customHeight="1">
      <c r="A49" s="133">
        <v>47</v>
      </c>
      <c r="B49" s="245" t="s">
        <v>1330</v>
      </c>
      <c r="C49" s="133" t="s">
        <v>1267</v>
      </c>
      <c r="D49" s="245" t="s">
        <v>1330</v>
      </c>
      <c r="E49" s="133" t="s">
        <v>1267</v>
      </c>
      <c r="F49" s="133" t="s">
        <v>1267</v>
      </c>
      <c r="G49" s="133" t="s">
        <v>1267</v>
      </c>
      <c r="H49" s="245" t="s">
        <v>1330</v>
      </c>
      <c r="I49" s="133" t="b">
        <f>IF(B49="○",課題タイプ2!$D$4,課題タイプ2!$D$5)</f>
        <v>1</v>
      </c>
      <c r="J49" s="133" t="b">
        <f>IF(C49="○",課題タイプ2!$D$6,課題タイプ2!$D$7)</f>
        <v>0</v>
      </c>
      <c r="K49" s="133" t="b">
        <f>IF(D49="○",課題タイプ2!$D$8,課題タイプ2!$D$9)</f>
        <v>1</v>
      </c>
      <c r="L49" s="133" t="b">
        <f>IF(E49="○",課題タイプ2!$D$10,課題タイプ2!$D$11)</f>
        <v>1</v>
      </c>
      <c r="M49" s="133" t="b">
        <f>IF(F49="○",課題タイプ2!$D$12,課題タイプ2!$D$13)</f>
        <v>0</v>
      </c>
      <c r="N49" s="133" t="b">
        <f>IF(G49="○",課題タイプ2!$D$14,課題タイプ2!$D$15)</f>
        <v>0</v>
      </c>
      <c r="O49" s="133" t="b">
        <f>IF(H49="○",課題タイプ2!$D$16,課題タイプ2!$D$17)</f>
        <v>0</v>
      </c>
      <c r="P49" s="133" t="b">
        <f t="shared" si="0"/>
        <v>0</v>
      </c>
      <c r="Q49" s="133" t="s">
        <v>1265</v>
      </c>
      <c r="R49" s="133"/>
      <c r="S49" s="243" t="s">
        <v>1281</v>
      </c>
    </row>
    <row r="50" spans="1:19" s="132" customFormat="1" ht="16.899999999999999" customHeight="1">
      <c r="A50" s="133">
        <v>48</v>
      </c>
      <c r="B50" s="245" t="s">
        <v>1330</v>
      </c>
      <c r="C50" s="133" t="s">
        <v>1267</v>
      </c>
      <c r="D50" s="245" t="s">
        <v>1330</v>
      </c>
      <c r="E50" s="133" t="s">
        <v>1267</v>
      </c>
      <c r="F50" s="133" t="s">
        <v>1267</v>
      </c>
      <c r="G50" s="133" t="s">
        <v>1267</v>
      </c>
      <c r="H50" s="133" t="s">
        <v>1267</v>
      </c>
      <c r="I50" s="133" t="b">
        <f>IF(B50="○",課題タイプ2!$D$4,課題タイプ2!$D$5)</f>
        <v>1</v>
      </c>
      <c r="J50" s="133" t="b">
        <f>IF(C50="○",課題タイプ2!$D$6,課題タイプ2!$D$7)</f>
        <v>0</v>
      </c>
      <c r="K50" s="133" t="b">
        <f>IF(D50="○",課題タイプ2!$D$8,課題タイプ2!$D$9)</f>
        <v>1</v>
      </c>
      <c r="L50" s="133" t="b">
        <f>IF(E50="○",課題タイプ2!$D$10,課題タイプ2!$D$11)</f>
        <v>1</v>
      </c>
      <c r="M50" s="133" t="b">
        <f>IF(F50="○",課題タイプ2!$D$12,課題タイプ2!$D$13)</f>
        <v>0</v>
      </c>
      <c r="N50" s="133" t="b">
        <f>IF(G50="○",課題タイプ2!$D$14,課題タイプ2!$D$15)</f>
        <v>0</v>
      </c>
      <c r="O50" s="133" t="b">
        <f>IF(H50="○",課題タイプ2!$D$16,課題タイプ2!$D$17)</f>
        <v>1</v>
      </c>
      <c r="P50" s="133" t="b">
        <f t="shared" si="0"/>
        <v>0</v>
      </c>
      <c r="Q50" s="133" t="s">
        <v>1265</v>
      </c>
      <c r="R50" s="133"/>
      <c r="S50" s="243" t="s">
        <v>1281</v>
      </c>
    </row>
    <row r="51" spans="1:19" s="132" customFormat="1" ht="16.899999999999999" customHeight="1">
      <c r="A51" s="133">
        <v>49</v>
      </c>
      <c r="B51" s="245" t="s">
        <v>1330</v>
      </c>
      <c r="C51" s="133" t="s">
        <v>1267</v>
      </c>
      <c r="D51" s="133" t="s">
        <v>1267</v>
      </c>
      <c r="E51" s="245" t="s">
        <v>1330</v>
      </c>
      <c r="F51" s="245" t="s">
        <v>1330</v>
      </c>
      <c r="G51" s="245" t="s">
        <v>1330</v>
      </c>
      <c r="H51" s="245" t="s">
        <v>1330</v>
      </c>
      <c r="I51" s="133" t="b">
        <f>IF(B51="○",課題タイプ2!$D$4,課題タイプ2!$D$5)</f>
        <v>1</v>
      </c>
      <c r="J51" s="133" t="b">
        <f>IF(C51="○",課題タイプ2!$D$6,課題タイプ2!$D$7)</f>
        <v>0</v>
      </c>
      <c r="K51" s="133" t="b">
        <f>IF(D51="○",課題タイプ2!$D$8,課題タイプ2!$D$9)</f>
        <v>0</v>
      </c>
      <c r="L51" s="133" t="b">
        <f>IF(E51="○",課題タイプ2!$D$10,課題タイプ2!$D$11)</f>
        <v>0</v>
      </c>
      <c r="M51" s="133" t="b">
        <f>IF(F51="○",課題タイプ2!$D$12,課題タイプ2!$D$13)</f>
        <v>1</v>
      </c>
      <c r="N51" s="133" t="b">
        <f>IF(G51="○",課題タイプ2!$D$14,課題タイプ2!$D$15)</f>
        <v>1</v>
      </c>
      <c r="O51" s="133" t="b">
        <f>IF(H51="○",課題タイプ2!$D$16,課題タイプ2!$D$17)</f>
        <v>0</v>
      </c>
      <c r="P51" s="133" t="b">
        <f t="shared" si="0"/>
        <v>0</v>
      </c>
      <c r="Q51" s="133" t="s">
        <v>1265</v>
      </c>
      <c r="R51" s="133" t="s">
        <v>1266</v>
      </c>
      <c r="S51" s="243" t="s">
        <v>1280</v>
      </c>
    </row>
    <row r="52" spans="1:19" s="132" customFormat="1" ht="16.899999999999999" customHeight="1">
      <c r="A52" s="133">
        <v>50</v>
      </c>
      <c r="B52" s="245" t="s">
        <v>1330</v>
      </c>
      <c r="C52" s="133" t="s">
        <v>1267</v>
      </c>
      <c r="D52" s="133" t="s">
        <v>1267</v>
      </c>
      <c r="E52" s="245" t="s">
        <v>1330</v>
      </c>
      <c r="F52" s="245" t="s">
        <v>1330</v>
      </c>
      <c r="G52" s="245" t="s">
        <v>1330</v>
      </c>
      <c r="H52" s="133" t="s">
        <v>1267</v>
      </c>
      <c r="I52" s="133" t="b">
        <f>IF(B52="○",課題タイプ2!$D$4,課題タイプ2!$D$5)</f>
        <v>1</v>
      </c>
      <c r="J52" s="133" t="b">
        <f>IF(C52="○",課題タイプ2!$D$6,課題タイプ2!$D$7)</f>
        <v>0</v>
      </c>
      <c r="K52" s="133" t="b">
        <f>IF(D52="○",課題タイプ2!$D$8,課題タイプ2!$D$9)</f>
        <v>0</v>
      </c>
      <c r="L52" s="133" t="b">
        <f>IF(E52="○",課題タイプ2!$D$10,課題タイプ2!$D$11)</f>
        <v>0</v>
      </c>
      <c r="M52" s="133" t="b">
        <f>IF(F52="○",課題タイプ2!$D$12,課題タイプ2!$D$13)</f>
        <v>1</v>
      </c>
      <c r="N52" s="133" t="b">
        <f>IF(G52="○",課題タイプ2!$D$14,課題タイプ2!$D$15)</f>
        <v>1</v>
      </c>
      <c r="O52" s="133" t="b">
        <f>IF(H52="○",課題タイプ2!$D$16,課題タイプ2!$D$17)</f>
        <v>1</v>
      </c>
      <c r="P52" s="133" t="b">
        <f t="shared" si="0"/>
        <v>0</v>
      </c>
      <c r="Q52" s="133" t="s">
        <v>1265</v>
      </c>
      <c r="R52" s="133" t="s">
        <v>1266</v>
      </c>
      <c r="S52" s="243" t="s">
        <v>1280</v>
      </c>
    </row>
    <row r="53" spans="1:19" s="132" customFormat="1" ht="16.899999999999999" customHeight="1">
      <c r="A53" s="133">
        <v>51</v>
      </c>
      <c r="B53" s="245" t="s">
        <v>1330</v>
      </c>
      <c r="C53" s="133" t="s">
        <v>1267</v>
      </c>
      <c r="D53" s="133" t="s">
        <v>1267</v>
      </c>
      <c r="E53" s="245" t="s">
        <v>1330</v>
      </c>
      <c r="F53" s="245" t="s">
        <v>1330</v>
      </c>
      <c r="G53" s="133" t="s">
        <v>1267</v>
      </c>
      <c r="H53" s="245" t="s">
        <v>1330</v>
      </c>
      <c r="I53" s="133" t="b">
        <f>IF(B53="○",課題タイプ2!$D$4,課題タイプ2!$D$5)</f>
        <v>1</v>
      </c>
      <c r="J53" s="133" t="b">
        <f>IF(C53="○",課題タイプ2!$D$6,課題タイプ2!$D$7)</f>
        <v>0</v>
      </c>
      <c r="K53" s="133" t="b">
        <f>IF(D53="○",課題タイプ2!$D$8,課題タイプ2!$D$9)</f>
        <v>0</v>
      </c>
      <c r="L53" s="133" t="b">
        <f>IF(E53="○",課題タイプ2!$D$10,課題タイプ2!$D$11)</f>
        <v>0</v>
      </c>
      <c r="M53" s="133" t="b">
        <f>IF(F53="○",課題タイプ2!$D$12,課題タイプ2!$D$13)</f>
        <v>1</v>
      </c>
      <c r="N53" s="133" t="b">
        <f>IF(G53="○",課題タイプ2!$D$14,課題タイプ2!$D$15)</f>
        <v>0</v>
      </c>
      <c r="O53" s="133" t="b">
        <f>IF(H53="○",課題タイプ2!$D$16,課題タイプ2!$D$17)</f>
        <v>0</v>
      </c>
      <c r="P53" s="133" t="b">
        <f t="shared" si="0"/>
        <v>0</v>
      </c>
      <c r="Q53" s="133" t="s">
        <v>1265</v>
      </c>
      <c r="R53" s="133" t="s">
        <v>1266</v>
      </c>
      <c r="S53" s="243" t="s">
        <v>1280</v>
      </c>
    </row>
    <row r="54" spans="1:19" s="132" customFormat="1" ht="16.899999999999999" customHeight="1">
      <c r="A54" s="133">
        <v>52</v>
      </c>
      <c r="B54" s="245" t="s">
        <v>1330</v>
      </c>
      <c r="C54" s="133" t="s">
        <v>1267</v>
      </c>
      <c r="D54" s="133" t="s">
        <v>1267</v>
      </c>
      <c r="E54" s="245" t="s">
        <v>1330</v>
      </c>
      <c r="F54" s="245" t="s">
        <v>1330</v>
      </c>
      <c r="G54" s="133" t="s">
        <v>1267</v>
      </c>
      <c r="H54" s="133" t="s">
        <v>1267</v>
      </c>
      <c r="I54" s="133" t="b">
        <f>IF(B54="○",課題タイプ2!$D$4,課題タイプ2!$D$5)</f>
        <v>1</v>
      </c>
      <c r="J54" s="133" t="b">
        <f>IF(C54="○",課題タイプ2!$D$6,課題タイプ2!$D$7)</f>
        <v>0</v>
      </c>
      <c r="K54" s="133" t="b">
        <f>IF(D54="○",課題タイプ2!$D$8,課題タイプ2!$D$9)</f>
        <v>0</v>
      </c>
      <c r="L54" s="133" t="b">
        <f>IF(E54="○",課題タイプ2!$D$10,課題タイプ2!$D$11)</f>
        <v>0</v>
      </c>
      <c r="M54" s="133" t="b">
        <f>IF(F54="○",課題タイプ2!$D$12,課題タイプ2!$D$13)</f>
        <v>1</v>
      </c>
      <c r="N54" s="133" t="b">
        <f>IF(G54="○",課題タイプ2!$D$14,課題タイプ2!$D$15)</f>
        <v>0</v>
      </c>
      <c r="O54" s="133" t="b">
        <f>IF(H54="○",課題タイプ2!$D$16,課題タイプ2!$D$17)</f>
        <v>1</v>
      </c>
      <c r="P54" s="133" t="b">
        <f t="shared" si="0"/>
        <v>0</v>
      </c>
      <c r="Q54" s="133" t="s">
        <v>1265</v>
      </c>
      <c r="R54" s="133" t="s">
        <v>1266</v>
      </c>
      <c r="S54" s="243" t="s">
        <v>1280</v>
      </c>
    </row>
    <row r="55" spans="1:19" s="132" customFormat="1" ht="16.899999999999999" customHeight="1">
      <c r="A55" s="133">
        <v>53</v>
      </c>
      <c r="B55" s="245" t="s">
        <v>1330</v>
      </c>
      <c r="C55" s="133" t="s">
        <v>1267</v>
      </c>
      <c r="D55" s="133" t="s">
        <v>1267</v>
      </c>
      <c r="E55" s="245" t="s">
        <v>1330</v>
      </c>
      <c r="F55" s="133" t="s">
        <v>1267</v>
      </c>
      <c r="G55" s="245" t="s">
        <v>1330</v>
      </c>
      <c r="H55" s="245" t="s">
        <v>1330</v>
      </c>
      <c r="I55" s="133" t="b">
        <f>IF(B55="○",課題タイプ2!$D$4,課題タイプ2!$D$5)</f>
        <v>1</v>
      </c>
      <c r="J55" s="133" t="b">
        <f>IF(C55="○",課題タイプ2!$D$6,課題タイプ2!$D$7)</f>
        <v>0</v>
      </c>
      <c r="K55" s="133" t="b">
        <f>IF(D55="○",課題タイプ2!$D$8,課題タイプ2!$D$9)</f>
        <v>0</v>
      </c>
      <c r="L55" s="133" t="b">
        <f>IF(E55="○",課題タイプ2!$D$10,課題タイプ2!$D$11)</f>
        <v>0</v>
      </c>
      <c r="M55" s="133" t="b">
        <f>IF(F55="○",課題タイプ2!$D$12,課題タイプ2!$D$13)</f>
        <v>0</v>
      </c>
      <c r="N55" s="133" t="b">
        <f>IF(G55="○",課題タイプ2!$D$14,課題タイプ2!$D$15)</f>
        <v>1</v>
      </c>
      <c r="O55" s="133" t="b">
        <f>IF(H55="○",課題タイプ2!$D$16,課題タイプ2!$D$17)</f>
        <v>0</v>
      </c>
      <c r="P55" s="133" t="b">
        <f t="shared" si="0"/>
        <v>0</v>
      </c>
      <c r="Q55" s="133" t="s">
        <v>1265</v>
      </c>
      <c r="R55" s="133" t="s">
        <v>1266</v>
      </c>
      <c r="S55" s="243" t="s">
        <v>1280</v>
      </c>
    </row>
    <row r="56" spans="1:19" s="132" customFormat="1" ht="16.899999999999999" customHeight="1">
      <c r="A56" s="133">
        <v>54</v>
      </c>
      <c r="B56" s="245" t="s">
        <v>1330</v>
      </c>
      <c r="C56" s="133" t="s">
        <v>1267</v>
      </c>
      <c r="D56" s="133" t="s">
        <v>1267</v>
      </c>
      <c r="E56" s="245" t="s">
        <v>1330</v>
      </c>
      <c r="F56" s="133" t="s">
        <v>1267</v>
      </c>
      <c r="G56" s="245" t="s">
        <v>1330</v>
      </c>
      <c r="H56" s="133" t="s">
        <v>1267</v>
      </c>
      <c r="I56" s="133" t="b">
        <f>IF(B56="○",課題タイプ2!$D$4,課題タイプ2!$D$5)</f>
        <v>1</v>
      </c>
      <c r="J56" s="133" t="b">
        <f>IF(C56="○",課題タイプ2!$D$6,課題タイプ2!$D$7)</f>
        <v>0</v>
      </c>
      <c r="K56" s="133" t="b">
        <f>IF(D56="○",課題タイプ2!$D$8,課題タイプ2!$D$9)</f>
        <v>0</v>
      </c>
      <c r="L56" s="133" t="b">
        <f>IF(E56="○",課題タイプ2!$D$10,課題タイプ2!$D$11)</f>
        <v>0</v>
      </c>
      <c r="M56" s="133" t="b">
        <f>IF(F56="○",課題タイプ2!$D$12,課題タイプ2!$D$13)</f>
        <v>0</v>
      </c>
      <c r="N56" s="133" t="b">
        <f>IF(G56="○",課題タイプ2!$D$14,課題タイプ2!$D$15)</f>
        <v>1</v>
      </c>
      <c r="O56" s="133" t="b">
        <f>IF(H56="○",課題タイプ2!$D$16,課題タイプ2!$D$17)</f>
        <v>1</v>
      </c>
      <c r="P56" s="133" t="b">
        <f t="shared" si="0"/>
        <v>0</v>
      </c>
      <c r="Q56" s="133" t="s">
        <v>1265</v>
      </c>
      <c r="R56" s="133" t="s">
        <v>1266</v>
      </c>
      <c r="S56" s="243" t="s">
        <v>1280</v>
      </c>
    </row>
    <row r="57" spans="1:19" s="132" customFormat="1" ht="16.899999999999999" customHeight="1">
      <c r="A57" s="133">
        <v>55</v>
      </c>
      <c r="B57" s="245" t="s">
        <v>1330</v>
      </c>
      <c r="C57" s="133" t="s">
        <v>1267</v>
      </c>
      <c r="D57" s="133" t="s">
        <v>1267</v>
      </c>
      <c r="E57" s="245" t="s">
        <v>1330</v>
      </c>
      <c r="F57" s="133" t="s">
        <v>1267</v>
      </c>
      <c r="G57" s="133" t="s">
        <v>1267</v>
      </c>
      <c r="H57" s="245" t="s">
        <v>1330</v>
      </c>
      <c r="I57" s="133" t="b">
        <f>IF(B57="○",課題タイプ2!$D$4,課題タイプ2!$D$5)</f>
        <v>1</v>
      </c>
      <c r="J57" s="133" t="b">
        <f>IF(C57="○",課題タイプ2!$D$6,課題タイプ2!$D$7)</f>
        <v>0</v>
      </c>
      <c r="K57" s="133" t="b">
        <f>IF(D57="○",課題タイプ2!$D$8,課題タイプ2!$D$9)</f>
        <v>0</v>
      </c>
      <c r="L57" s="133" t="b">
        <f>IF(E57="○",課題タイプ2!$D$10,課題タイプ2!$D$11)</f>
        <v>0</v>
      </c>
      <c r="M57" s="133" t="b">
        <f>IF(F57="○",課題タイプ2!$D$12,課題タイプ2!$D$13)</f>
        <v>0</v>
      </c>
      <c r="N57" s="133" t="b">
        <f>IF(G57="○",課題タイプ2!$D$14,課題タイプ2!$D$15)</f>
        <v>0</v>
      </c>
      <c r="O57" s="133" t="b">
        <f>IF(H57="○",課題タイプ2!$D$16,課題タイプ2!$D$17)</f>
        <v>0</v>
      </c>
      <c r="P57" s="133" t="b">
        <f t="shared" si="0"/>
        <v>0</v>
      </c>
      <c r="Q57" s="133" t="s">
        <v>1265</v>
      </c>
      <c r="R57" s="133" t="s">
        <v>1266</v>
      </c>
      <c r="S57" s="243" t="s">
        <v>1280</v>
      </c>
    </row>
    <row r="58" spans="1:19" s="132" customFormat="1" ht="16.899999999999999" customHeight="1">
      <c r="A58" s="133">
        <v>56</v>
      </c>
      <c r="B58" s="245" t="s">
        <v>1330</v>
      </c>
      <c r="C58" s="133" t="s">
        <v>1267</v>
      </c>
      <c r="D58" s="133" t="s">
        <v>1267</v>
      </c>
      <c r="E58" s="245" t="s">
        <v>1330</v>
      </c>
      <c r="F58" s="133" t="s">
        <v>1267</v>
      </c>
      <c r="G58" s="133" t="s">
        <v>1267</v>
      </c>
      <c r="H58" s="133" t="s">
        <v>1267</v>
      </c>
      <c r="I58" s="133" t="b">
        <f>IF(B58="○",課題タイプ2!$D$4,課題タイプ2!$D$5)</f>
        <v>1</v>
      </c>
      <c r="J58" s="133" t="b">
        <f>IF(C58="○",課題タイプ2!$D$6,課題タイプ2!$D$7)</f>
        <v>0</v>
      </c>
      <c r="K58" s="133" t="b">
        <f>IF(D58="○",課題タイプ2!$D$8,課題タイプ2!$D$9)</f>
        <v>0</v>
      </c>
      <c r="L58" s="133" t="b">
        <f>IF(E58="○",課題タイプ2!$D$10,課題タイプ2!$D$11)</f>
        <v>0</v>
      </c>
      <c r="M58" s="133" t="b">
        <f>IF(F58="○",課題タイプ2!$D$12,課題タイプ2!$D$13)</f>
        <v>0</v>
      </c>
      <c r="N58" s="133" t="b">
        <f>IF(G58="○",課題タイプ2!$D$14,課題タイプ2!$D$15)</f>
        <v>0</v>
      </c>
      <c r="O58" s="133" t="b">
        <f>IF(H58="○",課題タイプ2!$D$16,課題タイプ2!$D$17)</f>
        <v>1</v>
      </c>
      <c r="P58" s="133" t="b">
        <f t="shared" si="0"/>
        <v>0</v>
      </c>
      <c r="Q58" s="133" t="s">
        <v>1265</v>
      </c>
      <c r="R58" s="133" t="s">
        <v>1266</v>
      </c>
      <c r="S58" s="243" t="s">
        <v>1280</v>
      </c>
    </row>
    <row r="59" spans="1:19" s="132" customFormat="1" ht="16.899999999999999" customHeight="1">
      <c r="A59" s="133">
        <v>57</v>
      </c>
      <c r="B59" s="245" t="s">
        <v>1330</v>
      </c>
      <c r="C59" s="133" t="s">
        <v>1267</v>
      </c>
      <c r="D59" s="133" t="s">
        <v>1267</v>
      </c>
      <c r="E59" s="133" t="s">
        <v>1267</v>
      </c>
      <c r="F59" s="245" t="s">
        <v>1330</v>
      </c>
      <c r="G59" s="245" t="s">
        <v>1330</v>
      </c>
      <c r="H59" s="245" t="s">
        <v>1330</v>
      </c>
      <c r="I59" s="133" t="b">
        <f>IF(B59="○",課題タイプ2!$D$4,課題タイプ2!$D$5)</f>
        <v>1</v>
      </c>
      <c r="J59" s="133" t="b">
        <f>IF(C59="○",課題タイプ2!$D$6,課題タイプ2!$D$7)</f>
        <v>0</v>
      </c>
      <c r="K59" s="133" t="b">
        <f>IF(D59="○",課題タイプ2!$D$8,課題タイプ2!$D$9)</f>
        <v>0</v>
      </c>
      <c r="L59" s="133" t="b">
        <f>IF(E59="○",課題タイプ2!$D$10,課題タイプ2!$D$11)</f>
        <v>1</v>
      </c>
      <c r="M59" s="133" t="b">
        <f>IF(F59="○",課題タイプ2!$D$12,課題タイプ2!$D$13)</f>
        <v>1</v>
      </c>
      <c r="N59" s="133" t="b">
        <f>IF(G59="○",課題タイプ2!$D$14,課題タイプ2!$D$15)</f>
        <v>1</v>
      </c>
      <c r="O59" s="133" t="b">
        <f>IF(H59="○",課題タイプ2!$D$16,課題タイプ2!$D$17)</f>
        <v>0</v>
      </c>
      <c r="P59" s="133" t="b">
        <f t="shared" si="0"/>
        <v>0</v>
      </c>
      <c r="Q59" s="133" t="s">
        <v>1265</v>
      </c>
      <c r="R59" s="133"/>
      <c r="S59" s="243" t="s">
        <v>1281</v>
      </c>
    </row>
    <row r="60" spans="1:19" s="132" customFormat="1" ht="16.899999999999999" customHeight="1">
      <c r="A60" s="133">
        <v>58</v>
      </c>
      <c r="B60" s="245" t="s">
        <v>1330</v>
      </c>
      <c r="C60" s="133" t="s">
        <v>1267</v>
      </c>
      <c r="D60" s="133" t="s">
        <v>1267</v>
      </c>
      <c r="E60" s="133" t="s">
        <v>1267</v>
      </c>
      <c r="F60" s="245" t="s">
        <v>1330</v>
      </c>
      <c r="G60" s="245" t="s">
        <v>1330</v>
      </c>
      <c r="H60" s="133" t="s">
        <v>1267</v>
      </c>
      <c r="I60" s="133" t="b">
        <f>IF(B60="○",課題タイプ2!$D$4,課題タイプ2!$D$5)</f>
        <v>1</v>
      </c>
      <c r="J60" s="133" t="b">
        <f>IF(C60="○",課題タイプ2!$D$6,課題タイプ2!$D$7)</f>
        <v>0</v>
      </c>
      <c r="K60" s="133" t="b">
        <f>IF(D60="○",課題タイプ2!$D$8,課題タイプ2!$D$9)</f>
        <v>0</v>
      </c>
      <c r="L60" s="133" t="b">
        <f>IF(E60="○",課題タイプ2!$D$10,課題タイプ2!$D$11)</f>
        <v>1</v>
      </c>
      <c r="M60" s="133" t="b">
        <f>IF(F60="○",課題タイプ2!$D$12,課題タイプ2!$D$13)</f>
        <v>1</v>
      </c>
      <c r="N60" s="133" t="b">
        <f>IF(G60="○",課題タイプ2!$D$14,課題タイプ2!$D$15)</f>
        <v>1</v>
      </c>
      <c r="O60" s="133" t="b">
        <f>IF(H60="○",課題タイプ2!$D$16,課題タイプ2!$D$17)</f>
        <v>1</v>
      </c>
      <c r="P60" s="133" t="b">
        <f t="shared" si="0"/>
        <v>0</v>
      </c>
      <c r="Q60" s="133" t="s">
        <v>1265</v>
      </c>
      <c r="R60" s="133"/>
      <c r="S60" s="243" t="s">
        <v>1281</v>
      </c>
    </row>
    <row r="61" spans="1:19" s="132" customFormat="1" ht="16.899999999999999" customHeight="1">
      <c r="A61" s="133">
        <v>59</v>
      </c>
      <c r="B61" s="245" t="s">
        <v>1330</v>
      </c>
      <c r="C61" s="133" t="s">
        <v>1267</v>
      </c>
      <c r="D61" s="133" t="s">
        <v>1267</v>
      </c>
      <c r="E61" s="133" t="s">
        <v>1267</v>
      </c>
      <c r="F61" s="245" t="s">
        <v>1330</v>
      </c>
      <c r="G61" s="133" t="s">
        <v>1267</v>
      </c>
      <c r="H61" s="245" t="s">
        <v>1330</v>
      </c>
      <c r="I61" s="133" t="b">
        <f>IF(B61="○",課題タイプ2!$D$4,課題タイプ2!$D$5)</f>
        <v>1</v>
      </c>
      <c r="J61" s="133" t="b">
        <f>IF(C61="○",課題タイプ2!$D$6,課題タイプ2!$D$7)</f>
        <v>0</v>
      </c>
      <c r="K61" s="133" t="b">
        <f>IF(D61="○",課題タイプ2!$D$8,課題タイプ2!$D$9)</f>
        <v>0</v>
      </c>
      <c r="L61" s="133" t="b">
        <f>IF(E61="○",課題タイプ2!$D$10,課題タイプ2!$D$11)</f>
        <v>1</v>
      </c>
      <c r="M61" s="133" t="b">
        <f>IF(F61="○",課題タイプ2!$D$12,課題タイプ2!$D$13)</f>
        <v>1</v>
      </c>
      <c r="N61" s="133" t="b">
        <f>IF(G61="○",課題タイプ2!$D$14,課題タイプ2!$D$15)</f>
        <v>0</v>
      </c>
      <c r="O61" s="133" t="b">
        <f>IF(H61="○",課題タイプ2!$D$16,課題タイプ2!$D$17)</f>
        <v>0</v>
      </c>
      <c r="P61" s="133" t="b">
        <f t="shared" si="0"/>
        <v>0</v>
      </c>
      <c r="Q61" s="133" t="s">
        <v>1265</v>
      </c>
      <c r="R61" s="133"/>
      <c r="S61" s="243" t="s">
        <v>1281</v>
      </c>
    </row>
    <row r="62" spans="1:19" s="132" customFormat="1" ht="16.899999999999999" customHeight="1">
      <c r="A62" s="133">
        <v>60</v>
      </c>
      <c r="B62" s="245" t="s">
        <v>1330</v>
      </c>
      <c r="C62" s="133" t="s">
        <v>1267</v>
      </c>
      <c r="D62" s="133" t="s">
        <v>1267</v>
      </c>
      <c r="E62" s="133" t="s">
        <v>1267</v>
      </c>
      <c r="F62" s="245" t="s">
        <v>1330</v>
      </c>
      <c r="G62" s="133" t="s">
        <v>1267</v>
      </c>
      <c r="H62" s="133" t="s">
        <v>1267</v>
      </c>
      <c r="I62" s="133" t="b">
        <f>IF(B62="○",課題タイプ2!$D$4,課題タイプ2!$D$5)</f>
        <v>1</v>
      </c>
      <c r="J62" s="133" t="b">
        <f>IF(C62="○",課題タイプ2!$D$6,課題タイプ2!$D$7)</f>
        <v>0</v>
      </c>
      <c r="K62" s="133" t="b">
        <f>IF(D62="○",課題タイプ2!$D$8,課題タイプ2!$D$9)</f>
        <v>0</v>
      </c>
      <c r="L62" s="133" t="b">
        <f>IF(E62="○",課題タイプ2!$D$10,課題タイプ2!$D$11)</f>
        <v>1</v>
      </c>
      <c r="M62" s="133" t="b">
        <f>IF(F62="○",課題タイプ2!$D$12,課題タイプ2!$D$13)</f>
        <v>1</v>
      </c>
      <c r="N62" s="133" t="b">
        <f>IF(G62="○",課題タイプ2!$D$14,課題タイプ2!$D$15)</f>
        <v>0</v>
      </c>
      <c r="O62" s="133" t="b">
        <f>IF(H62="○",課題タイプ2!$D$16,課題タイプ2!$D$17)</f>
        <v>1</v>
      </c>
      <c r="P62" s="133" t="b">
        <f t="shared" si="0"/>
        <v>0</v>
      </c>
      <c r="Q62" s="133" t="s">
        <v>1265</v>
      </c>
      <c r="R62" s="133"/>
      <c r="S62" s="243" t="s">
        <v>1281</v>
      </c>
    </row>
    <row r="63" spans="1:19" s="132" customFormat="1" ht="16.899999999999999" customHeight="1">
      <c r="A63" s="133">
        <v>61</v>
      </c>
      <c r="B63" s="245" t="s">
        <v>1330</v>
      </c>
      <c r="C63" s="133" t="s">
        <v>1267</v>
      </c>
      <c r="D63" s="133" t="s">
        <v>1267</v>
      </c>
      <c r="E63" s="133" t="s">
        <v>1267</v>
      </c>
      <c r="F63" s="133" t="s">
        <v>1267</v>
      </c>
      <c r="G63" s="245" t="s">
        <v>1330</v>
      </c>
      <c r="H63" s="245" t="s">
        <v>1330</v>
      </c>
      <c r="I63" s="133" t="b">
        <f>IF(B63="○",課題タイプ2!$D$4,課題タイプ2!$D$5)</f>
        <v>1</v>
      </c>
      <c r="J63" s="133" t="b">
        <f>IF(C63="○",課題タイプ2!$D$6,課題タイプ2!$D$7)</f>
        <v>0</v>
      </c>
      <c r="K63" s="133" t="b">
        <f>IF(D63="○",課題タイプ2!$D$8,課題タイプ2!$D$9)</f>
        <v>0</v>
      </c>
      <c r="L63" s="133" t="b">
        <f>IF(E63="○",課題タイプ2!$D$10,課題タイプ2!$D$11)</f>
        <v>1</v>
      </c>
      <c r="M63" s="133" t="b">
        <f>IF(F63="○",課題タイプ2!$D$12,課題タイプ2!$D$13)</f>
        <v>0</v>
      </c>
      <c r="N63" s="133" t="b">
        <f>IF(G63="○",課題タイプ2!$D$14,課題タイプ2!$D$15)</f>
        <v>1</v>
      </c>
      <c r="O63" s="133" t="b">
        <f>IF(H63="○",課題タイプ2!$D$16,課題タイプ2!$D$17)</f>
        <v>0</v>
      </c>
      <c r="P63" s="133" t="b">
        <f t="shared" si="0"/>
        <v>0</v>
      </c>
      <c r="Q63" s="133" t="s">
        <v>1265</v>
      </c>
      <c r="R63" s="133"/>
      <c r="S63" s="243" t="s">
        <v>1281</v>
      </c>
    </row>
    <row r="64" spans="1:19" s="132" customFormat="1" ht="16.899999999999999" customHeight="1">
      <c r="A64" s="133">
        <v>62</v>
      </c>
      <c r="B64" s="245" t="s">
        <v>1330</v>
      </c>
      <c r="C64" s="133" t="s">
        <v>1267</v>
      </c>
      <c r="D64" s="133" t="s">
        <v>1267</v>
      </c>
      <c r="E64" s="133" t="s">
        <v>1267</v>
      </c>
      <c r="F64" s="133" t="s">
        <v>1267</v>
      </c>
      <c r="G64" s="245" t="s">
        <v>1330</v>
      </c>
      <c r="H64" s="133" t="s">
        <v>1267</v>
      </c>
      <c r="I64" s="133" t="b">
        <f>IF(B64="○",課題タイプ2!$D$4,課題タイプ2!$D$5)</f>
        <v>1</v>
      </c>
      <c r="J64" s="133" t="b">
        <f>IF(C64="○",課題タイプ2!$D$6,課題タイプ2!$D$7)</f>
        <v>0</v>
      </c>
      <c r="K64" s="133" t="b">
        <f>IF(D64="○",課題タイプ2!$D$8,課題タイプ2!$D$9)</f>
        <v>0</v>
      </c>
      <c r="L64" s="133" t="b">
        <f>IF(E64="○",課題タイプ2!$D$10,課題タイプ2!$D$11)</f>
        <v>1</v>
      </c>
      <c r="M64" s="133" t="b">
        <f>IF(F64="○",課題タイプ2!$D$12,課題タイプ2!$D$13)</f>
        <v>0</v>
      </c>
      <c r="N64" s="133" t="b">
        <f>IF(G64="○",課題タイプ2!$D$14,課題タイプ2!$D$15)</f>
        <v>1</v>
      </c>
      <c r="O64" s="133" t="b">
        <f>IF(H64="○",課題タイプ2!$D$16,課題タイプ2!$D$17)</f>
        <v>1</v>
      </c>
      <c r="P64" s="133" t="b">
        <f t="shared" si="0"/>
        <v>0</v>
      </c>
      <c r="Q64" s="133" t="s">
        <v>1265</v>
      </c>
      <c r="R64" s="133"/>
      <c r="S64" s="243" t="s">
        <v>1281</v>
      </c>
    </row>
    <row r="65" spans="1:19" s="132" customFormat="1" ht="16.899999999999999" customHeight="1">
      <c r="A65" s="133">
        <v>63</v>
      </c>
      <c r="B65" s="245" t="s">
        <v>1330</v>
      </c>
      <c r="C65" s="133" t="s">
        <v>1267</v>
      </c>
      <c r="D65" s="133" t="s">
        <v>1267</v>
      </c>
      <c r="E65" s="133" t="s">
        <v>1267</v>
      </c>
      <c r="F65" s="133" t="s">
        <v>1267</v>
      </c>
      <c r="G65" s="133" t="s">
        <v>1267</v>
      </c>
      <c r="H65" s="245" t="s">
        <v>1330</v>
      </c>
      <c r="I65" s="133" t="b">
        <f>IF(B65="○",課題タイプ2!$D$4,課題タイプ2!$D$5)</f>
        <v>1</v>
      </c>
      <c r="J65" s="133" t="b">
        <f>IF(C65="○",課題タイプ2!$D$6,課題タイプ2!$D$7)</f>
        <v>0</v>
      </c>
      <c r="K65" s="133" t="b">
        <f>IF(D65="○",課題タイプ2!$D$8,課題タイプ2!$D$9)</f>
        <v>0</v>
      </c>
      <c r="L65" s="133" t="b">
        <f>IF(E65="○",課題タイプ2!$D$10,課題タイプ2!$D$11)</f>
        <v>1</v>
      </c>
      <c r="M65" s="133" t="b">
        <f>IF(F65="○",課題タイプ2!$D$12,課題タイプ2!$D$13)</f>
        <v>0</v>
      </c>
      <c r="N65" s="133" t="b">
        <f>IF(G65="○",課題タイプ2!$D$14,課題タイプ2!$D$15)</f>
        <v>0</v>
      </c>
      <c r="O65" s="133" t="b">
        <f>IF(H65="○",課題タイプ2!$D$16,課題タイプ2!$D$17)</f>
        <v>0</v>
      </c>
      <c r="P65" s="133" t="b">
        <f t="shared" si="0"/>
        <v>0</v>
      </c>
      <c r="Q65" s="133" t="s">
        <v>1265</v>
      </c>
      <c r="R65" s="133"/>
      <c r="S65" s="243" t="s">
        <v>1281</v>
      </c>
    </row>
    <row r="66" spans="1:19" s="132" customFormat="1" ht="16.899999999999999" customHeight="1">
      <c r="A66" s="133">
        <v>64</v>
      </c>
      <c r="B66" s="245" t="s">
        <v>1330</v>
      </c>
      <c r="C66" s="133" t="s">
        <v>1267</v>
      </c>
      <c r="D66" s="133" t="s">
        <v>1267</v>
      </c>
      <c r="E66" s="133" t="s">
        <v>1267</v>
      </c>
      <c r="F66" s="133" t="s">
        <v>1267</v>
      </c>
      <c r="G66" s="133" t="s">
        <v>1267</v>
      </c>
      <c r="H66" s="133" t="s">
        <v>1267</v>
      </c>
      <c r="I66" s="133" t="b">
        <f>IF(B66="○",課題タイプ2!$D$4,課題タイプ2!$D$5)</f>
        <v>1</v>
      </c>
      <c r="J66" s="133" t="b">
        <f>IF(C66="○",課題タイプ2!$D$6,課題タイプ2!$D$7)</f>
        <v>0</v>
      </c>
      <c r="K66" s="133" t="b">
        <f>IF(D66="○",課題タイプ2!$D$8,課題タイプ2!$D$9)</f>
        <v>0</v>
      </c>
      <c r="L66" s="133" t="b">
        <f>IF(E66="○",課題タイプ2!$D$10,課題タイプ2!$D$11)</f>
        <v>1</v>
      </c>
      <c r="M66" s="133" t="b">
        <f>IF(F66="○",課題タイプ2!$D$12,課題タイプ2!$D$13)</f>
        <v>0</v>
      </c>
      <c r="N66" s="133" t="b">
        <f>IF(G66="○",課題タイプ2!$D$14,課題タイプ2!$D$15)</f>
        <v>0</v>
      </c>
      <c r="O66" s="133" t="b">
        <f>IF(H66="○",課題タイプ2!$D$16,課題タイプ2!$D$17)</f>
        <v>1</v>
      </c>
      <c r="P66" s="133" t="b">
        <f t="shared" si="0"/>
        <v>0</v>
      </c>
      <c r="Q66" s="133" t="s">
        <v>1265</v>
      </c>
      <c r="R66" s="133"/>
      <c r="S66" s="243" t="s">
        <v>1281</v>
      </c>
    </row>
    <row r="67" spans="1:19" s="132" customFormat="1" ht="16.899999999999999" customHeight="1">
      <c r="A67" s="133">
        <v>65</v>
      </c>
      <c r="B67" s="133" t="s">
        <v>1267</v>
      </c>
      <c r="C67" s="245" t="s">
        <v>1330</v>
      </c>
      <c r="D67" s="245" t="s">
        <v>1330</v>
      </c>
      <c r="E67" s="245" t="s">
        <v>1330</v>
      </c>
      <c r="F67" s="245" t="s">
        <v>1330</v>
      </c>
      <c r="G67" s="245" t="s">
        <v>1330</v>
      </c>
      <c r="H67" s="245" t="s">
        <v>1330</v>
      </c>
      <c r="I67" s="133" t="b">
        <f>IF(B67="○",課題タイプ2!$D$4,課題タイプ2!$D$5)</f>
        <v>0</v>
      </c>
      <c r="J67" s="133" t="b">
        <f>IF(C67="○",課題タイプ2!$D$6,課題タイプ2!$D$7)</f>
        <v>1</v>
      </c>
      <c r="K67" s="133" t="b">
        <f>IF(D67="○",課題タイプ2!$D$8,課題タイプ2!$D$9)</f>
        <v>1</v>
      </c>
      <c r="L67" s="133" t="b">
        <f>IF(E67="○",課題タイプ2!$D$10,課題タイプ2!$D$11)</f>
        <v>0</v>
      </c>
      <c r="M67" s="133" t="b">
        <f>IF(F67="○",課題タイプ2!$D$12,課題タイプ2!$D$13)</f>
        <v>1</v>
      </c>
      <c r="N67" s="133" t="b">
        <f>IF(G67="○",課題タイプ2!$D$14,課題タイプ2!$D$15)</f>
        <v>1</v>
      </c>
      <c r="O67" s="133" t="b">
        <f>IF(H67="○",課題タイプ2!$D$16,課題タイプ2!$D$17)</f>
        <v>0</v>
      </c>
      <c r="P67" s="133" t="b">
        <f t="shared" si="0"/>
        <v>0</v>
      </c>
      <c r="Q67" s="133" t="s">
        <v>1268</v>
      </c>
      <c r="R67" s="133" t="s">
        <v>1266</v>
      </c>
      <c r="S67" s="243" t="s">
        <v>1282</v>
      </c>
    </row>
    <row r="68" spans="1:19" s="132" customFormat="1" ht="16.899999999999999" customHeight="1">
      <c r="A68" s="133">
        <v>66</v>
      </c>
      <c r="B68" s="133" t="s">
        <v>1267</v>
      </c>
      <c r="C68" s="245" t="s">
        <v>1330</v>
      </c>
      <c r="D68" s="245" t="s">
        <v>1330</v>
      </c>
      <c r="E68" s="245" t="s">
        <v>1330</v>
      </c>
      <c r="F68" s="245" t="s">
        <v>1330</v>
      </c>
      <c r="G68" s="245" t="s">
        <v>1330</v>
      </c>
      <c r="H68" s="133" t="s">
        <v>1267</v>
      </c>
      <c r="I68" s="133" t="b">
        <f>IF(B68="○",課題タイプ2!$D$4,課題タイプ2!$D$5)</f>
        <v>0</v>
      </c>
      <c r="J68" s="133" t="b">
        <f>IF(C68="○",課題タイプ2!$D$6,課題タイプ2!$D$7)</f>
        <v>1</v>
      </c>
      <c r="K68" s="133" t="b">
        <f>IF(D68="○",課題タイプ2!$D$8,課題タイプ2!$D$9)</f>
        <v>1</v>
      </c>
      <c r="L68" s="133" t="b">
        <f>IF(E68="○",課題タイプ2!$D$10,課題タイプ2!$D$11)</f>
        <v>0</v>
      </c>
      <c r="M68" s="133" t="b">
        <f>IF(F68="○",課題タイプ2!$D$12,課題タイプ2!$D$13)</f>
        <v>1</v>
      </c>
      <c r="N68" s="133" t="b">
        <f>IF(G68="○",課題タイプ2!$D$14,課題タイプ2!$D$15)</f>
        <v>1</v>
      </c>
      <c r="O68" s="133" t="b">
        <f>IF(H68="○",課題タイプ2!$D$16,課題タイプ2!$D$17)</f>
        <v>1</v>
      </c>
      <c r="P68" s="133" t="b">
        <f t="shared" ref="P68:P130" si="1">AND(I68,J68,K68,L68,M68,N68,O68)</f>
        <v>0</v>
      </c>
      <c r="Q68" s="133" t="s">
        <v>1268</v>
      </c>
      <c r="R68" s="133" t="s">
        <v>1266</v>
      </c>
      <c r="S68" s="243" t="s">
        <v>1282</v>
      </c>
    </row>
    <row r="69" spans="1:19" s="132" customFormat="1" ht="16.899999999999999" customHeight="1">
      <c r="A69" s="133">
        <v>67</v>
      </c>
      <c r="B69" s="133" t="s">
        <v>1267</v>
      </c>
      <c r="C69" s="245" t="s">
        <v>1330</v>
      </c>
      <c r="D69" s="245" t="s">
        <v>1330</v>
      </c>
      <c r="E69" s="245" t="s">
        <v>1330</v>
      </c>
      <c r="F69" s="245" t="s">
        <v>1330</v>
      </c>
      <c r="G69" s="133" t="s">
        <v>1267</v>
      </c>
      <c r="H69" s="245" t="s">
        <v>1330</v>
      </c>
      <c r="I69" s="133" t="b">
        <f>IF(B69="○",課題タイプ2!$D$4,課題タイプ2!$D$5)</f>
        <v>0</v>
      </c>
      <c r="J69" s="133" t="b">
        <f>IF(C69="○",課題タイプ2!$D$6,課題タイプ2!$D$7)</f>
        <v>1</v>
      </c>
      <c r="K69" s="133" t="b">
        <f>IF(D69="○",課題タイプ2!$D$8,課題タイプ2!$D$9)</f>
        <v>1</v>
      </c>
      <c r="L69" s="133" t="b">
        <f>IF(E69="○",課題タイプ2!$D$10,課題タイプ2!$D$11)</f>
        <v>0</v>
      </c>
      <c r="M69" s="133" t="b">
        <f>IF(F69="○",課題タイプ2!$D$12,課題タイプ2!$D$13)</f>
        <v>1</v>
      </c>
      <c r="N69" s="133" t="b">
        <f>IF(G69="○",課題タイプ2!$D$14,課題タイプ2!$D$15)</f>
        <v>0</v>
      </c>
      <c r="O69" s="133" t="b">
        <f>IF(H69="○",課題タイプ2!$D$16,課題タイプ2!$D$17)</f>
        <v>0</v>
      </c>
      <c r="P69" s="133" t="b">
        <f t="shared" si="1"/>
        <v>0</v>
      </c>
      <c r="Q69" s="133" t="s">
        <v>1268</v>
      </c>
      <c r="R69" s="133" t="s">
        <v>1266</v>
      </c>
      <c r="S69" s="243" t="s">
        <v>1282</v>
      </c>
    </row>
    <row r="70" spans="1:19" s="132" customFormat="1" ht="16.899999999999999" customHeight="1">
      <c r="A70" s="133">
        <v>68</v>
      </c>
      <c r="B70" s="133" t="s">
        <v>1267</v>
      </c>
      <c r="C70" s="245" t="s">
        <v>1330</v>
      </c>
      <c r="D70" s="245" t="s">
        <v>1330</v>
      </c>
      <c r="E70" s="245" t="s">
        <v>1330</v>
      </c>
      <c r="F70" s="245" t="s">
        <v>1330</v>
      </c>
      <c r="G70" s="133" t="s">
        <v>1267</v>
      </c>
      <c r="H70" s="133" t="s">
        <v>1267</v>
      </c>
      <c r="I70" s="133" t="b">
        <f>IF(B70="○",課題タイプ2!$D$4,課題タイプ2!$D$5)</f>
        <v>0</v>
      </c>
      <c r="J70" s="133" t="b">
        <f>IF(C70="○",課題タイプ2!$D$6,課題タイプ2!$D$7)</f>
        <v>1</v>
      </c>
      <c r="K70" s="133" t="b">
        <f>IF(D70="○",課題タイプ2!$D$8,課題タイプ2!$D$9)</f>
        <v>1</v>
      </c>
      <c r="L70" s="133" t="b">
        <f>IF(E70="○",課題タイプ2!$D$10,課題タイプ2!$D$11)</f>
        <v>0</v>
      </c>
      <c r="M70" s="133" t="b">
        <f>IF(F70="○",課題タイプ2!$D$12,課題タイプ2!$D$13)</f>
        <v>1</v>
      </c>
      <c r="N70" s="133" t="b">
        <f>IF(G70="○",課題タイプ2!$D$14,課題タイプ2!$D$15)</f>
        <v>0</v>
      </c>
      <c r="O70" s="133" t="b">
        <f>IF(H70="○",課題タイプ2!$D$16,課題タイプ2!$D$17)</f>
        <v>1</v>
      </c>
      <c r="P70" s="133" t="b">
        <f t="shared" si="1"/>
        <v>0</v>
      </c>
      <c r="Q70" s="133" t="s">
        <v>1268</v>
      </c>
      <c r="R70" s="133" t="s">
        <v>1266</v>
      </c>
      <c r="S70" s="243" t="s">
        <v>1282</v>
      </c>
    </row>
    <row r="71" spans="1:19" s="132" customFormat="1" ht="16.899999999999999" customHeight="1">
      <c r="A71" s="133">
        <v>69</v>
      </c>
      <c r="B71" s="133" t="s">
        <v>1267</v>
      </c>
      <c r="C71" s="245" t="s">
        <v>1330</v>
      </c>
      <c r="D71" s="245" t="s">
        <v>1330</v>
      </c>
      <c r="E71" s="245" t="s">
        <v>1330</v>
      </c>
      <c r="F71" s="133" t="s">
        <v>1267</v>
      </c>
      <c r="G71" s="245" t="s">
        <v>1330</v>
      </c>
      <c r="H71" s="245" t="s">
        <v>1330</v>
      </c>
      <c r="I71" s="133" t="b">
        <f>IF(B71="○",課題タイプ2!$D$4,課題タイプ2!$D$5)</f>
        <v>0</v>
      </c>
      <c r="J71" s="133" t="b">
        <f>IF(C71="○",課題タイプ2!$D$6,課題タイプ2!$D$7)</f>
        <v>1</v>
      </c>
      <c r="K71" s="133" t="b">
        <f>IF(D71="○",課題タイプ2!$D$8,課題タイプ2!$D$9)</f>
        <v>1</v>
      </c>
      <c r="L71" s="133" t="b">
        <f>IF(E71="○",課題タイプ2!$D$10,課題タイプ2!$D$11)</f>
        <v>0</v>
      </c>
      <c r="M71" s="133" t="b">
        <f>IF(F71="○",課題タイプ2!$D$12,課題タイプ2!$D$13)</f>
        <v>0</v>
      </c>
      <c r="N71" s="133" t="b">
        <f>IF(G71="○",課題タイプ2!$D$14,課題タイプ2!$D$15)</f>
        <v>1</v>
      </c>
      <c r="O71" s="133" t="b">
        <f>IF(H71="○",課題タイプ2!$D$16,課題タイプ2!$D$17)</f>
        <v>0</v>
      </c>
      <c r="P71" s="133" t="b">
        <f t="shared" si="1"/>
        <v>0</v>
      </c>
      <c r="Q71" s="133" t="s">
        <v>1268</v>
      </c>
      <c r="R71" s="133" t="s">
        <v>1266</v>
      </c>
      <c r="S71" s="243" t="s">
        <v>1282</v>
      </c>
    </row>
    <row r="72" spans="1:19" s="132" customFormat="1" ht="16.899999999999999" customHeight="1">
      <c r="A72" s="133">
        <v>70</v>
      </c>
      <c r="B72" s="133" t="s">
        <v>1267</v>
      </c>
      <c r="C72" s="245" t="s">
        <v>1330</v>
      </c>
      <c r="D72" s="245" t="s">
        <v>1330</v>
      </c>
      <c r="E72" s="245" t="s">
        <v>1330</v>
      </c>
      <c r="F72" s="133" t="s">
        <v>1267</v>
      </c>
      <c r="G72" s="245" t="s">
        <v>1330</v>
      </c>
      <c r="H72" s="133" t="s">
        <v>1267</v>
      </c>
      <c r="I72" s="133" t="b">
        <f>IF(B72="○",課題タイプ2!$D$4,課題タイプ2!$D$5)</f>
        <v>0</v>
      </c>
      <c r="J72" s="133" t="b">
        <f>IF(C72="○",課題タイプ2!$D$6,課題タイプ2!$D$7)</f>
        <v>1</v>
      </c>
      <c r="K72" s="133" t="b">
        <f>IF(D72="○",課題タイプ2!$D$8,課題タイプ2!$D$9)</f>
        <v>1</v>
      </c>
      <c r="L72" s="133" t="b">
        <f>IF(E72="○",課題タイプ2!$D$10,課題タイプ2!$D$11)</f>
        <v>0</v>
      </c>
      <c r="M72" s="133" t="b">
        <f>IF(F72="○",課題タイプ2!$D$12,課題タイプ2!$D$13)</f>
        <v>0</v>
      </c>
      <c r="N72" s="133" t="b">
        <f>IF(G72="○",課題タイプ2!$D$14,課題タイプ2!$D$15)</f>
        <v>1</v>
      </c>
      <c r="O72" s="133" t="b">
        <f>IF(H72="○",課題タイプ2!$D$16,課題タイプ2!$D$17)</f>
        <v>1</v>
      </c>
      <c r="P72" s="133" t="b">
        <f t="shared" si="1"/>
        <v>0</v>
      </c>
      <c r="Q72" s="133" t="s">
        <v>1268</v>
      </c>
      <c r="R72" s="133" t="s">
        <v>1266</v>
      </c>
      <c r="S72" s="243" t="s">
        <v>1282</v>
      </c>
    </row>
    <row r="73" spans="1:19" s="132" customFormat="1" ht="16.899999999999999" customHeight="1">
      <c r="A73" s="133">
        <v>71</v>
      </c>
      <c r="B73" s="133" t="s">
        <v>1267</v>
      </c>
      <c r="C73" s="245" t="s">
        <v>1330</v>
      </c>
      <c r="D73" s="245" t="s">
        <v>1330</v>
      </c>
      <c r="E73" s="245" t="s">
        <v>1330</v>
      </c>
      <c r="F73" s="133" t="s">
        <v>1267</v>
      </c>
      <c r="G73" s="133" t="s">
        <v>1267</v>
      </c>
      <c r="H73" s="245" t="s">
        <v>1330</v>
      </c>
      <c r="I73" s="133" t="b">
        <f>IF(B73="○",課題タイプ2!$D$4,課題タイプ2!$D$5)</f>
        <v>0</v>
      </c>
      <c r="J73" s="133" t="b">
        <f>IF(C73="○",課題タイプ2!$D$6,課題タイプ2!$D$7)</f>
        <v>1</v>
      </c>
      <c r="K73" s="133" t="b">
        <f>IF(D73="○",課題タイプ2!$D$8,課題タイプ2!$D$9)</f>
        <v>1</v>
      </c>
      <c r="L73" s="133" t="b">
        <f>IF(E73="○",課題タイプ2!$D$10,課題タイプ2!$D$11)</f>
        <v>0</v>
      </c>
      <c r="M73" s="133" t="b">
        <f>IF(F73="○",課題タイプ2!$D$12,課題タイプ2!$D$13)</f>
        <v>0</v>
      </c>
      <c r="N73" s="133" t="b">
        <f>IF(G73="○",課題タイプ2!$D$14,課題タイプ2!$D$15)</f>
        <v>0</v>
      </c>
      <c r="O73" s="133" t="b">
        <f>IF(H73="○",課題タイプ2!$D$16,課題タイプ2!$D$17)</f>
        <v>0</v>
      </c>
      <c r="P73" s="133" t="b">
        <f t="shared" si="1"/>
        <v>0</v>
      </c>
      <c r="Q73" s="133" t="s">
        <v>1268</v>
      </c>
      <c r="R73" s="133" t="s">
        <v>1266</v>
      </c>
      <c r="S73" s="243" t="s">
        <v>1282</v>
      </c>
    </row>
    <row r="74" spans="1:19" s="132" customFormat="1" ht="16.899999999999999" customHeight="1">
      <c r="A74" s="133">
        <v>72</v>
      </c>
      <c r="B74" s="133" t="s">
        <v>1267</v>
      </c>
      <c r="C74" s="245" t="s">
        <v>1330</v>
      </c>
      <c r="D74" s="245" t="s">
        <v>1330</v>
      </c>
      <c r="E74" s="245" t="s">
        <v>1330</v>
      </c>
      <c r="F74" s="133" t="s">
        <v>1267</v>
      </c>
      <c r="G74" s="133" t="s">
        <v>1267</v>
      </c>
      <c r="H74" s="133" t="s">
        <v>1267</v>
      </c>
      <c r="I74" s="133" t="b">
        <f>IF(B74="○",課題タイプ2!$D$4,課題タイプ2!$D$5)</f>
        <v>0</v>
      </c>
      <c r="J74" s="133" t="b">
        <f>IF(C74="○",課題タイプ2!$D$6,課題タイプ2!$D$7)</f>
        <v>1</v>
      </c>
      <c r="K74" s="133" t="b">
        <f>IF(D74="○",課題タイプ2!$D$8,課題タイプ2!$D$9)</f>
        <v>1</v>
      </c>
      <c r="L74" s="133" t="b">
        <f>IF(E74="○",課題タイプ2!$D$10,課題タイプ2!$D$11)</f>
        <v>0</v>
      </c>
      <c r="M74" s="133" t="b">
        <f>IF(F74="○",課題タイプ2!$D$12,課題タイプ2!$D$13)</f>
        <v>0</v>
      </c>
      <c r="N74" s="133" t="b">
        <f>IF(G74="○",課題タイプ2!$D$14,課題タイプ2!$D$15)</f>
        <v>0</v>
      </c>
      <c r="O74" s="133" t="b">
        <f>IF(H74="○",課題タイプ2!$D$16,課題タイプ2!$D$17)</f>
        <v>1</v>
      </c>
      <c r="P74" s="133" t="b">
        <f t="shared" si="1"/>
        <v>0</v>
      </c>
      <c r="Q74" s="133" t="s">
        <v>1268</v>
      </c>
      <c r="R74" s="133" t="s">
        <v>1266</v>
      </c>
      <c r="S74" s="243" t="s">
        <v>1282</v>
      </c>
    </row>
    <row r="75" spans="1:19" s="132" customFormat="1" ht="16.899999999999999" customHeight="1">
      <c r="A75" s="133">
        <v>73</v>
      </c>
      <c r="B75" s="133" t="s">
        <v>1267</v>
      </c>
      <c r="C75" s="245" t="s">
        <v>1330</v>
      </c>
      <c r="D75" s="245" t="s">
        <v>1330</v>
      </c>
      <c r="E75" s="133" t="s">
        <v>1267</v>
      </c>
      <c r="F75" s="245" t="s">
        <v>1330</v>
      </c>
      <c r="G75" s="245" t="s">
        <v>1330</v>
      </c>
      <c r="H75" s="245" t="s">
        <v>1330</v>
      </c>
      <c r="I75" s="133" t="b">
        <f>IF(B75="○",課題タイプ2!$D$4,課題タイプ2!$D$5)</f>
        <v>0</v>
      </c>
      <c r="J75" s="133" t="b">
        <f>IF(C75="○",課題タイプ2!$D$6,課題タイプ2!$D$7)</f>
        <v>1</v>
      </c>
      <c r="K75" s="133" t="b">
        <f>IF(D75="○",課題タイプ2!$D$8,課題タイプ2!$D$9)</f>
        <v>1</v>
      </c>
      <c r="L75" s="133" t="b">
        <f>IF(E75="○",課題タイプ2!$D$10,課題タイプ2!$D$11)</f>
        <v>1</v>
      </c>
      <c r="M75" s="133" t="b">
        <f>IF(F75="○",課題タイプ2!$D$12,課題タイプ2!$D$13)</f>
        <v>1</v>
      </c>
      <c r="N75" s="133" t="b">
        <f>IF(G75="○",課題タイプ2!$D$14,課題タイプ2!$D$15)</f>
        <v>1</v>
      </c>
      <c r="O75" s="133" t="b">
        <f>IF(H75="○",課題タイプ2!$D$16,課題タイプ2!$D$17)</f>
        <v>0</v>
      </c>
      <c r="P75" s="133" t="b">
        <f t="shared" si="1"/>
        <v>0</v>
      </c>
      <c r="Q75" s="133" t="s">
        <v>1268</v>
      </c>
      <c r="R75" s="133"/>
      <c r="S75" s="243" t="s">
        <v>1283</v>
      </c>
    </row>
    <row r="76" spans="1:19" s="132" customFormat="1" ht="16.899999999999999" customHeight="1">
      <c r="A76" s="133">
        <v>74</v>
      </c>
      <c r="B76" s="133" t="s">
        <v>1267</v>
      </c>
      <c r="C76" s="245" t="s">
        <v>1330</v>
      </c>
      <c r="D76" s="245" t="s">
        <v>1330</v>
      </c>
      <c r="E76" s="133" t="s">
        <v>1267</v>
      </c>
      <c r="F76" s="245" t="s">
        <v>1330</v>
      </c>
      <c r="G76" s="245" t="s">
        <v>1330</v>
      </c>
      <c r="H76" s="133" t="s">
        <v>1267</v>
      </c>
      <c r="I76" s="133" t="b">
        <f>IF(B76="○",課題タイプ2!$D$4,課題タイプ2!$D$5)</f>
        <v>0</v>
      </c>
      <c r="J76" s="133" t="b">
        <f>IF(C76="○",課題タイプ2!$D$6,課題タイプ2!$D$7)</f>
        <v>1</v>
      </c>
      <c r="K76" s="133" t="b">
        <f>IF(D76="○",課題タイプ2!$D$8,課題タイプ2!$D$9)</f>
        <v>1</v>
      </c>
      <c r="L76" s="133" t="b">
        <f>IF(E76="○",課題タイプ2!$D$10,課題タイプ2!$D$11)</f>
        <v>1</v>
      </c>
      <c r="M76" s="133" t="b">
        <f>IF(F76="○",課題タイプ2!$D$12,課題タイプ2!$D$13)</f>
        <v>1</v>
      </c>
      <c r="N76" s="133" t="b">
        <f>IF(G76="○",課題タイプ2!$D$14,課題タイプ2!$D$15)</f>
        <v>1</v>
      </c>
      <c r="O76" s="133" t="b">
        <f>IF(H76="○",課題タイプ2!$D$16,課題タイプ2!$D$17)</f>
        <v>1</v>
      </c>
      <c r="P76" s="133" t="b">
        <f t="shared" si="1"/>
        <v>0</v>
      </c>
      <c r="Q76" s="133" t="s">
        <v>1268</v>
      </c>
      <c r="R76" s="133"/>
      <c r="S76" s="243" t="s">
        <v>1283</v>
      </c>
    </row>
    <row r="77" spans="1:19" s="132" customFormat="1" ht="16.899999999999999" customHeight="1">
      <c r="A77" s="133">
        <v>75</v>
      </c>
      <c r="B77" s="133" t="s">
        <v>1267</v>
      </c>
      <c r="C77" s="245" t="s">
        <v>1330</v>
      </c>
      <c r="D77" s="245" t="s">
        <v>1330</v>
      </c>
      <c r="E77" s="133" t="s">
        <v>1267</v>
      </c>
      <c r="F77" s="245" t="s">
        <v>1330</v>
      </c>
      <c r="G77" s="133" t="s">
        <v>1267</v>
      </c>
      <c r="H77" s="245" t="s">
        <v>1330</v>
      </c>
      <c r="I77" s="133" t="b">
        <f>IF(B77="○",課題タイプ2!$D$4,課題タイプ2!$D$5)</f>
        <v>0</v>
      </c>
      <c r="J77" s="133" t="b">
        <f>IF(C77="○",課題タイプ2!$D$6,課題タイプ2!$D$7)</f>
        <v>1</v>
      </c>
      <c r="K77" s="133" t="b">
        <f>IF(D77="○",課題タイプ2!$D$8,課題タイプ2!$D$9)</f>
        <v>1</v>
      </c>
      <c r="L77" s="133" t="b">
        <f>IF(E77="○",課題タイプ2!$D$10,課題タイプ2!$D$11)</f>
        <v>1</v>
      </c>
      <c r="M77" s="133" t="b">
        <f>IF(F77="○",課題タイプ2!$D$12,課題タイプ2!$D$13)</f>
        <v>1</v>
      </c>
      <c r="N77" s="133" t="b">
        <f>IF(G77="○",課題タイプ2!$D$14,課題タイプ2!$D$15)</f>
        <v>0</v>
      </c>
      <c r="O77" s="133" t="b">
        <f>IF(H77="○",課題タイプ2!$D$16,課題タイプ2!$D$17)</f>
        <v>0</v>
      </c>
      <c r="P77" s="133" t="b">
        <f t="shared" si="1"/>
        <v>0</v>
      </c>
      <c r="Q77" s="133" t="s">
        <v>1268</v>
      </c>
      <c r="R77" s="133"/>
      <c r="S77" s="243" t="s">
        <v>1283</v>
      </c>
    </row>
    <row r="78" spans="1:19" s="132" customFormat="1" ht="16.899999999999999" customHeight="1">
      <c r="A78" s="133">
        <v>76</v>
      </c>
      <c r="B78" s="133" t="s">
        <v>1267</v>
      </c>
      <c r="C78" s="245" t="s">
        <v>1330</v>
      </c>
      <c r="D78" s="245" t="s">
        <v>1330</v>
      </c>
      <c r="E78" s="133" t="s">
        <v>1267</v>
      </c>
      <c r="F78" s="245" t="s">
        <v>1330</v>
      </c>
      <c r="G78" s="133" t="s">
        <v>1267</v>
      </c>
      <c r="H78" s="133" t="s">
        <v>1267</v>
      </c>
      <c r="I78" s="133" t="b">
        <f>IF(B78="○",課題タイプ2!$D$4,課題タイプ2!$D$5)</f>
        <v>0</v>
      </c>
      <c r="J78" s="133" t="b">
        <f>IF(C78="○",課題タイプ2!$D$6,課題タイプ2!$D$7)</f>
        <v>1</v>
      </c>
      <c r="K78" s="133" t="b">
        <f>IF(D78="○",課題タイプ2!$D$8,課題タイプ2!$D$9)</f>
        <v>1</v>
      </c>
      <c r="L78" s="133" t="b">
        <f>IF(E78="○",課題タイプ2!$D$10,課題タイプ2!$D$11)</f>
        <v>1</v>
      </c>
      <c r="M78" s="133" t="b">
        <f>IF(F78="○",課題タイプ2!$D$12,課題タイプ2!$D$13)</f>
        <v>1</v>
      </c>
      <c r="N78" s="133" t="b">
        <f>IF(G78="○",課題タイプ2!$D$14,課題タイプ2!$D$15)</f>
        <v>0</v>
      </c>
      <c r="O78" s="133" t="b">
        <f>IF(H78="○",課題タイプ2!$D$16,課題タイプ2!$D$17)</f>
        <v>1</v>
      </c>
      <c r="P78" s="133" t="b">
        <f t="shared" si="1"/>
        <v>0</v>
      </c>
      <c r="Q78" s="133" t="s">
        <v>1268</v>
      </c>
      <c r="R78" s="133"/>
      <c r="S78" s="243" t="s">
        <v>1283</v>
      </c>
    </row>
    <row r="79" spans="1:19" s="132" customFormat="1" ht="16.899999999999999" customHeight="1">
      <c r="A79" s="133">
        <v>77</v>
      </c>
      <c r="B79" s="133" t="s">
        <v>1267</v>
      </c>
      <c r="C79" s="245" t="s">
        <v>1330</v>
      </c>
      <c r="D79" s="245" t="s">
        <v>1330</v>
      </c>
      <c r="E79" s="133" t="s">
        <v>1267</v>
      </c>
      <c r="F79" s="133" t="s">
        <v>1267</v>
      </c>
      <c r="G79" s="245" t="s">
        <v>1330</v>
      </c>
      <c r="H79" s="245" t="s">
        <v>1330</v>
      </c>
      <c r="I79" s="133" t="b">
        <f>IF(B79="○",課題タイプ2!$D$4,課題タイプ2!$D$5)</f>
        <v>0</v>
      </c>
      <c r="J79" s="133" t="b">
        <f>IF(C79="○",課題タイプ2!$D$6,課題タイプ2!$D$7)</f>
        <v>1</v>
      </c>
      <c r="K79" s="133" t="b">
        <f>IF(D79="○",課題タイプ2!$D$8,課題タイプ2!$D$9)</f>
        <v>1</v>
      </c>
      <c r="L79" s="133" t="b">
        <f>IF(E79="○",課題タイプ2!$D$10,課題タイプ2!$D$11)</f>
        <v>1</v>
      </c>
      <c r="M79" s="133" t="b">
        <f>IF(F79="○",課題タイプ2!$D$12,課題タイプ2!$D$13)</f>
        <v>0</v>
      </c>
      <c r="N79" s="133" t="b">
        <f>IF(G79="○",課題タイプ2!$D$14,課題タイプ2!$D$15)</f>
        <v>1</v>
      </c>
      <c r="O79" s="133" t="b">
        <f>IF(H79="○",課題タイプ2!$D$16,課題タイプ2!$D$17)</f>
        <v>0</v>
      </c>
      <c r="P79" s="133" t="b">
        <f t="shared" si="1"/>
        <v>0</v>
      </c>
      <c r="Q79" s="133" t="s">
        <v>1268</v>
      </c>
      <c r="R79" s="133"/>
      <c r="S79" s="243" t="s">
        <v>1283</v>
      </c>
    </row>
    <row r="80" spans="1:19" s="132" customFormat="1" ht="16.899999999999999" customHeight="1">
      <c r="A80" s="133">
        <v>78</v>
      </c>
      <c r="B80" s="133" t="s">
        <v>1267</v>
      </c>
      <c r="C80" s="245" t="s">
        <v>1330</v>
      </c>
      <c r="D80" s="245" t="s">
        <v>1330</v>
      </c>
      <c r="E80" s="133" t="s">
        <v>1267</v>
      </c>
      <c r="F80" s="133" t="s">
        <v>1267</v>
      </c>
      <c r="G80" s="245" t="s">
        <v>1330</v>
      </c>
      <c r="H80" s="133" t="s">
        <v>1267</v>
      </c>
      <c r="I80" s="133" t="b">
        <f>IF(B80="○",課題タイプ2!$D$4,課題タイプ2!$D$5)</f>
        <v>0</v>
      </c>
      <c r="J80" s="133" t="b">
        <f>IF(C80="○",課題タイプ2!$D$6,課題タイプ2!$D$7)</f>
        <v>1</v>
      </c>
      <c r="K80" s="133" t="b">
        <f>IF(D80="○",課題タイプ2!$D$8,課題タイプ2!$D$9)</f>
        <v>1</v>
      </c>
      <c r="L80" s="133" t="b">
        <f>IF(E80="○",課題タイプ2!$D$10,課題タイプ2!$D$11)</f>
        <v>1</v>
      </c>
      <c r="M80" s="133" t="b">
        <f>IF(F80="○",課題タイプ2!$D$12,課題タイプ2!$D$13)</f>
        <v>0</v>
      </c>
      <c r="N80" s="133" t="b">
        <f>IF(G80="○",課題タイプ2!$D$14,課題タイプ2!$D$15)</f>
        <v>1</v>
      </c>
      <c r="O80" s="133" t="b">
        <f>IF(H80="○",課題タイプ2!$D$16,課題タイプ2!$D$17)</f>
        <v>1</v>
      </c>
      <c r="P80" s="133" t="b">
        <f t="shared" si="1"/>
        <v>0</v>
      </c>
      <c r="Q80" s="133" t="s">
        <v>1268</v>
      </c>
      <c r="R80" s="133"/>
      <c r="S80" s="243" t="s">
        <v>1283</v>
      </c>
    </row>
    <row r="81" spans="1:19" s="132" customFormat="1" ht="16.899999999999999" customHeight="1">
      <c r="A81" s="133">
        <v>79</v>
      </c>
      <c r="B81" s="133" t="s">
        <v>1267</v>
      </c>
      <c r="C81" s="245" t="s">
        <v>1330</v>
      </c>
      <c r="D81" s="245" t="s">
        <v>1330</v>
      </c>
      <c r="E81" s="133" t="s">
        <v>1267</v>
      </c>
      <c r="F81" s="133" t="s">
        <v>1267</v>
      </c>
      <c r="G81" s="133" t="s">
        <v>1267</v>
      </c>
      <c r="H81" s="245" t="s">
        <v>1330</v>
      </c>
      <c r="I81" s="133" t="b">
        <f>IF(B81="○",課題タイプ2!$D$4,課題タイプ2!$D$5)</f>
        <v>0</v>
      </c>
      <c r="J81" s="133" t="b">
        <f>IF(C81="○",課題タイプ2!$D$6,課題タイプ2!$D$7)</f>
        <v>1</v>
      </c>
      <c r="K81" s="133" t="b">
        <f>IF(D81="○",課題タイプ2!$D$8,課題タイプ2!$D$9)</f>
        <v>1</v>
      </c>
      <c r="L81" s="133" t="b">
        <f>IF(E81="○",課題タイプ2!$D$10,課題タイプ2!$D$11)</f>
        <v>1</v>
      </c>
      <c r="M81" s="133" t="b">
        <f>IF(F81="○",課題タイプ2!$D$12,課題タイプ2!$D$13)</f>
        <v>0</v>
      </c>
      <c r="N81" s="133" t="b">
        <f>IF(G81="○",課題タイプ2!$D$14,課題タイプ2!$D$15)</f>
        <v>0</v>
      </c>
      <c r="O81" s="133" t="b">
        <f>IF(H81="○",課題タイプ2!$D$16,課題タイプ2!$D$17)</f>
        <v>0</v>
      </c>
      <c r="P81" s="133" t="b">
        <f t="shared" si="1"/>
        <v>0</v>
      </c>
      <c r="Q81" s="133" t="s">
        <v>1268</v>
      </c>
      <c r="R81" s="133"/>
      <c r="S81" s="243" t="s">
        <v>1283</v>
      </c>
    </row>
    <row r="82" spans="1:19" s="132" customFormat="1" ht="16.899999999999999" customHeight="1">
      <c r="A82" s="133">
        <v>80</v>
      </c>
      <c r="B82" s="133" t="s">
        <v>1267</v>
      </c>
      <c r="C82" s="245" t="s">
        <v>1330</v>
      </c>
      <c r="D82" s="245" t="s">
        <v>1330</v>
      </c>
      <c r="E82" s="133" t="s">
        <v>1267</v>
      </c>
      <c r="F82" s="133" t="s">
        <v>1267</v>
      </c>
      <c r="G82" s="133" t="s">
        <v>1267</v>
      </c>
      <c r="H82" s="133" t="s">
        <v>1267</v>
      </c>
      <c r="I82" s="133" t="b">
        <f>IF(B82="○",課題タイプ2!$D$4,課題タイプ2!$D$5)</f>
        <v>0</v>
      </c>
      <c r="J82" s="133" t="b">
        <f>IF(C82="○",課題タイプ2!$D$6,課題タイプ2!$D$7)</f>
        <v>1</v>
      </c>
      <c r="K82" s="133" t="b">
        <f>IF(D82="○",課題タイプ2!$D$8,課題タイプ2!$D$9)</f>
        <v>1</v>
      </c>
      <c r="L82" s="133" t="b">
        <f>IF(E82="○",課題タイプ2!$D$10,課題タイプ2!$D$11)</f>
        <v>1</v>
      </c>
      <c r="M82" s="133" t="b">
        <f>IF(F82="○",課題タイプ2!$D$12,課題タイプ2!$D$13)</f>
        <v>0</v>
      </c>
      <c r="N82" s="133" t="b">
        <f>IF(G82="○",課題タイプ2!$D$14,課題タイプ2!$D$15)</f>
        <v>0</v>
      </c>
      <c r="O82" s="133" t="b">
        <f>IF(H82="○",課題タイプ2!$D$16,課題タイプ2!$D$17)</f>
        <v>1</v>
      </c>
      <c r="P82" s="133" t="b">
        <f t="shared" si="1"/>
        <v>0</v>
      </c>
      <c r="Q82" s="133" t="s">
        <v>1268</v>
      </c>
      <c r="R82" s="133"/>
      <c r="S82" s="243" t="s">
        <v>1283</v>
      </c>
    </row>
    <row r="83" spans="1:19" s="132" customFormat="1" ht="16.899999999999999" customHeight="1">
      <c r="A83" s="133">
        <v>81</v>
      </c>
      <c r="B83" s="133" t="s">
        <v>1267</v>
      </c>
      <c r="C83" s="245" t="s">
        <v>1330</v>
      </c>
      <c r="D83" s="133" t="s">
        <v>1267</v>
      </c>
      <c r="E83" s="245" t="s">
        <v>1330</v>
      </c>
      <c r="F83" s="245" t="s">
        <v>1330</v>
      </c>
      <c r="G83" s="245" t="s">
        <v>1330</v>
      </c>
      <c r="H83" s="245" t="s">
        <v>1330</v>
      </c>
      <c r="I83" s="133" t="b">
        <f>IF(B83="○",課題タイプ2!$D$4,課題タイプ2!$D$5)</f>
        <v>0</v>
      </c>
      <c r="J83" s="133" t="b">
        <f>IF(C83="○",課題タイプ2!$D$6,課題タイプ2!$D$7)</f>
        <v>1</v>
      </c>
      <c r="K83" s="133" t="b">
        <f>IF(D83="○",課題タイプ2!$D$8,課題タイプ2!$D$9)</f>
        <v>0</v>
      </c>
      <c r="L83" s="133" t="b">
        <f>IF(E83="○",課題タイプ2!$D$10,課題タイプ2!$D$11)</f>
        <v>0</v>
      </c>
      <c r="M83" s="133" t="b">
        <f>IF(F83="○",課題タイプ2!$D$12,課題タイプ2!$D$13)</f>
        <v>1</v>
      </c>
      <c r="N83" s="133" t="b">
        <f>IF(G83="○",課題タイプ2!$D$14,課題タイプ2!$D$15)</f>
        <v>1</v>
      </c>
      <c r="O83" s="133" t="b">
        <f>IF(H83="○",課題タイプ2!$D$16,課題タイプ2!$D$17)</f>
        <v>0</v>
      </c>
      <c r="P83" s="133" t="b">
        <f t="shared" si="1"/>
        <v>0</v>
      </c>
      <c r="Q83" s="133" t="s">
        <v>1268</v>
      </c>
      <c r="R83" s="133" t="s">
        <v>1266</v>
      </c>
      <c r="S83" s="243" t="s">
        <v>1282</v>
      </c>
    </row>
    <row r="84" spans="1:19" s="132" customFormat="1" ht="16.899999999999999" customHeight="1">
      <c r="A84" s="133">
        <v>82</v>
      </c>
      <c r="B84" s="133" t="s">
        <v>1267</v>
      </c>
      <c r="C84" s="245" t="s">
        <v>1330</v>
      </c>
      <c r="D84" s="133" t="s">
        <v>1267</v>
      </c>
      <c r="E84" s="245" t="s">
        <v>1330</v>
      </c>
      <c r="F84" s="245" t="s">
        <v>1330</v>
      </c>
      <c r="G84" s="245" t="s">
        <v>1330</v>
      </c>
      <c r="H84" s="133" t="s">
        <v>1267</v>
      </c>
      <c r="I84" s="133" t="b">
        <f>IF(B84="○",課題タイプ2!$D$4,課題タイプ2!$D$5)</f>
        <v>0</v>
      </c>
      <c r="J84" s="133" t="b">
        <f>IF(C84="○",課題タイプ2!$D$6,課題タイプ2!$D$7)</f>
        <v>1</v>
      </c>
      <c r="K84" s="133" t="b">
        <f>IF(D84="○",課題タイプ2!$D$8,課題タイプ2!$D$9)</f>
        <v>0</v>
      </c>
      <c r="L84" s="133" t="b">
        <f>IF(E84="○",課題タイプ2!$D$10,課題タイプ2!$D$11)</f>
        <v>0</v>
      </c>
      <c r="M84" s="133" t="b">
        <f>IF(F84="○",課題タイプ2!$D$12,課題タイプ2!$D$13)</f>
        <v>1</v>
      </c>
      <c r="N84" s="133" t="b">
        <f>IF(G84="○",課題タイプ2!$D$14,課題タイプ2!$D$15)</f>
        <v>1</v>
      </c>
      <c r="O84" s="133" t="b">
        <f>IF(H84="○",課題タイプ2!$D$16,課題タイプ2!$D$17)</f>
        <v>1</v>
      </c>
      <c r="P84" s="133" t="b">
        <f t="shared" si="1"/>
        <v>0</v>
      </c>
      <c r="Q84" s="133" t="s">
        <v>1268</v>
      </c>
      <c r="R84" s="133" t="s">
        <v>1266</v>
      </c>
      <c r="S84" s="243" t="s">
        <v>1282</v>
      </c>
    </row>
    <row r="85" spans="1:19" s="132" customFormat="1" ht="16.899999999999999" customHeight="1">
      <c r="A85" s="133">
        <v>83</v>
      </c>
      <c r="B85" s="133" t="s">
        <v>1267</v>
      </c>
      <c r="C85" s="245" t="s">
        <v>1330</v>
      </c>
      <c r="D85" s="133" t="s">
        <v>1267</v>
      </c>
      <c r="E85" s="245" t="s">
        <v>1330</v>
      </c>
      <c r="F85" s="245" t="s">
        <v>1330</v>
      </c>
      <c r="G85" s="133" t="s">
        <v>1267</v>
      </c>
      <c r="H85" s="245" t="s">
        <v>1330</v>
      </c>
      <c r="I85" s="133" t="b">
        <f>IF(B85="○",課題タイプ2!$D$4,課題タイプ2!$D$5)</f>
        <v>0</v>
      </c>
      <c r="J85" s="133" t="b">
        <f>IF(C85="○",課題タイプ2!$D$6,課題タイプ2!$D$7)</f>
        <v>1</v>
      </c>
      <c r="K85" s="133" t="b">
        <f>IF(D85="○",課題タイプ2!$D$8,課題タイプ2!$D$9)</f>
        <v>0</v>
      </c>
      <c r="L85" s="133" t="b">
        <f>IF(E85="○",課題タイプ2!$D$10,課題タイプ2!$D$11)</f>
        <v>0</v>
      </c>
      <c r="M85" s="133" t="b">
        <f>IF(F85="○",課題タイプ2!$D$12,課題タイプ2!$D$13)</f>
        <v>1</v>
      </c>
      <c r="N85" s="133" t="b">
        <f>IF(G85="○",課題タイプ2!$D$14,課題タイプ2!$D$15)</f>
        <v>0</v>
      </c>
      <c r="O85" s="133" t="b">
        <f>IF(H85="○",課題タイプ2!$D$16,課題タイプ2!$D$17)</f>
        <v>0</v>
      </c>
      <c r="P85" s="133" t="b">
        <f t="shared" si="1"/>
        <v>0</v>
      </c>
      <c r="Q85" s="133" t="s">
        <v>1268</v>
      </c>
      <c r="R85" s="133" t="s">
        <v>1266</v>
      </c>
      <c r="S85" s="243" t="s">
        <v>1282</v>
      </c>
    </row>
    <row r="86" spans="1:19" s="132" customFormat="1" ht="16.899999999999999" customHeight="1">
      <c r="A86" s="133">
        <v>84</v>
      </c>
      <c r="B86" s="133" t="s">
        <v>1267</v>
      </c>
      <c r="C86" s="245" t="s">
        <v>1330</v>
      </c>
      <c r="D86" s="133" t="s">
        <v>1267</v>
      </c>
      <c r="E86" s="245" t="s">
        <v>1330</v>
      </c>
      <c r="F86" s="245" t="s">
        <v>1330</v>
      </c>
      <c r="G86" s="133" t="s">
        <v>1267</v>
      </c>
      <c r="H86" s="133" t="s">
        <v>1267</v>
      </c>
      <c r="I86" s="133" t="b">
        <f>IF(B86="○",課題タイプ2!$D$4,課題タイプ2!$D$5)</f>
        <v>0</v>
      </c>
      <c r="J86" s="133" t="b">
        <f>IF(C86="○",課題タイプ2!$D$6,課題タイプ2!$D$7)</f>
        <v>1</v>
      </c>
      <c r="K86" s="133" t="b">
        <f>IF(D86="○",課題タイプ2!$D$8,課題タイプ2!$D$9)</f>
        <v>0</v>
      </c>
      <c r="L86" s="133" t="b">
        <f>IF(E86="○",課題タイプ2!$D$10,課題タイプ2!$D$11)</f>
        <v>0</v>
      </c>
      <c r="M86" s="133" t="b">
        <f>IF(F86="○",課題タイプ2!$D$12,課題タイプ2!$D$13)</f>
        <v>1</v>
      </c>
      <c r="N86" s="133" t="b">
        <f>IF(G86="○",課題タイプ2!$D$14,課題タイプ2!$D$15)</f>
        <v>0</v>
      </c>
      <c r="O86" s="133" t="b">
        <f>IF(H86="○",課題タイプ2!$D$16,課題タイプ2!$D$17)</f>
        <v>1</v>
      </c>
      <c r="P86" s="133" t="b">
        <f t="shared" si="1"/>
        <v>0</v>
      </c>
      <c r="Q86" s="133" t="s">
        <v>1268</v>
      </c>
      <c r="R86" s="133" t="s">
        <v>1266</v>
      </c>
      <c r="S86" s="243" t="s">
        <v>1282</v>
      </c>
    </row>
    <row r="87" spans="1:19" s="132" customFormat="1" ht="16.899999999999999" customHeight="1">
      <c r="A87" s="133">
        <v>85</v>
      </c>
      <c r="B87" s="133" t="s">
        <v>1267</v>
      </c>
      <c r="C87" s="245" t="s">
        <v>1330</v>
      </c>
      <c r="D87" s="133" t="s">
        <v>1267</v>
      </c>
      <c r="E87" s="245" t="s">
        <v>1330</v>
      </c>
      <c r="F87" s="133" t="s">
        <v>1267</v>
      </c>
      <c r="G87" s="245" t="s">
        <v>1330</v>
      </c>
      <c r="H87" s="245" t="s">
        <v>1330</v>
      </c>
      <c r="I87" s="133" t="b">
        <f>IF(B87="○",課題タイプ2!$D$4,課題タイプ2!$D$5)</f>
        <v>0</v>
      </c>
      <c r="J87" s="133" t="b">
        <f>IF(C87="○",課題タイプ2!$D$6,課題タイプ2!$D$7)</f>
        <v>1</v>
      </c>
      <c r="K87" s="133" t="b">
        <f>IF(D87="○",課題タイプ2!$D$8,課題タイプ2!$D$9)</f>
        <v>0</v>
      </c>
      <c r="L87" s="133" t="b">
        <f>IF(E87="○",課題タイプ2!$D$10,課題タイプ2!$D$11)</f>
        <v>0</v>
      </c>
      <c r="M87" s="133" t="b">
        <f>IF(F87="○",課題タイプ2!$D$12,課題タイプ2!$D$13)</f>
        <v>0</v>
      </c>
      <c r="N87" s="133" t="b">
        <f>IF(G87="○",課題タイプ2!$D$14,課題タイプ2!$D$15)</f>
        <v>1</v>
      </c>
      <c r="O87" s="133" t="b">
        <f>IF(H87="○",課題タイプ2!$D$16,課題タイプ2!$D$17)</f>
        <v>0</v>
      </c>
      <c r="P87" s="133" t="b">
        <f t="shared" si="1"/>
        <v>0</v>
      </c>
      <c r="Q87" s="133" t="s">
        <v>1268</v>
      </c>
      <c r="R87" s="133" t="s">
        <v>1266</v>
      </c>
      <c r="S87" s="243" t="s">
        <v>1282</v>
      </c>
    </row>
    <row r="88" spans="1:19" s="132" customFormat="1" ht="16.899999999999999" customHeight="1">
      <c r="A88" s="133">
        <v>86</v>
      </c>
      <c r="B88" s="133" t="s">
        <v>1267</v>
      </c>
      <c r="C88" s="245" t="s">
        <v>1330</v>
      </c>
      <c r="D88" s="133" t="s">
        <v>1267</v>
      </c>
      <c r="E88" s="245" t="s">
        <v>1330</v>
      </c>
      <c r="F88" s="133" t="s">
        <v>1267</v>
      </c>
      <c r="G88" s="245" t="s">
        <v>1330</v>
      </c>
      <c r="H88" s="133" t="s">
        <v>1267</v>
      </c>
      <c r="I88" s="133" t="b">
        <f>IF(B88="○",課題タイプ2!$D$4,課題タイプ2!$D$5)</f>
        <v>0</v>
      </c>
      <c r="J88" s="133" t="b">
        <f>IF(C88="○",課題タイプ2!$D$6,課題タイプ2!$D$7)</f>
        <v>1</v>
      </c>
      <c r="K88" s="133" t="b">
        <f>IF(D88="○",課題タイプ2!$D$8,課題タイプ2!$D$9)</f>
        <v>0</v>
      </c>
      <c r="L88" s="133" t="b">
        <f>IF(E88="○",課題タイプ2!$D$10,課題タイプ2!$D$11)</f>
        <v>0</v>
      </c>
      <c r="M88" s="133" t="b">
        <f>IF(F88="○",課題タイプ2!$D$12,課題タイプ2!$D$13)</f>
        <v>0</v>
      </c>
      <c r="N88" s="133" t="b">
        <f>IF(G88="○",課題タイプ2!$D$14,課題タイプ2!$D$15)</f>
        <v>1</v>
      </c>
      <c r="O88" s="133" t="b">
        <f>IF(H88="○",課題タイプ2!$D$16,課題タイプ2!$D$17)</f>
        <v>1</v>
      </c>
      <c r="P88" s="133" t="b">
        <f t="shared" si="1"/>
        <v>0</v>
      </c>
      <c r="Q88" s="133" t="s">
        <v>1268</v>
      </c>
      <c r="R88" s="133" t="s">
        <v>1266</v>
      </c>
      <c r="S88" s="243" t="s">
        <v>1282</v>
      </c>
    </row>
    <row r="89" spans="1:19" s="132" customFormat="1" ht="16.899999999999999" customHeight="1">
      <c r="A89" s="133">
        <v>87</v>
      </c>
      <c r="B89" s="133" t="s">
        <v>1267</v>
      </c>
      <c r="C89" s="245" t="s">
        <v>1330</v>
      </c>
      <c r="D89" s="133" t="s">
        <v>1267</v>
      </c>
      <c r="E89" s="245" t="s">
        <v>1330</v>
      </c>
      <c r="F89" s="133" t="s">
        <v>1267</v>
      </c>
      <c r="G89" s="133" t="s">
        <v>1267</v>
      </c>
      <c r="H89" s="245" t="s">
        <v>1330</v>
      </c>
      <c r="I89" s="133" t="b">
        <f>IF(B89="○",課題タイプ2!$D$4,課題タイプ2!$D$5)</f>
        <v>0</v>
      </c>
      <c r="J89" s="133" t="b">
        <f>IF(C89="○",課題タイプ2!$D$6,課題タイプ2!$D$7)</f>
        <v>1</v>
      </c>
      <c r="K89" s="133" t="b">
        <f>IF(D89="○",課題タイプ2!$D$8,課題タイプ2!$D$9)</f>
        <v>0</v>
      </c>
      <c r="L89" s="133" t="b">
        <f>IF(E89="○",課題タイプ2!$D$10,課題タイプ2!$D$11)</f>
        <v>0</v>
      </c>
      <c r="M89" s="133" t="b">
        <f>IF(F89="○",課題タイプ2!$D$12,課題タイプ2!$D$13)</f>
        <v>0</v>
      </c>
      <c r="N89" s="133" t="b">
        <f>IF(G89="○",課題タイプ2!$D$14,課題タイプ2!$D$15)</f>
        <v>0</v>
      </c>
      <c r="O89" s="133" t="b">
        <f>IF(H89="○",課題タイプ2!$D$16,課題タイプ2!$D$17)</f>
        <v>0</v>
      </c>
      <c r="P89" s="133" t="b">
        <f t="shared" si="1"/>
        <v>0</v>
      </c>
      <c r="Q89" s="133" t="s">
        <v>1268</v>
      </c>
      <c r="R89" s="133" t="s">
        <v>1266</v>
      </c>
      <c r="S89" s="243" t="s">
        <v>1282</v>
      </c>
    </row>
    <row r="90" spans="1:19" s="132" customFormat="1" ht="16.899999999999999" customHeight="1">
      <c r="A90" s="133">
        <v>88</v>
      </c>
      <c r="B90" s="133" t="s">
        <v>1267</v>
      </c>
      <c r="C90" s="245" t="s">
        <v>1330</v>
      </c>
      <c r="D90" s="133" t="s">
        <v>1267</v>
      </c>
      <c r="E90" s="245" t="s">
        <v>1330</v>
      </c>
      <c r="F90" s="133" t="s">
        <v>1267</v>
      </c>
      <c r="G90" s="133" t="s">
        <v>1267</v>
      </c>
      <c r="H90" s="133" t="s">
        <v>1267</v>
      </c>
      <c r="I90" s="133" t="b">
        <f>IF(B90="○",課題タイプ2!$D$4,課題タイプ2!$D$5)</f>
        <v>0</v>
      </c>
      <c r="J90" s="133" t="b">
        <f>IF(C90="○",課題タイプ2!$D$6,課題タイプ2!$D$7)</f>
        <v>1</v>
      </c>
      <c r="K90" s="133" t="b">
        <f>IF(D90="○",課題タイプ2!$D$8,課題タイプ2!$D$9)</f>
        <v>0</v>
      </c>
      <c r="L90" s="133" t="b">
        <f>IF(E90="○",課題タイプ2!$D$10,課題タイプ2!$D$11)</f>
        <v>0</v>
      </c>
      <c r="M90" s="133" t="b">
        <f>IF(F90="○",課題タイプ2!$D$12,課題タイプ2!$D$13)</f>
        <v>0</v>
      </c>
      <c r="N90" s="133" t="b">
        <f>IF(G90="○",課題タイプ2!$D$14,課題タイプ2!$D$15)</f>
        <v>0</v>
      </c>
      <c r="O90" s="133" t="b">
        <f>IF(H90="○",課題タイプ2!$D$16,課題タイプ2!$D$17)</f>
        <v>1</v>
      </c>
      <c r="P90" s="133" t="b">
        <f t="shared" si="1"/>
        <v>0</v>
      </c>
      <c r="Q90" s="133" t="s">
        <v>1268</v>
      </c>
      <c r="R90" s="133" t="s">
        <v>1266</v>
      </c>
      <c r="S90" s="243" t="s">
        <v>1282</v>
      </c>
    </row>
    <row r="91" spans="1:19" s="132" customFormat="1" ht="16.899999999999999" customHeight="1">
      <c r="A91" s="133">
        <v>89</v>
      </c>
      <c r="B91" s="133" t="s">
        <v>1267</v>
      </c>
      <c r="C91" s="245" t="s">
        <v>1330</v>
      </c>
      <c r="D91" s="133" t="s">
        <v>1267</v>
      </c>
      <c r="E91" s="133" t="s">
        <v>1267</v>
      </c>
      <c r="F91" s="245" t="s">
        <v>1330</v>
      </c>
      <c r="G91" s="245" t="s">
        <v>1330</v>
      </c>
      <c r="H91" s="245" t="s">
        <v>1330</v>
      </c>
      <c r="I91" s="133" t="b">
        <f>IF(B91="○",課題タイプ2!$D$4,課題タイプ2!$D$5)</f>
        <v>0</v>
      </c>
      <c r="J91" s="133" t="b">
        <f>IF(C91="○",課題タイプ2!$D$6,課題タイプ2!$D$7)</f>
        <v>1</v>
      </c>
      <c r="K91" s="133" t="b">
        <f>IF(D91="○",課題タイプ2!$D$8,課題タイプ2!$D$9)</f>
        <v>0</v>
      </c>
      <c r="L91" s="133" t="b">
        <f>IF(E91="○",課題タイプ2!$D$10,課題タイプ2!$D$11)</f>
        <v>1</v>
      </c>
      <c r="M91" s="133" t="b">
        <f>IF(F91="○",課題タイプ2!$D$12,課題タイプ2!$D$13)</f>
        <v>1</v>
      </c>
      <c r="N91" s="133" t="b">
        <f>IF(G91="○",課題タイプ2!$D$14,課題タイプ2!$D$15)</f>
        <v>1</v>
      </c>
      <c r="O91" s="133" t="b">
        <f>IF(H91="○",課題タイプ2!$D$16,課題タイプ2!$D$17)</f>
        <v>0</v>
      </c>
      <c r="P91" s="133" t="b">
        <f t="shared" si="1"/>
        <v>0</v>
      </c>
      <c r="Q91" s="133" t="s">
        <v>1268</v>
      </c>
      <c r="R91" s="133"/>
      <c r="S91" s="243" t="s">
        <v>1283</v>
      </c>
    </row>
    <row r="92" spans="1:19" s="132" customFormat="1" ht="16.899999999999999" customHeight="1">
      <c r="A92" s="133">
        <v>90</v>
      </c>
      <c r="B92" s="133" t="s">
        <v>1267</v>
      </c>
      <c r="C92" s="245" t="s">
        <v>1330</v>
      </c>
      <c r="D92" s="133" t="s">
        <v>1267</v>
      </c>
      <c r="E92" s="133" t="s">
        <v>1267</v>
      </c>
      <c r="F92" s="245" t="s">
        <v>1330</v>
      </c>
      <c r="G92" s="245" t="s">
        <v>1330</v>
      </c>
      <c r="H92" s="133" t="s">
        <v>1267</v>
      </c>
      <c r="I92" s="133" t="b">
        <f>IF(B92="○",課題タイプ2!$D$4,課題タイプ2!$D$5)</f>
        <v>0</v>
      </c>
      <c r="J92" s="133" t="b">
        <f>IF(C92="○",課題タイプ2!$D$6,課題タイプ2!$D$7)</f>
        <v>1</v>
      </c>
      <c r="K92" s="133" t="b">
        <f>IF(D92="○",課題タイプ2!$D$8,課題タイプ2!$D$9)</f>
        <v>0</v>
      </c>
      <c r="L92" s="133" t="b">
        <f>IF(E92="○",課題タイプ2!$D$10,課題タイプ2!$D$11)</f>
        <v>1</v>
      </c>
      <c r="M92" s="133" t="b">
        <f>IF(F92="○",課題タイプ2!$D$12,課題タイプ2!$D$13)</f>
        <v>1</v>
      </c>
      <c r="N92" s="133" t="b">
        <f>IF(G92="○",課題タイプ2!$D$14,課題タイプ2!$D$15)</f>
        <v>1</v>
      </c>
      <c r="O92" s="133" t="b">
        <f>IF(H92="○",課題タイプ2!$D$16,課題タイプ2!$D$17)</f>
        <v>1</v>
      </c>
      <c r="P92" s="133" t="b">
        <f t="shared" si="1"/>
        <v>0</v>
      </c>
      <c r="Q92" s="133" t="s">
        <v>1268</v>
      </c>
      <c r="R92" s="133"/>
      <c r="S92" s="243" t="s">
        <v>1283</v>
      </c>
    </row>
    <row r="93" spans="1:19" s="132" customFormat="1" ht="16.899999999999999" customHeight="1">
      <c r="A93" s="133">
        <v>91</v>
      </c>
      <c r="B93" s="133" t="s">
        <v>1267</v>
      </c>
      <c r="C93" s="245" t="s">
        <v>1330</v>
      </c>
      <c r="D93" s="133" t="s">
        <v>1267</v>
      </c>
      <c r="E93" s="133" t="s">
        <v>1267</v>
      </c>
      <c r="F93" s="245" t="s">
        <v>1330</v>
      </c>
      <c r="G93" s="133" t="s">
        <v>1267</v>
      </c>
      <c r="H93" s="245" t="s">
        <v>1330</v>
      </c>
      <c r="I93" s="133" t="b">
        <f>IF(B93="○",課題タイプ2!$D$4,課題タイプ2!$D$5)</f>
        <v>0</v>
      </c>
      <c r="J93" s="133" t="b">
        <f>IF(C93="○",課題タイプ2!$D$6,課題タイプ2!$D$7)</f>
        <v>1</v>
      </c>
      <c r="K93" s="133" t="b">
        <f>IF(D93="○",課題タイプ2!$D$8,課題タイプ2!$D$9)</f>
        <v>0</v>
      </c>
      <c r="L93" s="133" t="b">
        <f>IF(E93="○",課題タイプ2!$D$10,課題タイプ2!$D$11)</f>
        <v>1</v>
      </c>
      <c r="M93" s="133" t="b">
        <f>IF(F93="○",課題タイプ2!$D$12,課題タイプ2!$D$13)</f>
        <v>1</v>
      </c>
      <c r="N93" s="133" t="b">
        <f>IF(G93="○",課題タイプ2!$D$14,課題タイプ2!$D$15)</f>
        <v>0</v>
      </c>
      <c r="O93" s="133" t="b">
        <f>IF(H93="○",課題タイプ2!$D$16,課題タイプ2!$D$17)</f>
        <v>0</v>
      </c>
      <c r="P93" s="133" t="b">
        <f t="shared" si="1"/>
        <v>0</v>
      </c>
      <c r="Q93" s="133" t="s">
        <v>1268</v>
      </c>
      <c r="R93" s="133"/>
      <c r="S93" s="243" t="s">
        <v>1283</v>
      </c>
    </row>
    <row r="94" spans="1:19" s="132" customFormat="1" ht="16.899999999999999" customHeight="1">
      <c r="A94" s="133">
        <v>92</v>
      </c>
      <c r="B94" s="133" t="s">
        <v>1267</v>
      </c>
      <c r="C94" s="245" t="s">
        <v>1330</v>
      </c>
      <c r="D94" s="133" t="s">
        <v>1267</v>
      </c>
      <c r="E94" s="133" t="s">
        <v>1267</v>
      </c>
      <c r="F94" s="245" t="s">
        <v>1330</v>
      </c>
      <c r="G94" s="133" t="s">
        <v>1267</v>
      </c>
      <c r="H94" s="133" t="s">
        <v>1267</v>
      </c>
      <c r="I94" s="133" t="b">
        <f>IF(B94="○",課題タイプ2!$D$4,課題タイプ2!$D$5)</f>
        <v>0</v>
      </c>
      <c r="J94" s="133" t="b">
        <f>IF(C94="○",課題タイプ2!$D$6,課題タイプ2!$D$7)</f>
        <v>1</v>
      </c>
      <c r="K94" s="133" t="b">
        <f>IF(D94="○",課題タイプ2!$D$8,課題タイプ2!$D$9)</f>
        <v>0</v>
      </c>
      <c r="L94" s="133" t="b">
        <f>IF(E94="○",課題タイプ2!$D$10,課題タイプ2!$D$11)</f>
        <v>1</v>
      </c>
      <c r="M94" s="133" t="b">
        <f>IF(F94="○",課題タイプ2!$D$12,課題タイプ2!$D$13)</f>
        <v>1</v>
      </c>
      <c r="N94" s="133" t="b">
        <f>IF(G94="○",課題タイプ2!$D$14,課題タイプ2!$D$15)</f>
        <v>0</v>
      </c>
      <c r="O94" s="133" t="b">
        <f>IF(H94="○",課題タイプ2!$D$16,課題タイプ2!$D$17)</f>
        <v>1</v>
      </c>
      <c r="P94" s="133" t="b">
        <f t="shared" si="1"/>
        <v>0</v>
      </c>
      <c r="Q94" s="133" t="s">
        <v>1268</v>
      </c>
      <c r="R94" s="133"/>
      <c r="S94" s="243" t="s">
        <v>1283</v>
      </c>
    </row>
    <row r="95" spans="1:19" s="132" customFormat="1" ht="16.899999999999999" customHeight="1">
      <c r="A95" s="133">
        <v>93</v>
      </c>
      <c r="B95" s="133" t="s">
        <v>1267</v>
      </c>
      <c r="C95" s="245" t="s">
        <v>1330</v>
      </c>
      <c r="D95" s="133" t="s">
        <v>1267</v>
      </c>
      <c r="E95" s="133" t="s">
        <v>1267</v>
      </c>
      <c r="F95" s="133" t="s">
        <v>1267</v>
      </c>
      <c r="G95" s="245" t="s">
        <v>1330</v>
      </c>
      <c r="H95" s="245" t="s">
        <v>1330</v>
      </c>
      <c r="I95" s="133" t="b">
        <f>IF(B95="○",課題タイプ2!$D$4,課題タイプ2!$D$5)</f>
        <v>0</v>
      </c>
      <c r="J95" s="133" t="b">
        <f>IF(C95="○",課題タイプ2!$D$6,課題タイプ2!$D$7)</f>
        <v>1</v>
      </c>
      <c r="K95" s="133" t="b">
        <f>IF(D95="○",課題タイプ2!$D$8,課題タイプ2!$D$9)</f>
        <v>0</v>
      </c>
      <c r="L95" s="133" t="b">
        <f>IF(E95="○",課題タイプ2!$D$10,課題タイプ2!$D$11)</f>
        <v>1</v>
      </c>
      <c r="M95" s="133" t="b">
        <f>IF(F95="○",課題タイプ2!$D$12,課題タイプ2!$D$13)</f>
        <v>0</v>
      </c>
      <c r="N95" s="133" t="b">
        <f>IF(G95="○",課題タイプ2!$D$14,課題タイプ2!$D$15)</f>
        <v>1</v>
      </c>
      <c r="O95" s="133" t="b">
        <f>IF(H95="○",課題タイプ2!$D$16,課題タイプ2!$D$17)</f>
        <v>0</v>
      </c>
      <c r="P95" s="133" t="b">
        <f t="shared" si="1"/>
        <v>0</v>
      </c>
      <c r="Q95" s="133" t="s">
        <v>1268</v>
      </c>
      <c r="R95" s="133"/>
      <c r="S95" s="243" t="s">
        <v>1283</v>
      </c>
    </row>
    <row r="96" spans="1:19" s="132" customFormat="1" ht="16.899999999999999" customHeight="1">
      <c r="A96" s="133">
        <v>94</v>
      </c>
      <c r="B96" s="133" t="s">
        <v>1267</v>
      </c>
      <c r="C96" s="245" t="s">
        <v>1330</v>
      </c>
      <c r="D96" s="133" t="s">
        <v>1267</v>
      </c>
      <c r="E96" s="133" t="s">
        <v>1267</v>
      </c>
      <c r="F96" s="133" t="s">
        <v>1267</v>
      </c>
      <c r="G96" s="245" t="s">
        <v>1330</v>
      </c>
      <c r="H96" s="133" t="s">
        <v>1267</v>
      </c>
      <c r="I96" s="133" t="b">
        <f>IF(B96="○",課題タイプ2!$D$4,課題タイプ2!$D$5)</f>
        <v>0</v>
      </c>
      <c r="J96" s="133" t="b">
        <f>IF(C96="○",課題タイプ2!$D$6,課題タイプ2!$D$7)</f>
        <v>1</v>
      </c>
      <c r="K96" s="133" t="b">
        <f>IF(D96="○",課題タイプ2!$D$8,課題タイプ2!$D$9)</f>
        <v>0</v>
      </c>
      <c r="L96" s="133" t="b">
        <f>IF(E96="○",課題タイプ2!$D$10,課題タイプ2!$D$11)</f>
        <v>1</v>
      </c>
      <c r="M96" s="133" t="b">
        <f>IF(F96="○",課題タイプ2!$D$12,課題タイプ2!$D$13)</f>
        <v>0</v>
      </c>
      <c r="N96" s="133" t="b">
        <f>IF(G96="○",課題タイプ2!$D$14,課題タイプ2!$D$15)</f>
        <v>1</v>
      </c>
      <c r="O96" s="133" t="b">
        <f>IF(H96="○",課題タイプ2!$D$16,課題タイプ2!$D$17)</f>
        <v>1</v>
      </c>
      <c r="P96" s="133" t="b">
        <f t="shared" si="1"/>
        <v>0</v>
      </c>
      <c r="Q96" s="133" t="s">
        <v>1268</v>
      </c>
      <c r="R96" s="133"/>
      <c r="S96" s="243" t="s">
        <v>1283</v>
      </c>
    </row>
    <row r="97" spans="1:19" s="132" customFormat="1" ht="16.899999999999999" customHeight="1">
      <c r="A97" s="133">
        <v>95</v>
      </c>
      <c r="B97" s="133" t="s">
        <v>1267</v>
      </c>
      <c r="C97" s="245" t="s">
        <v>1330</v>
      </c>
      <c r="D97" s="133" t="s">
        <v>1267</v>
      </c>
      <c r="E97" s="133" t="s">
        <v>1267</v>
      </c>
      <c r="F97" s="133" t="s">
        <v>1267</v>
      </c>
      <c r="G97" s="133" t="s">
        <v>1267</v>
      </c>
      <c r="H97" s="245" t="s">
        <v>1330</v>
      </c>
      <c r="I97" s="133" t="b">
        <f>IF(B97="○",課題タイプ2!$D$4,課題タイプ2!$D$5)</f>
        <v>0</v>
      </c>
      <c r="J97" s="133" t="b">
        <f>IF(C97="○",課題タイプ2!$D$6,課題タイプ2!$D$7)</f>
        <v>1</v>
      </c>
      <c r="K97" s="133" t="b">
        <f>IF(D97="○",課題タイプ2!$D$8,課題タイプ2!$D$9)</f>
        <v>0</v>
      </c>
      <c r="L97" s="133" t="b">
        <f>IF(E97="○",課題タイプ2!$D$10,課題タイプ2!$D$11)</f>
        <v>1</v>
      </c>
      <c r="M97" s="133" t="b">
        <f>IF(F97="○",課題タイプ2!$D$12,課題タイプ2!$D$13)</f>
        <v>0</v>
      </c>
      <c r="N97" s="133" t="b">
        <f>IF(G97="○",課題タイプ2!$D$14,課題タイプ2!$D$15)</f>
        <v>0</v>
      </c>
      <c r="O97" s="133" t="b">
        <f>IF(H97="○",課題タイプ2!$D$16,課題タイプ2!$D$17)</f>
        <v>0</v>
      </c>
      <c r="P97" s="133" t="b">
        <f t="shared" si="1"/>
        <v>0</v>
      </c>
      <c r="Q97" s="133" t="s">
        <v>1268</v>
      </c>
      <c r="R97" s="133"/>
      <c r="S97" s="243" t="s">
        <v>1283</v>
      </c>
    </row>
    <row r="98" spans="1:19" s="132" customFormat="1" ht="16.899999999999999" customHeight="1">
      <c r="A98" s="133">
        <v>96</v>
      </c>
      <c r="B98" s="133" t="s">
        <v>1267</v>
      </c>
      <c r="C98" s="245" t="s">
        <v>1330</v>
      </c>
      <c r="D98" s="133" t="s">
        <v>1267</v>
      </c>
      <c r="E98" s="133" t="s">
        <v>1267</v>
      </c>
      <c r="F98" s="133" t="s">
        <v>1267</v>
      </c>
      <c r="G98" s="133" t="s">
        <v>1267</v>
      </c>
      <c r="H98" s="133" t="s">
        <v>1267</v>
      </c>
      <c r="I98" s="133" t="b">
        <f>IF(B98="○",課題タイプ2!$D$4,課題タイプ2!$D$5)</f>
        <v>0</v>
      </c>
      <c r="J98" s="133" t="b">
        <f>IF(C98="○",課題タイプ2!$D$6,課題タイプ2!$D$7)</f>
        <v>1</v>
      </c>
      <c r="K98" s="133" t="b">
        <f>IF(D98="○",課題タイプ2!$D$8,課題タイプ2!$D$9)</f>
        <v>0</v>
      </c>
      <c r="L98" s="133" t="b">
        <f>IF(E98="○",課題タイプ2!$D$10,課題タイプ2!$D$11)</f>
        <v>1</v>
      </c>
      <c r="M98" s="133" t="b">
        <f>IF(F98="○",課題タイプ2!$D$12,課題タイプ2!$D$13)</f>
        <v>0</v>
      </c>
      <c r="N98" s="133" t="b">
        <f>IF(G98="○",課題タイプ2!$D$14,課題タイプ2!$D$15)</f>
        <v>0</v>
      </c>
      <c r="O98" s="133" t="b">
        <f>IF(H98="○",課題タイプ2!$D$16,課題タイプ2!$D$17)</f>
        <v>1</v>
      </c>
      <c r="P98" s="133" t="b">
        <f t="shared" si="1"/>
        <v>0</v>
      </c>
      <c r="Q98" s="133" t="s">
        <v>1268</v>
      </c>
      <c r="R98" s="133"/>
      <c r="S98" s="243" t="s">
        <v>1283</v>
      </c>
    </row>
    <row r="99" spans="1:19" s="132" customFormat="1" ht="16.899999999999999" customHeight="1">
      <c r="A99" s="133">
        <v>97</v>
      </c>
      <c r="B99" s="133" t="s">
        <v>1267</v>
      </c>
      <c r="C99" s="133" t="s">
        <v>1267</v>
      </c>
      <c r="D99" s="245" t="s">
        <v>1330</v>
      </c>
      <c r="E99" s="245" t="s">
        <v>1330</v>
      </c>
      <c r="F99" s="245" t="s">
        <v>1330</v>
      </c>
      <c r="G99" s="245" t="s">
        <v>1330</v>
      </c>
      <c r="H99" s="245" t="s">
        <v>1330</v>
      </c>
      <c r="I99" s="133" t="b">
        <f>IF(B99="○",課題タイプ2!$D$4,課題タイプ2!$D$5)</f>
        <v>0</v>
      </c>
      <c r="J99" s="133" t="b">
        <f>IF(C99="○",課題タイプ2!$D$6,課題タイプ2!$D$7)</f>
        <v>0</v>
      </c>
      <c r="K99" s="133" t="b">
        <f>IF(D99="○",課題タイプ2!$D$8,課題タイプ2!$D$9)</f>
        <v>1</v>
      </c>
      <c r="L99" s="133" t="b">
        <f>IF(E99="○",課題タイプ2!$D$10,課題タイプ2!$D$11)</f>
        <v>0</v>
      </c>
      <c r="M99" s="133" t="b">
        <f>IF(F99="○",課題タイプ2!$D$12,課題タイプ2!$D$13)</f>
        <v>1</v>
      </c>
      <c r="N99" s="133" t="b">
        <f>IF(G99="○",課題タイプ2!$D$14,課題タイプ2!$D$15)</f>
        <v>1</v>
      </c>
      <c r="O99" s="133" t="b">
        <f>IF(H99="○",課題タイプ2!$D$16,課題タイプ2!$D$17)</f>
        <v>0</v>
      </c>
      <c r="P99" s="133" t="b">
        <f t="shared" si="1"/>
        <v>0</v>
      </c>
      <c r="Q99" s="133" t="s">
        <v>1269</v>
      </c>
      <c r="R99" s="133" t="s">
        <v>1266</v>
      </c>
      <c r="S99" s="243" t="s">
        <v>1284</v>
      </c>
    </row>
    <row r="100" spans="1:19" s="132" customFormat="1" ht="16.899999999999999" customHeight="1">
      <c r="A100" s="133">
        <v>98</v>
      </c>
      <c r="B100" s="133" t="s">
        <v>1267</v>
      </c>
      <c r="C100" s="133" t="s">
        <v>1267</v>
      </c>
      <c r="D100" s="245" t="s">
        <v>1330</v>
      </c>
      <c r="E100" s="245" t="s">
        <v>1330</v>
      </c>
      <c r="F100" s="245" t="s">
        <v>1330</v>
      </c>
      <c r="G100" s="245" t="s">
        <v>1330</v>
      </c>
      <c r="H100" s="133" t="s">
        <v>1267</v>
      </c>
      <c r="I100" s="133" t="b">
        <f>IF(B100="○",課題タイプ2!$D$4,課題タイプ2!$D$5)</f>
        <v>0</v>
      </c>
      <c r="J100" s="133" t="b">
        <f>IF(C100="○",課題タイプ2!$D$6,課題タイプ2!$D$7)</f>
        <v>0</v>
      </c>
      <c r="K100" s="133" t="b">
        <f>IF(D100="○",課題タイプ2!$D$8,課題タイプ2!$D$9)</f>
        <v>1</v>
      </c>
      <c r="L100" s="133" t="b">
        <f>IF(E100="○",課題タイプ2!$D$10,課題タイプ2!$D$11)</f>
        <v>0</v>
      </c>
      <c r="M100" s="133" t="b">
        <f>IF(F100="○",課題タイプ2!$D$12,課題タイプ2!$D$13)</f>
        <v>1</v>
      </c>
      <c r="N100" s="133" t="b">
        <f>IF(G100="○",課題タイプ2!$D$14,課題タイプ2!$D$15)</f>
        <v>1</v>
      </c>
      <c r="O100" s="133" t="b">
        <f>IF(H100="○",課題タイプ2!$D$16,課題タイプ2!$D$17)</f>
        <v>1</v>
      </c>
      <c r="P100" s="133" t="b">
        <f t="shared" si="1"/>
        <v>0</v>
      </c>
      <c r="Q100" s="133" t="s">
        <v>1269</v>
      </c>
      <c r="R100" s="133" t="s">
        <v>1266</v>
      </c>
      <c r="S100" s="243" t="s">
        <v>1284</v>
      </c>
    </row>
    <row r="101" spans="1:19" s="132" customFormat="1" ht="16.899999999999999" customHeight="1">
      <c r="A101" s="133">
        <v>99</v>
      </c>
      <c r="B101" s="133" t="s">
        <v>1267</v>
      </c>
      <c r="C101" s="133" t="s">
        <v>1267</v>
      </c>
      <c r="D101" s="245" t="s">
        <v>1330</v>
      </c>
      <c r="E101" s="245" t="s">
        <v>1330</v>
      </c>
      <c r="F101" s="245" t="s">
        <v>1330</v>
      </c>
      <c r="G101" s="133" t="s">
        <v>1267</v>
      </c>
      <c r="H101" s="245" t="s">
        <v>1330</v>
      </c>
      <c r="I101" s="133" t="b">
        <f>IF(B101="○",課題タイプ2!$D$4,課題タイプ2!$D$5)</f>
        <v>0</v>
      </c>
      <c r="J101" s="133" t="b">
        <f>IF(C101="○",課題タイプ2!$D$6,課題タイプ2!$D$7)</f>
        <v>0</v>
      </c>
      <c r="K101" s="133" t="b">
        <f>IF(D101="○",課題タイプ2!$D$8,課題タイプ2!$D$9)</f>
        <v>1</v>
      </c>
      <c r="L101" s="133" t="b">
        <f>IF(E101="○",課題タイプ2!$D$10,課題タイプ2!$D$11)</f>
        <v>0</v>
      </c>
      <c r="M101" s="133" t="b">
        <f>IF(F101="○",課題タイプ2!$D$12,課題タイプ2!$D$13)</f>
        <v>1</v>
      </c>
      <c r="N101" s="133" t="b">
        <f>IF(G101="○",課題タイプ2!$D$14,課題タイプ2!$D$15)</f>
        <v>0</v>
      </c>
      <c r="O101" s="133" t="b">
        <f>IF(H101="○",課題タイプ2!$D$16,課題タイプ2!$D$17)</f>
        <v>0</v>
      </c>
      <c r="P101" s="133" t="b">
        <f t="shared" si="1"/>
        <v>0</v>
      </c>
      <c r="Q101" s="133" t="s">
        <v>1269</v>
      </c>
      <c r="R101" s="133" t="s">
        <v>1266</v>
      </c>
      <c r="S101" s="243" t="s">
        <v>1284</v>
      </c>
    </row>
    <row r="102" spans="1:19" s="132" customFormat="1" ht="16.899999999999999" customHeight="1">
      <c r="A102" s="133">
        <v>100</v>
      </c>
      <c r="B102" s="133" t="s">
        <v>1267</v>
      </c>
      <c r="C102" s="133" t="s">
        <v>1267</v>
      </c>
      <c r="D102" s="245" t="s">
        <v>1330</v>
      </c>
      <c r="E102" s="245" t="s">
        <v>1330</v>
      </c>
      <c r="F102" s="245" t="s">
        <v>1330</v>
      </c>
      <c r="G102" s="133" t="s">
        <v>1267</v>
      </c>
      <c r="H102" s="133" t="s">
        <v>1267</v>
      </c>
      <c r="I102" s="133" t="b">
        <f>IF(B102="○",課題タイプ2!$D$4,課題タイプ2!$D$5)</f>
        <v>0</v>
      </c>
      <c r="J102" s="133" t="b">
        <f>IF(C102="○",課題タイプ2!$D$6,課題タイプ2!$D$7)</f>
        <v>0</v>
      </c>
      <c r="K102" s="133" t="b">
        <f>IF(D102="○",課題タイプ2!$D$8,課題タイプ2!$D$9)</f>
        <v>1</v>
      </c>
      <c r="L102" s="133" t="b">
        <f>IF(E102="○",課題タイプ2!$D$10,課題タイプ2!$D$11)</f>
        <v>0</v>
      </c>
      <c r="M102" s="133" t="b">
        <f>IF(F102="○",課題タイプ2!$D$12,課題タイプ2!$D$13)</f>
        <v>1</v>
      </c>
      <c r="N102" s="133" t="b">
        <f>IF(G102="○",課題タイプ2!$D$14,課題タイプ2!$D$15)</f>
        <v>0</v>
      </c>
      <c r="O102" s="133" t="b">
        <f>IF(H102="○",課題タイプ2!$D$16,課題タイプ2!$D$17)</f>
        <v>1</v>
      </c>
      <c r="P102" s="133" t="b">
        <f t="shared" si="1"/>
        <v>0</v>
      </c>
      <c r="Q102" s="133" t="s">
        <v>1269</v>
      </c>
      <c r="R102" s="133" t="s">
        <v>1266</v>
      </c>
      <c r="S102" s="243" t="s">
        <v>1284</v>
      </c>
    </row>
    <row r="103" spans="1:19" s="132" customFormat="1" ht="16.899999999999999" customHeight="1">
      <c r="A103" s="133">
        <v>101</v>
      </c>
      <c r="B103" s="133" t="s">
        <v>1267</v>
      </c>
      <c r="C103" s="133" t="s">
        <v>1267</v>
      </c>
      <c r="D103" s="245" t="s">
        <v>1330</v>
      </c>
      <c r="E103" s="245" t="s">
        <v>1330</v>
      </c>
      <c r="F103" s="133" t="s">
        <v>1267</v>
      </c>
      <c r="G103" s="245" t="s">
        <v>1330</v>
      </c>
      <c r="H103" s="245" t="s">
        <v>1330</v>
      </c>
      <c r="I103" s="133" t="b">
        <f>IF(B103="○",課題タイプ2!$D$4,課題タイプ2!$D$5)</f>
        <v>0</v>
      </c>
      <c r="J103" s="133" t="b">
        <f>IF(C103="○",課題タイプ2!$D$6,課題タイプ2!$D$7)</f>
        <v>0</v>
      </c>
      <c r="K103" s="133" t="b">
        <f>IF(D103="○",課題タイプ2!$D$8,課題タイプ2!$D$9)</f>
        <v>1</v>
      </c>
      <c r="L103" s="133" t="b">
        <f>IF(E103="○",課題タイプ2!$D$10,課題タイプ2!$D$11)</f>
        <v>0</v>
      </c>
      <c r="M103" s="133" t="b">
        <f>IF(F103="○",課題タイプ2!$D$12,課題タイプ2!$D$13)</f>
        <v>0</v>
      </c>
      <c r="N103" s="133" t="b">
        <f>IF(G103="○",課題タイプ2!$D$14,課題タイプ2!$D$15)</f>
        <v>1</v>
      </c>
      <c r="O103" s="133" t="b">
        <f>IF(H103="○",課題タイプ2!$D$16,課題タイプ2!$D$17)</f>
        <v>0</v>
      </c>
      <c r="P103" s="133" t="b">
        <f t="shared" si="1"/>
        <v>0</v>
      </c>
      <c r="Q103" s="133" t="s">
        <v>1269</v>
      </c>
      <c r="R103" s="133" t="s">
        <v>1266</v>
      </c>
      <c r="S103" s="243" t="s">
        <v>1284</v>
      </c>
    </row>
    <row r="104" spans="1:19" s="132" customFormat="1" ht="16.899999999999999" customHeight="1">
      <c r="A104" s="133">
        <v>102</v>
      </c>
      <c r="B104" s="133" t="s">
        <v>1267</v>
      </c>
      <c r="C104" s="133" t="s">
        <v>1267</v>
      </c>
      <c r="D104" s="245" t="s">
        <v>1330</v>
      </c>
      <c r="E104" s="245" t="s">
        <v>1330</v>
      </c>
      <c r="F104" s="133" t="s">
        <v>1267</v>
      </c>
      <c r="G104" s="245" t="s">
        <v>1330</v>
      </c>
      <c r="H104" s="133" t="s">
        <v>1267</v>
      </c>
      <c r="I104" s="133" t="b">
        <f>IF(B104="○",課題タイプ2!$D$4,課題タイプ2!$D$5)</f>
        <v>0</v>
      </c>
      <c r="J104" s="133" t="b">
        <f>IF(C104="○",課題タイプ2!$D$6,課題タイプ2!$D$7)</f>
        <v>0</v>
      </c>
      <c r="K104" s="133" t="b">
        <f>IF(D104="○",課題タイプ2!$D$8,課題タイプ2!$D$9)</f>
        <v>1</v>
      </c>
      <c r="L104" s="133" t="b">
        <f>IF(E104="○",課題タイプ2!$D$10,課題タイプ2!$D$11)</f>
        <v>0</v>
      </c>
      <c r="M104" s="133" t="b">
        <f>IF(F104="○",課題タイプ2!$D$12,課題タイプ2!$D$13)</f>
        <v>0</v>
      </c>
      <c r="N104" s="133" t="b">
        <f>IF(G104="○",課題タイプ2!$D$14,課題タイプ2!$D$15)</f>
        <v>1</v>
      </c>
      <c r="O104" s="133" t="b">
        <f>IF(H104="○",課題タイプ2!$D$16,課題タイプ2!$D$17)</f>
        <v>1</v>
      </c>
      <c r="P104" s="133" t="b">
        <f t="shared" si="1"/>
        <v>0</v>
      </c>
      <c r="Q104" s="133" t="s">
        <v>1269</v>
      </c>
      <c r="R104" s="133" t="s">
        <v>1266</v>
      </c>
      <c r="S104" s="243" t="s">
        <v>1284</v>
      </c>
    </row>
    <row r="105" spans="1:19" s="132" customFormat="1" ht="16.899999999999999" customHeight="1">
      <c r="A105" s="133">
        <v>103</v>
      </c>
      <c r="B105" s="133" t="s">
        <v>1267</v>
      </c>
      <c r="C105" s="133" t="s">
        <v>1267</v>
      </c>
      <c r="D105" s="245" t="s">
        <v>1330</v>
      </c>
      <c r="E105" s="245" t="s">
        <v>1330</v>
      </c>
      <c r="F105" s="133" t="s">
        <v>1267</v>
      </c>
      <c r="G105" s="133" t="s">
        <v>1267</v>
      </c>
      <c r="H105" s="245" t="s">
        <v>1330</v>
      </c>
      <c r="I105" s="133" t="b">
        <f>IF(B105="○",課題タイプ2!$D$4,課題タイプ2!$D$5)</f>
        <v>0</v>
      </c>
      <c r="J105" s="133" t="b">
        <f>IF(C105="○",課題タイプ2!$D$6,課題タイプ2!$D$7)</f>
        <v>0</v>
      </c>
      <c r="K105" s="133" t="b">
        <f>IF(D105="○",課題タイプ2!$D$8,課題タイプ2!$D$9)</f>
        <v>1</v>
      </c>
      <c r="L105" s="133" t="b">
        <f>IF(E105="○",課題タイプ2!$D$10,課題タイプ2!$D$11)</f>
        <v>0</v>
      </c>
      <c r="M105" s="133" t="b">
        <f>IF(F105="○",課題タイプ2!$D$12,課題タイプ2!$D$13)</f>
        <v>0</v>
      </c>
      <c r="N105" s="133" t="b">
        <f>IF(G105="○",課題タイプ2!$D$14,課題タイプ2!$D$15)</f>
        <v>0</v>
      </c>
      <c r="O105" s="133" t="b">
        <f>IF(H105="○",課題タイプ2!$D$16,課題タイプ2!$D$17)</f>
        <v>0</v>
      </c>
      <c r="P105" s="133" t="b">
        <f t="shared" si="1"/>
        <v>0</v>
      </c>
      <c r="Q105" s="133" t="s">
        <v>1269</v>
      </c>
      <c r="R105" s="133" t="s">
        <v>1266</v>
      </c>
      <c r="S105" s="243" t="s">
        <v>1284</v>
      </c>
    </row>
    <row r="106" spans="1:19" s="132" customFormat="1" ht="16.899999999999999" customHeight="1">
      <c r="A106" s="133">
        <v>104</v>
      </c>
      <c r="B106" s="133" t="s">
        <v>1267</v>
      </c>
      <c r="C106" s="133" t="s">
        <v>1267</v>
      </c>
      <c r="D106" s="245" t="s">
        <v>1330</v>
      </c>
      <c r="E106" s="245" t="s">
        <v>1330</v>
      </c>
      <c r="F106" s="133" t="s">
        <v>1267</v>
      </c>
      <c r="G106" s="133" t="s">
        <v>1267</v>
      </c>
      <c r="H106" s="133" t="s">
        <v>1267</v>
      </c>
      <c r="I106" s="133" t="b">
        <f>IF(B106="○",課題タイプ2!$D$4,課題タイプ2!$D$5)</f>
        <v>0</v>
      </c>
      <c r="J106" s="133" t="b">
        <f>IF(C106="○",課題タイプ2!$D$6,課題タイプ2!$D$7)</f>
        <v>0</v>
      </c>
      <c r="K106" s="133" t="b">
        <f>IF(D106="○",課題タイプ2!$D$8,課題タイプ2!$D$9)</f>
        <v>1</v>
      </c>
      <c r="L106" s="133" t="b">
        <f>IF(E106="○",課題タイプ2!$D$10,課題タイプ2!$D$11)</f>
        <v>0</v>
      </c>
      <c r="M106" s="133" t="b">
        <f>IF(F106="○",課題タイプ2!$D$12,課題タイプ2!$D$13)</f>
        <v>0</v>
      </c>
      <c r="N106" s="133" t="b">
        <f>IF(G106="○",課題タイプ2!$D$14,課題タイプ2!$D$15)</f>
        <v>0</v>
      </c>
      <c r="O106" s="133" t="b">
        <f>IF(H106="○",課題タイプ2!$D$16,課題タイプ2!$D$17)</f>
        <v>1</v>
      </c>
      <c r="P106" s="133" t="b">
        <f t="shared" si="1"/>
        <v>0</v>
      </c>
      <c r="Q106" s="133" t="s">
        <v>1269</v>
      </c>
      <c r="R106" s="133" t="s">
        <v>1270</v>
      </c>
      <c r="S106" s="243" t="s">
        <v>1284</v>
      </c>
    </row>
    <row r="107" spans="1:19" s="132" customFormat="1" ht="16.899999999999999" customHeight="1">
      <c r="A107" s="133">
        <v>105</v>
      </c>
      <c r="B107" s="133" t="s">
        <v>1267</v>
      </c>
      <c r="C107" s="133" t="s">
        <v>1267</v>
      </c>
      <c r="D107" s="245" t="s">
        <v>1330</v>
      </c>
      <c r="E107" s="133" t="s">
        <v>1267</v>
      </c>
      <c r="F107" s="245" t="s">
        <v>1330</v>
      </c>
      <c r="G107" s="245" t="s">
        <v>1330</v>
      </c>
      <c r="H107" s="245" t="s">
        <v>1330</v>
      </c>
      <c r="I107" s="133" t="b">
        <f>IF(B107="○",課題タイプ2!$D$4,課題タイプ2!$D$5)</f>
        <v>0</v>
      </c>
      <c r="J107" s="133" t="b">
        <f>IF(C107="○",課題タイプ2!$D$6,課題タイプ2!$D$7)</f>
        <v>0</v>
      </c>
      <c r="K107" s="133" t="b">
        <f>IF(D107="○",課題タイプ2!$D$8,課題タイプ2!$D$9)</f>
        <v>1</v>
      </c>
      <c r="L107" s="133" t="b">
        <f>IF(E107="○",課題タイプ2!$D$10,課題タイプ2!$D$11)</f>
        <v>1</v>
      </c>
      <c r="M107" s="133" t="b">
        <f>IF(F107="○",課題タイプ2!$D$12,課題タイプ2!$D$13)</f>
        <v>1</v>
      </c>
      <c r="N107" s="133" t="b">
        <f>IF(G107="○",課題タイプ2!$D$14,課題タイプ2!$D$15)</f>
        <v>1</v>
      </c>
      <c r="O107" s="133" t="b">
        <f>IF(H107="○",課題タイプ2!$D$16,課題タイプ2!$D$17)</f>
        <v>0</v>
      </c>
      <c r="P107" s="133" t="b">
        <f t="shared" si="1"/>
        <v>0</v>
      </c>
      <c r="Q107" s="133" t="s">
        <v>1269</v>
      </c>
      <c r="R107" s="133"/>
      <c r="S107" s="243" t="s">
        <v>1285</v>
      </c>
    </row>
    <row r="108" spans="1:19" s="132" customFormat="1" ht="16.899999999999999" customHeight="1">
      <c r="A108" s="133">
        <v>106</v>
      </c>
      <c r="B108" s="133" t="s">
        <v>1267</v>
      </c>
      <c r="C108" s="133" t="s">
        <v>1267</v>
      </c>
      <c r="D108" s="245" t="s">
        <v>1330</v>
      </c>
      <c r="E108" s="133" t="s">
        <v>1267</v>
      </c>
      <c r="F108" s="245" t="s">
        <v>1330</v>
      </c>
      <c r="G108" s="245" t="s">
        <v>1330</v>
      </c>
      <c r="H108" s="133" t="s">
        <v>1267</v>
      </c>
      <c r="I108" s="133" t="b">
        <f>IF(B108="○",課題タイプ2!$D$4,課題タイプ2!$D$5)</f>
        <v>0</v>
      </c>
      <c r="J108" s="133" t="b">
        <f>IF(C108="○",課題タイプ2!$D$6,課題タイプ2!$D$7)</f>
        <v>0</v>
      </c>
      <c r="K108" s="133" t="b">
        <f>IF(D108="○",課題タイプ2!$D$8,課題タイプ2!$D$9)</f>
        <v>1</v>
      </c>
      <c r="L108" s="133" t="b">
        <f>IF(E108="○",課題タイプ2!$D$10,課題タイプ2!$D$11)</f>
        <v>1</v>
      </c>
      <c r="M108" s="133" t="b">
        <f>IF(F108="○",課題タイプ2!$D$12,課題タイプ2!$D$13)</f>
        <v>1</v>
      </c>
      <c r="N108" s="133" t="b">
        <f>IF(G108="○",課題タイプ2!$D$14,課題タイプ2!$D$15)</f>
        <v>1</v>
      </c>
      <c r="O108" s="133" t="b">
        <f>IF(H108="○",課題タイプ2!$D$16,課題タイプ2!$D$17)</f>
        <v>1</v>
      </c>
      <c r="P108" s="133" t="b">
        <f t="shared" si="1"/>
        <v>0</v>
      </c>
      <c r="Q108" s="133" t="s">
        <v>1269</v>
      </c>
      <c r="R108" s="133"/>
      <c r="S108" s="243" t="s">
        <v>1285</v>
      </c>
    </row>
    <row r="109" spans="1:19" s="132" customFormat="1" ht="16.899999999999999" customHeight="1">
      <c r="A109" s="133">
        <v>107</v>
      </c>
      <c r="B109" s="133" t="s">
        <v>1267</v>
      </c>
      <c r="C109" s="133" t="s">
        <v>1267</v>
      </c>
      <c r="D109" s="245" t="s">
        <v>1330</v>
      </c>
      <c r="E109" s="133" t="s">
        <v>1267</v>
      </c>
      <c r="F109" s="245" t="s">
        <v>1330</v>
      </c>
      <c r="G109" s="133" t="s">
        <v>1267</v>
      </c>
      <c r="H109" s="245" t="s">
        <v>1330</v>
      </c>
      <c r="I109" s="133" t="b">
        <f>IF(B109="○",課題タイプ2!$D$4,課題タイプ2!$D$5)</f>
        <v>0</v>
      </c>
      <c r="J109" s="133" t="b">
        <f>IF(C109="○",課題タイプ2!$D$6,課題タイプ2!$D$7)</f>
        <v>0</v>
      </c>
      <c r="K109" s="133" t="b">
        <f>IF(D109="○",課題タイプ2!$D$8,課題タイプ2!$D$9)</f>
        <v>1</v>
      </c>
      <c r="L109" s="133" t="b">
        <f>IF(E109="○",課題タイプ2!$D$10,課題タイプ2!$D$11)</f>
        <v>1</v>
      </c>
      <c r="M109" s="133" t="b">
        <f>IF(F109="○",課題タイプ2!$D$12,課題タイプ2!$D$13)</f>
        <v>1</v>
      </c>
      <c r="N109" s="133" t="b">
        <f>IF(G109="○",課題タイプ2!$D$14,課題タイプ2!$D$15)</f>
        <v>0</v>
      </c>
      <c r="O109" s="133" t="b">
        <f>IF(H109="○",課題タイプ2!$D$16,課題タイプ2!$D$17)</f>
        <v>0</v>
      </c>
      <c r="P109" s="133" t="b">
        <f t="shared" si="1"/>
        <v>0</v>
      </c>
      <c r="Q109" s="133" t="s">
        <v>1269</v>
      </c>
      <c r="R109" s="133"/>
      <c r="S109" s="243" t="s">
        <v>1285</v>
      </c>
    </row>
    <row r="110" spans="1:19" s="132" customFormat="1" ht="16.899999999999999" customHeight="1">
      <c r="A110" s="133">
        <v>108</v>
      </c>
      <c r="B110" s="133" t="s">
        <v>1267</v>
      </c>
      <c r="C110" s="133" t="s">
        <v>1267</v>
      </c>
      <c r="D110" s="245" t="s">
        <v>1330</v>
      </c>
      <c r="E110" s="133" t="s">
        <v>1267</v>
      </c>
      <c r="F110" s="245" t="s">
        <v>1330</v>
      </c>
      <c r="G110" s="133" t="s">
        <v>1267</v>
      </c>
      <c r="H110" s="133" t="s">
        <v>1267</v>
      </c>
      <c r="I110" s="133" t="b">
        <f>IF(B110="○",課題タイプ2!$D$4,課題タイプ2!$D$5)</f>
        <v>0</v>
      </c>
      <c r="J110" s="133" t="b">
        <f>IF(C110="○",課題タイプ2!$D$6,課題タイプ2!$D$7)</f>
        <v>0</v>
      </c>
      <c r="K110" s="133" t="b">
        <f>IF(D110="○",課題タイプ2!$D$8,課題タイプ2!$D$9)</f>
        <v>1</v>
      </c>
      <c r="L110" s="133" t="b">
        <f>IF(E110="○",課題タイプ2!$D$10,課題タイプ2!$D$11)</f>
        <v>1</v>
      </c>
      <c r="M110" s="133" t="b">
        <f>IF(F110="○",課題タイプ2!$D$12,課題タイプ2!$D$13)</f>
        <v>1</v>
      </c>
      <c r="N110" s="133" t="b">
        <f>IF(G110="○",課題タイプ2!$D$14,課題タイプ2!$D$15)</f>
        <v>0</v>
      </c>
      <c r="O110" s="133" t="b">
        <f>IF(H110="○",課題タイプ2!$D$16,課題タイプ2!$D$17)</f>
        <v>1</v>
      </c>
      <c r="P110" s="133" t="b">
        <f t="shared" si="1"/>
        <v>0</v>
      </c>
      <c r="Q110" s="133" t="s">
        <v>1269</v>
      </c>
      <c r="R110" s="133"/>
      <c r="S110" s="243" t="s">
        <v>1285</v>
      </c>
    </row>
    <row r="111" spans="1:19" s="132" customFormat="1" ht="16.899999999999999" customHeight="1">
      <c r="A111" s="133">
        <v>109</v>
      </c>
      <c r="B111" s="133" t="s">
        <v>1267</v>
      </c>
      <c r="C111" s="133" t="s">
        <v>1267</v>
      </c>
      <c r="D111" s="245" t="s">
        <v>1330</v>
      </c>
      <c r="E111" s="133" t="s">
        <v>1267</v>
      </c>
      <c r="F111" s="133" t="s">
        <v>1267</v>
      </c>
      <c r="G111" s="245" t="s">
        <v>1330</v>
      </c>
      <c r="H111" s="245" t="s">
        <v>1330</v>
      </c>
      <c r="I111" s="133" t="b">
        <f>IF(B111="○",課題タイプ2!$D$4,課題タイプ2!$D$5)</f>
        <v>0</v>
      </c>
      <c r="J111" s="133" t="b">
        <f>IF(C111="○",課題タイプ2!$D$6,課題タイプ2!$D$7)</f>
        <v>0</v>
      </c>
      <c r="K111" s="133" t="b">
        <f>IF(D111="○",課題タイプ2!$D$8,課題タイプ2!$D$9)</f>
        <v>1</v>
      </c>
      <c r="L111" s="133" t="b">
        <f>IF(E111="○",課題タイプ2!$D$10,課題タイプ2!$D$11)</f>
        <v>1</v>
      </c>
      <c r="M111" s="133" t="b">
        <f>IF(F111="○",課題タイプ2!$D$12,課題タイプ2!$D$13)</f>
        <v>0</v>
      </c>
      <c r="N111" s="133" t="b">
        <f>IF(G111="○",課題タイプ2!$D$14,課題タイプ2!$D$15)</f>
        <v>1</v>
      </c>
      <c r="O111" s="133" t="b">
        <f>IF(H111="○",課題タイプ2!$D$16,課題タイプ2!$D$17)</f>
        <v>0</v>
      </c>
      <c r="P111" s="133" t="b">
        <f t="shared" si="1"/>
        <v>0</v>
      </c>
      <c r="Q111" s="133" t="s">
        <v>1269</v>
      </c>
      <c r="R111" s="133"/>
      <c r="S111" s="243" t="s">
        <v>1285</v>
      </c>
    </row>
    <row r="112" spans="1:19" s="132" customFormat="1" ht="16.899999999999999" customHeight="1">
      <c r="A112" s="133">
        <v>110</v>
      </c>
      <c r="B112" s="133" t="s">
        <v>1267</v>
      </c>
      <c r="C112" s="133" t="s">
        <v>1267</v>
      </c>
      <c r="D112" s="245" t="s">
        <v>1330</v>
      </c>
      <c r="E112" s="133" t="s">
        <v>1267</v>
      </c>
      <c r="F112" s="133" t="s">
        <v>1267</v>
      </c>
      <c r="G112" s="245" t="s">
        <v>1330</v>
      </c>
      <c r="H112" s="133" t="s">
        <v>1267</v>
      </c>
      <c r="I112" s="133" t="b">
        <f>IF(B112="○",課題タイプ2!$D$4,課題タイプ2!$D$5)</f>
        <v>0</v>
      </c>
      <c r="J112" s="133" t="b">
        <f>IF(C112="○",課題タイプ2!$D$6,課題タイプ2!$D$7)</f>
        <v>0</v>
      </c>
      <c r="K112" s="133" t="b">
        <f>IF(D112="○",課題タイプ2!$D$8,課題タイプ2!$D$9)</f>
        <v>1</v>
      </c>
      <c r="L112" s="133" t="b">
        <f>IF(E112="○",課題タイプ2!$D$10,課題タイプ2!$D$11)</f>
        <v>1</v>
      </c>
      <c r="M112" s="133" t="b">
        <f>IF(F112="○",課題タイプ2!$D$12,課題タイプ2!$D$13)</f>
        <v>0</v>
      </c>
      <c r="N112" s="133" t="b">
        <f>IF(G112="○",課題タイプ2!$D$14,課題タイプ2!$D$15)</f>
        <v>1</v>
      </c>
      <c r="O112" s="133" t="b">
        <f>IF(H112="○",課題タイプ2!$D$16,課題タイプ2!$D$17)</f>
        <v>1</v>
      </c>
      <c r="P112" s="133" t="b">
        <f t="shared" si="1"/>
        <v>0</v>
      </c>
      <c r="Q112" s="133" t="s">
        <v>1269</v>
      </c>
      <c r="R112" s="133"/>
      <c r="S112" s="243" t="s">
        <v>1285</v>
      </c>
    </row>
    <row r="113" spans="1:19" s="132" customFormat="1" ht="16.899999999999999" customHeight="1">
      <c r="A113" s="133">
        <v>111</v>
      </c>
      <c r="B113" s="133" t="s">
        <v>1267</v>
      </c>
      <c r="C113" s="133" t="s">
        <v>1267</v>
      </c>
      <c r="D113" s="245" t="s">
        <v>1330</v>
      </c>
      <c r="E113" s="133" t="s">
        <v>1267</v>
      </c>
      <c r="F113" s="133" t="s">
        <v>1267</v>
      </c>
      <c r="G113" s="133" t="s">
        <v>1267</v>
      </c>
      <c r="H113" s="245" t="s">
        <v>1330</v>
      </c>
      <c r="I113" s="133" t="b">
        <f>IF(B113="○",課題タイプ2!$D$4,課題タイプ2!$D$5)</f>
        <v>0</v>
      </c>
      <c r="J113" s="133" t="b">
        <f>IF(C113="○",課題タイプ2!$D$6,課題タイプ2!$D$7)</f>
        <v>0</v>
      </c>
      <c r="K113" s="133" t="b">
        <f>IF(D113="○",課題タイプ2!$D$8,課題タイプ2!$D$9)</f>
        <v>1</v>
      </c>
      <c r="L113" s="133" t="b">
        <f>IF(E113="○",課題タイプ2!$D$10,課題タイプ2!$D$11)</f>
        <v>1</v>
      </c>
      <c r="M113" s="133" t="b">
        <f>IF(F113="○",課題タイプ2!$D$12,課題タイプ2!$D$13)</f>
        <v>0</v>
      </c>
      <c r="N113" s="133" t="b">
        <f>IF(G113="○",課題タイプ2!$D$14,課題タイプ2!$D$15)</f>
        <v>0</v>
      </c>
      <c r="O113" s="133" t="b">
        <f>IF(H113="○",課題タイプ2!$D$16,課題タイプ2!$D$17)</f>
        <v>0</v>
      </c>
      <c r="P113" s="133" t="b">
        <f t="shared" si="1"/>
        <v>0</v>
      </c>
      <c r="Q113" s="133" t="s">
        <v>1269</v>
      </c>
      <c r="R113" s="133"/>
      <c r="S113" s="243" t="s">
        <v>1285</v>
      </c>
    </row>
    <row r="114" spans="1:19" s="132" customFormat="1" ht="16.899999999999999" customHeight="1">
      <c r="A114" s="133">
        <v>112</v>
      </c>
      <c r="B114" s="133" t="s">
        <v>1267</v>
      </c>
      <c r="C114" s="133" t="s">
        <v>1267</v>
      </c>
      <c r="D114" s="245" t="s">
        <v>1330</v>
      </c>
      <c r="E114" s="133" t="s">
        <v>1267</v>
      </c>
      <c r="F114" s="133" t="s">
        <v>1267</v>
      </c>
      <c r="G114" s="133" t="s">
        <v>1267</v>
      </c>
      <c r="H114" s="133" t="s">
        <v>1267</v>
      </c>
      <c r="I114" s="133" t="b">
        <f>IF(B114="○",課題タイプ2!$D$4,課題タイプ2!$D$5)</f>
        <v>0</v>
      </c>
      <c r="J114" s="133" t="b">
        <f>IF(C114="○",課題タイプ2!$D$6,課題タイプ2!$D$7)</f>
        <v>0</v>
      </c>
      <c r="K114" s="133" t="b">
        <f>IF(D114="○",課題タイプ2!$D$8,課題タイプ2!$D$9)</f>
        <v>1</v>
      </c>
      <c r="L114" s="133" t="b">
        <f>IF(E114="○",課題タイプ2!$D$10,課題タイプ2!$D$11)</f>
        <v>1</v>
      </c>
      <c r="M114" s="133" t="b">
        <f>IF(F114="○",課題タイプ2!$D$12,課題タイプ2!$D$13)</f>
        <v>0</v>
      </c>
      <c r="N114" s="133" t="b">
        <f>IF(G114="○",課題タイプ2!$D$14,課題タイプ2!$D$15)</f>
        <v>0</v>
      </c>
      <c r="O114" s="133" t="b">
        <f>IF(H114="○",課題タイプ2!$D$16,課題タイプ2!$D$17)</f>
        <v>1</v>
      </c>
      <c r="P114" s="133" t="b">
        <f t="shared" si="1"/>
        <v>0</v>
      </c>
      <c r="Q114" s="133" t="s">
        <v>1269</v>
      </c>
      <c r="R114" s="133"/>
      <c r="S114" s="243" t="s">
        <v>1285</v>
      </c>
    </row>
    <row r="115" spans="1:19" s="132" customFormat="1" ht="16.899999999999999" customHeight="1">
      <c r="A115" s="133">
        <v>113</v>
      </c>
      <c r="B115" s="133" t="s">
        <v>1267</v>
      </c>
      <c r="C115" s="133" t="s">
        <v>1267</v>
      </c>
      <c r="D115" s="133" t="s">
        <v>1267</v>
      </c>
      <c r="E115" s="245" t="s">
        <v>1330</v>
      </c>
      <c r="F115" s="245" t="s">
        <v>1330</v>
      </c>
      <c r="G115" s="245" t="s">
        <v>1330</v>
      </c>
      <c r="H115" s="245" t="s">
        <v>1330</v>
      </c>
      <c r="I115" s="133" t="b">
        <f>IF(B115="○",課題タイプ2!$D$4,課題タイプ2!$D$5)</f>
        <v>0</v>
      </c>
      <c r="J115" s="133" t="b">
        <f>IF(C115="○",課題タイプ2!$D$6,課題タイプ2!$D$7)</f>
        <v>0</v>
      </c>
      <c r="K115" s="133" t="b">
        <f>IF(D115="○",課題タイプ2!$D$8,課題タイプ2!$D$9)</f>
        <v>0</v>
      </c>
      <c r="L115" s="133" t="b">
        <f>IF(E115="○",課題タイプ2!$D$10,課題タイプ2!$D$11)</f>
        <v>0</v>
      </c>
      <c r="M115" s="133" t="b">
        <f>IF(F115="○",課題タイプ2!$D$12,課題タイプ2!$D$13)</f>
        <v>1</v>
      </c>
      <c r="N115" s="133" t="b">
        <f>IF(G115="○",課題タイプ2!$D$14,課題タイプ2!$D$15)</f>
        <v>1</v>
      </c>
      <c r="O115" s="133" t="b">
        <f>IF(H115="○",課題タイプ2!$D$16,課題タイプ2!$D$17)</f>
        <v>0</v>
      </c>
      <c r="P115" s="133" t="b">
        <f t="shared" si="1"/>
        <v>0</v>
      </c>
      <c r="Q115" s="133" t="s">
        <v>1270</v>
      </c>
      <c r="R115" s="133"/>
      <c r="S115" s="243" t="s">
        <v>1286</v>
      </c>
    </row>
    <row r="116" spans="1:19" s="132" customFormat="1" ht="16.899999999999999" customHeight="1">
      <c r="A116" s="133">
        <v>114</v>
      </c>
      <c r="B116" s="133" t="s">
        <v>1267</v>
      </c>
      <c r="C116" s="133" t="s">
        <v>1267</v>
      </c>
      <c r="D116" s="133" t="s">
        <v>1267</v>
      </c>
      <c r="E116" s="245" t="s">
        <v>1330</v>
      </c>
      <c r="F116" s="245" t="s">
        <v>1330</v>
      </c>
      <c r="G116" s="245" t="s">
        <v>1330</v>
      </c>
      <c r="H116" s="133" t="s">
        <v>1267</v>
      </c>
      <c r="I116" s="133" t="b">
        <f>IF(B116="○",課題タイプ2!$D$4,課題タイプ2!$D$5)</f>
        <v>0</v>
      </c>
      <c r="J116" s="133" t="b">
        <f>IF(C116="○",課題タイプ2!$D$6,課題タイプ2!$D$7)</f>
        <v>0</v>
      </c>
      <c r="K116" s="133" t="b">
        <f>IF(D116="○",課題タイプ2!$D$8,課題タイプ2!$D$9)</f>
        <v>0</v>
      </c>
      <c r="L116" s="133" t="b">
        <f>IF(E116="○",課題タイプ2!$D$10,課題タイプ2!$D$11)</f>
        <v>0</v>
      </c>
      <c r="M116" s="133" t="b">
        <f>IF(F116="○",課題タイプ2!$D$12,課題タイプ2!$D$13)</f>
        <v>1</v>
      </c>
      <c r="N116" s="133" t="b">
        <f>IF(G116="○",課題タイプ2!$D$14,課題タイプ2!$D$15)</f>
        <v>1</v>
      </c>
      <c r="O116" s="133" t="b">
        <f>IF(H116="○",課題タイプ2!$D$16,課題タイプ2!$D$17)</f>
        <v>1</v>
      </c>
      <c r="P116" s="133" t="b">
        <f t="shared" si="1"/>
        <v>0</v>
      </c>
      <c r="Q116" s="133" t="s">
        <v>1270</v>
      </c>
      <c r="R116" s="133"/>
      <c r="S116" s="243" t="s">
        <v>1286</v>
      </c>
    </row>
    <row r="117" spans="1:19" s="132" customFormat="1" ht="16.899999999999999" customHeight="1">
      <c r="A117" s="133">
        <v>115</v>
      </c>
      <c r="B117" s="133" t="s">
        <v>1267</v>
      </c>
      <c r="C117" s="133" t="s">
        <v>1267</v>
      </c>
      <c r="D117" s="133" t="s">
        <v>1267</v>
      </c>
      <c r="E117" s="245" t="s">
        <v>1330</v>
      </c>
      <c r="F117" s="245" t="s">
        <v>1330</v>
      </c>
      <c r="G117" s="133" t="s">
        <v>1267</v>
      </c>
      <c r="H117" s="245" t="s">
        <v>1330</v>
      </c>
      <c r="I117" s="133" t="b">
        <f>IF(B117="○",課題タイプ2!$D$4,課題タイプ2!$D$5)</f>
        <v>0</v>
      </c>
      <c r="J117" s="133" t="b">
        <f>IF(C117="○",課題タイプ2!$D$6,課題タイプ2!$D$7)</f>
        <v>0</v>
      </c>
      <c r="K117" s="133" t="b">
        <f>IF(D117="○",課題タイプ2!$D$8,課題タイプ2!$D$9)</f>
        <v>0</v>
      </c>
      <c r="L117" s="133" t="b">
        <f>IF(E117="○",課題タイプ2!$D$10,課題タイプ2!$D$11)</f>
        <v>0</v>
      </c>
      <c r="M117" s="133" t="b">
        <f>IF(F117="○",課題タイプ2!$D$12,課題タイプ2!$D$13)</f>
        <v>1</v>
      </c>
      <c r="N117" s="133" t="b">
        <f>IF(G117="○",課題タイプ2!$D$14,課題タイプ2!$D$15)</f>
        <v>0</v>
      </c>
      <c r="O117" s="133" t="b">
        <f>IF(H117="○",課題タイプ2!$D$16,課題タイプ2!$D$17)</f>
        <v>0</v>
      </c>
      <c r="P117" s="133" t="b">
        <f t="shared" si="1"/>
        <v>0</v>
      </c>
      <c r="Q117" s="133" t="s">
        <v>1270</v>
      </c>
      <c r="R117" s="133"/>
      <c r="S117" s="243" t="s">
        <v>1286</v>
      </c>
    </row>
    <row r="118" spans="1:19" s="132" customFormat="1" ht="16.899999999999999" customHeight="1">
      <c r="A118" s="133">
        <v>116</v>
      </c>
      <c r="B118" s="133" t="s">
        <v>1267</v>
      </c>
      <c r="C118" s="133" t="s">
        <v>1267</v>
      </c>
      <c r="D118" s="133" t="s">
        <v>1267</v>
      </c>
      <c r="E118" s="245" t="s">
        <v>1330</v>
      </c>
      <c r="F118" s="245" t="s">
        <v>1330</v>
      </c>
      <c r="G118" s="133" t="s">
        <v>1267</v>
      </c>
      <c r="H118" s="133" t="s">
        <v>1267</v>
      </c>
      <c r="I118" s="133" t="b">
        <f>IF(B118="○",課題タイプ2!$D$4,課題タイプ2!$D$5)</f>
        <v>0</v>
      </c>
      <c r="J118" s="133" t="b">
        <f>IF(C118="○",課題タイプ2!$D$6,課題タイプ2!$D$7)</f>
        <v>0</v>
      </c>
      <c r="K118" s="133" t="b">
        <f>IF(D118="○",課題タイプ2!$D$8,課題タイプ2!$D$9)</f>
        <v>0</v>
      </c>
      <c r="L118" s="133" t="b">
        <f>IF(E118="○",課題タイプ2!$D$10,課題タイプ2!$D$11)</f>
        <v>0</v>
      </c>
      <c r="M118" s="133" t="b">
        <f>IF(F118="○",課題タイプ2!$D$12,課題タイプ2!$D$13)</f>
        <v>1</v>
      </c>
      <c r="N118" s="133" t="b">
        <f>IF(G118="○",課題タイプ2!$D$14,課題タイプ2!$D$15)</f>
        <v>0</v>
      </c>
      <c r="O118" s="133" t="b">
        <f>IF(H118="○",課題タイプ2!$D$16,課題タイプ2!$D$17)</f>
        <v>1</v>
      </c>
      <c r="P118" s="133" t="b">
        <f t="shared" si="1"/>
        <v>0</v>
      </c>
      <c r="Q118" s="133" t="s">
        <v>1270</v>
      </c>
      <c r="R118" s="133"/>
      <c r="S118" s="243" t="s">
        <v>1286</v>
      </c>
    </row>
    <row r="119" spans="1:19" s="132" customFormat="1" ht="16.899999999999999" customHeight="1">
      <c r="A119" s="133">
        <v>117</v>
      </c>
      <c r="B119" s="133" t="s">
        <v>1267</v>
      </c>
      <c r="C119" s="133" t="s">
        <v>1267</v>
      </c>
      <c r="D119" s="133" t="s">
        <v>1267</v>
      </c>
      <c r="E119" s="245" t="s">
        <v>1330</v>
      </c>
      <c r="F119" s="133" t="s">
        <v>1267</v>
      </c>
      <c r="G119" s="245" t="s">
        <v>1330</v>
      </c>
      <c r="H119" s="245" t="s">
        <v>1330</v>
      </c>
      <c r="I119" s="133" t="b">
        <f>IF(B119="○",課題タイプ2!$D$4,課題タイプ2!$D$5)</f>
        <v>0</v>
      </c>
      <c r="J119" s="133" t="b">
        <f>IF(C119="○",課題タイプ2!$D$6,課題タイプ2!$D$7)</f>
        <v>0</v>
      </c>
      <c r="K119" s="133" t="b">
        <f>IF(D119="○",課題タイプ2!$D$8,課題タイプ2!$D$9)</f>
        <v>0</v>
      </c>
      <c r="L119" s="133" t="b">
        <f>IF(E119="○",課題タイプ2!$D$10,課題タイプ2!$D$11)</f>
        <v>0</v>
      </c>
      <c r="M119" s="133" t="b">
        <f>IF(F119="○",課題タイプ2!$D$12,課題タイプ2!$D$13)</f>
        <v>0</v>
      </c>
      <c r="N119" s="133" t="b">
        <f>IF(G119="○",課題タイプ2!$D$14,課題タイプ2!$D$15)</f>
        <v>1</v>
      </c>
      <c r="O119" s="133" t="b">
        <f>IF(H119="○",課題タイプ2!$D$16,課題タイプ2!$D$17)</f>
        <v>0</v>
      </c>
      <c r="P119" s="133" t="b">
        <f t="shared" si="1"/>
        <v>0</v>
      </c>
      <c r="Q119" s="133" t="s">
        <v>1270</v>
      </c>
      <c r="R119" s="133"/>
      <c r="S119" s="243" t="s">
        <v>1286</v>
      </c>
    </row>
    <row r="120" spans="1:19" s="132" customFormat="1" ht="16.899999999999999" customHeight="1">
      <c r="A120" s="133">
        <v>118</v>
      </c>
      <c r="B120" s="133" t="s">
        <v>1267</v>
      </c>
      <c r="C120" s="133" t="s">
        <v>1267</v>
      </c>
      <c r="D120" s="133" t="s">
        <v>1267</v>
      </c>
      <c r="E120" s="245" t="s">
        <v>1330</v>
      </c>
      <c r="F120" s="133" t="s">
        <v>1267</v>
      </c>
      <c r="G120" s="245" t="s">
        <v>1330</v>
      </c>
      <c r="H120" s="133" t="s">
        <v>1267</v>
      </c>
      <c r="I120" s="133" t="b">
        <f>IF(B120="○",課題タイプ2!$D$4,課題タイプ2!$D$5)</f>
        <v>0</v>
      </c>
      <c r="J120" s="133" t="b">
        <f>IF(C120="○",課題タイプ2!$D$6,課題タイプ2!$D$7)</f>
        <v>0</v>
      </c>
      <c r="K120" s="133" t="b">
        <f>IF(D120="○",課題タイプ2!$D$8,課題タイプ2!$D$9)</f>
        <v>0</v>
      </c>
      <c r="L120" s="133" t="b">
        <f>IF(E120="○",課題タイプ2!$D$10,課題タイプ2!$D$11)</f>
        <v>0</v>
      </c>
      <c r="M120" s="133" t="b">
        <f>IF(F120="○",課題タイプ2!$D$12,課題タイプ2!$D$13)</f>
        <v>0</v>
      </c>
      <c r="N120" s="133" t="b">
        <f>IF(G120="○",課題タイプ2!$D$14,課題タイプ2!$D$15)</f>
        <v>1</v>
      </c>
      <c r="O120" s="133" t="b">
        <f>IF(H120="○",課題タイプ2!$D$16,課題タイプ2!$D$17)</f>
        <v>1</v>
      </c>
      <c r="P120" s="133" t="b">
        <f t="shared" si="1"/>
        <v>0</v>
      </c>
      <c r="Q120" s="133" t="s">
        <v>1270</v>
      </c>
      <c r="R120" s="133"/>
      <c r="S120" s="243" t="s">
        <v>1286</v>
      </c>
    </row>
    <row r="121" spans="1:19" s="132" customFormat="1" ht="16.899999999999999" customHeight="1">
      <c r="A121" s="133">
        <v>119</v>
      </c>
      <c r="B121" s="133" t="s">
        <v>1267</v>
      </c>
      <c r="C121" s="133" t="s">
        <v>1267</v>
      </c>
      <c r="D121" s="133" t="s">
        <v>1267</v>
      </c>
      <c r="E121" s="245" t="s">
        <v>1330</v>
      </c>
      <c r="F121" s="133" t="s">
        <v>1267</v>
      </c>
      <c r="G121" s="133" t="s">
        <v>1267</v>
      </c>
      <c r="H121" s="245" t="s">
        <v>1330</v>
      </c>
      <c r="I121" s="133" t="b">
        <f>IF(B121="○",課題タイプ2!$D$4,課題タイプ2!$D$5)</f>
        <v>0</v>
      </c>
      <c r="J121" s="133" t="b">
        <f>IF(C121="○",課題タイプ2!$D$6,課題タイプ2!$D$7)</f>
        <v>0</v>
      </c>
      <c r="K121" s="133" t="b">
        <f>IF(D121="○",課題タイプ2!$D$8,課題タイプ2!$D$9)</f>
        <v>0</v>
      </c>
      <c r="L121" s="133" t="b">
        <f>IF(E121="○",課題タイプ2!$D$10,課題タイプ2!$D$11)</f>
        <v>0</v>
      </c>
      <c r="M121" s="133" t="b">
        <f>IF(F121="○",課題タイプ2!$D$12,課題タイプ2!$D$13)</f>
        <v>0</v>
      </c>
      <c r="N121" s="133" t="b">
        <f>IF(G121="○",課題タイプ2!$D$14,課題タイプ2!$D$15)</f>
        <v>0</v>
      </c>
      <c r="O121" s="133" t="b">
        <f>IF(H121="○",課題タイプ2!$D$16,課題タイプ2!$D$17)</f>
        <v>0</v>
      </c>
      <c r="P121" s="133" t="b">
        <f t="shared" si="1"/>
        <v>0</v>
      </c>
      <c r="Q121" s="133" t="s">
        <v>1270</v>
      </c>
      <c r="R121" s="133"/>
      <c r="S121" s="243" t="s">
        <v>1286</v>
      </c>
    </row>
    <row r="122" spans="1:19" s="132" customFormat="1" ht="16.899999999999999" customHeight="1">
      <c r="A122" s="133">
        <v>120</v>
      </c>
      <c r="B122" s="133" t="s">
        <v>1267</v>
      </c>
      <c r="C122" s="133" t="s">
        <v>1267</v>
      </c>
      <c r="D122" s="133" t="s">
        <v>1267</v>
      </c>
      <c r="E122" s="245" t="s">
        <v>1330</v>
      </c>
      <c r="F122" s="133" t="s">
        <v>1267</v>
      </c>
      <c r="G122" s="133" t="s">
        <v>1267</v>
      </c>
      <c r="H122" s="133" t="s">
        <v>1267</v>
      </c>
      <c r="I122" s="133" t="b">
        <f>IF(B122="○",課題タイプ2!$D$4,課題タイプ2!$D$5)</f>
        <v>0</v>
      </c>
      <c r="J122" s="133" t="b">
        <f>IF(C122="○",課題タイプ2!$D$6,課題タイプ2!$D$7)</f>
        <v>0</v>
      </c>
      <c r="K122" s="133" t="b">
        <f>IF(D122="○",課題タイプ2!$D$8,課題タイプ2!$D$9)</f>
        <v>0</v>
      </c>
      <c r="L122" s="133" t="b">
        <f>IF(E122="○",課題タイプ2!$D$10,課題タイプ2!$D$11)</f>
        <v>0</v>
      </c>
      <c r="M122" s="133" t="b">
        <f>IF(F122="○",課題タイプ2!$D$12,課題タイプ2!$D$13)</f>
        <v>0</v>
      </c>
      <c r="N122" s="133" t="b">
        <f>IF(G122="○",課題タイプ2!$D$14,課題タイプ2!$D$15)</f>
        <v>0</v>
      </c>
      <c r="O122" s="133" t="b">
        <f>IF(H122="○",課題タイプ2!$D$16,課題タイプ2!$D$17)</f>
        <v>1</v>
      </c>
      <c r="P122" s="133" t="b">
        <f t="shared" si="1"/>
        <v>0</v>
      </c>
      <c r="Q122" s="133" t="s">
        <v>1270</v>
      </c>
      <c r="R122" s="133"/>
      <c r="S122" s="243" t="s">
        <v>1286</v>
      </c>
    </row>
    <row r="123" spans="1:19" s="132" customFormat="1" ht="16.899999999999999" customHeight="1">
      <c r="A123" s="133">
        <v>121</v>
      </c>
      <c r="B123" s="133" t="s">
        <v>1267</v>
      </c>
      <c r="C123" s="133" t="s">
        <v>1267</v>
      </c>
      <c r="D123" s="133" t="s">
        <v>1267</v>
      </c>
      <c r="E123" s="133" t="s">
        <v>1267</v>
      </c>
      <c r="F123" s="245" t="s">
        <v>1330</v>
      </c>
      <c r="G123" s="245" t="s">
        <v>1330</v>
      </c>
      <c r="H123" s="245" t="s">
        <v>1330</v>
      </c>
      <c r="I123" s="133" t="b">
        <f>IF(B123="○",課題タイプ2!$D$4,課題タイプ2!$D$5)</f>
        <v>0</v>
      </c>
      <c r="J123" s="133" t="b">
        <f>IF(C123="○",課題タイプ2!$D$6,課題タイプ2!$D$7)</f>
        <v>0</v>
      </c>
      <c r="K123" s="133" t="b">
        <f>IF(D123="○",課題タイプ2!$D$8,課題タイプ2!$D$9)</f>
        <v>0</v>
      </c>
      <c r="L123" s="133" t="b">
        <f>IF(E123="○",課題タイプ2!$D$10,課題タイプ2!$D$11)</f>
        <v>1</v>
      </c>
      <c r="M123" s="133" t="b">
        <f>IF(F123="○",課題タイプ2!$D$12,課題タイプ2!$D$13)</f>
        <v>1</v>
      </c>
      <c r="N123" s="133" t="b">
        <f>IF(G123="○",課題タイプ2!$D$14,課題タイプ2!$D$15)</f>
        <v>1</v>
      </c>
      <c r="O123" s="133" t="b">
        <f>IF(H123="○",課題タイプ2!$D$16,課題タイプ2!$D$17)</f>
        <v>0</v>
      </c>
      <c r="P123" s="133" t="b">
        <f t="shared" si="1"/>
        <v>0</v>
      </c>
      <c r="Q123" s="133" t="s">
        <v>1271</v>
      </c>
      <c r="R123" s="133" t="s">
        <v>1272</v>
      </c>
      <c r="S123" s="244" t="s">
        <v>1362</v>
      </c>
    </row>
    <row r="124" spans="1:19" s="132" customFormat="1" ht="16.899999999999999" customHeight="1">
      <c r="A124" s="133">
        <v>122</v>
      </c>
      <c r="B124" s="133" t="s">
        <v>1267</v>
      </c>
      <c r="C124" s="133" t="s">
        <v>1267</v>
      </c>
      <c r="D124" s="133" t="s">
        <v>1267</v>
      </c>
      <c r="E124" s="133" t="s">
        <v>1267</v>
      </c>
      <c r="F124" s="245" t="s">
        <v>1330</v>
      </c>
      <c r="G124" s="245" t="s">
        <v>1330</v>
      </c>
      <c r="H124" s="133" t="s">
        <v>1267</v>
      </c>
      <c r="I124" s="133" t="b">
        <f>IF(B124="○",課題タイプ2!$D$4,課題タイプ2!$D$5)</f>
        <v>0</v>
      </c>
      <c r="J124" s="133" t="b">
        <f>IF(C124="○",課題タイプ2!$D$6,課題タイプ2!$D$7)</f>
        <v>0</v>
      </c>
      <c r="K124" s="133" t="b">
        <f>IF(D124="○",課題タイプ2!$D$8,課題タイプ2!$D$9)</f>
        <v>0</v>
      </c>
      <c r="L124" s="133" t="b">
        <f>IF(E124="○",課題タイプ2!$D$10,課題タイプ2!$D$11)</f>
        <v>1</v>
      </c>
      <c r="M124" s="133" t="b">
        <f>IF(F124="○",課題タイプ2!$D$12,課題タイプ2!$D$13)</f>
        <v>1</v>
      </c>
      <c r="N124" s="133" t="b">
        <f>IF(G124="○",課題タイプ2!$D$14,課題タイプ2!$D$15)</f>
        <v>1</v>
      </c>
      <c r="O124" s="133" t="b">
        <f>IF(H124="○",課題タイプ2!$D$16,課題タイプ2!$D$17)</f>
        <v>1</v>
      </c>
      <c r="P124" s="133" t="b">
        <f t="shared" si="1"/>
        <v>0</v>
      </c>
      <c r="Q124" s="133" t="s">
        <v>1273</v>
      </c>
      <c r="R124" s="133"/>
      <c r="S124" s="244" t="s">
        <v>1361</v>
      </c>
    </row>
    <row r="125" spans="1:19" s="132" customFormat="1" ht="16.899999999999999" customHeight="1">
      <c r="A125" s="133">
        <v>123</v>
      </c>
      <c r="B125" s="133" t="s">
        <v>1267</v>
      </c>
      <c r="C125" s="133" t="s">
        <v>1267</v>
      </c>
      <c r="D125" s="133" t="s">
        <v>1267</v>
      </c>
      <c r="E125" s="133" t="s">
        <v>1267</v>
      </c>
      <c r="F125" s="245" t="s">
        <v>1330</v>
      </c>
      <c r="G125" s="133" t="s">
        <v>1267</v>
      </c>
      <c r="H125" s="245" t="s">
        <v>1330</v>
      </c>
      <c r="I125" s="133" t="b">
        <f>IF(B125="○",課題タイプ2!$D$4,課題タイプ2!$D$5)</f>
        <v>0</v>
      </c>
      <c r="J125" s="133" t="b">
        <f>IF(C125="○",課題タイプ2!$D$6,課題タイプ2!$D$7)</f>
        <v>0</v>
      </c>
      <c r="K125" s="133" t="b">
        <f>IF(D125="○",課題タイプ2!$D$8,課題タイプ2!$D$9)</f>
        <v>0</v>
      </c>
      <c r="L125" s="133" t="b">
        <f>IF(E125="○",課題タイプ2!$D$10,課題タイプ2!$D$11)</f>
        <v>1</v>
      </c>
      <c r="M125" s="133" t="b">
        <f>IF(F125="○",課題タイプ2!$D$12,課題タイプ2!$D$13)</f>
        <v>1</v>
      </c>
      <c r="N125" s="133" t="b">
        <f>IF(G125="○",課題タイプ2!$D$14,課題タイプ2!$D$15)</f>
        <v>0</v>
      </c>
      <c r="O125" s="133" t="b">
        <f>IF(H125="○",課題タイプ2!$D$16,課題タイプ2!$D$17)</f>
        <v>0</v>
      </c>
      <c r="P125" s="133" t="b">
        <f t="shared" si="1"/>
        <v>0</v>
      </c>
      <c r="Q125" s="133" t="s">
        <v>1272</v>
      </c>
      <c r="R125" s="133"/>
      <c r="S125" s="244" t="s">
        <v>1363</v>
      </c>
    </row>
    <row r="126" spans="1:19" s="132" customFormat="1" ht="16.899999999999999" customHeight="1">
      <c r="A126" s="133">
        <v>124</v>
      </c>
      <c r="B126" s="133" t="s">
        <v>1267</v>
      </c>
      <c r="C126" s="133" t="s">
        <v>1267</v>
      </c>
      <c r="D126" s="133" t="s">
        <v>1267</v>
      </c>
      <c r="E126" s="133" t="s">
        <v>1267</v>
      </c>
      <c r="F126" s="245" t="s">
        <v>1330</v>
      </c>
      <c r="G126" s="133" t="s">
        <v>1267</v>
      </c>
      <c r="H126" s="133" t="s">
        <v>1267</v>
      </c>
      <c r="I126" s="133" t="b">
        <f>IF(B126="○",課題タイプ2!$D$4,課題タイプ2!$D$5)</f>
        <v>0</v>
      </c>
      <c r="J126" s="133" t="b">
        <f>IF(C126="○",課題タイプ2!$D$6,課題タイプ2!$D$7)</f>
        <v>0</v>
      </c>
      <c r="K126" s="133" t="b">
        <f>IF(D126="○",課題タイプ2!$D$8,課題タイプ2!$D$9)</f>
        <v>0</v>
      </c>
      <c r="L126" s="133" t="b">
        <f>IF(E126="○",課題タイプ2!$D$10,課題タイプ2!$D$11)</f>
        <v>1</v>
      </c>
      <c r="M126" s="133" t="b">
        <f>IF(F126="○",課題タイプ2!$D$12,課題タイプ2!$D$13)</f>
        <v>1</v>
      </c>
      <c r="N126" s="133" t="b">
        <f>IF(G126="○",課題タイプ2!$D$14,課題タイプ2!$D$15)</f>
        <v>0</v>
      </c>
      <c r="O126" s="133" t="b">
        <f>IF(H126="○",課題タイプ2!$D$16,課題タイプ2!$D$17)</f>
        <v>1</v>
      </c>
      <c r="P126" s="133" t="b">
        <f t="shared" si="1"/>
        <v>0</v>
      </c>
      <c r="Q126" s="133" t="s">
        <v>1274</v>
      </c>
      <c r="R126" s="133"/>
      <c r="S126" s="244" t="s">
        <v>1360</v>
      </c>
    </row>
    <row r="127" spans="1:19" s="132" customFormat="1" ht="16.899999999999999" customHeight="1">
      <c r="A127" s="133">
        <v>125</v>
      </c>
      <c r="B127" s="133" t="s">
        <v>1267</v>
      </c>
      <c r="C127" s="133" t="s">
        <v>1267</v>
      </c>
      <c r="D127" s="133" t="s">
        <v>1267</v>
      </c>
      <c r="E127" s="133" t="s">
        <v>1267</v>
      </c>
      <c r="F127" s="133" t="s">
        <v>1267</v>
      </c>
      <c r="G127" s="245" t="s">
        <v>1330</v>
      </c>
      <c r="H127" s="245" t="s">
        <v>1330</v>
      </c>
      <c r="I127" s="133" t="b">
        <f>IF(B127="○",課題タイプ2!$D$4,課題タイプ2!$D$5)</f>
        <v>0</v>
      </c>
      <c r="J127" s="133" t="b">
        <f>IF(C127="○",課題タイプ2!$D$6,課題タイプ2!$D$7)</f>
        <v>0</v>
      </c>
      <c r="K127" s="133" t="b">
        <f>IF(D127="○",課題タイプ2!$D$8,課題タイプ2!$D$9)</f>
        <v>0</v>
      </c>
      <c r="L127" s="133" t="b">
        <f>IF(E127="○",課題タイプ2!$D$10,課題タイプ2!$D$11)</f>
        <v>1</v>
      </c>
      <c r="M127" s="133" t="b">
        <f>IF(F127="○",課題タイプ2!$D$12,課題タイプ2!$D$13)</f>
        <v>0</v>
      </c>
      <c r="N127" s="133" t="b">
        <f>IF(G127="○",課題タイプ2!$D$14,課題タイプ2!$D$15)</f>
        <v>1</v>
      </c>
      <c r="O127" s="133" t="b">
        <f>IF(H127="○",課題タイプ2!$D$16,課題タイプ2!$D$17)</f>
        <v>0</v>
      </c>
      <c r="P127" s="133" t="b">
        <f t="shared" si="1"/>
        <v>0</v>
      </c>
      <c r="Q127" s="133" t="s">
        <v>1275</v>
      </c>
      <c r="R127" s="133" t="s">
        <v>1272</v>
      </c>
      <c r="S127" s="244" t="s">
        <v>1362</v>
      </c>
    </row>
    <row r="128" spans="1:19" s="132" customFormat="1" ht="16.899999999999999" customHeight="1">
      <c r="A128" s="133">
        <v>126</v>
      </c>
      <c r="B128" s="133" t="s">
        <v>1267</v>
      </c>
      <c r="C128" s="133" t="s">
        <v>1267</v>
      </c>
      <c r="D128" s="133" t="s">
        <v>1267</v>
      </c>
      <c r="E128" s="133" t="s">
        <v>1267</v>
      </c>
      <c r="F128" s="133" t="s">
        <v>1267</v>
      </c>
      <c r="G128" s="245" t="s">
        <v>1330</v>
      </c>
      <c r="H128" s="133" t="s">
        <v>1267</v>
      </c>
      <c r="I128" s="133" t="b">
        <f>IF(B128="○",課題タイプ2!$D$4,課題タイプ2!$D$5)</f>
        <v>0</v>
      </c>
      <c r="J128" s="133" t="b">
        <f>IF(C128="○",課題タイプ2!$D$6,課題タイプ2!$D$7)</f>
        <v>0</v>
      </c>
      <c r="K128" s="133" t="b">
        <f>IF(D128="○",課題タイプ2!$D$8,課題タイプ2!$D$9)</f>
        <v>0</v>
      </c>
      <c r="L128" s="133" t="b">
        <f>IF(E128="○",課題タイプ2!$D$10,課題タイプ2!$D$11)</f>
        <v>1</v>
      </c>
      <c r="M128" s="133" t="b">
        <f>IF(F128="○",課題タイプ2!$D$12,課題タイプ2!$D$13)</f>
        <v>0</v>
      </c>
      <c r="N128" s="133" t="b">
        <f>IF(G128="○",課題タイプ2!$D$14,課題タイプ2!$D$15)</f>
        <v>1</v>
      </c>
      <c r="O128" s="133" t="b">
        <f>IF(H128="○",課題タイプ2!$D$16,課題タイプ2!$D$17)</f>
        <v>1</v>
      </c>
      <c r="P128" s="133" t="b">
        <f t="shared" si="1"/>
        <v>0</v>
      </c>
      <c r="Q128" s="133" t="s">
        <v>1275</v>
      </c>
      <c r="R128" s="133"/>
      <c r="S128" s="244" t="s">
        <v>1361</v>
      </c>
    </row>
    <row r="129" spans="1:19" s="132" customFormat="1" ht="16.899999999999999" customHeight="1">
      <c r="A129" s="133">
        <v>127</v>
      </c>
      <c r="B129" s="133" t="s">
        <v>1267</v>
      </c>
      <c r="C129" s="133" t="s">
        <v>1267</v>
      </c>
      <c r="D129" s="133" t="s">
        <v>1267</v>
      </c>
      <c r="E129" s="133" t="s">
        <v>1267</v>
      </c>
      <c r="F129" s="133" t="s">
        <v>1267</v>
      </c>
      <c r="G129" s="133" t="s">
        <v>1267</v>
      </c>
      <c r="H129" s="245" t="s">
        <v>1330</v>
      </c>
      <c r="I129" s="133" t="b">
        <f>IF(B129="○",課題タイプ2!$D$4,課題タイプ2!$D$5)</f>
        <v>0</v>
      </c>
      <c r="J129" s="133" t="b">
        <f>IF(C129="○",課題タイプ2!$D$6,課題タイプ2!$D$7)</f>
        <v>0</v>
      </c>
      <c r="K129" s="133" t="b">
        <f>IF(D129="○",課題タイプ2!$D$8,課題タイプ2!$D$9)</f>
        <v>0</v>
      </c>
      <c r="L129" s="133" t="b">
        <f>IF(E129="○",課題タイプ2!$D$10,課題タイプ2!$D$11)</f>
        <v>1</v>
      </c>
      <c r="M129" s="133" t="b">
        <f>IF(F129="○",課題タイプ2!$D$12,課題タイプ2!$D$13)</f>
        <v>0</v>
      </c>
      <c r="N129" s="133" t="b">
        <f>IF(G129="○",課題タイプ2!$D$14,課題タイプ2!$D$15)</f>
        <v>0</v>
      </c>
      <c r="O129" s="133" t="b">
        <f>IF(H129="○",課題タイプ2!$D$16,課題タイプ2!$D$17)</f>
        <v>0</v>
      </c>
      <c r="P129" s="133" t="b">
        <f t="shared" si="1"/>
        <v>0</v>
      </c>
      <c r="Q129" s="133" t="s">
        <v>1272</v>
      </c>
      <c r="R129" s="133"/>
      <c r="S129" s="244" t="s">
        <v>1363</v>
      </c>
    </row>
    <row r="130" spans="1:19" s="132" customFormat="1" ht="16.899999999999999" customHeight="1">
      <c r="A130" s="133">
        <v>128</v>
      </c>
      <c r="B130" s="133" t="s">
        <v>1267</v>
      </c>
      <c r="C130" s="133" t="s">
        <v>1267</v>
      </c>
      <c r="D130" s="133" t="s">
        <v>1267</v>
      </c>
      <c r="E130" s="133" t="s">
        <v>1267</v>
      </c>
      <c r="F130" s="133" t="s">
        <v>1267</v>
      </c>
      <c r="G130" s="133" t="s">
        <v>1267</v>
      </c>
      <c r="H130" s="133" t="s">
        <v>1267</v>
      </c>
      <c r="I130" s="133" t="b">
        <f>IF(B130="○",課題タイプ2!$D$4,課題タイプ2!$D$5)</f>
        <v>0</v>
      </c>
      <c r="J130" s="133" t="b">
        <f>IF(C130="○",課題タイプ2!$D$6,課題タイプ2!$D$7)</f>
        <v>0</v>
      </c>
      <c r="K130" s="133" t="b">
        <f>IF(D130="○",課題タイプ2!$D$8,課題タイプ2!$D$9)</f>
        <v>0</v>
      </c>
      <c r="L130" s="133" t="b">
        <f>IF(E130="○",課題タイプ2!$D$10,課題タイプ2!$D$11)</f>
        <v>1</v>
      </c>
      <c r="M130" s="133" t="b">
        <f>IF(F130="○",課題タイプ2!$D$12,課題タイプ2!$D$13)</f>
        <v>0</v>
      </c>
      <c r="N130" s="133" t="b">
        <f>IF(G130="○",課題タイプ2!$D$14,課題タイプ2!$D$15)</f>
        <v>0</v>
      </c>
      <c r="O130" s="133" t="b">
        <f>IF(H130="○",課題タイプ2!$D$16,課題タイプ2!$D$17)</f>
        <v>1</v>
      </c>
      <c r="P130" s="133" t="b">
        <f t="shared" si="1"/>
        <v>0</v>
      </c>
      <c r="Q130" s="133" t="s">
        <v>1276</v>
      </c>
      <c r="R130" s="133"/>
      <c r="S130" s="243" t="s">
        <v>1287</v>
      </c>
    </row>
  </sheetData>
  <sheetProtection algorithmName="SHA-512" hashValue="7Jh3YqE81NbPM6a8qHfd4IKmZ0wtAc8QzNoTbrRjrq5cCcRStM6fTMVenqkimpKNlEL25VwVQm+M9BZh6yTJNw==" saltValue="momVPlIm/HMffkK/pz1oWw==" spinCount="100000" sheet="1" objects="1" scenarios="1" selectLockedCells="1" selectUnlockedCells="1"/>
  <autoFilter ref="A2:S130" xr:uid="{1CA8AEC2-7F3C-274F-8FB4-F7E9B1F6C3E8}"/>
  <mergeCells count="4">
    <mergeCell ref="B1:E1"/>
    <mergeCell ref="F1:H1"/>
    <mergeCell ref="I1:L1"/>
    <mergeCell ref="M1:O1"/>
  </mergeCells>
  <phoneticPr fontId="3"/>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7BA47-BD50-404B-9302-B888E0A635D4}">
  <dimension ref="B1:L17"/>
  <sheetViews>
    <sheetView showGridLines="0" topLeftCell="XFD1" workbookViewId="0">
      <selection sqref="A1:XFD1048576"/>
    </sheetView>
  </sheetViews>
  <sheetFormatPr defaultColWidth="0" defaultRowHeight="14.25"/>
  <cols>
    <col min="1" max="1" width="8.77734375" style="273" hidden="1" customWidth="1"/>
    <col min="2" max="3" width="8.77734375" style="271" hidden="1" customWidth="1"/>
    <col min="4" max="11" width="8.77734375" style="272" hidden="1" customWidth="1"/>
    <col min="12" max="16384" width="8.77734375" style="273" hidden="1"/>
  </cols>
  <sheetData>
    <row r="1" spans="2:12" ht="15" thickBot="1"/>
    <row r="2" spans="2:12">
      <c r="B2" s="956"/>
      <c r="C2" s="957"/>
      <c r="D2" s="958"/>
      <c r="E2" s="950" t="s">
        <v>1326</v>
      </c>
      <c r="F2" s="951"/>
      <c r="G2" s="952"/>
      <c r="H2" s="950" t="s">
        <v>1340</v>
      </c>
      <c r="I2" s="953"/>
      <c r="J2" s="954" t="s">
        <v>1339</v>
      </c>
      <c r="K2" s="951"/>
      <c r="L2" s="955"/>
    </row>
    <row r="3" spans="2:12" ht="33.75" thickBot="1">
      <c r="B3" s="317" t="s">
        <v>1346</v>
      </c>
      <c r="C3" s="319" t="s">
        <v>1347</v>
      </c>
      <c r="D3" s="318" t="s">
        <v>1328</v>
      </c>
      <c r="E3" s="274" t="s">
        <v>1327</v>
      </c>
      <c r="F3" s="275" t="s">
        <v>1333</v>
      </c>
      <c r="G3" s="276" t="s">
        <v>1328</v>
      </c>
      <c r="H3" s="274" t="s">
        <v>1327</v>
      </c>
      <c r="I3" s="277" t="s">
        <v>1328</v>
      </c>
      <c r="J3" s="278" t="s">
        <v>1327</v>
      </c>
      <c r="K3" s="284" t="s">
        <v>1342</v>
      </c>
      <c r="L3" s="285" t="s">
        <v>1341</v>
      </c>
    </row>
    <row r="4" spans="2:12" ht="20.25" thickTop="1">
      <c r="B4" s="959" t="s">
        <v>1334</v>
      </c>
      <c r="C4" s="320" t="s">
        <v>1344</v>
      </c>
      <c r="D4" s="246" t="b">
        <f>COUNTIF(G4,TRUE)+COUNTIF(I4,TRUE)+COUNTIF(K4,TRUE)+COUNTIF(L4,TRUE)&gt;0</f>
        <v>0</v>
      </c>
      <c r="E4" s="279" t="b">
        <f>AND(ISERROR(計算!I43)=FALSE,計算!E43&gt;0)</f>
        <v>0</v>
      </c>
      <c r="F4" s="280" t="b">
        <f>AND(計算!D43=0,計算!E43=0)</f>
        <v>1</v>
      </c>
      <c r="G4" s="281" t="b">
        <f>IF(OR(E4,F4),OR(計算!$H$43&gt;=計算!$I$43,計算!$H$43&gt;=1))</f>
        <v>0</v>
      </c>
      <c r="H4" s="279" t="b">
        <f>AND(ISERROR(計算!I43),計算!E43&gt;0)</f>
        <v>0</v>
      </c>
      <c r="I4" s="282" t="b">
        <f>IF(H4,計算!H43&gt;=0.4)</f>
        <v>0</v>
      </c>
      <c r="J4" s="283" t="b">
        <f>AND(計算!E43=0,計算!D43&gt;0)</f>
        <v>0</v>
      </c>
      <c r="K4" s="286" t="b">
        <f>IF(J4,IF(AND(入力シート!$J$22=入力リスト!$K$5,入力シート!$J$24=""),TRUE,COUNTIFS('従業員情報(給与以外)'!$N:$N,"正規雇用",'従業員情報(給与以外)'!$Q:$Q,"女")/COUNTIFS('従業員情報(給与以外)'!$N:$N,"正規雇用",'従業員情報(給与以外)'!$Q:$Q,"男")&gt;=0.4))</f>
        <v>0</v>
      </c>
      <c r="L4" s="287" t="b">
        <f>IF(J4,AND(COUNTIFS('従業員情報(給与以外)'!$N:$N,"正規雇用",'従業員情報(給与以外)'!$Q:$Q,"女")&gt;0,COUNTIFS('従業員情報(給与以外)'!$N:$N,"正規雇用",'従業員情報(給与以外)'!$Q:$Q,"男")=0))</f>
        <v>0</v>
      </c>
    </row>
    <row r="5" spans="2:12" ht="21" customHeight="1" thickBot="1">
      <c r="B5" s="963"/>
      <c r="C5" s="316" t="s">
        <v>1345</v>
      </c>
      <c r="D5" s="304" t="b">
        <f>COUNTIF(G5,TRUE)+COUNTIF(I5,TRUE)+COUNTIF(K5,TRUE)+COUNTIF(L5,TRUE)&gt;0</f>
        <v>1</v>
      </c>
      <c r="E5" s="305" t="b">
        <f>E4</f>
        <v>0</v>
      </c>
      <c r="F5" s="306" t="b">
        <f>F4</f>
        <v>1</v>
      </c>
      <c r="G5" s="307" t="b">
        <f>IF(OR(E5,F5),AND(計算!H43&lt;計算!I43,計算!H43&lt;1))</f>
        <v>1</v>
      </c>
      <c r="H5" s="305" t="b">
        <f>H4</f>
        <v>0</v>
      </c>
      <c r="I5" s="308" t="b">
        <f>IF(H5,計算!H44&lt;0.4)</f>
        <v>0</v>
      </c>
      <c r="J5" s="309" t="b">
        <f>J4</f>
        <v>0</v>
      </c>
      <c r="K5" s="310" t="b">
        <f>IF(J5,IF(AND(入力シート!$J$22=入力リスト!$K$5,入力シート!$J$24=""),FALSE,COUNTIFS('従業員情報(給与以外)'!$N:$N,"正規雇用",'従業員情報(給与以外)'!$Q:$Q,"女")/COUNTIFS('従業員情報(給与以外)'!$N:$N,"正規雇用",'従業員情報(給与以外)'!$Q:$Q,"男")&lt;0.4))</f>
        <v>0</v>
      </c>
      <c r="L5" s="311" t="b">
        <f>IF(J5,AND(COUNTIFS('従業員情報(給与以外)'!$N:$N,"正規雇用",'従業員情報(給与以外)'!$Q:$Q,"女")&gt;0,COUNTIFS('従業員情報(給与以外)'!$N:$N,"正規雇用",'従業員情報(給与以外)'!$Q:$Q,"男")=0&lt;FALSE))</f>
        <v>0</v>
      </c>
    </row>
    <row r="6" spans="2:12" ht="20.25" thickTop="1">
      <c r="B6" s="959" t="s">
        <v>1335</v>
      </c>
      <c r="C6" s="320" t="s">
        <v>1344</v>
      </c>
      <c r="D6" s="321" t="b">
        <f t="shared" ref="D6:D16" si="0">COUNTIF(G6,TRUE)+COUNTIF(I6,TRUE)+COUNTIF(K6,TRUE)+COUNTIF(L6,TRUE)&gt;0</f>
        <v>0</v>
      </c>
      <c r="E6" s="295" t="b">
        <f>AND(ISERROR(計算!I44)=FALSE,計算!E44&gt;0)</f>
        <v>0</v>
      </c>
      <c r="F6" s="296" t="b">
        <f>AND(計算!D44=0,計算!E44=0)</f>
        <v>1</v>
      </c>
      <c r="G6" s="297" t="b">
        <f>IF(OR(E6,F6),OR(計算!H44&gt;=計算!I44,計算!H44&gt;=1))</f>
        <v>0</v>
      </c>
      <c r="H6" s="295" t="b">
        <f>AND(ISERROR(計算!I44),計算!E44&gt;0)</f>
        <v>0</v>
      </c>
      <c r="I6" s="298" t="b">
        <f>IF(H6,計算!H44&gt;=0.8)</f>
        <v>0</v>
      </c>
      <c r="J6" s="299" t="b">
        <f>AND(計算!E44=0,計算!D44&gt;0)</f>
        <v>0</v>
      </c>
      <c r="K6" s="300" t="b">
        <f>IF(J6,TRUE)</f>
        <v>0</v>
      </c>
      <c r="L6" s="301"/>
    </row>
    <row r="7" spans="2:12" ht="15" thickBot="1">
      <c r="B7" s="963"/>
      <c r="C7" s="313" t="s">
        <v>1345</v>
      </c>
      <c r="D7" s="304" t="b">
        <f>COUNTIF(G7,TRUE)+COUNTIF(I7,TRUE)+COUNTIF(K7,TRUE)+COUNTIF(L7,TRUE)&gt;0</f>
        <v>1</v>
      </c>
      <c r="E7" s="305" t="b">
        <f>E6</f>
        <v>0</v>
      </c>
      <c r="F7" s="306" t="b">
        <f>F6</f>
        <v>1</v>
      </c>
      <c r="G7" s="307" t="b">
        <f>IF(OR(E7,F7),AND(計算!H44&lt;計算!I44,計算!H44&lt;1))</f>
        <v>1</v>
      </c>
      <c r="H7" s="305" t="b">
        <f>H6</f>
        <v>0</v>
      </c>
      <c r="I7" s="308" t="b">
        <f>IF(H7,計算!H44&lt;0.8)</f>
        <v>0</v>
      </c>
      <c r="J7" s="309" t="b">
        <f>J6</f>
        <v>0</v>
      </c>
      <c r="K7" s="310" t="b">
        <f>IF(J7,FALSE)</f>
        <v>0</v>
      </c>
      <c r="L7" s="312"/>
    </row>
    <row r="8" spans="2:12" ht="20.25" thickTop="1">
      <c r="B8" s="959" t="s">
        <v>1336</v>
      </c>
      <c r="C8" s="320" t="s">
        <v>1344</v>
      </c>
      <c r="D8" s="321" t="b">
        <f t="shared" si="0"/>
        <v>0</v>
      </c>
      <c r="E8" s="295" t="b">
        <f>AND(ISERROR(計算!I45)=FALSE,計算!E45&gt;0)</f>
        <v>0</v>
      </c>
      <c r="F8" s="296" t="b">
        <f>AND(計算!D45=0,計算!E45=0)</f>
        <v>1</v>
      </c>
      <c r="G8" s="297" t="b">
        <f>IF(OR(E8,F8),OR(計算!H45&gt;=計算!I45,計算!H45&gt;=1))</f>
        <v>0</v>
      </c>
      <c r="H8" s="295" t="b">
        <f>AND(ISERROR(計算!I45),計算!E45&gt;0)</f>
        <v>0</v>
      </c>
      <c r="I8" s="298" t="b">
        <f>IF(H8,IF(IF(AND(入力シート!$J$22=入力リスト!$K$5,入力シート!$J$26&lt;&gt;入力リスト!$P$4),TRUE,IF(AND(入力シート!$J$22=入力リスト!$K$5,入力シート!$J$26=入力リスト!$P$4),入力シート!L54=0,IF(入力シート!$J$22=入力リスト!$K$4,COUNTIFS('従業員情報(給与以外)'!N:N,"正規雇用",'従業員情報(給与以外)'!Q:Q,"男")=0))),計算!H45&gt;=1,計算!H45&gt;=計算!H43))</f>
        <v>0</v>
      </c>
      <c r="J8" s="299" t="b">
        <f>AND(計算!E45=0,計算!D45&gt;0)</f>
        <v>0</v>
      </c>
      <c r="K8" s="300" t="b">
        <f>IF(J8,TRUE)</f>
        <v>0</v>
      </c>
      <c r="L8" s="301"/>
    </row>
    <row r="9" spans="2:12" ht="15" thickBot="1">
      <c r="B9" s="963"/>
      <c r="C9" s="313" t="s">
        <v>1345</v>
      </c>
      <c r="D9" s="304" t="b">
        <f>COUNTIF(G9,TRUE)+COUNTIF(I9,TRUE)+COUNTIF(K9,TRUE)+COUNTIF(L9,TRUE)&gt;0</f>
        <v>1</v>
      </c>
      <c r="E9" s="305" t="b">
        <f>E8</f>
        <v>0</v>
      </c>
      <c r="F9" s="306" t="b">
        <f>F8</f>
        <v>1</v>
      </c>
      <c r="G9" s="307" t="b">
        <f>IF(OR(E9,F9),AND(計算!H45&lt;計算!I45,計算!H45&lt;1))</f>
        <v>1</v>
      </c>
      <c r="H9" s="305" t="b">
        <f>H8</f>
        <v>0</v>
      </c>
      <c r="I9" s="308" t="b">
        <f>IF(H9,IF(IF(AND(入力シート!$J$22=入力リスト!$K$5,入力シート!$J$26&lt;&gt;入力リスト!$P$4),TRUE,IF(AND(入力シート!$J$22=入力リスト!$K$5,入力シート!$J$26=入力リスト!$P$4),入力シート!L54=0,IF(入力シート!$J$22=入力リスト!$K$4,COUNTIFS('従業員情報(給与以外)'!N:N,"正規雇用",'従業員情報(給与以外)'!Q:Q,"男")=0))),計算!H45&lt;1,計算!H45&lt;計算!H43))</f>
        <v>0</v>
      </c>
      <c r="J9" s="309" t="b">
        <f>J8</f>
        <v>0</v>
      </c>
      <c r="K9" s="310" t="b">
        <f>IF(J9,FALSE)</f>
        <v>0</v>
      </c>
      <c r="L9" s="312"/>
    </row>
    <row r="10" spans="2:12" ht="20.25" thickTop="1">
      <c r="B10" s="959" t="s">
        <v>1337</v>
      </c>
      <c r="C10" s="320" t="s">
        <v>1344</v>
      </c>
      <c r="D10" s="321" t="b">
        <f t="shared" si="0"/>
        <v>1</v>
      </c>
      <c r="E10" s="295" t="b">
        <f>AND(ISERROR(計算!I46)=FALSE,計算!E46&gt;0)</f>
        <v>0</v>
      </c>
      <c r="F10" s="296" t="b">
        <f>AND(計算!D46=0,計算!E46=0)</f>
        <v>1</v>
      </c>
      <c r="G10" s="297" t="b">
        <f>IF(OR(E10,F10),AND(計算!D46&lt;=計算!F46,計算!E46&lt;=計算!G46))</f>
        <v>1</v>
      </c>
      <c r="H10" s="295" t="b">
        <f>AND(ISERROR(計算!I46),計算!E46&gt;0)</f>
        <v>0</v>
      </c>
      <c r="I10" s="298" t="b">
        <f>IF(H10,IF(入力シート!$J$22=入力リスト!$K$5,(入力シート!J57*入力シート!J54+入力シート!L57*入力シート!L54)/(入力シート!J54+入力シート!L54)&lt;45,AVERAGEIFS('従業員情報(給与以外)'!$V:$V,'従業員情報(給与以外)'!$N:$N,"正規雇用")&lt;45))</f>
        <v>0</v>
      </c>
      <c r="J10" s="299" t="b">
        <f>AND(計算!E46=0,計算!D46&gt;0)</f>
        <v>0</v>
      </c>
      <c r="K10" s="300" t="b">
        <f>IF(J10,IF(入力シート!$J$22=入力リスト!$K$5,入力シート!J57&lt;45,AVERAGEIFS('従業員情報(給与以外)'!$V:$V,'従業員情報(給与以外)'!$N:$N,"正規雇用",'従業員情報(給与以外)'!$Q:$Q,"女")&lt;45))</f>
        <v>0</v>
      </c>
      <c r="L10" s="301"/>
    </row>
    <row r="11" spans="2:12" ht="15" thickBot="1">
      <c r="B11" s="963"/>
      <c r="C11" s="313" t="s">
        <v>1345</v>
      </c>
      <c r="D11" s="304" t="b">
        <f>COUNTIF(G11,TRUE)+COUNTIF(I11,TRUE)+COUNTIF(K11,TRUE)+COUNTIF(L11,TRUE)&gt;0</f>
        <v>0</v>
      </c>
      <c r="E11" s="305" t="b">
        <f>E10</f>
        <v>0</v>
      </c>
      <c r="F11" s="306" t="b">
        <f>F10</f>
        <v>1</v>
      </c>
      <c r="G11" s="307" t="b">
        <f>IF(OR(E11,F11),OR(計算!D46&gt;計算!F46,計算!E46&gt;計算!G46))</f>
        <v>0</v>
      </c>
      <c r="H11" s="305" t="b">
        <f>H10</f>
        <v>0</v>
      </c>
      <c r="I11" s="308" t="b">
        <f>IF(H11,IF(入力シート!$J$22=入力リスト!$K$5,(入力シート!N57*入力シート!N54+入力シート!P57*入力シート!P54)/(入力シート!N54+入力シート!P54)&gt;45,AVERAGEIFS('従業員情報(給与以外)'!$V:$V,'従業員情報(給与以外)'!$N:$N,"正規雇用")&gt;=45))</f>
        <v>0</v>
      </c>
      <c r="J11" s="309" t="b">
        <f>J10</f>
        <v>0</v>
      </c>
      <c r="K11" s="310" t="b">
        <f>IF(J11,IF(K10,FALSE,TRUE))</f>
        <v>0</v>
      </c>
      <c r="L11" s="312"/>
    </row>
    <row r="12" spans="2:12" ht="20.25" thickTop="1">
      <c r="B12" s="959" t="s">
        <v>1331</v>
      </c>
      <c r="C12" s="320" t="s">
        <v>1344</v>
      </c>
      <c r="D12" s="321" t="b">
        <f t="shared" si="0"/>
        <v>0</v>
      </c>
      <c r="E12" s="295" t="b">
        <f>AND(ISERROR(計算!I47)=FALSE,計算!E47&gt;0)</f>
        <v>0</v>
      </c>
      <c r="F12" s="296" t="b">
        <f>AND(計算!D47=0,計算!E47=0)</f>
        <v>1</v>
      </c>
      <c r="G12" s="297" t="b">
        <f>IF(OR(E12,F12),OR(計算!$H$47&gt;=計算!$I$47,計算!$H$47&gt;=1))</f>
        <v>0</v>
      </c>
      <c r="H12" s="295" t="b">
        <f>AND(ISERROR(計算!I47),計算!E47&gt;0)</f>
        <v>0</v>
      </c>
      <c r="I12" s="298" t="b">
        <f>IF(H12,計算!$H$47&gt;=0.4)</f>
        <v>0</v>
      </c>
      <c r="J12" s="299" t="b">
        <f>AND(計算!E47=0,計算!D47&gt;0)</f>
        <v>0</v>
      </c>
      <c r="K12" s="300" t="b">
        <f>IF(J12,COUNTIFS('従業員情報(給与以外)'!$N:$N,"正規雇用",'従業員情報(給与以外)'!$Q:$Q,"女")/COUNTIFS('従業員情報(給与以外)'!$N:$N,"正規雇用",'従業員情報(給与以外)'!$Q:$Q,"男")&gt;=0.4)</f>
        <v>0</v>
      </c>
      <c r="L12" s="340" t="b">
        <f>IF(J4,AND(COUNTIFS('従業員情報(給与以外)'!$N:$N,"正規雇用",'従業員情報(給与以外)'!$Q:$Q,"女")&gt;0,COUNTIFS('従業員情報(給与以外)'!$N:$N,"正規雇用",'従業員情報(給与以外)'!$Q:$Q,"男")=0))</f>
        <v>0</v>
      </c>
    </row>
    <row r="13" spans="2:12" ht="20.25" thickBot="1">
      <c r="B13" s="963"/>
      <c r="C13" s="313" t="s">
        <v>1345</v>
      </c>
      <c r="D13" s="304" t="b">
        <f>COUNTIF(G13,TRUE)+COUNTIF(I13,TRUE)+COUNTIF(K13,TRUE)+COUNTIF(L13,TRUE)&gt;0</f>
        <v>1</v>
      </c>
      <c r="E13" s="305" t="b">
        <f>E12</f>
        <v>0</v>
      </c>
      <c r="F13" s="306" t="b">
        <f>F12</f>
        <v>1</v>
      </c>
      <c r="G13" s="307" t="b">
        <f>IF(OR(E13,F13),AND(計算!$H$47&lt;計算!$I$47,計算!$H$47&lt;1))</f>
        <v>1</v>
      </c>
      <c r="H13" s="305" t="b">
        <f>H12</f>
        <v>0</v>
      </c>
      <c r="I13" s="308" t="b">
        <f>IF(H13,計算!$H$48&lt;0.4)</f>
        <v>0</v>
      </c>
      <c r="J13" s="309" t="b">
        <f>J12</f>
        <v>0</v>
      </c>
      <c r="K13" s="310" t="b">
        <f>IF(J13,FALSE)</f>
        <v>0</v>
      </c>
      <c r="L13" s="341" t="b">
        <f>IF(J13,AND(COUNTIFS('従業員情報(給与以外)'!$N:$N,"正規雇用",'従業員情報(給与以外)'!$Q:$Q,"女")&gt;0,COUNTIFS('従業員情報(給与以外)'!$N:$N,"正規雇用",'従業員情報(給与以外)'!$Q:$Q,"男")=0&lt;FALSE))</f>
        <v>0</v>
      </c>
    </row>
    <row r="14" spans="2:12" ht="15" thickTop="1">
      <c r="B14" s="961" t="s">
        <v>1332</v>
      </c>
      <c r="C14" s="314" t="s">
        <v>1344</v>
      </c>
      <c r="D14" s="303" t="b">
        <f t="shared" si="0"/>
        <v>0</v>
      </c>
      <c r="E14" s="295" t="b">
        <f>AND(ISERROR(計算!I48)=FALSE,計算!E48&gt;0)</f>
        <v>0</v>
      </c>
      <c r="F14" s="296" t="b">
        <f>AND(計算!D48=0,計算!E48=0)</f>
        <v>1</v>
      </c>
      <c r="G14" s="297" t="b">
        <f>IF(OR(E14,F14),OR(計算!$H$48&gt;=計算!$I$48,計算!$H$48&gt;=1))</f>
        <v>0</v>
      </c>
      <c r="H14" s="295" t="b">
        <f>AND(ISERROR(計算!I48),計算!E48&gt;0)</f>
        <v>0</v>
      </c>
      <c r="I14" s="298" t="b">
        <f>IF(H14,計算!$H$48&gt;=0.8)</f>
        <v>0</v>
      </c>
      <c r="J14" s="299" t="b">
        <f>AND(計算!E48=0,計算!D48&gt;0)</f>
        <v>0</v>
      </c>
      <c r="K14" s="300" t="b">
        <f>IF(J14,TRUE)</f>
        <v>0</v>
      </c>
      <c r="L14" s="301"/>
    </row>
    <row r="15" spans="2:12" ht="20.25" thickBot="1">
      <c r="B15" s="962"/>
      <c r="C15" s="322" t="s">
        <v>1345</v>
      </c>
      <c r="D15" s="323" t="b">
        <f>COUNTIF(G15,TRUE)+COUNTIF(I15,TRUE)+COUNTIF(K15,TRUE)+COUNTIF(L15,TRUE)&gt;0</f>
        <v>1</v>
      </c>
      <c r="E15" s="305" t="b">
        <f>E14</f>
        <v>0</v>
      </c>
      <c r="F15" s="306" t="b">
        <f>F14</f>
        <v>1</v>
      </c>
      <c r="G15" s="307" t="b">
        <f>IF(OR(E15,F15),AND(計算!$H$48&lt;計算!$I$48,計算!$H$48&lt;1))</f>
        <v>1</v>
      </c>
      <c r="H15" s="305" t="b">
        <f>H14</f>
        <v>0</v>
      </c>
      <c r="I15" s="308" t="b">
        <f>IF(H15,計算!$H$48&lt;0.8)</f>
        <v>0</v>
      </c>
      <c r="J15" s="309" t="b">
        <f>J14</f>
        <v>0</v>
      </c>
      <c r="K15" s="310" t="b">
        <f>IF(J15,FALSE)</f>
        <v>0</v>
      </c>
      <c r="L15" s="312"/>
    </row>
    <row r="16" spans="2:12" ht="20.25" thickTop="1">
      <c r="B16" s="959" t="s">
        <v>1343</v>
      </c>
      <c r="C16" s="320" t="s">
        <v>1344</v>
      </c>
      <c r="D16" s="321" t="b">
        <f t="shared" si="0"/>
        <v>1</v>
      </c>
      <c r="E16" s="295" t="b">
        <f>AND(IF(ISERROR(計算!I49)=FALSE,計算!E49&gt;0))</f>
        <v>0</v>
      </c>
      <c r="F16" s="296" t="b">
        <f>AND(計算!D49=0,計算!E49=0)</f>
        <v>1</v>
      </c>
      <c r="G16" s="297" t="b">
        <f>IF(OR(E16,F16),AND(計算!$D$49&lt;=計算!$F$49,計算!$E$49&lt;=計算!$G$49))</f>
        <v>1</v>
      </c>
      <c r="H16" s="295" t="b">
        <f>AND(ISERROR(計算!I49),計算!E49&gt;0)</f>
        <v>0</v>
      </c>
      <c r="I16" s="298" t="b">
        <f>IF(H16,IF(入力シート!$J$22=入力リスト!$K$5,(入力シート!N57*入力シート!N54+入力シート!P57*入力シート!P54)/(入力シート!N54+入力シート!P54)&lt;45,AVERAGEIFS('従業員情報(給与以外)'!$V:$V,'従業員情報(給与以外)'!$N:$N,"非正規雇用")&lt;45))</f>
        <v>0</v>
      </c>
      <c r="J16" s="299" t="b">
        <f>AND(計算!E49=0,計算!D49&gt;0)</f>
        <v>0</v>
      </c>
      <c r="K16" s="300" t="b">
        <f>IF(J16,IF(入力シート!$J$22=入力リスト!$K$5,入力シート!J60&lt;45,AVERAGEIFS('従業員情報(給与以外)'!$V:$V,'従業員情報(給与以外)'!$N:$N,"非正規雇用",'従業員情報(給与以外)'!$Q:$Q,"女")&lt;45))</f>
        <v>0</v>
      </c>
      <c r="L16" s="301"/>
    </row>
    <row r="17" spans="2:12" ht="20.25" thickBot="1">
      <c r="B17" s="960"/>
      <c r="C17" s="315" t="s">
        <v>1345</v>
      </c>
      <c r="D17" s="288" t="b">
        <f>COUNTIF(G17,TRUE)+COUNTIF(I17,TRUE)+COUNTIF(K17,TRUE)+COUNTIF(L17,TRUE)&gt;0</f>
        <v>0</v>
      </c>
      <c r="E17" s="289" t="b">
        <f>E16</f>
        <v>0</v>
      </c>
      <c r="F17" s="290" t="b">
        <f>F16</f>
        <v>1</v>
      </c>
      <c r="G17" s="291" t="b">
        <f>IF(OR(E17,F17),OR(計算!$D$49&gt;計算!$F$49,計算!$E$49&gt;計算!$G$49))</f>
        <v>0</v>
      </c>
      <c r="H17" s="289" t="b">
        <f>H16</f>
        <v>0</v>
      </c>
      <c r="I17" s="292" t="b">
        <f>IF(,IF(入力シート!$J$22=入力リスト!$K$5,(入力シート!N57*入力シート!N54+入力シート!P57*入力シート!P54)/(入力シート!N54+入力シート!P54)&gt;=45,AVERAGEIFS('従業員情報(給与以外)'!$V:$V,'従業員情報(給与以外)'!$N:$N,"非正規雇用")&gt;=45))</f>
        <v>0</v>
      </c>
      <c r="J17" s="293" t="b">
        <f>J16</f>
        <v>0</v>
      </c>
      <c r="K17" s="294" t="b">
        <f>IF(J17,IF(K16,FALSE,TRUE))</f>
        <v>0</v>
      </c>
      <c r="L17" s="302"/>
    </row>
  </sheetData>
  <sheetProtection algorithmName="SHA-512" hashValue="d/7gx9hnumXSl4BaTgBUw/DjD33AB8SZ9GTn/dZQX1/SN/7SwD4vP6CO3jlkPwDcZmgIUq/HOk52cPrIlGqNdw==" saltValue="xywLG24E5jGVY8+Q1MP8tA==" spinCount="100000" sheet="1" objects="1" scenarios="1" selectLockedCells="1" selectUnlockedCells="1"/>
  <mergeCells count="11">
    <mergeCell ref="E2:G2"/>
    <mergeCell ref="H2:I2"/>
    <mergeCell ref="J2:L2"/>
    <mergeCell ref="B2:D2"/>
    <mergeCell ref="B16:B17"/>
    <mergeCell ref="B14:B15"/>
    <mergeCell ref="B12:B13"/>
    <mergeCell ref="B10:B11"/>
    <mergeCell ref="B8:B9"/>
    <mergeCell ref="B6:B7"/>
    <mergeCell ref="B4:B5"/>
  </mergeCells>
  <phoneticPr fontId="3"/>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C526F-90AC-CA41-B5D8-F0E80889532B}">
  <dimension ref="A1:U164"/>
  <sheetViews>
    <sheetView showGridLines="0" zoomScale="79" zoomScaleNormal="59" workbookViewId="0">
      <selection activeCell="I11" sqref="I11"/>
    </sheetView>
  </sheetViews>
  <sheetFormatPr defaultColWidth="11.77734375" defaultRowHeight="15.75"/>
  <cols>
    <col min="1" max="1" width="3.5546875" style="393" customWidth="1"/>
    <col min="2" max="2" width="11.77734375" style="393"/>
    <col min="3" max="3" width="7.6640625" style="393" customWidth="1"/>
    <col min="4" max="4" width="7.6640625" style="395" customWidth="1"/>
    <col min="5" max="6" width="7.6640625" style="393" customWidth="1"/>
    <col min="7" max="8" width="7.6640625" style="395" customWidth="1"/>
    <col min="9" max="9" width="7.6640625" style="396" customWidth="1"/>
    <col min="10" max="10" width="8.21875" style="395" customWidth="1"/>
    <col min="11" max="16" width="7.6640625" style="397" customWidth="1"/>
    <col min="17" max="16384" width="11.77734375" style="395"/>
  </cols>
  <sheetData>
    <row r="1" spans="1:16" ht="7.15" customHeight="1">
      <c r="B1" s="394"/>
    </row>
    <row r="2" spans="1:16">
      <c r="B2" s="398" t="s">
        <v>4666</v>
      </c>
      <c r="C2" s="399" t="s">
        <v>475</v>
      </c>
      <c r="E2" s="395"/>
    </row>
    <row r="3" spans="1:16">
      <c r="B3" s="400" t="str">
        <f>IF(入力シート!$C$5=入力リスト!$N$5,"",IF(OR(COUNTIF(入力シート!$T$16:$T$24,'エラー_入シ(3)'!$M$18)+COUNTIF(入力シート!$T$24,'エラー_入シ(3)'!M21)+COUNTIF(入力シート!$T$16:$BG$23,'エラー_入シ(3)'!$N$7)&lt;&gt;5,AND('従業員情報(給与以外)'!$F$1&lt;&gt;エラー_従業員!$T$13,'従業員情報(給与以外)'!$F$1&lt;&gt;エラー_従業員!$T$5,'従業員情報(給与以外)'!$F$1&lt;&gt;エラー_従業員!$T$6),AND(従業員の給与情報!$G$1&lt;&gt;エラー_給与!$O$5,従業員の給与情報!$G$1&lt;&gt;エラー_給与!$O$6,従業員の給与情報!$G$1&lt;&gt;エラー_給与!$O$12)),"データ未",""))</f>
        <v>データ未</v>
      </c>
      <c r="C3" s="401" t="str">
        <f>IF(OR(入力シート!$J$9="",入力シート!$J$9=入力リスト!B4),"",VLOOKUP(入力シート!$J$9,入力リスト!$B$4:$C$20,2,0))&amp;"-"&amp;IF(OR(入力シート!$J$10="",入力シート!$J$9&lt;&gt;入力リスト!$B$7),"",VLOOKUP(入力シート!$J$10,入力リスト!$D$4:$F$27,3,0))&amp;"-"&amp;IF(入力シート!$J$11=入力リスト!A4,"",入力シート!$J$11)</f>
        <v>--</v>
      </c>
      <c r="E3" s="402"/>
      <c r="F3" s="402"/>
      <c r="G3" s="402"/>
      <c r="H3" s="402"/>
      <c r="I3" s="403"/>
      <c r="J3" s="402"/>
      <c r="K3" s="404"/>
      <c r="L3" s="404"/>
      <c r="M3" s="404"/>
      <c r="N3" s="404"/>
      <c r="O3" s="404"/>
      <c r="P3" s="404"/>
    </row>
    <row r="4" spans="1:16" ht="9.6" customHeight="1" thickBot="1">
      <c r="B4" s="405"/>
      <c r="C4" s="405"/>
      <c r="D4" s="406"/>
      <c r="E4" s="407"/>
      <c r="F4" s="407"/>
      <c r="G4" s="407"/>
      <c r="H4" s="407"/>
      <c r="I4" s="408"/>
      <c r="J4" s="407"/>
      <c r="K4" s="406"/>
      <c r="L4" s="406"/>
      <c r="M4" s="406"/>
      <c r="N4" s="406"/>
      <c r="O4" s="406"/>
      <c r="P4" s="406"/>
    </row>
    <row r="5" spans="1:16" ht="6.6" customHeight="1" thickTop="1">
      <c r="B5" s="394"/>
      <c r="C5" s="394"/>
      <c r="D5" s="404"/>
      <c r="E5" s="402"/>
      <c r="F5" s="402"/>
      <c r="G5" s="402"/>
      <c r="H5" s="402"/>
      <c r="I5" s="403"/>
      <c r="J5" s="402"/>
      <c r="K5" s="404"/>
      <c r="L5" s="404"/>
      <c r="M5" s="404"/>
      <c r="N5" s="404"/>
      <c r="O5" s="404"/>
      <c r="P5" s="404"/>
    </row>
    <row r="6" spans="1:16" s="409" customFormat="1">
      <c r="A6" s="397"/>
      <c r="B6" s="399" t="s">
        <v>86</v>
      </c>
      <c r="C6" s="397"/>
      <c r="D6" s="395"/>
      <c r="E6" s="395"/>
      <c r="F6" s="397"/>
      <c r="G6" s="397"/>
      <c r="J6" s="410" t="s">
        <v>5110</v>
      </c>
      <c r="K6" s="397"/>
      <c r="L6" s="397"/>
      <c r="M6" s="397"/>
      <c r="N6" s="397"/>
      <c r="O6" s="397"/>
      <c r="P6" s="397"/>
    </row>
    <row r="7" spans="1:16">
      <c r="D7" s="399" t="s">
        <v>131</v>
      </c>
      <c r="E7" s="399"/>
      <c r="F7" s="411" t="s">
        <v>27</v>
      </c>
      <c r="G7" s="399"/>
      <c r="H7" s="412"/>
      <c r="I7" s="410"/>
      <c r="K7" s="413" t="s">
        <v>5109</v>
      </c>
      <c r="L7" s="414"/>
      <c r="M7" s="415"/>
      <c r="N7" s="413" t="s">
        <v>5103</v>
      </c>
      <c r="O7" s="414"/>
      <c r="P7" s="415"/>
    </row>
    <row r="8" spans="1:16">
      <c r="B8" s="399" t="s">
        <v>3</v>
      </c>
      <c r="D8" s="399" t="s">
        <v>25</v>
      </c>
      <c r="E8" s="399" t="s">
        <v>24</v>
      </c>
      <c r="F8" s="399" t="s">
        <v>25</v>
      </c>
      <c r="G8" s="399" t="s">
        <v>24</v>
      </c>
      <c r="H8" s="416" t="s">
        <v>174</v>
      </c>
      <c r="I8" s="416" t="s">
        <v>175</v>
      </c>
      <c r="J8" s="396"/>
      <c r="K8" s="417" t="s">
        <v>5107</v>
      </c>
      <c r="L8" s="398" t="s">
        <v>5108</v>
      </c>
      <c r="M8" s="418" t="s">
        <v>5104</v>
      </c>
      <c r="N8" s="417" t="s">
        <v>5102</v>
      </c>
      <c r="O8" s="398" t="s">
        <v>5105</v>
      </c>
      <c r="P8" s="418" t="s">
        <v>5106</v>
      </c>
    </row>
    <row r="9" spans="1:16">
      <c r="B9" s="419" t="str">
        <f>入力シート!C33</f>
        <v>全労働者</v>
      </c>
      <c r="D9" s="420">
        <f>IF(COUNTIF('従業員情報(給与以外)'!$Q:$Q,"女")=0,0,(AVERAGEIF('従業員情報(給与以外)'!$Q:$Q,"女",'従業員情報(給与以外)'!$S:$S)+AVERAGEIF('従業員情報(給与以外)'!$Q:$Q,"女",'従業員情報(給与以外)'!$T:$T)+AVERAGEIF('従業員情報(給与以外)'!$Q:$Q,"女",'従業員情報(給与以外)'!$U:$U)))</f>
        <v>0</v>
      </c>
      <c r="E9" s="420">
        <f>IF(COUNTIF('従業員情報(給与以外)'!$Q:$Q,"男")=0,0,(AVERAGEIF('従業員情報(給与以外)'!$Q:$Q,"男",'従業員情報(給与以外)'!$S:$S)+AVERAGEIF('従業員情報(給与以外)'!$Q:$Q,"男",'従業員情報(給与以外)'!$T:$T)+AVERAGEIF('従業員情報(給与以外)'!$Q:$Q,"男",'従業員情報(給与以外)'!$U:$U)))</f>
        <v>0</v>
      </c>
      <c r="F9" s="393">
        <f>VLOOKUP($C$3&amp;"-",賃構DB!$A:$I,5,0)</f>
        <v>232021</v>
      </c>
      <c r="G9" s="393">
        <f>VLOOKUP($C$3&amp;"-",賃構DB!$A:$I,4,0)</f>
        <v>415476</v>
      </c>
      <c r="H9" s="421">
        <f>IF(入力シート!$J$16=入力リスト!$K$5,入力シート!J33,IF(ISERROR(D9/E9),0,D9/E9))</f>
        <v>0</v>
      </c>
      <c r="I9" s="421">
        <f t="shared" ref="I9:I11" si="0">IF(ISERROR(F9/G9),"-",F9/G9)</f>
        <v>0.55844621590657462</v>
      </c>
      <c r="J9" s="396"/>
      <c r="K9" s="422" t="str">
        <f>IF(入力シート!$C$5=入力リスト!$N$5,"",IF(入力シート!$J$16=入力リスト!$K$5,"",IF(D9=0,"「"&amp;B9&amp;"」","")))</f>
        <v>「全労働者」</v>
      </c>
      <c r="L9" s="423" t="str">
        <f>IF(入力シート!$C$5=入力リスト!$N$5,"",IF(入力シート!$J$16=入力リスト!$K$5,"",IF(E9=0,"「"&amp;B9&amp;"」","")))</f>
        <v>「全労働者」</v>
      </c>
      <c r="M9" s="424" t="str">
        <f>IF(入力シート!$C$5=入力リスト!$N$5,"",IF(入力シート!$J$16=入力リスト!$K$5,IF(H9=0,"「"&amp;B9&amp;"」",""),""))</f>
        <v/>
      </c>
      <c r="N9" s="422" t="str">
        <f>IF(ISERROR(G9),"",IF(G9=0,"",IF(F9=0,"「"&amp;B9&amp;"」","")))</f>
        <v/>
      </c>
      <c r="O9" s="423" t="str">
        <f>IF(ISERROR(H9),"",IF(ISERROR(H9),"",IF(G9=0,"「"&amp;B9&amp;"」","")))</f>
        <v/>
      </c>
      <c r="P9" s="424" t="str">
        <f>IF(G9=0,"",IF(I9="-","「"&amp;B9&amp;"」",""))</f>
        <v/>
      </c>
    </row>
    <row r="10" spans="1:16">
      <c r="B10" s="419" t="str">
        <f>入力シート!C34</f>
        <v>正規雇用労働者</v>
      </c>
      <c r="D10" s="420">
        <f>IF(COUNTIFS('従業員情報(給与以外)'!$Q:$Q,"女",'従業員情報(給与以外)'!$N:$N,"正規雇用")=0,0,AVERAGEIFS('従業員情報(給与以外)'!$S:$S,'従業員情報(給与以外)'!$Q:$Q,"女",'従業員情報(給与以外)'!$N:$N,"正規雇用")+AVERAGEIFS('従業員情報(給与以外)'!$T:$T,'従業員情報(給与以外)'!$Q:$Q,"女",'従業員情報(給与以外)'!$N:$N,"正規雇用")+AVERAGEIFS('従業員情報(給与以外)'!$U:$U,'従業員情報(給与以外)'!$Q:$Q,"女",'従業員情報(給与以外)'!$N:$N,"正規雇用"))</f>
        <v>0</v>
      </c>
      <c r="E10" s="420">
        <f>IF(COUNTIFS('従業員情報(給与以外)'!$Q:$Q,"男",'従業員情報(給与以外)'!$N:$N,"正規雇用")=0,0,AVERAGEIFS('従業員情報(給与以外)'!$S:$S,'従業員情報(給与以外)'!$Q:$Q,"男",'従業員情報(給与以外)'!$N:$N,"正規雇用")+AVERAGEIFS('従業員情報(給与以外)'!$T:$T,'従業員情報(給与以外)'!$Q:$Q,"男",'従業員情報(給与以外)'!$N:$N,"正規雇用")+AVERAGEIFS('従業員情報(給与以外)'!$U:$U,'従業員情報(給与以外)'!$Q:$Q,"男",'従業員情報(給与以外)'!$N:$N,"正規雇用"))</f>
        <v>0</v>
      </c>
      <c r="F10" s="393">
        <f>VLOOKUP($C$3&amp;"-正規雇用",賃構DB!$A:$I,5,0)</f>
        <v>365007</v>
      </c>
      <c r="G10" s="393">
        <f>VLOOKUP($C$3&amp;"-正規雇用",賃構DB!$A:$I,4,0)</f>
        <v>499284</v>
      </c>
      <c r="H10" s="421">
        <f>IF(入力シート!$J$16=入力リスト!$K$5,入力シート!J34,IF(ISERROR(D10/E10),0,D10/E10))</f>
        <v>0</v>
      </c>
      <c r="I10" s="421">
        <f t="shared" si="0"/>
        <v>0.73106087917898432</v>
      </c>
      <c r="J10" s="396"/>
      <c r="K10" s="422" t="str">
        <f>IF(入力シート!$C$5=入力リスト!$N$5,"",IF(入力シート!$J$16=入力リスト!$K$5,"",IF(D10=0,"「"&amp;B10&amp;"」","")))</f>
        <v>「正規雇用労働者」</v>
      </c>
      <c r="L10" s="423" t="str">
        <f>IF(入力シート!$C$5=入力リスト!$N$5,"",IF(入力シート!$J$16=入力リスト!$K$5,"",IF(E10=0,"「"&amp;B10&amp;"」","")))</f>
        <v>「正規雇用労働者」</v>
      </c>
      <c r="M10" s="424" t="str">
        <f>IF(入力シート!$C$5=入力リスト!$N$5,"",IF(入力シート!$J$16=入力リスト!$K$5,IF(H10=0,"「"&amp;B10&amp;"」",""),""))</f>
        <v/>
      </c>
      <c r="N10" s="422" t="str">
        <f>IF(ISERROR(G10),"",IF(G10=0,"",IF(F10=0,"「"&amp;B10&amp;"」","")))</f>
        <v/>
      </c>
      <c r="O10" s="423" t="str">
        <f>IF(ISERROR(H10),"",IF(ISERROR(H10),"",IF(G10=0,"「"&amp;B10&amp;"」","")))</f>
        <v/>
      </c>
      <c r="P10" s="424" t="str">
        <f>IF(G10=0,"",IF(I10="-","「"&amp;B10&amp;"」",""))</f>
        <v/>
      </c>
    </row>
    <row r="11" spans="1:16" ht="16.5" thickBot="1">
      <c r="B11" s="419" t="str">
        <f>入力シート!C35</f>
        <v>非正規雇用労働者</v>
      </c>
      <c r="D11" s="420">
        <f>IF(COUNTIFS('従業員情報(給与以外)'!$Q:$Q,"女",'従業員情報(給与以外)'!$N:$N,"非正規雇用")=0,0,AVERAGEIFS('従業員情報(給与以外)'!$S:$S,'従業員情報(給与以外)'!$Q:$Q,"女",'従業員情報(給与以外)'!$N:$N,"非正規雇用")+AVERAGEIFS('従業員情報(給与以外)'!$T:$T,'従業員情報(給与以外)'!$Q:$Q,"女",'従業員情報(給与以外)'!$N:$N,"非正規雇用")+AVERAGEIFS('従業員情報(給与以外)'!$U:$U,'従業員情報(給与以外)'!$Q:$Q,"女",'従業員情報(給与以外)'!$N:$N,"非正規雇用"))</f>
        <v>0</v>
      </c>
      <c r="E11" s="420">
        <f>IF(COUNTIFS('従業員情報(給与以外)'!$Q:$Q,"男",'従業員情報(給与以外)'!$N:$N,"非正規雇用")=0,0,AVERAGEIFS('従業員情報(給与以外)'!$S:$S,'従業員情報(給与以外)'!$Q:$Q,"男",'従業員情報(給与以外)'!$N:$N,"非正規雇用")+AVERAGEIFS('従業員情報(給与以外)'!$T:$T,'従業員情報(給与以外)'!$Q:$Q,"男",'従業員情報(給与以外)'!$N:$N,"非正規雇用")+AVERAGEIFS('従業員情報(給与以外)'!$U:$U,'従業員情報(給与以外)'!$Q:$Q,"男",'従業員情報(給与以外)'!$N:$N,"非正規雇用"))</f>
        <v>0</v>
      </c>
      <c r="F11" s="393">
        <f>VLOOKUP($C$3&amp;"-非正規雇用",賃構DB!$A:$I,5,0)</f>
        <v>135273</v>
      </c>
      <c r="G11" s="393">
        <f>VLOOKUP($C$3&amp;"-非正規雇用",賃構DB!$A:$I,4,0)</f>
        <v>195707</v>
      </c>
      <c r="H11" s="421">
        <f>IF(入力シート!$J$16=入力リスト!$K$5,入力シート!J35,IF(ISERROR(D11/E11),0,D11/E11))</f>
        <v>0</v>
      </c>
      <c r="I11" s="421">
        <f t="shared" si="0"/>
        <v>0.69120164327285172</v>
      </c>
      <c r="J11" s="396"/>
      <c r="K11" s="425" t="str">
        <f>IF(入力シート!$C$5=入力リスト!$N$5,"",IF(入力シート!$J$16=入力リスト!$K$5,"",IF(D11=0,"「"&amp;B11&amp;"」","")))</f>
        <v>「非正規雇用労働者」</v>
      </c>
      <c r="L11" s="426" t="str">
        <f>IF(入力シート!$C$5=入力リスト!$N$5,"",IF(入力シート!$J$16=入力リスト!$K$5,"",IF(E11=0,"「"&amp;B11&amp;"」","")))</f>
        <v>「非正規雇用労働者」</v>
      </c>
      <c r="M11" s="427" t="str">
        <f>IF(入力シート!$C$5=入力リスト!$N$5,"",IF(入力シート!$J$16=入力リスト!$K$5,IF(H11=0,"「"&amp;B11&amp;"」",""),""))</f>
        <v/>
      </c>
      <c r="N11" s="425" t="str">
        <f>IF(ISERROR(G11),"",IF(G11=0,"",IF(F11=0,"「"&amp;B11&amp;"」","")))</f>
        <v/>
      </c>
      <c r="O11" s="426" t="str">
        <f>IF(ISERROR(H11),"",IF(ISERROR(H11),"",IF(G11=0,"「"&amp;B11&amp;"」","")))</f>
        <v/>
      </c>
      <c r="P11" s="427" t="str">
        <f>IF(G11=0,"",IF(I11="-","「"&amp;B11&amp;"」",""))</f>
        <v/>
      </c>
    </row>
    <row r="12" spans="1:16" ht="16.5" thickTop="1">
      <c r="E12" s="395"/>
      <c r="G12" s="419"/>
      <c r="I12" s="395"/>
      <c r="J12" s="396"/>
      <c r="K12" s="428" t="str">
        <f t="shared" ref="K12:P12" si="1">K9&amp;K10&amp;K11</f>
        <v>「全労働者」「正規雇用労働者」「非正規雇用労働者」</v>
      </c>
      <c r="L12" s="429" t="str">
        <f t="shared" si="1"/>
        <v>「全労働者」「正規雇用労働者」「非正規雇用労働者」</v>
      </c>
      <c r="M12" s="430" t="str">
        <f t="shared" si="1"/>
        <v/>
      </c>
      <c r="N12" s="428" t="str">
        <f t="shared" si="1"/>
        <v/>
      </c>
      <c r="O12" s="429" t="str">
        <f t="shared" si="1"/>
        <v/>
      </c>
      <c r="P12" s="430" t="str">
        <f t="shared" si="1"/>
        <v/>
      </c>
    </row>
    <row r="13" spans="1:16">
      <c r="B13" s="394"/>
      <c r="C13" s="394"/>
      <c r="D13" s="402"/>
      <c r="E13" s="402"/>
      <c r="F13" s="394"/>
      <c r="G13" s="431"/>
      <c r="H13" s="402"/>
      <c r="I13" s="402"/>
      <c r="J13" s="432" t="str">
        <f>IF(OR(N13&lt;&gt;"",O13&lt;&gt;"",P13&lt;&gt;"",M13&lt;&gt;"",K13&lt;&gt;"",L13&lt;&gt;""),"「雇用形態別」では、下記理由のために値とグラフの一部が表示できていません。","")</f>
        <v>「雇用形態別」では、下記理由のために値とグラフの一部が表示できていません。</v>
      </c>
      <c r="K13" s="422" t="str">
        <f>IF(K12="","",CHAR(10)&amp;"・貴社の女性"&amp;K12&amp;"の雇用形態別データが0(ゼロ)のため。：「0.0%」")</f>
        <v xml:space="preserve">
・貴社の女性「全労働者」「正規雇用労働者」「非正規雇用労働者」の雇用形態別データが0(ゼロ)のため。：「0.0%」</v>
      </c>
      <c r="L13" s="423" t="str">
        <f>IF(L12="","",CHAR(10)&amp;"・貴社の男性"&amp;L12&amp;"雇用形態別データが0(ゼロ)もしくは空白のため：「計算不能」。")</f>
        <v xml:space="preserve">
・貴社の男性「全労働者」「正規雇用労働者」「非正規雇用労働者」雇用形態別データが0(ゼロ)もしくは空白のため：「計算不能」。</v>
      </c>
      <c r="M13" s="424" t="str">
        <f>IF(M12="","",CHAR(10)&amp;"・貴社"&amp;M12&amp;"の入力値が0(ゼロ)もしくは空白のため。")</f>
        <v/>
      </c>
      <c r="N13" s="422" t="str">
        <f>IF(N12="","",CHAR(10)&amp;"・"&amp;N12&amp;"の参考値(女)データが0(ゼロ)のため。：「0.0%」")</f>
        <v/>
      </c>
      <c r="O13" s="423" t="str">
        <f>IF(O12="","",CHAR(10)&amp;"・"&amp;O12&amp;"の参考値(男)データが0(ゼロ)のため。：「計算不能」")</f>
        <v/>
      </c>
      <c r="P13" s="424" t="str">
        <f>IF(P12="","",CHAR(10)&amp;"・参考値の"&amp;P12&amp;"の役職別データがないため。:「-」")</f>
        <v/>
      </c>
    </row>
    <row r="14" spans="1:16" ht="6.6" customHeight="1" thickBot="1">
      <c r="B14" s="433"/>
      <c r="C14" s="433"/>
      <c r="D14" s="434"/>
      <c r="E14" s="434"/>
      <c r="F14" s="433"/>
      <c r="G14" s="435"/>
      <c r="H14" s="434"/>
      <c r="I14" s="434"/>
      <c r="J14" s="436"/>
      <c r="K14" s="437"/>
      <c r="L14" s="437"/>
      <c r="M14" s="437"/>
      <c r="N14" s="437"/>
      <c r="O14" s="437"/>
      <c r="P14" s="437"/>
    </row>
    <row r="15" spans="1:16">
      <c r="B15" s="394"/>
      <c r="C15" s="394"/>
      <c r="D15" s="402"/>
      <c r="E15" s="402"/>
      <c r="F15" s="394"/>
      <c r="G15" s="431"/>
      <c r="H15" s="402"/>
      <c r="I15" s="402"/>
      <c r="J15" s="438" t="s">
        <v>5111</v>
      </c>
      <c r="K15" s="404"/>
      <c r="L15" s="404"/>
      <c r="M15" s="404"/>
      <c r="N15" s="404"/>
      <c r="O15" s="404"/>
      <c r="P15" s="404"/>
    </row>
    <row r="16" spans="1:16">
      <c r="B16" s="399" t="s">
        <v>5</v>
      </c>
      <c r="D16" s="393" t="s">
        <v>131</v>
      </c>
      <c r="F16" s="419" t="s">
        <v>27</v>
      </c>
      <c r="G16" s="393"/>
      <c r="H16" s="397"/>
      <c r="I16" s="397"/>
      <c r="K16" s="413" t="s">
        <v>5109</v>
      </c>
      <c r="L16" s="414"/>
      <c r="M16" s="415"/>
      <c r="N16" s="413" t="s">
        <v>5103</v>
      </c>
      <c r="O16" s="414"/>
      <c r="P16" s="415"/>
    </row>
    <row r="17" spans="2:16">
      <c r="D17" s="393" t="s">
        <v>25</v>
      </c>
      <c r="E17" s="393" t="s">
        <v>24</v>
      </c>
      <c r="F17" s="393" t="s">
        <v>25</v>
      </c>
      <c r="G17" s="393" t="s">
        <v>24</v>
      </c>
      <c r="H17" s="439" t="s">
        <v>174</v>
      </c>
      <c r="I17" s="439" t="s">
        <v>175</v>
      </c>
      <c r="J17" s="396"/>
      <c r="K17" s="417" t="s">
        <v>5107</v>
      </c>
      <c r="L17" s="398" t="s">
        <v>5108</v>
      </c>
      <c r="M17" s="418" t="s">
        <v>5104</v>
      </c>
      <c r="N17" s="417" t="s">
        <v>5102</v>
      </c>
      <c r="O17" s="398" t="s">
        <v>5105</v>
      </c>
      <c r="P17" s="418" t="s">
        <v>5106</v>
      </c>
    </row>
    <row r="18" spans="2:16">
      <c r="B18" s="439" t="s">
        <v>39</v>
      </c>
      <c r="D18" s="420">
        <f>IF(COUNTIFS('従業員情報(給与以外)'!$Q:$Q,"女",'従業員情報(給与以外)'!$R:$R,$B18,'従業員情報(給与以外)'!$N:$N,"正規雇用")=0,0,AVERAGEIFS('従業員情報(給与以外)'!$S:$S,'従業員情報(給与以外)'!$Q:$Q,"女",'従業員情報(給与以外)'!$R:$R,計算!$B18,'従業員情報(給与以外)'!$N:$N,"正規雇用")+AVERAGEIFS('従業員情報(給与以外)'!$T:$T,'従業員情報(給与以外)'!$Q:$Q,"女",'従業員情報(給与以外)'!$R:$R,計算!$B18,'従業員情報(給与以外)'!$N:$N,"正規雇用")+AVERAGEIFS('従業員情報(給与以外)'!$U:$U,'従業員情報(給与以外)'!$Q:$Q,"女",'従業員情報(給与以外)'!$R:$R,計算!$B18,'従業員情報(給与以外)'!$N:$N,"正規雇用"))</f>
        <v>0</v>
      </c>
      <c r="E18" s="420">
        <f>IF(COUNTIFS('従業員情報(給与以外)'!$Q:$Q,"男",'従業員情報(給与以外)'!$R:$R,$B18,'従業員情報(給与以外)'!$N:$N,"正規雇用")=0,0,AVERAGEIFS('従業員情報(給与以外)'!$S:$S,'従業員情報(給与以外)'!$Q:$Q,"男",'従業員情報(給与以外)'!$R:$R,計算!$B18,'従業員情報(給与以外)'!$N:$N,"正規雇用")+AVERAGEIFS('従業員情報(給与以外)'!$T:$T,'従業員情報(給与以外)'!$Q:$Q,"男",'従業員情報(給与以外)'!$R:$R,計算!$B18,'従業員情報(給与以外)'!$N:$N,"正規雇用")+AVERAGEIFS('従業員情報(給与以外)'!$U:$U,'従業員情報(給与以外)'!$Q:$Q,"男",'従業員情報(給与以外)'!$R:$R,計算!$B18,'従業員情報(給与以外)'!$N:$N,"正規雇用"))</f>
        <v>0</v>
      </c>
      <c r="F18" s="393">
        <f>VLOOKUP("正規雇用"&amp;"-"&amp;$C$3&amp;"-"&amp;"(空白)",賃構DB!$A:$I,5,0)</f>
        <v>342449</v>
      </c>
      <c r="G18" s="393">
        <f>VLOOKUP("正規雇用"&amp;"-"&amp;$C$3&amp;"-"&amp;"(空白)",賃構DB!$A:$I,4,0)</f>
        <v>431759</v>
      </c>
      <c r="H18" s="421">
        <f>IF(入力シート!$J$20=入力リスト!$K$5,入力シート!J47,IF(ISERROR(D18/E18),0,D18/E18))</f>
        <v>0</v>
      </c>
      <c r="I18" s="421">
        <f t="shared" ref="I18:I21" si="2">IF(ISERROR(F18/G18),"-",F18/G18)</f>
        <v>0.79314849256182274</v>
      </c>
      <c r="J18" s="393"/>
      <c r="K18" s="422" t="str">
        <f>IF(入力シート!$C$5=入力リスト!$N$5,"",IF(入力シート!$J$20=入力リスト!$K$5,"",IF(D18=0,"「"&amp;B18&amp;"」","")))</f>
        <v>「非役職」</v>
      </c>
      <c r="L18" s="423" t="str">
        <f>IF(入力シート!$C$5=入力リスト!$N$5,"",IF(入力シート!$J$20=入力リスト!$K$5,"",IF(E18=0,"「"&amp;B18&amp;"」","")))</f>
        <v>「非役職」</v>
      </c>
      <c r="M18" s="424" t="str">
        <f>IF(入力シート!$C$5=入力リスト!$N$5,"",IF(入力シート!$J$20=入力リスト!$K$5,IF(H18=0,"「"&amp;B18&amp;"」",""),""))</f>
        <v/>
      </c>
      <c r="N18" s="422" t="str">
        <f>IF(ISERROR(F18),"",IF(G18=0,"",IF(F18=0,"「"&amp;B18&amp;"」","")))</f>
        <v/>
      </c>
      <c r="O18" s="423" t="str">
        <f>IF(ISERROR(G18),"",IF(G18=0,"「"&amp;B18&amp;"」",""))</f>
        <v/>
      </c>
      <c r="P18" s="424" t="str">
        <f>IF(OR(N18&lt;&gt;"",O18&lt;&gt;""),"",IF(I18="-","「"&amp;B18&amp;"」",""))</f>
        <v/>
      </c>
    </row>
    <row r="19" spans="2:16">
      <c r="B19" s="439" t="s">
        <v>38</v>
      </c>
      <c r="D19" s="420">
        <f>IF(COUNTIFS('従業員情報(給与以外)'!$Q:$Q,"女",'従業員情報(給与以外)'!$R:$R,$B19,'従業員情報(給与以外)'!$N:$N,"正規雇用")=0,0,AVERAGEIFS('従業員情報(給与以外)'!$S:$S,'従業員情報(給与以外)'!$Q:$Q,"女",'従業員情報(給与以外)'!$R:$R,計算!$B19,'従業員情報(給与以外)'!$N:$N,"正規雇用")+AVERAGEIFS('従業員情報(給与以外)'!$T:$T,'従業員情報(給与以外)'!$Q:$Q,"女",'従業員情報(給与以外)'!$R:$R,計算!$B19,'従業員情報(給与以外)'!$N:$N,"正規雇用")+AVERAGEIFS('従業員情報(給与以外)'!$U:$U,'従業員情報(給与以外)'!$Q:$Q,"女",'従業員情報(給与以外)'!$R:$R,計算!$B19,'従業員情報(給与以外)'!$N:$N,"正規雇用"))</f>
        <v>0</v>
      </c>
      <c r="E19" s="420">
        <f>IF(COUNTIFS('従業員情報(給与以外)'!$Q:$Q,"男",'従業員情報(給与以外)'!$R:$R,$B19,'従業員情報(給与以外)'!$N:$N,"正規雇用")=0,0,AVERAGEIFS('従業員情報(給与以外)'!$S:$S,'従業員情報(給与以外)'!$Q:$Q,"男",'従業員情報(給与以外)'!$R:$R,計算!$B19,'従業員情報(給与以外)'!$N:$N,"正規雇用")+AVERAGEIFS('従業員情報(給与以外)'!$T:$T,'従業員情報(給与以外)'!$Q:$Q,"男",'従業員情報(給与以外)'!$R:$R,計算!$B19,'従業員情報(給与以外)'!$N:$N,"正規雇用")+AVERAGEIFS('従業員情報(給与以外)'!$U:$U,'従業員情報(給与以外)'!$Q:$Q,"男",'従業員情報(給与以外)'!$R:$R,計算!$B19,'従業員情報(給与以外)'!$N:$N,"正規雇用"))</f>
        <v>0</v>
      </c>
      <c r="F19" s="393">
        <f>VLOOKUP("正規雇用"&amp;"-"&amp;$C$3&amp;"-"&amp;103,賃構DB!$A:$I,5,0)</f>
        <v>458908</v>
      </c>
      <c r="G19" s="393">
        <f>VLOOKUP("正規雇用"&amp;"-"&amp;$C$3&amp;"-"&amp;103,賃構DB!$A:$I,4,0)</f>
        <v>547745</v>
      </c>
      <c r="H19" s="421">
        <f>IF(入力シート!$J$20=入力リスト!$K$5,入力シート!J48,IF(ISERROR(D19/E19),0,D19/E19))</f>
        <v>0</v>
      </c>
      <c r="I19" s="421">
        <f t="shared" si="2"/>
        <v>0.83781321600379743</v>
      </c>
      <c r="J19" s="393"/>
      <c r="K19" s="422" t="str">
        <f>IF(入力シート!$C$5=入力リスト!$N$5,"",IF(入力シート!$J$20=入力リスト!$K$5,"",IF(D19=0,"「"&amp;B19&amp;"」","")))</f>
        <v>「係長級」</v>
      </c>
      <c r="L19" s="423" t="str">
        <f>IF(入力シート!$C$5=入力リスト!$N$5,"",IF(入力シート!$J$20=入力リスト!$K$5,"",IF(E19=0,"「"&amp;B19&amp;"」","")))</f>
        <v>「係長級」</v>
      </c>
      <c r="M19" s="424" t="str">
        <f>IF(入力シート!$C$5=入力リスト!$N$5,"",IF(入力シート!$J$20=入力リスト!$K$5,IF(H19=0,"「"&amp;B19&amp;"」",""),""))</f>
        <v/>
      </c>
      <c r="N19" s="422" t="str">
        <f>IF(ISERROR(F19),"",IF(G19=0,"",IF(F19=0,"「"&amp;B19&amp;"」","")))</f>
        <v/>
      </c>
      <c r="O19" s="423" t="str">
        <f>IF(ISERROR(G19),"",IF(G19=0,"「"&amp;B19&amp;"」",""))</f>
        <v/>
      </c>
      <c r="P19" s="424" t="str">
        <f>IF(OR(N19&lt;&gt;"",O19&lt;&gt;""),"",IF(I19="-","「"&amp;B19&amp;"」",""))</f>
        <v/>
      </c>
    </row>
    <row r="20" spans="2:16">
      <c r="B20" s="439" t="s">
        <v>7</v>
      </c>
      <c r="D20" s="420">
        <f>IF(COUNTIFS('従業員情報(給与以外)'!$Q:$Q,"女",'従業員情報(給与以外)'!$R:$R,$B20,'従業員情報(給与以外)'!$N:$N,"正規雇用")=0,0,AVERAGEIFS('従業員情報(給与以外)'!$S:$S,'従業員情報(給与以外)'!$Q:$Q,"女",'従業員情報(給与以外)'!$R:$R,計算!$B20,'従業員情報(給与以外)'!$N:$N,"正規雇用")+AVERAGEIFS('従業員情報(給与以外)'!$T:$T,'従業員情報(給与以外)'!$Q:$Q,"女",'従業員情報(給与以外)'!$R:$R,計算!$B20,'従業員情報(給与以外)'!$N:$N,"正規雇用")+AVERAGEIFS('従業員情報(給与以外)'!$U:$U,'従業員情報(給与以外)'!$Q:$Q,"女",'従業員情報(給与以外)'!$R:$R,計算!$B20,'従業員情報(給与以外)'!$N:$N,"正規雇用"))</f>
        <v>0</v>
      </c>
      <c r="E20" s="420">
        <f>IF(COUNTIFS('従業員情報(給与以外)'!$Q:$Q,"男",'従業員情報(給与以外)'!$R:$R,$B20,'従業員情報(給与以外)'!$N:$N,"正規雇用")=0,0,AVERAGEIFS('従業員情報(給与以外)'!$S:$S,'従業員情報(給与以外)'!$Q:$Q,"男",'従業員情報(給与以外)'!$R:$R,計算!$B20,'従業員情報(給与以外)'!$N:$N,"正規雇用")+AVERAGEIFS('従業員情報(給与以外)'!$T:$T,'従業員情報(給与以外)'!$Q:$Q,"男",'従業員情報(給与以外)'!$R:$R,計算!$B20,'従業員情報(給与以外)'!$N:$N,"正規雇用")+AVERAGEIFS('従業員情報(給与以外)'!$U:$U,'従業員情報(給与以外)'!$Q:$Q,"男",'従業員情報(給与以外)'!$R:$R,計算!$B20,'従業員情報(給与以外)'!$N:$N,"正規雇用"))</f>
        <v>0</v>
      </c>
      <c r="F20" s="393">
        <f>VLOOKUP("正規雇用"&amp;"-"&amp;$C$3&amp;"-"&amp;102,賃構DB!$A:$I,5,0)</f>
        <v>567512</v>
      </c>
      <c r="G20" s="393">
        <f>VLOOKUP("正規雇用"&amp;"-"&amp;$C$3&amp;"-"&amp;102,賃構DB!$A:$I,4,0)</f>
        <v>679829</v>
      </c>
      <c r="H20" s="421">
        <f>IF(入力シート!$J$20=入力リスト!$K$5,入力シート!J49,IF(ISERROR(D20/E20),0,D20/E20))</f>
        <v>0</v>
      </c>
      <c r="I20" s="421">
        <f t="shared" si="2"/>
        <v>0.83478639481398997</v>
      </c>
      <c r="J20" s="393"/>
      <c r="K20" s="422" t="str">
        <f>IF(入力シート!$C$5=入力リスト!$N$5,"",IF(入力シート!$J$20=入力リスト!$K$5,"",IF(D20=0,"「"&amp;B20&amp;"」","")))</f>
        <v>「課長級」</v>
      </c>
      <c r="L20" s="423" t="str">
        <f>IF(入力シート!$C$5=入力リスト!$N$5,"",IF(入力シート!$J$20=入力リスト!$K$5,"",IF(E20=0,"「"&amp;B20&amp;"」","")))</f>
        <v>「課長級」</v>
      </c>
      <c r="M20" s="424" t="str">
        <f>IF(入力シート!$C$5=入力リスト!$N$5,"",IF(入力シート!$J$20=入力リスト!$K$5,IF(H20=0,"「"&amp;B20&amp;"」",""),""))</f>
        <v/>
      </c>
      <c r="N20" s="422" t="str">
        <f>IF(ISERROR(F20),"",IF(G20=0,"",IF(F20=0,"「"&amp;B20&amp;"」","")))</f>
        <v/>
      </c>
      <c r="O20" s="423" t="str">
        <f>IF(ISERROR(G20),"",IF(G20=0,"「"&amp;B20&amp;"」",""))</f>
        <v/>
      </c>
      <c r="P20" s="424" t="str">
        <f>IF(OR(N20&lt;&gt;"",O20&lt;&gt;""),"",IF(I20="-","「"&amp;B20&amp;"」",""))</f>
        <v/>
      </c>
    </row>
    <row r="21" spans="2:16" ht="16.5" thickBot="1">
      <c r="B21" s="439" t="s">
        <v>6</v>
      </c>
      <c r="D21" s="420">
        <f>IF(COUNTIFS('従業員情報(給与以外)'!$Q:$Q,"女",'従業員情報(給与以外)'!$R:$R,$B21,'従業員情報(給与以外)'!$N:$N,"正規雇用")=0,0,AVERAGEIFS('従業員情報(給与以外)'!$S:$S,'従業員情報(給与以外)'!$Q:$Q,"女",'従業員情報(給与以外)'!$R:$R,計算!$B21,'従業員情報(給与以外)'!$N:$N,"正規雇用")+AVERAGEIFS('従業員情報(給与以外)'!$T:$T,'従業員情報(給与以外)'!$Q:$Q,"女",'従業員情報(給与以外)'!$R:$R,計算!$B21,'従業員情報(給与以外)'!$N:$N,"正規雇用")+AVERAGEIFS('従業員情報(給与以外)'!$U:$U,'従業員情報(給与以外)'!$Q:$Q,"女",'従業員情報(給与以外)'!$R:$R,計算!$B21,'従業員情報(給与以外)'!$N:$N,"正規雇用"))</f>
        <v>0</v>
      </c>
      <c r="E21" s="420">
        <f>IF(COUNTIFS('従業員情報(給与以外)'!$Q:$Q,"男",'従業員情報(給与以外)'!$R:$R,$B21,'従業員情報(給与以外)'!$N:$N,"正規雇用")=0,0,AVERAGEIFS('従業員情報(給与以外)'!$S:$S,'従業員情報(給与以外)'!$Q:$Q,"男",'従業員情報(給与以外)'!$R:$R,計算!$B21,'従業員情報(給与以外)'!$N:$N,"正規雇用")+AVERAGEIFS('従業員情報(給与以外)'!$T:$T,'従業員情報(給与以外)'!$Q:$Q,"男",'従業員情報(給与以外)'!$R:$R,計算!$B21,'従業員情報(給与以外)'!$N:$N,"正規雇用")+AVERAGEIFS('従業員情報(給与以外)'!$U:$U,'従業員情報(給与以外)'!$Q:$Q,"男",'従業員情報(給与以外)'!$R:$R,計算!$B21,'従業員情報(給与以外)'!$N:$N,"正規雇用"))</f>
        <v>0</v>
      </c>
      <c r="F21" s="393">
        <f>VLOOKUP("正規雇用"&amp;"-"&amp;$C$3&amp;"-"&amp;101,賃構DB!$A:$I,5,0)</f>
        <v>651423</v>
      </c>
      <c r="G21" s="393">
        <f>VLOOKUP("正規雇用"&amp;"-"&amp;$C$3&amp;"-"&amp;101,賃構DB!$A:$I,4,0)</f>
        <v>796152</v>
      </c>
      <c r="H21" s="421">
        <f>IF(入力シート!$J$20=入力リスト!$K$5,入力シート!J50,IF(ISERROR(D21/E21),0,D21/E21))</f>
        <v>0</v>
      </c>
      <c r="I21" s="421">
        <f t="shared" si="2"/>
        <v>0.81821436107677936</v>
      </c>
      <c r="J21" s="393"/>
      <c r="K21" s="425" t="str">
        <f>IF(入力シート!$C$5=入力リスト!$N$5,"",IF(入力シート!$J$20=入力リスト!$K$5,"",IF(D21=0,"「"&amp;B21&amp;"」","")))</f>
        <v>「部長級」</v>
      </c>
      <c r="L21" s="426" t="str">
        <f>IF(入力シート!$C$5=入力リスト!$N$5,"",IF(入力シート!$J$20=入力リスト!$K$5,"",IF(E21=0,"「"&amp;B21&amp;"」","")))</f>
        <v>「部長級」</v>
      </c>
      <c r="M21" s="427" t="str">
        <f>IF(入力シート!$C$5=入力リスト!$N$5,"",IF(入力シート!$J$20=入力リスト!$K$5,IF(H21=0,"「"&amp;B21&amp;"」",""),""))</f>
        <v/>
      </c>
      <c r="N21" s="425" t="str">
        <f>IF(ISERROR(F21),"",IF(G21=0,"",IF(F21=0,"「"&amp;B21&amp;"」","")))</f>
        <v/>
      </c>
      <c r="O21" s="426" t="str">
        <f>IF(ISERROR(G21),"",IF(G21=0,"「"&amp;B21&amp;"」",""))</f>
        <v/>
      </c>
      <c r="P21" s="427" t="str">
        <f>IF(OR(N21&lt;&gt;"",O21&lt;&gt;""),"",IF(I21="-","「"&amp;B21&amp;"」",""))</f>
        <v/>
      </c>
    </row>
    <row r="22" spans="2:16" ht="16.5" thickTop="1">
      <c r="E22" s="395"/>
      <c r="F22" s="395"/>
      <c r="I22" s="395"/>
      <c r="J22" s="396"/>
      <c r="K22" s="428" t="str">
        <f>K18&amp;K19&amp;K20&amp;K21</f>
        <v>「非役職」「係長級」「課長級」「部長級」</v>
      </c>
      <c r="L22" s="429" t="str">
        <f>L18&amp;L19&amp;L20&amp;L21</f>
        <v>「非役職」「係長級」「課長級」「部長級」</v>
      </c>
      <c r="M22" s="430" t="str">
        <f>M18&amp;M19&amp;M20&amp;M21</f>
        <v/>
      </c>
      <c r="N22" s="428" t="str">
        <f>N19&amp;N20&amp;N21</f>
        <v/>
      </c>
      <c r="O22" s="429" t="str">
        <f>O19&amp;O20&amp;O21</f>
        <v/>
      </c>
      <c r="P22" s="430" t="str">
        <f>P18&amp;P19&amp;P20&amp;P21</f>
        <v/>
      </c>
    </row>
    <row r="23" spans="2:16">
      <c r="B23" s="394"/>
      <c r="C23" s="394"/>
      <c r="D23" s="402"/>
      <c r="E23" s="402"/>
      <c r="F23" s="394"/>
      <c r="G23" s="394"/>
      <c r="H23" s="402"/>
      <c r="I23" s="402"/>
      <c r="J23" s="432" t="str">
        <f>IF(OR(N23&lt;&gt;"",O23&lt;&gt;"",P23&lt;&gt;"",M23&lt;&gt;"",K23&lt;&gt;"",L23&lt;&gt;""),"「役職別」では、下記理由のためにグラフの一部が表示できていません。","")</f>
        <v>「役職別」では、下記理由のためにグラフの一部が表示できていません。</v>
      </c>
      <c r="K23" s="422" t="str">
        <f>IF(K22="","",CHAR(10)&amp;"・貴社の女性"&amp;K22&amp;"の役職別データが0(ゼロ)のため。")</f>
        <v xml:space="preserve">
・貴社の女性「非役職」「係長級」「課長級」「部長級」の役職別データが0(ゼロ)のため。</v>
      </c>
      <c r="L23" s="423" t="str">
        <f>IF(L22="","",CHAR(10)&amp;"・貴社の男性"&amp;L22&amp;"役職別データが0(ゼロ)もしくは空白のため。")</f>
        <v xml:space="preserve">
・貴社の男性「非役職」「係長級」「課長級」「部長級」役職別データが0(ゼロ)もしくは空白のため。</v>
      </c>
      <c r="M23" s="424" t="str">
        <f>IF(M22="","",CHAR(10)&amp;"・貴社"&amp;M22&amp;"の入力値が0(ゼロ)もしくは空白のため。")</f>
        <v/>
      </c>
      <c r="N23" s="422" t="str">
        <f>IF(N22="","",CHAR(10)&amp;"・"&amp;N22&amp;"の参考値(女)データが0(ゼロ)のため。")</f>
        <v/>
      </c>
      <c r="O23" s="423" t="str">
        <f>IF(O22="","",CHAR(10)&amp;"・"&amp;O22&amp;"の参考値(男)データが0(ゼロ)のため。")</f>
        <v/>
      </c>
      <c r="P23" s="424" t="str">
        <f>IF(P22="","",CHAR(10)&amp;"・参考値の"&amp;P22&amp;"の役職別データがないため。")</f>
        <v/>
      </c>
    </row>
    <row r="24" spans="2:16" ht="6.6" customHeight="1" thickBot="1">
      <c r="B24" s="433"/>
      <c r="C24" s="433"/>
      <c r="D24" s="434"/>
      <c r="E24" s="434"/>
      <c r="F24" s="433"/>
      <c r="G24" s="433"/>
      <c r="H24" s="434"/>
      <c r="I24" s="434"/>
      <c r="J24" s="436"/>
      <c r="K24" s="437"/>
      <c r="L24" s="437"/>
      <c r="M24" s="437"/>
      <c r="N24" s="437"/>
      <c r="O24" s="437"/>
      <c r="P24" s="437"/>
    </row>
    <row r="25" spans="2:16">
      <c r="B25" s="394"/>
      <c r="C25" s="394"/>
      <c r="D25" s="402"/>
      <c r="E25" s="402"/>
      <c r="F25" s="394"/>
      <c r="G25" s="394"/>
      <c r="H25" s="402"/>
      <c r="I25" s="402"/>
      <c r="J25" s="438" t="s">
        <v>5111</v>
      </c>
      <c r="K25" s="440"/>
      <c r="L25" s="440"/>
      <c r="M25" s="440"/>
      <c r="N25" s="440"/>
      <c r="O25" s="440"/>
      <c r="P25" s="440"/>
    </row>
    <row r="26" spans="2:16">
      <c r="B26" s="399" t="s">
        <v>4</v>
      </c>
      <c r="D26" s="393" t="s">
        <v>131</v>
      </c>
      <c r="F26" s="419" t="s">
        <v>27</v>
      </c>
      <c r="G26" s="393"/>
      <c r="H26" s="439"/>
      <c r="I26" s="439"/>
      <c r="K26" s="413" t="s">
        <v>5109</v>
      </c>
      <c r="L26" s="414"/>
      <c r="M26" s="415"/>
      <c r="N26" s="413" t="s">
        <v>5103</v>
      </c>
      <c r="O26" s="414"/>
      <c r="P26" s="415"/>
    </row>
    <row r="27" spans="2:16">
      <c r="B27" s="399"/>
      <c r="D27" s="393" t="s">
        <v>25</v>
      </c>
      <c r="E27" s="393" t="s">
        <v>24</v>
      </c>
      <c r="F27" s="393" t="s">
        <v>25</v>
      </c>
      <c r="G27" s="393" t="s">
        <v>24</v>
      </c>
      <c r="H27" s="439" t="s">
        <v>174</v>
      </c>
      <c r="I27" s="439" t="s">
        <v>175</v>
      </c>
      <c r="J27" s="396"/>
      <c r="K27" s="417" t="s">
        <v>5107</v>
      </c>
      <c r="L27" s="398" t="s">
        <v>5108</v>
      </c>
      <c r="M27" s="418" t="s">
        <v>5104</v>
      </c>
      <c r="N27" s="417" t="s">
        <v>5102</v>
      </c>
      <c r="O27" s="398" t="s">
        <v>5105</v>
      </c>
      <c r="P27" s="418" t="s">
        <v>5106</v>
      </c>
    </row>
    <row r="28" spans="2:16">
      <c r="B28" s="441" t="s">
        <v>0</v>
      </c>
      <c r="D28" s="420">
        <f>IF(COUNTIFS('従業員情報(給与以外)'!$P:$P,$B28,'従業員情報(給与以外)'!$Q:$Q,"女",'従業員情報(給与以外)'!$N:$N,"正規雇用")=0,0,AVERAGEIFS('従業員情報(給与以外)'!$S:$S,'従業員情報(給与以外)'!$Q:$Q,"女",'従業員情報(給与以外)'!$P:$P,計算!$B28,'従業員情報(給与以外)'!$N:$N,"正規雇用")+AVERAGEIFS('従業員情報(給与以外)'!$T:$T,'従業員情報(給与以外)'!$Q:$Q,"女",'従業員情報(給与以外)'!$P:$P,計算!$B28,'従業員情報(給与以外)'!$N:$N,"正規雇用")+AVERAGEIFS('従業員情報(給与以外)'!$U:$U,'従業員情報(給与以外)'!$Q:$Q,"女",'従業員情報(給与以外)'!$P:$P,計算!$B28,'従業員情報(給与以外)'!$N:$N,"正規雇用"))</f>
        <v>0</v>
      </c>
      <c r="E28" s="420">
        <f>IF(COUNTIFS('従業員情報(給与以外)'!$P:$P,$B28,'従業員情報(給与以外)'!$Q:$Q,"男",'従業員情報(給与以外)'!$N:$N,"正規雇用")=0,0,AVERAGEIFS('従業員情報(給与以外)'!$S:$S,'従業員情報(給与以外)'!$Q:$Q,"男",'従業員情報(給与以外)'!$P:$P,計算!$B28,'従業員情報(給与以外)'!$N:$N,"正規雇用")+AVERAGEIFS('従業員情報(給与以外)'!$T:$T,'従業員情報(給与以外)'!$Q:$Q,"男",'従業員情報(給与以外)'!$P:$P,計算!$B28,'従業員情報(給与以外)'!$N:$N,"正規雇用")+AVERAGEIFS('従業員情報(給与以外)'!$U:$U,'従業員情報(給与以外)'!$Q:$Q,"男",'従業員情報(給与以外)'!$P:$P,計算!$B28,'従業員情報(給与以外)'!$N:$N,"正規雇用"))</f>
        <v>0</v>
      </c>
      <c r="F28" s="395">
        <f>VLOOKUP("正規雇用"&amp;"-"&amp;$C$3&amp;"-"&amp;$B28,賃構DB!$A:$I,5,0)</f>
        <v>254011</v>
      </c>
      <c r="G28" s="395">
        <f>VLOOKUP("正規雇用"&amp;"-"&amp;$C$3&amp;"-"&amp;$B28,賃構DB!$A:$I,4,0)</f>
        <v>311811</v>
      </c>
      <c r="H28" s="421">
        <f>IF(入力シート!$J$18=入力リスト!$K$5,入力シート!J37,IF(ISERROR(D28/E28),0,D28/E28))</f>
        <v>0</v>
      </c>
      <c r="I28" s="421">
        <f>IF(ISERROR(F28/G28),"-",F28/G28)</f>
        <v>0.81463129908822973</v>
      </c>
      <c r="K28" s="422" t="str">
        <f>IF(入力シート!$C$5=入力リスト!$N$5,"",IF(入力シート!$J$18=入力リスト!$K$5,"",IF(D28=0,"「"&amp;B28&amp;"」","")))</f>
        <v>「0年」</v>
      </c>
      <c r="L28" s="423" t="str">
        <f>IF(入力シート!$C$5=入力リスト!$N$5,"",IF(入力シート!$J$18=入力リスト!$K$5,"",IF(E28=0,"「"&amp;B28&amp;"」","")))</f>
        <v>「0年」</v>
      </c>
      <c r="M28" s="424" t="str">
        <f>IF(入力シート!$C$5=入力リスト!$N$5,"",IF(入力シート!$J$18=入力リスト!$K$5,IF(H28=0,"「"&amp;B28&amp;"」",""),""))</f>
        <v/>
      </c>
      <c r="N28" s="422" t="str">
        <f t="shared" ref="N28:N36" si="3">IF(ISERROR(F28),"",IF(G28=0,"",IF(F28=0,"「"&amp;B28&amp;"」","")))</f>
        <v/>
      </c>
      <c r="O28" s="423" t="str">
        <f t="shared" ref="O28:O36" si="4">IF(ISERROR(G28),"",IF(G28=0,"「"&amp;B28&amp;"」",""))</f>
        <v/>
      </c>
      <c r="P28" s="424" t="str">
        <f t="shared" ref="P28:P36" si="5">IF(OR(N28&lt;&gt;"",O28&lt;&gt;""),"",IF(I28="-","「"&amp;B28&amp;"」",""))</f>
        <v/>
      </c>
    </row>
    <row r="29" spans="2:16">
      <c r="B29" s="441" t="s">
        <v>4656</v>
      </c>
      <c r="D29" s="420">
        <f>IF(COUNTIFS('従業員情報(給与以外)'!$P:$P,$B29,'従業員情報(給与以外)'!$Q:$Q,"女",'従業員情報(給与以外)'!$N:$N,"正規雇用")=0,0,AVERAGEIFS('従業員情報(給与以外)'!$S:$S,'従業員情報(給与以外)'!$Q:$Q,"女",'従業員情報(給与以外)'!$P:$P,計算!$B29,'従業員情報(給与以外)'!$N:$N,"正規雇用")+AVERAGEIFS('従業員情報(給与以外)'!$T:$T,'従業員情報(給与以外)'!$Q:$Q,"女",'従業員情報(給与以外)'!$P:$P,計算!$B29,'従業員情報(給与以外)'!$N:$N,"正規雇用")+AVERAGEIFS('従業員情報(給与以外)'!$U:$U,'従業員情報(給与以外)'!$Q:$Q,"女",'従業員情報(給与以外)'!$P:$P,計算!$B29,'従業員情報(給与以外)'!$N:$N,"正規雇用"))</f>
        <v>0</v>
      </c>
      <c r="E29" s="420">
        <f>IF(COUNTIFS('従業員情報(給与以外)'!$P:$P,$B29,'従業員情報(給与以外)'!$Q:$Q,"男",'従業員情報(給与以外)'!$N:$N,"正規雇用")=0,0,AVERAGEIFS('従業員情報(給与以外)'!$S:$S,'従業員情報(給与以外)'!$Q:$Q,"男",'従業員情報(給与以外)'!$P:$P,計算!$B29,'従業員情報(給与以外)'!$N:$N,"正規雇用")+AVERAGEIFS('従業員情報(給与以外)'!$T:$T,'従業員情報(給与以外)'!$Q:$Q,"男",'従業員情報(給与以外)'!$P:$P,計算!$B29,'従業員情報(給与以外)'!$N:$N,"正規雇用")+AVERAGEIFS('従業員情報(給与以外)'!$U:$U,'従業員情報(給与以外)'!$Q:$Q,"男",'従業員情報(給与以外)'!$P:$P,計算!$B29,'従業員情報(給与以外)'!$N:$N,"正規雇用"))</f>
        <v>0</v>
      </c>
      <c r="F29" s="395">
        <f>VLOOKUP("正規雇用"&amp;"-"&amp;$C$3&amp;"-"&amp;$B29,賃構DB!$A:$I,5,0)</f>
        <v>312837</v>
      </c>
      <c r="G29" s="395">
        <f>VLOOKUP("正規雇用"&amp;"-"&amp;$C$3&amp;"-"&amp;$B29,賃構DB!$A:$I,4,0)</f>
        <v>377563</v>
      </c>
      <c r="H29" s="421">
        <f>IF(入力シート!$J$18=入力リスト!$K$5,入力シート!J38,IF(ISERROR(D29/E29),0,D29/E29))</f>
        <v>0</v>
      </c>
      <c r="I29" s="421">
        <f t="shared" ref="I29:I36" si="6">IF(ISERROR(F29/G29),"-",F29/G29)</f>
        <v>0.82856900702664193</v>
      </c>
      <c r="K29" s="422" t="str">
        <f>IF(入力シート!$C$5=入力リスト!$N$5,"",IF(入力シート!$J$18=入力リスト!$K$5,"",IF(D29=0,"「"&amp;B29&amp;"」","")))</f>
        <v>「1-2年」</v>
      </c>
      <c r="L29" s="423" t="str">
        <f>IF(入力シート!$C$5=入力リスト!$N$5,"",IF(入力シート!$J$18=入力リスト!$K$5,"",IF(E29=0,"「"&amp;B29&amp;"」","")))</f>
        <v>「1-2年」</v>
      </c>
      <c r="M29" s="424" t="str">
        <f>IF(入力シート!$C$5=入力リスト!$N$5,"",IF(入力シート!$J$18=入力リスト!$K$5,IF(H29=0,"「"&amp;B29&amp;"」",""),""))</f>
        <v/>
      </c>
      <c r="N29" s="422" t="str">
        <f t="shared" si="3"/>
        <v/>
      </c>
      <c r="O29" s="423" t="str">
        <f t="shared" si="4"/>
        <v/>
      </c>
      <c r="P29" s="424" t="str">
        <f t="shared" si="5"/>
        <v/>
      </c>
    </row>
    <row r="30" spans="2:16">
      <c r="B30" s="441" t="s">
        <v>4657</v>
      </c>
      <c r="D30" s="420">
        <f>IF(COUNTIFS('従業員情報(給与以外)'!$P:$P,$B30,'従業員情報(給与以外)'!$Q:$Q,"女",'従業員情報(給与以外)'!$N:$N,"正規雇用")=0,0,AVERAGEIFS('従業員情報(給与以外)'!$S:$S,'従業員情報(給与以外)'!$Q:$Q,"女",'従業員情報(給与以外)'!$P:$P,計算!$B30,'従業員情報(給与以外)'!$N:$N,"正規雇用")+AVERAGEIFS('従業員情報(給与以外)'!$T:$T,'従業員情報(給与以外)'!$Q:$Q,"女",'従業員情報(給与以外)'!$P:$P,計算!$B30,'従業員情報(給与以外)'!$N:$N,"正規雇用")+AVERAGEIFS('従業員情報(給与以外)'!$U:$U,'従業員情報(給与以外)'!$Q:$Q,"女",'従業員情報(給与以外)'!$P:$P,計算!$B30,'従業員情報(給与以外)'!$N:$N,"正規雇用"))</f>
        <v>0</v>
      </c>
      <c r="E30" s="420">
        <f>IF(COUNTIFS('従業員情報(給与以外)'!$P:$P,$B30,'従業員情報(給与以外)'!$Q:$Q,"男",'従業員情報(給与以外)'!$N:$N,"正規雇用")=0,0,AVERAGEIFS('従業員情報(給与以外)'!$S:$S,'従業員情報(給与以外)'!$Q:$Q,"男",'従業員情報(給与以外)'!$P:$P,計算!$B30,'従業員情報(給与以外)'!$N:$N,"正規雇用")+AVERAGEIFS('従業員情報(給与以外)'!$T:$T,'従業員情報(給与以外)'!$Q:$Q,"男",'従業員情報(給与以外)'!$P:$P,計算!$B30,'従業員情報(給与以外)'!$N:$N,"正規雇用")+AVERAGEIFS('従業員情報(給与以外)'!$U:$U,'従業員情報(給与以外)'!$Q:$Q,"男",'従業員情報(給与以外)'!$P:$P,計算!$B30,'従業員情報(給与以外)'!$N:$N,"正規雇用"))</f>
        <v>0</v>
      </c>
      <c r="F30" s="395">
        <f>VLOOKUP("正規雇用"&amp;"-"&amp;$C$3&amp;"-"&amp;$B30,賃構DB!$A:$I,5,0)</f>
        <v>333342</v>
      </c>
      <c r="G30" s="395">
        <f>VLOOKUP("正規雇用"&amp;"-"&amp;$C$3&amp;"-"&amp;$B30,賃構DB!$A:$I,4,0)</f>
        <v>409995</v>
      </c>
      <c r="H30" s="421">
        <f>IF(入力シート!$J$18=入力リスト!$K$5,入力シート!J39,IF(ISERROR(D30/E30),0,D30/E30))</f>
        <v>0</v>
      </c>
      <c r="I30" s="421">
        <f t="shared" si="6"/>
        <v>0.81303918340467562</v>
      </c>
      <c r="K30" s="422" t="str">
        <f>IF(入力シート!$C$5=入力リスト!$N$5,"",IF(入力シート!$J$18=入力リスト!$K$5,"",IF(D30=0,"「"&amp;B30&amp;"」","")))</f>
        <v>「3-4年」</v>
      </c>
      <c r="L30" s="423" t="str">
        <f>IF(入力シート!$C$5=入力リスト!$N$5,"",IF(入力シート!$J$18=入力リスト!$K$5,"",IF(E30=0,"「"&amp;B30&amp;"」","")))</f>
        <v>「3-4年」</v>
      </c>
      <c r="M30" s="424" t="str">
        <f>IF(入力シート!$C$5=入力リスト!$N$5,"",IF(入力シート!$J$18=入力リスト!$K$5,IF(H30=0,"「"&amp;B30&amp;"」",""),""))</f>
        <v/>
      </c>
      <c r="N30" s="422" t="str">
        <f t="shared" si="3"/>
        <v/>
      </c>
      <c r="O30" s="423" t="str">
        <f t="shared" si="4"/>
        <v/>
      </c>
      <c r="P30" s="424" t="str">
        <f t="shared" si="5"/>
        <v/>
      </c>
    </row>
    <row r="31" spans="2:16">
      <c r="B31" s="441" t="s">
        <v>4658</v>
      </c>
      <c r="D31" s="420">
        <f>IF(COUNTIFS('従業員情報(給与以外)'!$P:$P,$B31,'従業員情報(給与以外)'!$Q:$Q,"女",'従業員情報(給与以外)'!$N:$N,"正規雇用")=0,0,AVERAGEIFS('従業員情報(給与以外)'!$S:$S,'従業員情報(給与以外)'!$Q:$Q,"女",'従業員情報(給与以外)'!$P:$P,計算!$B31,'従業員情報(給与以外)'!$N:$N,"正規雇用")+AVERAGEIFS('従業員情報(給与以外)'!$T:$T,'従業員情報(給与以外)'!$Q:$Q,"女",'従業員情報(給与以外)'!$P:$P,計算!$B31,'従業員情報(給与以外)'!$N:$N,"正規雇用")+AVERAGEIFS('従業員情報(給与以外)'!$U:$U,'従業員情報(給与以外)'!$Q:$Q,"女",'従業員情報(給与以外)'!$P:$P,計算!$B31,'従業員情報(給与以外)'!$N:$N,"正規雇用"))</f>
        <v>0</v>
      </c>
      <c r="E31" s="420">
        <f>IF(COUNTIFS('従業員情報(給与以外)'!$P:$P,$B31,'従業員情報(給与以外)'!$Q:$Q,"男",'従業員情報(給与以外)'!$N:$N,"正規雇用")=0,0,AVERAGEIFS('従業員情報(給与以外)'!$S:$S,'従業員情報(給与以外)'!$Q:$Q,"男",'従業員情報(給与以外)'!$P:$P,計算!$B31,'従業員情報(給与以外)'!$N:$N,"正規雇用")+AVERAGEIFS('従業員情報(給与以外)'!$T:$T,'従業員情報(給与以外)'!$Q:$Q,"男",'従業員情報(給与以外)'!$P:$P,計算!$B31,'従業員情報(給与以外)'!$N:$N,"正規雇用")+AVERAGEIFS('従業員情報(給与以外)'!$U:$U,'従業員情報(給与以外)'!$Q:$Q,"男",'従業員情報(給与以外)'!$P:$P,計算!$B31,'従業員情報(給与以外)'!$N:$N,"正規雇用"))</f>
        <v>0</v>
      </c>
      <c r="F31" s="395">
        <f>VLOOKUP("正規雇用"&amp;"-"&amp;$C$3&amp;"-"&amp;$B31,賃構DB!$A:$I,5,0)</f>
        <v>354158</v>
      </c>
      <c r="G31" s="395">
        <f>VLOOKUP("正規雇用"&amp;"-"&amp;$C$3&amp;"-"&amp;$B31,賃構DB!$A:$I,4,0)</f>
        <v>441678</v>
      </c>
      <c r="H31" s="421">
        <f>IF(入力シート!$J$18=入力リスト!$K$5,入力シート!J40,IF(ISERROR(D31/E31),0,D31/E31))</f>
        <v>0</v>
      </c>
      <c r="I31" s="421">
        <f t="shared" si="6"/>
        <v>0.80184659412513193</v>
      </c>
      <c r="K31" s="422" t="str">
        <f>IF(入力シート!$C$5=入力リスト!$N$5,"",IF(入力シート!$J$18=入力リスト!$K$5,"",IF(D31=0,"「"&amp;B31&amp;"」","")))</f>
        <v>「5-9年」</v>
      </c>
      <c r="L31" s="423" t="str">
        <f>IF(入力シート!$C$5=入力リスト!$N$5,"",IF(入力シート!$J$18=入力リスト!$K$5,"",IF(E31=0,"「"&amp;B31&amp;"」","")))</f>
        <v>「5-9年」</v>
      </c>
      <c r="M31" s="424" t="str">
        <f>IF(入力シート!$C$5=入力リスト!$N$5,"",IF(入力シート!$J$18=入力リスト!$K$5,IF(H31=0,"「"&amp;B31&amp;"」",""),""))</f>
        <v/>
      </c>
      <c r="N31" s="422" t="str">
        <f t="shared" si="3"/>
        <v/>
      </c>
      <c r="O31" s="423" t="str">
        <f t="shared" si="4"/>
        <v/>
      </c>
      <c r="P31" s="424" t="str">
        <f t="shared" si="5"/>
        <v/>
      </c>
    </row>
    <row r="32" spans="2:16">
      <c r="B32" s="393" t="s">
        <v>4659</v>
      </c>
      <c r="D32" s="420">
        <f>IF(COUNTIFS('従業員情報(給与以外)'!$P:$P,$B32,'従業員情報(給与以外)'!$Q:$Q,"女",'従業員情報(給与以外)'!$N:$N,"正規雇用")=0,0,AVERAGEIFS('従業員情報(給与以外)'!$S:$S,'従業員情報(給与以外)'!$Q:$Q,"女",'従業員情報(給与以外)'!$P:$P,計算!$B32,'従業員情報(給与以外)'!$N:$N,"正規雇用")+AVERAGEIFS('従業員情報(給与以外)'!$T:$T,'従業員情報(給与以外)'!$Q:$Q,"女",'従業員情報(給与以外)'!$P:$P,計算!$B32,'従業員情報(給与以外)'!$N:$N,"正規雇用")+AVERAGEIFS('従業員情報(給与以外)'!$U:$U,'従業員情報(給与以外)'!$Q:$Q,"女",'従業員情報(給与以外)'!$P:$P,計算!$B32,'従業員情報(給与以外)'!$N:$N,"正規雇用"))</f>
        <v>0</v>
      </c>
      <c r="E32" s="420">
        <f>IF(COUNTIFS('従業員情報(給与以外)'!$P:$P,$B32,'従業員情報(給与以外)'!$Q:$Q,"男",'従業員情報(給与以外)'!$N:$N,"正規雇用")=0,0,AVERAGEIFS('従業員情報(給与以外)'!$S:$S,'従業員情報(給与以外)'!$Q:$Q,"男",'従業員情報(給与以外)'!$P:$P,計算!$B32,'従業員情報(給与以外)'!$N:$N,"正規雇用")+AVERAGEIFS('従業員情報(給与以外)'!$T:$T,'従業員情報(給与以外)'!$Q:$Q,"男",'従業員情報(給与以外)'!$P:$P,計算!$B32,'従業員情報(給与以外)'!$N:$N,"正規雇用")+AVERAGEIFS('従業員情報(給与以外)'!$U:$U,'従業員情報(給与以外)'!$Q:$Q,"男",'従業員情報(給与以外)'!$P:$P,計算!$B32,'従業員情報(給与以外)'!$N:$N,"正規雇用"))</f>
        <v>0</v>
      </c>
      <c r="F32" s="395">
        <f>VLOOKUP("正規雇用"&amp;"-"&amp;$C$3&amp;"-"&amp;$B32,賃構DB!$A:$I,5,0)</f>
        <v>379804</v>
      </c>
      <c r="G32" s="395">
        <f>VLOOKUP("正規雇用"&amp;"-"&amp;$C$3&amp;"-"&amp;$B32,賃構DB!$A:$I,4,0)</f>
        <v>492975</v>
      </c>
      <c r="H32" s="421">
        <f>IF(入力シート!$J$18=入力リスト!$K$5,入力シート!J41,IF(ISERROR(D32/E32),0,D32/E32))</f>
        <v>0</v>
      </c>
      <c r="I32" s="421">
        <f t="shared" si="6"/>
        <v>0.77043257771692275</v>
      </c>
      <c r="K32" s="422" t="str">
        <f>IF(入力シート!$C$5=入力リスト!$N$5,"",IF(入力シート!$J$18=入力リスト!$K$5,"",IF(D32=0,"「"&amp;B32&amp;"」","")))</f>
        <v>「10-14年」</v>
      </c>
      <c r="L32" s="423" t="str">
        <f>IF(入力シート!$C$5=入力リスト!$N$5,"",IF(入力シート!$J$18=入力リスト!$K$5,"",IF(E32=0,"「"&amp;B32&amp;"」","")))</f>
        <v>「10-14年」</v>
      </c>
      <c r="M32" s="424" t="str">
        <f>IF(入力シート!$C$5=入力リスト!$N$5,"",IF(入力シート!$J$18=入力リスト!$K$5,IF(H32=0,"「"&amp;B32&amp;"」",""),""))</f>
        <v/>
      </c>
      <c r="N32" s="422" t="str">
        <f t="shared" si="3"/>
        <v/>
      </c>
      <c r="O32" s="423" t="str">
        <f t="shared" si="4"/>
        <v/>
      </c>
      <c r="P32" s="424" t="str">
        <f t="shared" si="5"/>
        <v/>
      </c>
    </row>
    <row r="33" spans="2:21">
      <c r="B33" s="439" t="s">
        <v>4660</v>
      </c>
      <c r="D33" s="420">
        <f>IF(COUNTIFS('従業員情報(給与以外)'!$P:$P,$B33,'従業員情報(給与以外)'!$Q:$Q,"女",'従業員情報(給与以外)'!$N:$N,"正規雇用")=0,0,AVERAGEIFS('従業員情報(給与以外)'!$S:$S,'従業員情報(給与以外)'!$Q:$Q,"女",'従業員情報(給与以外)'!$P:$P,計算!$B33,'従業員情報(給与以外)'!$N:$N,"正規雇用")+AVERAGEIFS('従業員情報(給与以外)'!$T:$T,'従業員情報(給与以外)'!$Q:$Q,"女",'従業員情報(給与以外)'!$P:$P,計算!$B33,'従業員情報(給与以外)'!$N:$N,"正規雇用")+AVERAGEIFS('従業員情報(給与以外)'!$U:$U,'従業員情報(給与以外)'!$Q:$Q,"女",'従業員情報(給与以外)'!$P:$P,計算!$B33,'従業員情報(給与以外)'!$N:$N,"正規雇用"))</f>
        <v>0</v>
      </c>
      <c r="E33" s="420">
        <f>IF(COUNTIFS('従業員情報(給与以外)'!$P:$P,$B33,'従業員情報(給与以外)'!$Q:$Q,"男",'従業員情報(給与以外)'!$N:$N,"正規雇用")=0,0,AVERAGEIFS('従業員情報(給与以外)'!$S:$S,'従業員情報(給与以外)'!$Q:$Q,"男",'従業員情報(給与以外)'!$P:$P,計算!$B33,'従業員情報(給与以外)'!$N:$N,"正規雇用")+AVERAGEIFS('従業員情報(給与以外)'!$T:$T,'従業員情報(給与以外)'!$Q:$Q,"男",'従業員情報(給与以外)'!$P:$P,計算!$B33,'従業員情報(給与以外)'!$N:$N,"正規雇用")+AVERAGEIFS('従業員情報(給与以外)'!$U:$U,'従業員情報(給与以外)'!$Q:$Q,"男",'従業員情報(給与以外)'!$P:$P,計算!$B33,'従業員情報(給与以外)'!$N:$N,"正規雇用"))</f>
        <v>0</v>
      </c>
      <c r="F33" s="395">
        <f>VLOOKUP("正規雇用"&amp;"-"&amp;$C$3&amp;"-"&amp;$B33,賃構DB!$A:$I,5,0)</f>
        <v>413453</v>
      </c>
      <c r="G33" s="395">
        <f>VLOOKUP("正規雇用"&amp;"-"&amp;$C$3&amp;"-"&amp;$B33,賃構DB!$A:$I,4,0)</f>
        <v>550392</v>
      </c>
      <c r="H33" s="421">
        <f>IF(入力シート!$J$18=入力リスト!$K$5,入力シート!J42,IF(ISERROR(D33/E33),0,D33/E33))</f>
        <v>0</v>
      </c>
      <c r="I33" s="421">
        <f t="shared" si="6"/>
        <v>0.75119732844954146</v>
      </c>
      <c r="K33" s="422" t="str">
        <f>IF(入力シート!$C$5=入力リスト!$N$5,"",IF(入力シート!$J$18=入力リスト!$K$5,"",IF(D33=0,"「"&amp;B33&amp;"」","")))</f>
        <v>「15-19年」</v>
      </c>
      <c r="L33" s="423" t="str">
        <f>IF(入力シート!$C$5=入力リスト!$N$5,"",IF(入力シート!$J$18=入力リスト!$K$5,"",IF(E33=0,"「"&amp;B33&amp;"」","")))</f>
        <v>「15-19年」</v>
      </c>
      <c r="M33" s="424" t="str">
        <f>IF(入力シート!$C$5=入力リスト!$N$5,"",IF(入力シート!$J$18=入力リスト!$K$5,IF(H33=0,"「"&amp;B33&amp;"」",""),""))</f>
        <v/>
      </c>
      <c r="N33" s="422" t="str">
        <f t="shared" si="3"/>
        <v/>
      </c>
      <c r="O33" s="423" t="str">
        <f t="shared" si="4"/>
        <v/>
      </c>
      <c r="P33" s="424" t="str">
        <f t="shared" si="5"/>
        <v/>
      </c>
    </row>
    <row r="34" spans="2:21">
      <c r="B34" s="393" t="s">
        <v>4661</v>
      </c>
      <c r="D34" s="420">
        <f>IF(COUNTIFS('従業員情報(給与以外)'!$P:$P,$B34,'従業員情報(給与以外)'!$Q:$Q,"女",'従業員情報(給与以外)'!$N:$N,"正規雇用")=0,0,AVERAGEIFS('従業員情報(給与以外)'!$S:$S,'従業員情報(給与以外)'!$Q:$Q,"女",'従業員情報(給与以外)'!$P:$P,計算!$B34,'従業員情報(給与以外)'!$N:$N,"正規雇用")+AVERAGEIFS('従業員情報(給与以外)'!$T:$T,'従業員情報(給与以外)'!$Q:$Q,"女",'従業員情報(給与以外)'!$P:$P,計算!$B34,'従業員情報(給与以外)'!$N:$N,"正規雇用")+AVERAGEIFS('従業員情報(給与以外)'!$U:$U,'従業員情報(給与以外)'!$Q:$Q,"女",'従業員情報(給与以外)'!$P:$P,計算!$B34,'従業員情報(給与以外)'!$N:$N,"正規雇用"))</f>
        <v>0</v>
      </c>
      <c r="E34" s="420">
        <f>IF(COUNTIFS('従業員情報(給与以外)'!$P:$P,$B34,'従業員情報(給与以外)'!$Q:$Q,"男",'従業員情報(給与以外)'!$N:$N,"正規雇用")=0,0,AVERAGEIFS('従業員情報(給与以外)'!$S:$S,'従業員情報(給与以外)'!$Q:$Q,"男",'従業員情報(給与以外)'!$P:$P,計算!$B34,'従業員情報(給与以外)'!$N:$N,"正規雇用")+AVERAGEIFS('従業員情報(給与以外)'!$T:$T,'従業員情報(給与以外)'!$Q:$Q,"男",'従業員情報(給与以外)'!$P:$P,計算!$B34,'従業員情報(給与以外)'!$N:$N,"正規雇用")+AVERAGEIFS('従業員情報(給与以外)'!$U:$U,'従業員情報(給与以外)'!$Q:$Q,"男",'従業員情報(給与以外)'!$P:$P,計算!$B34,'従業員情報(給与以外)'!$N:$N,"正規雇用"))</f>
        <v>0</v>
      </c>
      <c r="F34" s="395">
        <f>VLOOKUP("正規雇用"&amp;"-"&amp;$C$3&amp;"-"&amp;$B34,賃構DB!$A:$I,5,0)</f>
        <v>438175</v>
      </c>
      <c r="G34" s="395">
        <f>VLOOKUP("正規雇用"&amp;"-"&amp;$C$3&amp;"-"&amp;$B34,賃構DB!$A:$I,4,0)</f>
        <v>588470</v>
      </c>
      <c r="H34" s="421">
        <f>IF(入力シート!$J$18=入力リスト!$K$5,入力シート!J43,IF(ISERROR(D34/E34),0,D34/E34))</f>
        <v>0</v>
      </c>
      <c r="I34" s="421">
        <f t="shared" si="6"/>
        <v>0.74460040443862896</v>
      </c>
      <c r="K34" s="422" t="str">
        <f>IF(入力シート!$C$5=入力リスト!$N$5,"",IF(入力シート!$J$18=入力リスト!$K$5,"",IF(D34=0,"「"&amp;B34&amp;"」","")))</f>
        <v>「20-24年」</v>
      </c>
      <c r="L34" s="423" t="str">
        <f>IF(入力シート!$C$5=入力リスト!$N$5,"",IF(入力シート!$J$18=入力リスト!$K$5,"",IF(E34=0,"「"&amp;B34&amp;"」","")))</f>
        <v>「20-24年」</v>
      </c>
      <c r="M34" s="424" t="str">
        <f>IF(入力シート!$C$5=入力リスト!$N$5,"",IF(入力シート!$J$18=入力リスト!$K$5,IF(H34=0,"「"&amp;B34&amp;"」",""),""))</f>
        <v/>
      </c>
      <c r="N34" s="422" t="str">
        <f t="shared" si="3"/>
        <v/>
      </c>
      <c r="O34" s="423" t="str">
        <f t="shared" si="4"/>
        <v/>
      </c>
      <c r="P34" s="424" t="str">
        <f t="shared" si="5"/>
        <v/>
      </c>
      <c r="T34" s="442"/>
      <c r="U34" s="442"/>
    </row>
    <row r="35" spans="2:21">
      <c r="B35" s="393" t="s">
        <v>4662</v>
      </c>
      <c r="D35" s="420">
        <f>IF(COUNTIFS('従業員情報(給与以外)'!$P:$P,$B35,'従業員情報(給与以外)'!$Q:$Q,"女",'従業員情報(給与以外)'!$N:$N,"正規雇用")=0,0,AVERAGEIFS('従業員情報(給与以外)'!$S:$S,'従業員情報(給与以外)'!$Q:$Q,"女",'従業員情報(給与以外)'!$P:$P,計算!$B35,'従業員情報(給与以外)'!$N:$N,"正規雇用")+AVERAGEIFS('従業員情報(給与以外)'!$T:$T,'従業員情報(給与以外)'!$Q:$Q,"女",'従業員情報(給与以外)'!$P:$P,計算!$B35,'従業員情報(給与以外)'!$N:$N,"正規雇用")+AVERAGEIFS('従業員情報(給与以外)'!$U:$U,'従業員情報(給与以外)'!$Q:$Q,"女",'従業員情報(給与以外)'!$P:$P,計算!$B35,'従業員情報(給与以外)'!$N:$N,"正規雇用"))</f>
        <v>0</v>
      </c>
      <c r="E35" s="420">
        <f>IF(COUNTIFS('従業員情報(給与以外)'!$P:$P,$B35,'従業員情報(給与以外)'!$Q:$Q,"男",'従業員情報(給与以外)'!$N:$N,"正規雇用")=0,0,AVERAGEIFS('従業員情報(給与以外)'!$S:$S,'従業員情報(給与以外)'!$Q:$Q,"男",'従業員情報(給与以外)'!$P:$P,計算!$B35,'従業員情報(給与以外)'!$N:$N,"正規雇用")+AVERAGEIFS('従業員情報(給与以外)'!$T:$T,'従業員情報(給与以外)'!$Q:$Q,"男",'従業員情報(給与以外)'!$P:$P,計算!$B35,'従業員情報(給与以外)'!$N:$N,"正規雇用")+AVERAGEIFS('従業員情報(給与以外)'!$U:$U,'従業員情報(給与以外)'!$Q:$Q,"男",'従業員情報(給与以外)'!$P:$P,計算!$B35,'従業員情報(給与以外)'!$N:$N,"正規雇用"))</f>
        <v>0</v>
      </c>
      <c r="F35" s="395">
        <f>VLOOKUP("正規雇用"&amp;"-"&amp;$C$3&amp;"-"&amp;$B35,賃構DB!$A:$I,5,0)</f>
        <v>481253</v>
      </c>
      <c r="G35" s="395">
        <f>VLOOKUP("正規雇用"&amp;"-"&amp;$C$3&amp;"-"&amp;$B35,賃構DB!$A:$I,4,0)</f>
        <v>631226</v>
      </c>
      <c r="H35" s="421">
        <f>IF(入力シート!$J$18=入力リスト!$K$5,入力シート!J44,IF(ISERROR(D35/E35),0,D35/E35))</f>
        <v>0</v>
      </c>
      <c r="I35" s="421">
        <f t="shared" si="6"/>
        <v>0.7624099767753546</v>
      </c>
      <c r="K35" s="422" t="str">
        <f>IF(入力シート!$C$5=入力リスト!$N$5,"",IF(入力シート!$J$18=入力リスト!$K$5,"",IF(D35=0,"「"&amp;B35&amp;"」","")))</f>
        <v>「25-29年」</v>
      </c>
      <c r="L35" s="423" t="str">
        <f>IF(入力シート!$C$5=入力リスト!$N$5,"",IF(入力シート!$J$18=入力リスト!$K$5,"",IF(E35=0,"「"&amp;B35&amp;"」","")))</f>
        <v>「25-29年」</v>
      </c>
      <c r="M35" s="424" t="str">
        <f>IF(入力シート!$C$5=入力リスト!$N$5,"",IF(入力シート!$J$18=入力リスト!$K$5,IF(H35=0,"「"&amp;B35&amp;"」",""),""))</f>
        <v/>
      </c>
      <c r="N35" s="422" t="str">
        <f t="shared" si="3"/>
        <v/>
      </c>
      <c r="O35" s="423" t="str">
        <f t="shared" si="4"/>
        <v/>
      </c>
      <c r="P35" s="424" t="str">
        <f t="shared" si="5"/>
        <v/>
      </c>
      <c r="T35" s="442"/>
      <c r="U35" s="442"/>
    </row>
    <row r="36" spans="2:21" ht="16.5" thickBot="1">
      <c r="B36" s="439" t="s">
        <v>1</v>
      </c>
      <c r="D36" s="420">
        <f>IF(COUNTIFS('従業員情報(給与以外)'!$P:$P,$B36,'従業員情報(給与以外)'!$Q:$Q,"女",'従業員情報(給与以外)'!$N:$N,"正規雇用")=0,0,AVERAGEIFS('従業員情報(給与以外)'!$S:$S,'従業員情報(給与以外)'!$Q:$Q,"女",'従業員情報(給与以外)'!$P:$P,計算!$B36,'従業員情報(給与以外)'!$N:$N,"正規雇用")+AVERAGEIFS('従業員情報(給与以外)'!$T:$T,'従業員情報(給与以外)'!$Q:$Q,"女",'従業員情報(給与以外)'!$P:$P,計算!$B36,'従業員情報(給与以外)'!$N:$N,"正規雇用")+AVERAGEIFS('従業員情報(給与以外)'!$U:$U,'従業員情報(給与以外)'!$Q:$Q,"女",'従業員情報(給与以外)'!$P:$P,計算!$B36,'従業員情報(給与以外)'!$N:$N,"正規雇用"))</f>
        <v>0</v>
      </c>
      <c r="E36" s="420">
        <f>IF(COUNTIFS('従業員情報(給与以外)'!$P:$P,$B36,'従業員情報(給与以外)'!$Q:$Q,"男",'従業員情報(給与以外)'!$N:$N,"正規雇用")=0,0,AVERAGEIFS('従業員情報(給与以外)'!$S:$S,'従業員情報(給与以外)'!$Q:$Q,"男",'従業員情報(給与以外)'!$P:$P,計算!$B36,'従業員情報(給与以外)'!$N:$N,"正規雇用")+AVERAGEIFS('従業員情報(給与以外)'!$T:$T,'従業員情報(給与以外)'!$Q:$Q,"男",'従業員情報(給与以外)'!$P:$P,計算!$B36,'従業員情報(給与以外)'!$N:$N,"正規雇用")+AVERAGEIFS('従業員情報(給与以外)'!$U:$U,'従業員情報(給与以外)'!$Q:$Q,"男",'従業員情報(給与以外)'!$P:$P,計算!$B36,'従業員情報(給与以外)'!$N:$N,"正規雇用"))</f>
        <v>0</v>
      </c>
      <c r="F36" s="395">
        <f>VLOOKUP("正規雇用"&amp;"-"&amp;$C$3&amp;"-"&amp;$B36,賃構DB!$A:$I,5,0)</f>
        <v>507818</v>
      </c>
      <c r="G36" s="395">
        <f>VLOOKUP("正規雇用"&amp;"-"&amp;$C$3&amp;"-"&amp;$B36,賃構DB!$A:$I,4,0)</f>
        <v>662618</v>
      </c>
      <c r="H36" s="421">
        <f>IF(入力シート!$J$18=入力リスト!$K$5,入力シート!J45,IF(ISERROR(D36/E36),0,D36/E36))</f>
        <v>0</v>
      </c>
      <c r="I36" s="421">
        <f t="shared" si="6"/>
        <v>0.76638123322940221</v>
      </c>
      <c r="K36" s="425" t="str">
        <f>IF(入力シート!$C$5=入力リスト!$N$5,"",IF(入力シート!$J$18=入力リスト!$K$5,"",IF(D36=0,"「"&amp;B36&amp;"」","")))</f>
        <v>「30年以上」</v>
      </c>
      <c r="L36" s="426" t="str">
        <f>IF(入力シート!$C$5=入力リスト!$N$5,"",IF(入力シート!$J$18=入力リスト!$K$5,"",IF(E36=0,"「"&amp;B36&amp;"」","")))</f>
        <v>「30年以上」</v>
      </c>
      <c r="M36" s="427" t="str">
        <f>IF(入力シート!$C$5=入力リスト!$N$5,"",IF(入力シート!$J$18=入力リスト!$K$5,IF(H36=0,"「"&amp;B36&amp;"」",""),""))</f>
        <v/>
      </c>
      <c r="N36" s="425" t="str">
        <f t="shared" si="3"/>
        <v/>
      </c>
      <c r="O36" s="426" t="str">
        <f t="shared" si="4"/>
        <v/>
      </c>
      <c r="P36" s="427" t="str">
        <f t="shared" si="5"/>
        <v/>
      </c>
      <c r="T36" s="442"/>
      <c r="U36" s="442"/>
    </row>
    <row r="37" spans="2:21" ht="16.5" thickTop="1">
      <c r="E37" s="395"/>
      <c r="G37" s="393"/>
      <c r="I37" s="395"/>
      <c r="J37" s="396"/>
      <c r="K37" s="428" t="str">
        <f t="shared" ref="K37:P37" si="7">K28&amp;K29&amp;K30&amp;K31&amp;K32&amp;K33&amp;K34&amp;K35&amp;K36</f>
        <v>「0年」「1-2年」「3-4年」「5-9年」「10-14年」「15-19年」「20-24年」「25-29年」「30年以上」</v>
      </c>
      <c r="L37" s="429" t="str">
        <f t="shared" si="7"/>
        <v>「0年」「1-2年」「3-4年」「5-9年」「10-14年」「15-19年」「20-24年」「25-29年」「30年以上」</v>
      </c>
      <c r="M37" s="430" t="str">
        <f t="shared" si="7"/>
        <v/>
      </c>
      <c r="N37" s="428" t="str">
        <f t="shared" si="7"/>
        <v/>
      </c>
      <c r="O37" s="429" t="str">
        <f t="shared" si="7"/>
        <v/>
      </c>
      <c r="P37" s="430" t="str">
        <f t="shared" si="7"/>
        <v/>
      </c>
      <c r="T37" s="442"/>
      <c r="U37" s="442"/>
    </row>
    <row r="38" spans="2:21">
      <c r="B38" s="394"/>
      <c r="C38" s="394"/>
      <c r="D38" s="402"/>
      <c r="E38" s="402"/>
      <c r="F38" s="394"/>
      <c r="G38" s="394"/>
      <c r="H38" s="402"/>
      <c r="I38" s="402"/>
      <c r="J38" s="432" t="str">
        <f>IF(OR(N38&lt;&gt;"",O38&lt;&gt;"",P38&lt;&gt;"",M38&lt;&gt;"",K38&lt;&gt;"",L38&lt;&gt;""),"「勤続年数階級別」では、下記理由のためにグラフの一部が表示できていません。","")</f>
        <v>「勤続年数階級別」では、下記理由のためにグラフの一部が表示できていません。</v>
      </c>
      <c r="K38" s="422" t="str">
        <f>IF(K37="","",CHAR(10)&amp;"・貴社の女性"&amp;K37&amp;"の勤続年数階級別データが0(ゼロ)のため。")</f>
        <v xml:space="preserve">
・貴社の女性「0年」「1-2年」「3-4年」「5-9年」「10-14年」「15-19年」「20-24年」「25-29年」「30年以上」の勤続年数階級別データが0(ゼロ)のため。</v>
      </c>
      <c r="L38" s="423" t="str">
        <f>IF(L37="","",CHAR(10)&amp;"・貴社の男性"&amp;L37&amp;"勤続年数別データが0(ゼロ)もしくは空白のため。")</f>
        <v xml:space="preserve">
・貴社の男性「0年」「1-2年」「3-4年」「5-9年」「10-14年」「15-19年」「20-24年」「25-29年」「30年以上」勤続年数別データが0(ゼロ)もしくは空白のため。</v>
      </c>
      <c r="M38" s="424" t="str">
        <f>IF(M37="","",CHAR(10)&amp;"・貴社"&amp;M37&amp;"の入力値が0(ゼロ)もしくは空白のため。")</f>
        <v/>
      </c>
      <c r="N38" s="422" t="str">
        <f>IF(N37="","",CHAR(10)&amp;"・"&amp;N37&amp;"の参考値(女)データが0(ゼロ)のため。")</f>
        <v/>
      </c>
      <c r="O38" s="423" t="str">
        <f>IF(O37="","",CHAR(10)&amp;"・"&amp;O37&amp;"の参考値(男)データが0(ゼロ)のため。")</f>
        <v/>
      </c>
      <c r="P38" s="424" t="str">
        <f>IF(P37="","",CHAR(10)&amp;"・参考値の"&amp;P37&amp;"の勤続年数階級別データがないため。")</f>
        <v/>
      </c>
    </row>
    <row r="39" spans="2:21" ht="7.15" customHeight="1" thickBot="1">
      <c r="B39" s="433"/>
      <c r="C39" s="433"/>
      <c r="D39" s="434"/>
      <c r="E39" s="434"/>
      <c r="F39" s="433"/>
      <c r="G39" s="433"/>
      <c r="H39" s="434"/>
      <c r="I39" s="434"/>
      <c r="J39" s="436"/>
      <c r="K39" s="437"/>
      <c r="L39" s="437"/>
      <c r="M39" s="437"/>
      <c r="N39" s="437"/>
      <c r="O39" s="437"/>
      <c r="P39" s="437"/>
    </row>
    <row r="40" spans="2:21" ht="12" customHeight="1">
      <c r="B40" s="394"/>
      <c r="C40" s="394"/>
      <c r="D40" s="402"/>
      <c r="E40" s="402"/>
      <c r="F40" s="394"/>
      <c r="G40" s="394"/>
      <c r="H40" s="402"/>
      <c r="I40" s="402"/>
      <c r="J40" s="438" t="s">
        <v>5111</v>
      </c>
      <c r="K40" s="404"/>
      <c r="L40" s="404"/>
      <c r="M40" s="404"/>
      <c r="N40" s="404"/>
      <c r="O40" s="404"/>
      <c r="P40" s="404"/>
    </row>
    <row r="41" spans="2:21">
      <c r="B41" s="399" t="s">
        <v>176</v>
      </c>
      <c r="D41" s="393" t="s">
        <v>131</v>
      </c>
      <c r="F41" s="419" t="s">
        <v>27</v>
      </c>
      <c r="G41" s="393"/>
      <c r="H41" s="393"/>
      <c r="I41" s="443"/>
      <c r="K41" s="413" t="s">
        <v>5109</v>
      </c>
      <c r="L41" s="415"/>
      <c r="M41" s="444"/>
      <c r="N41" s="413" t="s">
        <v>5103</v>
      </c>
      <c r="O41" s="414"/>
      <c r="P41" s="415"/>
    </row>
    <row r="42" spans="2:21">
      <c r="D42" s="393" t="s">
        <v>25</v>
      </c>
      <c r="E42" s="393" t="s">
        <v>24</v>
      </c>
      <c r="F42" s="393" t="s">
        <v>25</v>
      </c>
      <c r="G42" s="393" t="s">
        <v>24</v>
      </c>
      <c r="H42" s="439" t="s">
        <v>174</v>
      </c>
      <c r="I42" s="439" t="s">
        <v>175</v>
      </c>
      <c r="K42" s="417" t="s">
        <v>5107</v>
      </c>
      <c r="L42" s="418" t="s">
        <v>5108</v>
      </c>
      <c r="M42" s="444"/>
      <c r="N42" s="417" t="s">
        <v>5102</v>
      </c>
      <c r="O42" s="398" t="s">
        <v>5105</v>
      </c>
      <c r="P42" s="418" t="s">
        <v>5106</v>
      </c>
    </row>
    <row r="43" spans="2:21">
      <c r="B43" s="397" t="str">
        <f>入力シート!C54</f>
        <v>直近1年間の採用者数</v>
      </c>
      <c r="C43" s="393" t="s">
        <v>1324</v>
      </c>
      <c r="D43" s="445">
        <f>IF(ISERROR(IF(入力シート!$J$22=入力リスト!$K$5,入力シート!$J$54,IF(入力シート!$J$26=入力リスト!$P$4,COUNTIFS('従業員情報(給与以外)'!$N:$N,"正規雇用",'従業員情報(給与以外)'!$Q:$Q,"女"),COUNTIFS('従業員情報(給与以外)'!$N:$N,"正規雇用",'従業員情報(給与以外)'!$P:$P,計算!$B$28,'従業員情報(給与以外)'!$Q:$Q,"女")))),0,IF(入力シート!$J$22=入力リスト!$K$5,入力シート!$J$54,IF(入力シート!$J$26=入力リスト!$P$4,COUNTIFS('従業員情報(給与以外)'!$N:$N,"正規雇用",'従業員情報(給与以外)'!$Q:$Q,"女"),COUNTIFS('従業員情報(給与以外)'!$N:$N,"正規雇用",'従業員情報(給与以外)'!$P:$P,計算!$B$28,'従業員情報(給与以外)'!$Q:$Q,"女"))))</f>
        <v>0</v>
      </c>
      <c r="E43" s="446">
        <f>IF(ISERROR(IF(入力シート!J22=入力リスト!K5,入力シート!$L$54,IF(入力シート!$J$26=入力リスト!$P$4,COUNTIFS('従業員情報(給与以外)'!$N:$N,"正規雇用",'従業員情報(給与以外)'!$Q:$Q,"男"),COUNTIFS('従業員情報(給与以外)'!$N:$N,"正規雇用",'従業員情報(給与以外)'!$P:$P,計算!$B$28,'従業員情報(給与以外)'!$Q:$Q,"男")))),0,IF(入力シート!J22=入力リスト!K5,入力シート!$L$54,IF(入力シート!J26=入力リスト!P4,COUNTIFS('従業員情報(給与以外)'!$N:$N,"正規雇用",'従業員情報(給与以外)'!$Q:$Q,"男"),COUNTIFS('従業員情報(給与以外)'!$N:$N,"正規雇用",'従業員情報(給与以外)'!$P:$P,計算!$B$28,'従業員情報(給与以外)'!$Q:$Q,"男"))))</f>
        <v>0</v>
      </c>
      <c r="F43" s="447">
        <f>IF(入力シート!$J$26=入力リスト!$P$4,VLOOKUP("正規雇用"&amp;"-"&amp;$C$3&amp;"-"&amp;$B28,賃構DB!A:I,3,0),VLOOKUP("正規雇用-"&amp;$C$3,雇動DB!$A:$C,3,0))</f>
        <v>1470.5</v>
      </c>
      <c r="G43" s="447">
        <f>IF(入力シート!$J$26=入力リスト!$P$4,VLOOKUP("正規雇用"&amp;"-"&amp;$C$3&amp;"-"&amp;$B28,賃構DB!A:I,2,0),VLOOKUP("正規雇用-"&amp;$C$3,雇動DB!$A:$C,2,0))</f>
        <v>1816</v>
      </c>
      <c r="H43" s="439">
        <f t="shared" ref="H43:H49" si="8">IF(ISERROR(D43/E43),0,D43/E43)</f>
        <v>0</v>
      </c>
      <c r="I43" s="439">
        <f t="shared" ref="I43:I49" si="9">IF(ISERROR(F43/G43),"-",F43/G43)</f>
        <v>0.8097466960352423</v>
      </c>
      <c r="K43" s="422" t="str">
        <f>IF(入力シート!$C$5=入力リスト!$N$5,"",IF(D43=0,"「"&amp;B43&amp;"」",""))</f>
        <v>「直近1年間の採用者数」</v>
      </c>
      <c r="L43" s="424" t="str">
        <f>IF(入力シート!$C$5=入力リスト!$N$5,"",IF(E43=0,"「"&amp;B43&amp;"」",""))</f>
        <v>「直近1年間の採用者数」</v>
      </c>
      <c r="M43" s="448"/>
      <c r="N43" s="422" t="str">
        <f t="shared" ref="N43:N49" si="10">IF(ISERROR(F43),"",IF(G43=0,"",IF(F43=0,"「"&amp;B43&amp;"」","")))</f>
        <v/>
      </c>
      <c r="O43" s="423" t="str">
        <f t="shared" ref="O43:O49" si="11">IF(ISERROR(G43),"",IF(G43=0,"「"&amp;B43&amp;"」",""))</f>
        <v/>
      </c>
      <c r="P43" s="424" t="str">
        <f t="shared" ref="P43:P49" si="12">IF(OR(N43&lt;&gt;"",O43&lt;&gt;""),"",IF(I43="-","「"&amp;B43&amp;"」",""))</f>
        <v/>
      </c>
    </row>
    <row r="44" spans="2:21">
      <c r="B44" s="397" t="str">
        <f>入力シート!C55</f>
        <v>平均勤続年数</v>
      </c>
      <c r="C44" s="393" t="s">
        <v>1324</v>
      </c>
      <c r="D44" s="449">
        <f>IF(ISERROR(IF(入力シート!$J$22=入力リスト!$K$5,入力シート!$J$55,AVERAGEIFS('従業員情報(給与以外)'!$O:$O,'従業員情報(給与以外)'!$N:$N,"正規雇用",'従業員情報(給与以外)'!$Q:$Q,"女"))),0,IF(入力シート!$J$22=入力リスト!$K$5,入力シート!$J$55,AVERAGEIFS('従業員情報(給与以外)'!$O:$O,'従業員情報(給与以外)'!$N:$N,"正規雇用",'従業員情報(給与以外)'!$Q:$Q,"女")))</f>
        <v>0</v>
      </c>
      <c r="E44" s="449">
        <f>IF(ISERROR(IF(入力シート!$J$22=入力リスト!$K$5,入力シート!$L$55,AVERAGEIFS('従業員情報(給与以外)'!$O:$O,'従業員情報(給与以外)'!$N:$N,"正規雇用",'従業員情報(給与以外)'!$Q:$Q,"男"))),0,IF(入力シート!$J$22=入力リスト!$K$5,入力シート!$L$55,AVERAGEIFS('従業員情報(給与以外)'!$O:$O,'従業員情報(給与以外)'!$N:$N,"正規雇用",'従業員情報(給与以外)'!$Q:$Q,"男")))</f>
        <v>0</v>
      </c>
      <c r="F44" s="393">
        <f>VLOOKUP($C$3&amp;"-"&amp;"正規雇用",賃構DB!$A:$I,9,0)</f>
        <v>10</v>
      </c>
      <c r="G44" s="393">
        <f>VLOOKUP($C$3&amp;"-"&amp;"正規雇用",賃構DB!$A:$I,8,0)</f>
        <v>13.7</v>
      </c>
      <c r="H44" s="439">
        <f t="shared" si="8"/>
        <v>0</v>
      </c>
      <c r="I44" s="439">
        <f t="shared" si="9"/>
        <v>0.72992700729927007</v>
      </c>
      <c r="K44" s="422" t="str">
        <f>IF(入力シート!$C$5=入力リスト!$N$5,"",IF(D44=0,"「"&amp;B44&amp;"」",""))</f>
        <v>「平均勤続年数」</v>
      </c>
      <c r="L44" s="424" t="str">
        <f>IF(入力シート!$C$5=入力リスト!$N$5,"",IF(E44=0,"「"&amp;B44&amp;"」",""))</f>
        <v>「平均勤続年数」</v>
      </c>
      <c r="M44" s="448"/>
      <c r="N44" s="422" t="str">
        <f t="shared" si="10"/>
        <v/>
      </c>
      <c r="O44" s="423" t="str">
        <f t="shared" si="11"/>
        <v/>
      </c>
      <c r="P44" s="424" t="str">
        <f t="shared" si="12"/>
        <v/>
      </c>
    </row>
    <row r="45" spans="2:21">
      <c r="B45" s="397" t="str">
        <f>入力シート!C56</f>
        <v>管理職数</v>
      </c>
      <c r="C45" s="393" t="s">
        <v>1324</v>
      </c>
      <c r="D45" s="447">
        <f>IF(ISERROR(IF(入力シート!$J$22=入力リスト!$K$5,入力シート!$J$56,(COUNTIFS('従業員情報(給与以外)'!$R:$R,"部長級",'従業員情報(給与以外)'!$Q:$Q,"女"))+(COUNTIFS('従業員情報(給与以外)'!$R:$R,"課長級",'従業員情報(給与以外)'!$Q:$Q,"女")))),0,IF(入力シート!$J$22=入力リスト!$K$5,入力シート!$J$56,(COUNTIFS('従業員情報(給与以外)'!$R:$R,"部長級",'従業員情報(給与以外)'!$Q:$Q,"女"))+(COUNTIFS('従業員情報(給与以外)'!$R:$R,"課長級",'従業員情報(給与以外)'!$Q:$Q,"女"))))</f>
        <v>0</v>
      </c>
      <c r="E45" s="447">
        <f>IF(ISERROR(IF(入力シート!$J$22=入力リスト!$K$5,入力シート!$L$56,(COUNTIFS('従業員情報(給与以外)'!$R:$R,"部長級",'従業員情報(給与以外)'!$Q:$Q,"男"))+(COUNTIFS('従業員情報(給与以外)'!$R:$R,"課長級",'従業員情報(給与以外)'!$Q:$Q,"男")))),0,IF(入力シート!$J$22=入力リスト!$K$5,入力シート!$L$56,(COUNTIFS('従業員情報(給与以外)'!$R:$R,"部長級",'従業員情報(給与以外)'!$Q:$Q,"男"))+(COUNTIFS('従業員情報(給与以外)'!$R:$R,"課長級",'従業員情報(給与以外)'!$Q:$Q,"男"))))</f>
        <v>0</v>
      </c>
      <c r="F45" s="393">
        <f>VLOOKUP("正規雇用"&amp;"-"&amp;$C$3&amp;"-"&amp;102,賃構DB!$A:$I,3,0)+VLOOKUP("正規雇用"&amp;"-"&amp;$C$3&amp;"-"&amp;101,賃構DB!$A:$I,3,0)</f>
        <v>355831</v>
      </c>
      <c r="G45" s="393">
        <f>VLOOKUP("正規雇用"&amp;"-"&amp;$C$3&amp;"-"&amp;102,賃構DB!$A:$I,2,0)+VLOOKUP("正規雇用"&amp;"-"&amp;$C$3&amp;"-"&amp;101,賃構DB!$A:$I,2,0)</f>
        <v>2434100</v>
      </c>
      <c r="H45" s="439">
        <f t="shared" si="8"/>
        <v>0</v>
      </c>
      <c r="I45" s="439">
        <f t="shared" si="9"/>
        <v>0.14618585924982538</v>
      </c>
      <c r="K45" s="422" t="str">
        <f>IF(入力シート!$C$5=入力リスト!$N$5,"",IF(D45=0,"「"&amp;B45&amp;"」",""))</f>
        <v>「管理職数」</v>
      </c>
      <c r="L45" s="424" t="str">
        <f>IF(入力シート!$C$5=入力リスト!$N$5,"",IF(E45=0,"「"&amp;B45&amp;"」",""))</f>
        <v>「管理職数」</v>
      </c>
      <c r="M45" s="448"/>
      <c r="N45" s="422" t="str">
        <f t="shared" si="10"/>
        <v/>
      </c>
      <c r="O45" s="423" t="str">
        <f t="shared" si="11"/>
        <v/>
      </c>
      <c r="P45" s="424" t="str">
        <f t="shared" si="12"/>
        <v/>
      </c>
    </row>
    <row r="46" spans="2:21">
      <c r="B46" s="397" t="str">
        <f>入力シート!C57</f>
        <v>一月当たりの平均残業時間</v>
      </c>
      <c r="C46" s="393" t="s">
        <v>1324</v>
      </c>
      <c r="D46" s="450">
        <f>IF(ISERROR(IF(入力シート!$J$22=入力リスト!$K$5,入力シート!$J$57,AVERAGEIFS('従業員情報(給与以外)'!$V:$V,'従業員情報(給与以外)'!$N:$N,"正規雇用",'従業員情報(給与以外)'!$Q:$Q,"女"))),0,IF(入力シート!$J$22=入力リスト!$K$5,入力シート!$J$57,AVERAGEIFS('従業員情報(給与以外)'!$V:$V,'従業員情報(給与以外)'!$N:$N,"正規雇用",'従業員情報(給与以外)'!$Q:$Q,"女")))</f>
        <v>0</v>
      </c>
      <c r="E46" s="450">
        <f>IF(ISERROR(IF(入力シート!$J$22=入力リスト!$K$5,入力シート!$L$57,AVERAGEIFS('従業員情報(給与以外)'!$V:$V,'従業員情報(給与以外)'!$N:$N,"正規雇用",'従業員情報(給与以外)'!$Q:$Q,"男"))),0,IF(入力シート!$J$22=入力リスト!$K$5,入力シート!$L$57,AVERAGEIFS('従業員情報(給与以外)'!$V:$V,'従業員情報(給与以外)'!$N:$N,"正規雇用",'従業員情報(給与以外)'!$Q:$Q,"男")))</f>
        <v>0</v>
      </c>
      <c r="F46" s="451">
        <f>VLOOKUP($C$3&amp;"-"&amp;"正規雇用",賃構DB!$A:$I,7,0)</f>
        <v>7.7</v>
      </c>
      <c r="G46" s="451">
        <f>VLOOKUP($C$3&amp;"-"&amp;"正規雇用",賃構DB!$A:$I,6,0)</f>
        <v>14.2</v>
      </c>
      <c r="H46" s="439">
        <f t="shared" si="8"/>
        <v>0</v>
      </c>
      <c r="I46" s="439">
        <f>IF(ISERROR(F46/G46),"-",F46/G46)</f>
        <v>0.54225352112676062</v>
      </c>
      <c r="K46" s="422" t="str">
        <f>IF(入力シート!$C$5=入力リスト!$N$5,"",IF(D46=0,"「"&amp;B46&amp;"」",""))</f>
        <v>「一月当たりの平均残業時間」</v>
      </c>
      <c r="L46" s="424" t="str">
        <f>IF(入力シート!$C$5=入力リスト!$N$5,"",IF(E46=0,"「"&amp;B46&amp;"」",""))</f>
        <v>「一月当たりの平均残業時間」</v>
      </c>
      <c r="M46" s="448"/>
      <c r="N46" s="422" t="str">
        <f t="shared" si="10"/>
        <v/>
      </c>
      <c r="O46" s="423" t="str">
        <f t="shared" si="11"/>
        <v/>
      </c>
      <c r="P46" s="424" t="str">
        <f t="shared" si="12"/>
        <v/>
      </c>
    </row>
    <row r="47" spans="2:21">
      <c r="B47" s="397" t="str">
        <f>"(非正規)"&amp;B43</f>
        <v>(非正規)直近1年間の採用者数</v>
      </c>
      <c r="C47" s="393" t="s">
        <v>1325</v>
      </c>
      <c r="D47" s="445">
        <f>IF(ISERROR(IF(入力シート!$J$22=入力リスト!$K$5,入力シート!$N$54,IF(入力シート!J26=入力リスト!$P$4,COUNTIFS('従業員情報(給与以外)'!$N:$N,"非正規雇用",'従業員情報(給与以外)'!$Q:$Q,"女"),COUNTIFS('従業員情報(給与以外)'!$N:$N,"非正規雇用",'従業員情報(給与以外)'!$P:$P,計算!$B$28,'従業員情報(給与以外)'!$Q:$Q,"女")))),0,IF(入力シート!$J$22=入力リスト!$K$5,入力シート!$N$54,IF(入力シート!$J$26=入力リスト!$P$4,COUNTIFS('従業員情報(給与以外)'!$N:$N,"非正規雇用",'従業員情報(給与以外)'!$Q:$Q,"女"),COUNTIFS('従業員情報(給与以外)'!$N:$N,"非正規雇用",'従業員情報(給与以外)'!$P:$P,計算!$B$28,'従業員情報(給与以外)'!$Q:$Q,"女"))))</f>
        <v>0</v>
      </c>
      <c r="E47" s="446">
        <f>IF(ISERROR(IF(入力シート!$J$22=入力リスト!K5,入力シート!$P$54,IF(入力シート!J26=入力リスト!$P$4,COUNTIFS('従業員情報(給与以外)'!$N:$N,"非正規雇用",'従業員情報(給与以外)'!$Q:$Q,"男"),COUNTIFS('従業員情報(給与以外)'!$N:$N,"非正規雇用",'従業員情報(給与以外)'!$P:$P,計算!$B$28,'従業員情報(給与以外)'!$Q:$Q,"男")))),0,IF(入力シート!$J$22=入力リスト!K5,入力シート!$P$54,IF(入力シート!J26=入力リスト!$P$4,COUNTIFS('従業員情報(給与以外)'!$N:$N,"非正規雇用",'従業員情報(給与以外)'!$Q:$Q,"男"),COUNTIFS('従業員情報(給与以外)'!$N:$N,"非正規雇用",'従業員情報(給与以外)'!$P:$P,計算!$B$28,'従業員情報(給与以外)'!$Q:$Q,"男"))))</f>
        <v>0</v>
      </c>
      <c r="F47" s="447">
        <f>IF(入力シート!$J$26=入力リスト!$P$4,VLOOKUP("非正規雇用"&amp;"-"&amp;$C$3&amp;"-"&amp;$B28,賃構DB!$A:$I,3,0),VLOOKUP("非正規雇用-"&amp;$C$3,雇動DB!$A:$C,2,0))</f>
        <v>2130.6999999999998</v>
      </c>
      <c r="G47" s="447">
        <f>IF(入力シート!$J$26=入力リスト!$P$4,VLOOKUP("非正規雇用"&amp;"-"&amp;$C$3&amp;"-"&amp;$B28,賃構DB!$A:$I,2,0),VLOOKUP("非正規雇用-"&amp;$C$3,雇動DB!$A:$C,2,0))</f>
        <v>2130.6999999999998</v>
      </c>
      <c r="H47" s="439">
        <f t="shared" si="8"/>
        <v>0</v>
      </c>
      <c r="I47" s="439">
        <f t="shared" si="9"/>
        <v>1</v>
      </c>
      <c r="K47" s="422" t="str">
        <f>IF(入力シート!$C$5=入力リスト!$N$5,"",IF(D47=0,"「"&amp;B47&amp;"」",""))</f>
        <v>「(非正規)直近1年間の採用者数」</v>
      </c>
      <c r="L47" s="424" t="str">
        <f>IF(入力シート!$C$5=入力リスト!$N$5,"",IF(E47=0,"「"&amp;B47&amp;"」",""))</f>
        <v>「(非正規)直近1年間の採用者数」</v>
      </c>
      <c r="M47" s="448"/>
      <c r="N47" s="422" t="str">
        <f t="shared" si="10"/>
        <v/>
      </c>
      <c r="O47" s="423" t="str">
        <f t="shared" si="11"/>
        <v/>
      </c>
      <c r="P47" s="424" t="str">
        <f t="shared" si="12"/>
        <v/>
      </c>
    </row>
    <row r="48" spans="2:21">
      <c r="B48" s="397" t="str">
        <f>"(非正規)"&amp;B44</f>
        <v>(非正規)平均勤続年数</v>
      </c>
      <c r="C48" s="393" t="s">
        <v>1325</v>
      </c>
      <c r="D48" s="449">
        <f>IF(ISERROR(IF(入力シート!$J$22=入力リスト!$K$5,入力シート!$N$55,AVERAGEIFS('従業員情報(給与以外)'!$O:$O,'従業員情報(給与以外)'!$N:$N,"非正規雇用",'従業員情報(給与以外)'!$Q:$Q,"女"))),0,IF(入力シート!$J$22=入力リスト!$K$5,入力シート!$N$55,AVERAGEIFS('従業員情報(給与以外)'!$O:$O,'従業員情報(給与以外)'!$N:$N,"非正規雇用",'従業員情報(給与以外)'!$Q:$Q,"女")))</f>
        <v>0</v>
      </c>
      <c r="E48" s="449">
        <f>IF(ISERROR(IF(入力シート!$J$22=入力リスト!$K$5,入力シート!$P$55,AVERAGEIFS('従業員情報(給与以外)'!$O:$O,'従業員情報(給与以外)'!$N:$N,"非正規雇用",'従業員情報(給与以外)'!$Q:$Q,"男"))),0,IF(入力シート!$J$22=入力リスト!$K$5,入力シート!$P$55,AVERAGEIFS('従業員情報(給与以外)'!$O:$O,'従業員情報(給与以外)'!$N:$N,"非正規雇用",'従業員情報(給与以外)'!$Q:$Q,"男")))</f>
        <v>0</v>
      </c>
      <c r="F48" s="393">
        <f>VLOOKUP($C$3&amp;"-"&amp;"非正規雇用",賃構DB!$A:$I,9,0)</f>
        <v>6.5</v>
      </c>
      <c r="G48" s="393">
        <f>VLOOKUP($C$3&amp;"-"&amp;"非正規雇用",賃構DB!$A:$I,8,0)</f>
        <v>7.3</v>
      </c>
      <c r="H48" s="439">
        <f t="shared" si="8"/>
        <v>0</v>
      </c>
      <c r="I48" s="439">
        <f t="shared" si="9"/>
        <v>0.8904109589041096</v>
      </c>
      <c r="K48" s="422" t="str">
        <f>IF(入力シート!$C$5=入力リスト!$N$5,"",IF(D48=0,"「"&amp;B48&amp;"」",""))</f>
        <v>「(非正規)平均勤続年数」</v>
      </c>
      <c r="L48" s="424" t="str">
        <f>IF(入力シート!$C$5=入力リスト!$N$5,"",IF(E48=0,"「"&amp;B48&amp;"」",""))</f>
        <v>「(非正規)平均勤続年数」</v>
      </c>
      <c r="M48" s="448"/>
      <c r="N48" s="422" t="str">
        <f t="shared" si="10"/>
        <v/>
      </c>
      <c r="O48" s="423" t="str">
        <f t="shared" si="11"/>
        <v/>
      </c>
      <c r="P48" s="424" t="str">
        <f t="shared" si="12"/>
        <v/>
      </c>
    </row>
    <row r="49" spans="2:16" ht="16.5" thickBot="1">
      <c r="B49" s="397" t="str">
        <f>"(非正規)"&amp;B46</f>
        <v>(非正規)一月当たりの平均残業時間</v>
      </c>
      <c r="C49" s="393" t="s">
        <v>1325</v>
      </c>
      <c r="D49" s="450">
        <f>IF(ISERROR(IF(入力シート!$J$22=入力リスト!$K$5,入力シート!$N$57,AVERAGEIFS('従業員情報(給与以外)'!$V:$V,'従業員情報(給与以外)'!$N:$N,"非正規雇用",'従業員情報(給与以外)'!$Q:$Q,"女"))),0,IF(入力シート!$J$22=入力リスト!$K$5,入力シート!$N$57,AVERAGEIFS('従業員情報(給与以外)'!$V:$V,'従業員情報(給与以外)'!$N:$N,"非正規雇用",'従業員情報(給与以外)'!$Q:$Q,"女")))</f>
        <v>0</v>
      </c>
      <c r="E49" s="450">
        <f>IF(ISERROR(IF(入力シート!$J$22=入力リスト!$K$5,入力シート!$P$57,AVERAGEIFS('従業員情報(給与以外)'!$V:$V,'従業員情報(給与以外)'!$N:$N,"非正規雇用",'従業員情報(給与以外)'!$Q:$Q,"男"))),0,IF(入力シート!$J$22=入力リスト!$K$5,入力シート!$P$57,AVERAGEIFS('従業員情報(給与以外)'!$V:$V,'従業員情報(給与以外)'!$N:$N,"非正規雇用",'従業員情報(給与以外)'!$Q:$Q,"男")))</f>
        <v>0</v>
      </c>
      <c r="F49" s="451">
        <f>VLOOKUP($C$3&amp;"-"&amp;"非正規雇用",賃構DB!$A:$I,7,0)</f>
        <v>2.6</v>
      </c>
      <c r="G49" s="451">
        <f>VLOOKUP($C$3&amp;"-"&amp;"非正規雇用",賃構DB!$A:$I,6,0)</f>
        <v>5.4</v>
      </c>
      <c r="H49" s="439">
        <f t="shared" si="8"/>
        <v>0</v>
      </c>
      <c r="I49" s="439">
        <f t="shared" si="9"/>
        <v>0.48148148148148145</v>
      </c>
      <c r="K49" s="425" t="str">
        <f>IF(入力シート!$C$5=入力リスト!$N$5,"",IF(D49=0,"「"&amp;B49&amp;"」",""))</f>
        <v>「(非正規)一月当たりの平均残業時間」</v>
      </c>
      <c r="L49" s="427" t="str">
        <f>IF(入力シート!$C$5=入力リスト!$N$5,"",IF(E49=0,"「"&amp;B49&amp;"」",""))</f>
        <v>「(非正規)一月当たりの平均残業時間」</v>
      </c>
      <c r="M49" s="448"/>
      <c r="N49" s="425" t="str">
        <f t="shared" si="10"/>
        <v/>
      </c>
      <c r="O49" s="426" t="str">
        <f t="shared" si="11"/>
        <v/>
      </c>
      <c r="P49" s="427" t="str">
        <f t="shared" si="12"/>
        <v/>
      </c>
    </row>
    <row r="50" spans="2:16" ht="16.5" thickTop="1">
      <c r="E50" s="395"/>
      <c r="F50" s="395"/>
      <c r="H50" s="393"/>
      <c r="K50" s="428" t="str">
        <f>K43&amp;K44&amp;K45&amp;K46&amp;K47&amp;K48&amp;K49</f>
        <v>「直近1年間の採用者数」「平均勤続年数」「管理職数」「一月当たりの平均残業時間」「(非正規)直近1年間の採用者数」「(非正規)平均勤続年数」「(非正規)一月当たりの平均残業時間」</v>
      </c>
      <c r="L50" s="430" t="str">
        <f>L43&amp;L44&amp;L45&amp;L46&amp;L47&amp;L48&amp;L49</f>
        <v>「直近1年間の採用者数」「平均勤続年数」「管理職数」「一月当たりの平均残業時間」「(非正規)直近1年間の採用者数」「(非正規)平均勤続年数」「(非正規)一月当たりの平均残業時間」</v>
      </c>
      <c r="M50" s="448"/>
      <c r="N50" s="428" t="str">
        <f>N43&amp;N44&amp;N45&amp;N46&amp;N47&amp;N48&amp;N49</f>
        <v/>
      </c>
      <c r="O50" s="429" t="str">
        <f>O43&amp;O44&amp;O45&amp;O46&amp;O47&amp;O48&amp;O49</f>
        <v/>
      </c>
      <c r="P50" s="430" t="str">
        <f>P43&amp;P44&amp;P45&amp;P46&amp;P47&amp;P48&amp;P49</f>
        <v/>
      </c>
    </row>
    <row r="51" spans="2:16">
      <c r="B51" s="394"/>
      <c r="C51" s="394"/>
      <c r="D51" s="402"/>
      <c r="E51" s="402"/>
      <c r="F51" s="402"/>
      <c r="G51" s="402"/>
      <c r="H51" s="394"/>
      <c r="I51" s="403"/>
      <c r="J51" s="432" t="str">
        <f>IF(OR(N51&lt;&gt;"",O51&lt;&gt;"",P51&lt;&gt;"",K51&lt;&gt;"",L51&lt;&gt;""),"「男女間賃金差異が生じる要因」では、下記理由のため値とグラフの一部が表示できていません。","")</f>
        <v>「男女間賃金差異が生じる要因」では、下記理由のため値とグラフの一部が表示できていません。</v>
      </c>
      <c r="K51" s="422" t="str">
        <f>IF(K50="","",CHAR(10)&amp;"・貴社(女)"&amp;K50&amp;"値が0(ゼロ)もしくは空白のため。")</f>
        <v xml:space="preserve">
・貴社(女)「直近1年間の採用者数」「平均勤続年数」「管理職数」「一月当たりの平均残業時間」「(非正規)直近1年間の採用者数」「(非正規)平均勤続年数」「(非正規)一月当たりの平均残業時間」値が0(ゼロ)もしくは空白のため。</v>
      </c>
      <c r="L51" s="424" t="str">
        <f>IF(L50="","",CHAR(10)&amp;"・貴社(男)"&amp;L50&amp;"値が0(ゼロ)もしくは空白のため。：「計算不能」")</f>
        <v xml:space="preserve">
・貴社(男)「直近1年間の採用者数」「平均勤続年数」「管理職数」「一月当たりの平均残業時間」「(非正規)直近1年間の採用者数」「(非正規)平均勤続年数」「(非正規)一月当たりの平均残業時間」値が0(ゼロ)もしくは空白のため。：「計算不能」</v>
      </c>
      <c r="M51" s="448"/>
      <c r="N51" s="422" t="str">
        <f>IF(N50="","",CHAR(10)&amp;"・"&amp;N50&amp;"の参考値(女)データが0(ゼロ)のため。：「0.0%」")</f>
        <v/>
      </c>
      <c r="O51" s="423" t="str">
        <f>IF(O50="","",CHAR(10)&amp;"・"&amp;O50&amp;"の参考値(男)データが0(ゼロ)のため。：「計算不能」")</f>
        <v/>
      </c>
      <c r="P51" s="424" t="str">
        <f>IF(P50="","",CHAR(10)&amp;"・参考値の"&amp;P50&amp;"の要因別データがないため。:「-」")</f>
        <v/>
      </c>
    </row>
    <row r="52" spans="2:16" ht="6.6" customHeight="1" thickBot="1">
      <c r="B52" s="433"/>
      <c r="C52" s="433"/>
      <c r="D52" s="434"/>
      <c r="E52" s="434"/>
      <c r="F52" s="434"/>
      <c r="G52" s="434"/>
      <c r="H52" s="433"/>
      <c r="I52" s="452"/>
      <c r="J52" s="436"/>
      <c r="K52" s="437"/>
      <c r="L52" s="437"/>
      <c r="M52" s="437"/>
      <c r="N52" s="437"/>
      <c r="O52" s="437"/>
      <c r="P52" s="437"/>
    </row>
    <row r="53" spans="2:16" ht="6.6" customHeight="1"/>
    <row r="54" spans="2:16">
      <c r="B54" s="399" t="s">
        <v>1215</v>
      </c>
      <c r="C54" s="453"/>
    </row>
    <row r="55" spans="2:16">
      <c r="B55" s="454" t="s">
        <v>3</v>
      </c>
      <c r="C55" s="454" t="s">
        <v>4667</v>
      </c>
      <c r="D55" s="454" t="s">
        <v>5112</v>
      </c>
      <c r="E55" s="454" t="s">
        <v>4668</v>
      </c>
      <c r="F55" s="397"/>
      <c r="H55" s="441"/>
      <c r="K55" s="455"/>
    </row>
    <row r="56" spans="2:16">
      <c r="B56" s="419" t="str">
        <f>B9</f>
        <v>全労働者</v>
      </c>
      <c r="C56" s="397" t="str">
        <f>IF(AND(H9&lt;1,IF(ISERROR(I9),"",H9&lt;I9)),"「"&amp;B56&amp;"」","")</f>
        <v>「全労働者」</v>
      </c>
      <c r="D56" s="455" t="str">
        <f>IF($B$59=1,IF(C56="","「"&amp;B56&amp;"」",""),"")</f>
        <v/>
      </c>
      <c r="E56" s="397" t="str">
        <f>IF(OR(H9&gt;1,H9&gt;I9),"「"&amp;B56&amp;"」","")</f>
        <v/>
      </c>
      <c r="F56" s="397"/>
      <c r="K56" s="456"/>
    </row>
    <row r="57" spans="2:16">
      <c r="B57" s="419" t="str">
        <f>LEFT(B10,LEN(B10)-3)</f>
        <v>正規雇用</v>
      </c>
      <c r="C57" s="397" t="str">
        <f>IF(AND(H10&lt;1,IF(ISERROR(I10),"",H10&lt;I10)),"「"&amp;B57&amp;"」","")</f>
        <v>「正規雇用」</v>
      </c>
      <c r="D57" s="455" t="str">
        <f>IF($B$59=1,IF(C57="","「"&amp;B57&amp;"」",""),"")</f>
        <v/>
      </c>
      <c r="E57" s="397" t="str">
        <f>IF(OR(H10&gt;1,H10&gt;I10),"「"&amp;B57&amp;"」","")</f>
        <v/>
      </c>
      <c r="F57" s="397"/>
      <c r="J57" s="442"/>
      <c r="K57" s="455"/>
    </row>
    <row r="58" spans="2:16">
      <c r="B58" s="419" t="str">
        <f>LEFT(B11,LEN(B11)-3)</f>
        <v>非正規雇用</v>
      </c>
      <c r="C58" s="397" t="str">
        <f>IF(AND(H11&lt;1,IF(ISERROR(I11),"",H11&lt;I11)),"「"&amp;B58&amp;"」","")</f>
        <v>「非正規雇用」</v>
      </c>
      <c r="D58" s="455" t="str">
        <f>IF($B$59=1,IF(C58="","「"&amp;B58&amp;"」",""),"")</f>
        <v/>
      </c>
      <c r="E58" s="397" t="str">
        <f>IF(OR(H11&gt;1,H11&gt;I11),"「"&amp;B58&amp;"」","")</f>
        <v/>
      </c>
      <c r="F58" s="397"/>
      <c r="J58" s="442"/>
      <c r="K58" s="455"/>
    </row>
    <row r="59" spans="2:16">
      <c r="B59" s="457">
        <f>COUNTIF(C56:C58,"")</f>
        <v>0</v>
      </c>
      <c r="C59" s="458" t="str">
        <f>IF(B59=3,"",IF(B59=1,"　・雇用形態 : "&amp;D56&amp;D57&amp;D58&amp;"以外","　・雇用形態 : "&amp;C56&amp;C57&amp;C58))</f>
        <v>　・雇用形態 : 「全労働者」「正規雇用」「非正規雇用」</v>
      </c>
      <c r="D59" s="459"/>
      <c r="E59" s="458" t="str">
        <f>IF(B59=0,"",IF(B59=3,"　・すべての雇用形態","　・雇用形態 : "&amp;E56&amp;E57&amp;E58))</f>
        <v/>
      </c>
      <c r="H59" s="441"/>
      <c r="J59" s="442"/>
      <c r="K59" s="455"/>
    </row>
    <row r="60" spans="2:16">
      <c r="B60" s="454" t="s">
        <v>5</v>
      </c>
      <c r="C60" s="454" t="s">
        <v>4667</v>
      </c>
      <c r="D60" s="454" t="s">
        <v>5112</v>
      </c>
      <c r="E60" s="454" t="s">
        <v>4668</v>
      </c>
      <c r="H60" s="441"/>
      <c r="J60" s="442"/>
      <c r="K60" s="455"/>
    </row>
    <row r="61" spans="2:16">
      <c r="B61" s="455" t="str">
        <f>B21</f>
        <v>部長級</v>
      </c>
      <c r="C61" s="397" t="str">
        <f>IF(AND(H21&lt;1,IF(ISERROR(H21&lt;I21),"",H21&lt;I21)),"「"&amp;B61&amp;"」","")</f>
        <v>「部長級」</v>
      </c>
      <c r="D61" s="455" t="str">
        <f>IF($B$65=1,IF(C61="","「"&amp;B61&amp;"」",""),"")</f>
        <v/>
      </c>
      <c r="E61" s="397" t="str">
        <f>IF(OR(H21&gt;1,IF(ISERROR(H21&gt;I21),"",H21&gt;I21)),"「"&amp;B61&amp;"」","")</f>
        <v/>
      </c>
      <c r="H61" s="395" t="str">
        <f>IF(AND(E61&lt;&gt;"",OR(E62&lt;&gt;"",E63&lt;&gt;"",E64&lt;&gt;"")),"、","")</f>
        <v/>
      </c>
      <c r="J61" s="442"/>
      <c r="K61" s="455"/>
    </row>
    <row r="62" spans="2:16">
      <c r="B62" s="455" t="str">
        <f>B20</f>
        <v>課長級</v>
      </c>
      <c r="C62" s="397" t="str">
        <f>IF(AND(H20&lt;1,IF(ISERROR(H20&lt;I20),"",H20&lt;I20)),"「"&amp;B62&amp;"」","")</f>
        <v>「課長級」</v>
      </c>
      <c r="D62" s="455" t="str">
        <f>IF($B$65=1,IF(C62="","「"&amp;B62&amp;"」",""),"")</f>
        <v/>
      </c>
      <c r="E62" s="397" t="str">
        <f>IF(OR(H20&gt;1,IF(ISERROR(H20&gt;I20),"",H20&gt;I20)),"「"&amp;B62&amp;"」","")</f>
        <v/>
      </c>
      <c r="H62" s="395" t="str">
        <f>IF(AND(E62&lt;&gt;"",OR(E63&lt;&gt;"",E64&lt;&gt;"")),"、","")</f>
        <v/>
      </c>
      <c r="J62" s="442"/>
      <c r="K62" s="455"/>
    </row>
    <row r="63" spans="2:16">
      <c r="B63" s="455" t="str">
        <f>B19</f>
        <v>係長級</v>
      </c>
      <c r="C63" s="397" t="str">
        <f>IF(AND(H19&lt;1,IF(ISERROR(H19&lt;I19),"",H19&lt;I19)),"「"&amp;B63&amp;"」","")</f>
        <v>「係長級」</v>
      </c>
      <c r="D63" s="455" t="str">
        <f>IF($B$65=1,IF(C63="","「"&amp;B63&amp;"」",""),"")</f>
        <v/>
      </c>
      <c r="E63" s="397" t="str">
        <f>IF(OR(H19&gt;1,IF(ISERROR(H19&gt;I19),"",H19&gt;I19)),"「"&amp;B63&amp;"」","")</f>
        <v/>
      </c>
      <c r="H63" s="395" t="str">
        <f>IF(AND(E63&lt;&gt;"",E64&lt;&gt;""),"、","")</f>
        <v/>
      </c>
      <c r="J63" s="442"/>
      <c r="K63" s="455"/>
    </row>
    <row r="64" spans="2:16">
      <c r="B64" s="455" t="str">
        <f>B18</f>
        <v>非役職</v>
      </c>
      <c r="C64" s="397" t="str">
        <f>IF(AND(H18&lt;1,IF(ISERROR(H18&lt;I18),"",H18&lt;I18)),"「"&amp;B64&amp;"」","")</f>
        <v>「非役職」</v>
      </c>
      <c r="D64" s="455" t="str">
        <f>IF($B$65=1,IF(C64="","「"&amp;B64&amp;"」",""),"")</f>
        <v/>
      </c>
      <c r="E64" s="397" t="str">
        <f>IF(OR(H18&gt;1,IF(ISERROR(H18&gt;I18),"",H18&gt;I18)),"「"&amp;B64&amp;"」","")</f>
        <v/>
      </c>
      <c r="H64" s="395" t="str">
        <f>IF(E64=1,F64,"")</f>
        <v/>
      </c>
    </row>
    <row r="65" spans="2:16">
      <c r="B65" s="457">
        <f>COUNTIF(C61:C64,"")</f>
        <v>0</v>
      </c>
      <c r="C65" s="460" t="str">
        <f>IF(B65=4,"",IF(B65=1,"　・役職級 : "&amp;D61&amp;D62&amp;D63&amp;D64&amp;"以外","　・役職級 : "&amp;C61&amp;C62&amp;C63&amp;C64))</f>
        <v>　・役職級 : 「部長級」「課長級」「係長級」「非役職」</v>
      </c>
      <c r="D65" s="461"/>
      <c r="E65" s="460" t="str">
        <f>IF(B65=0,"",IF(B65=4,"　・すべての役職級","　・役職級 : "&amp;E61&amp;E62&amp;E63&amp;E64))</f>
        <v/>
      </c>
      <c r="F65" s="439"/>
      <c r="K65" s="419"/>
    </row>
    <row r="66" spans="2:16">
      <c r="B66" s="462" t="s">
        <v>4</v>
      </c>
      <c r="C66" s="454" t="s">
        <v>4667</v>
      </c>
      <c r="D66" s="454" t="s">
        <v>5112</v>
      </c>
      <c r="E66" s="454" t="s">
        <v>4668</v>
      </c>
      <c r="F66" s="439"/>
      <c r="K66" s="419"/>
    </row>
    <row r="67" spans="2:16">
      <c r="B67" s="455" t="str">
        <f t="shared" ref="B67:B75" si="13">B28</f>
        <v>0年</v>
      </c>
      <c r="C67" s="397" t="str">
        <f t="shared" ref="C67:C75" si="14">IF(AND(H28&lt;1,IF(ISERROR(H28&lt;I28),"",H28&lt;I28)),"「"&amp;B67&amp;"」","")</f>
        <v>「0年」</v>
      </c>
      <c r="D67" s="455" t="str">
        <f t="shared" ref="D67:D75" si="15">IF($B$76&lt;5,IF(C67="","「"&amp;B67&amp;"」",""),"")</f>
        <v/>
      </c>
      <c r="E67" s="397" t="str">
        <f t="shared" ref="E67:E75" si="16">IF(OR(H28&gt;1,IF(ISERROR(H28&gt;I28),"",H28&gt;I28)),"「"&amp;B67&amp;"」","")</f>
        <v/>
      </c>
      <c r="K67" s="419"/>
    </row>
    <row r="68" spans="2:16">
      <c r="B68" s="455" t="str">
        <f t="shared" si="13"/>
        <v>1-2年</v>
      </c>
      <c r="C68" s="397" t="str">
        <f t="shared" si="14"/>
        <v>「1-2年」</v>
      </c>
      <c r="D68" s="455" t="str">
        <f t="shared" si="15"/>
        <v/>
      </c>
      <c r="E68" s="397" t="str">
        <f t="shared" si="16"/>
        <v/>
      </c>
      <c r="I68" s="395"/>
      <c r="K68" s="419"/>
    </row>
    <row r="69" spans="2:16">
      <c r="B69" s="455" t="str">
        <f t="shared" si="13"/>
        <v>3-4年</v>
      </c>
      <c r="C69" s="397" t="str">
        <f t="shared" si="14"/>
        <v>「3-4年」</v>
      </c>
      <c r="D69" s="455" t="str">
        <f t="shared" si="15"/>
        <v/>
      </c>
      <c r="E69" s="397" t="str">
        <f t="shared" si="16"/>
        <v/>
      </c>
      <c r="I69" s="395"/>
    </row>
    <row r="70" spans="2:16">
      <c r="B70" s="455" t="str">
        <f t="shared" si="13"/>
        <v>5-9年</v>
      </c>
      <c r="C70" s="397" t="str">
        <f t="shared" si="14"/>
        <v>「5-9年」</v>
      </c>
      <c r="D70" s="455" t="str">
        <f t="shared" si="15"/>
        <v/>
      </c>
      <c r="E70" s="397" t="str">
        <f t="shared" si="16"/>
        <v/>
      </c>
    </row>
    <row r="71" spans="2:16">
      <c r="B71" s="455" t="str">
        <f t="shared" si="13"/>
        <v>10-14年</v>
      </c>
      <c r="C71" s="397" t="str">
        <f t="shared" si="14"/>
        <v>「10-14年」</v>
      </c>
      <c r="D71" s="455" t="str">
        <f t="shared" si="15"/>
        <v/>
      </c>
      <c r="E71" s="397" t="str">
        <f t="shared" si="16"/>
        <v/>
      </c>
    </row>
    <row r="72" spans="2:16">
      <c r="B72" s="455" t="str">
        <f t="shared" si="13"/>
        <v>15-19年</v>
      </c>
      <c r="C72" s="397" t="str">
        <f t="shared" si="14"/>
        <v>「15-19年」</v>
      </c>
      <c r="D72" s="455" t="str">
        <f t="shared" si="15"/>
        <v/>
      </c>
      <c r="E72" s="397" t="str">
        <f t="shared" si="16"/>
        <v/>
      </c>
    </row>
    <row r="73" spans="2:16">
      <c r="B73" s="455" t="str">
        <f t="shared" si="13"/>
        <v>20-24年</v>
      </c>
      <c r="C73" s="397" t="str">
        <f t="shared" si="14"/>
        <v>「20-24年」</v>
      </c>
      <c r="D73" s="455" t="str">
        <f t="shared" si="15"/>
        <v/>
      </c>
      <c r="E73" s="397" t="str">
        <f t="shared" si="16"/>
        <v/>
      </c>
    </row>
    <row r="74" spans="2:16">
      <c r="B74" s="455" t="str">
        <f t="shared" si="13"/>
        <v>25-29年</v>
      </c>
      <c r="C74" s="397" t="str">
        <f t="shared" si="14"/>
        <v>「25-29年」</v>
      </c>
      <c r="D74" s="455" t="str">
        <f t="shared" si="15"/>
        <v/>
      </c>
      <c r="E74" s="397" t="str">
        <f t="shared" si="16"/>
        <v/>
      </c>
    </row>
    <row r="75" spans="2:16">
      <c r="B75" s="455" t="str">
        <f t="shared" si="13"/>
        <v>30年以上</v>
      </c>
      <c r="C75" s="397" t="str">
        <f t="shared" si="14"/>
        <v>「30年以上」</v>
      </c>
      <c r="D75" s="455" t="str">
        <f t="shared" si="15"/>
        <v/>
      </c>
      <c r="E75" s="397" t="str">
        <f t="shared" si="16"/>
        <v/>
      </c>
    </row>
    <row r="76" spans="2:16">
      <c r="B76" s="457">
        <f>COUNTIF(C67:C75,"")</f>
        <v>0</v>
      </c>
      <c r="C76" s="460" t="str">
        <f>IF(B76=9,"",IF(B76&lt;5,"　・勤続年数階級 : "&amp;D67&amp;D68&amp;D69&amp;D70&amp;D71&amp;D72&amp;D73&amp;D74&amp;D75&amp;IF(B76=0,"すべての勤続年数階級","以外"),"　・勤続年数階級 : "&amp;C67&amp;C68&amp;C69&amp;C70&amp;C71&amp;C72&amp;C73&amp;C74&amp;C75))</f>
        <v>　・勤続年数階級 : すべての勤続年数階級</v>
      </c>
      <c r="D76" s="460"/>
      <c r="E76" s="460" t="str">
        <f>IF(B76=0,"",IF(B76=9,"　・すべての勤続年数階級","　・勤続年数階級 : "&amp;E67&amp;E68&amp;E69&amp;E70&amp;E71&amp;E72&amp;E73&amp;E74&amp;E75))</f>
        <v/>
      </c>
    </row>
    <row r="77" spans="2:16" ht="141" customHeight="1">
      <c r="C77" s="964" t="str">
        <f>IF(AND(E59="",E65="",E76=""),"","貴社の男女間賃金差異は、以下項目で参考値以上又は100%以上となっています。"&amp;IF(E59&lt;&gt;"",CHAR(10)&amp;E59,"")&amp;IF(E65&lt;&gt;"",CHAR(10)&amp;E65,"")&amp;IF(E76&lt;&gt;"",CHAR(10)&amp;E76,""))&amp;IF(AND(C59="",C65="",C76=""),CHAR(10)&amp;"※参考値と100%の両方を下回っている項目はありません。",IF(OR(E59&lt;&gt;"",E65&lt;&gt;"",E76&lt;&gt;""),CHAR(10),"")&amp;"以下項目で参考値未満かつ100%未満となっており、男女間賃金差異が大きい可能性があります。"&amp;IF(C59&lt;&gt;"",CHAR(10),"")&amp;C59&amp;IF(C65&lt;&gt;"",CHAR(10),"")&amp;C65&amp;IF(C76&lt;&gt;"",CHAR(10),"")&amp;C76)&amp;IF(AND(C59="",C65="",C76="",E59="",E65="",E76=""),"",CHAR(10))&amp;"「2.男女間賃金差異が生じる要因」では賃金差異が生じる要因について言及しているので参考にしてください。"</f>
        <v>以下項目で参考値未満かつ100%未満となっており、男女間賃金差異が大きい可能性があります。
　・雇用形態 : 「全労働者」「正規雇用」「非正規雇用」
　・役職級 : 「部長級」「課長級」「係長級」「非役職」
　・勤続年数階級 : すべての勤続年数階級
「2.男女間賃金差異が生じる要因」では賃金差異が生じる要因について言及しているので参考にしてください。</v>
      </c>
      <c r="D77" s="964"/>
      <c r="E77" s="964"/>
      <c r="F77" s="964"/>
      <c r="G77" s="964"/>
      <c r="H77" s="964"/>
      <c r="I77" s="964"/>
      <c r="J77" s="964"/>
      <c r="K77" s="964"/>
    </row>
    <row r="78" spans="2:16" ht="9" customHeight="1" thickBot="1">
      <c r="B78" s="405"/>
      <c r="C78" s="405"/>
      <c r="D78" s="405"/>
      <c r="E78" s="405"/>
      <c r="F78" s="405"/>
      <c r="G78" s="407"/>
      <c r="H78" s="407"/>
      <c r="I78" s="408"/>
      <c r="J78" s="407"/>
      <c r="K78" s="406"/>
      <c r="L78" s="406"/>
      <c r="M78" s="406"/>
      <c r="N78" s="406"/>
      <c r="O78" s="406"/>
      <c r="P78" s="406"/>
    </row>
    <row r="79" spans="2:16" ht="11.45" customHeight="1" thickTop="1">
      <c r="B79" s="394"/>
      <c r="C79" s="394"/>
      <c r="D79" s="394"/>
      <c r="E79" s="394"/>
      <c r="F79" s="394"/>
      <c r="G79" s="402"/>
      <c r="H79" s="402"/>
      <c r="I79" s="403"/>
      <c r="J79" s="402"/>
      <c r="K79" s="404"/>
      <c r="L79" s="404"/>
      <c r="M79" s="404"/>
      <c r="N79" s="404"/>
      <c r="O79" s="404"/>
      <c r="P79" s="404"/>
    </row>
    <row r="80" spans="2:16">
      <c r="B80" s="454" t="s">
        <v>1214</v>
      </c>
      <c r="C80" s="454" t="s">
        <v>5101</v>
      </c>
      <c r="D80" s="454" t="s">
        <v>4667</v>
      </c>
      <c r="E80" s="454" t="s">
        <v>4668</v>
      </c>
    </row>
    <row r="81" spans="2:16">
      <c r="B81" s="399" t="s">
        <v>60</v>
      </c>
      <c r="C81" s="397" t="str">
        <f t="shared" ref="C81:C83" si="17">B43</f>
        <v>直近1年間の採用者数</v>
      </c>
      <c r="D81" s="397" t="str">
        <f>IF(課題タイプ2!D4,"「"&amp;C81&amp;"」","")</f>
        <v/>
      </c>
      <c r="E81" s="397" t="str">
        <f>IF(D81="","「"&amp;B81&amp;"」","")</f>
        <v>「正規雇用」</v>
      </c>
    </row>
    <row r="82" spans="2:16">
      <c r="C82" s="397" t="str">
        <f t="shared" si="17"/>
        <v>平均勤続年数</v>
      </c>
      <c r="D82" s="397" t="str">
        <f>IF(課題タイプ2!D6,"「"&amp;C82&amp;"」","")</f>
        <v/>
      </c>
      <c r="E82" s="397" t="str">
        <f t="shared" ref="E82:E87" si="18">IF(D82="","「"&amp;C82&amp;"」","")</f>
        <v>「平均勤続年数」</v>
      </c>
    </row>
    <row r="83" spans="2:16">
      <c r="C83" s="397" t="str">
        <f t="shared" si="17"/>
        <v>管理職数</v>
      </c>
      <c r="D83" s="397" t="str">
        <f>IF(課題タイプ2!D8,"「"&amp;C83&amp;"」","")</f>
        <v/>
      </c>
      <c r="E83" s="397" t="str">
        <f t="shared" si="18"/>
        <v>「管理職数」</v>
      </c>
    </row>
    <row r="84" spans="2:16">
      <c r="B84" s="399" t="s">
        <v>115</v>
      </c>
      <c r="C84" s="397" t="str">
        <f>B47</f>
        <v>(非正規)直近1年間の採用者数</v>
      </c>
      <c r="D84" s="397" t="str">
        <f>IF(課題タイプ2!D12,"「"&amp;C84&amp;"」","")</f>
        <v/>
      </c>
      <c r="E84" s="397" t="str">
        <f t="shared" si="18"/>
        <v>「(非正規)直近1年間の採用者数」</v>
      </c>
    </row>
    <row r="85" spans="2:16">
      <c r="C85" s="397" t="str">
        <f>B48</f>
        <v>(非正規)平均勤続年数</v>
      </c>
      <c r="D85" s="397" t="str">
        <f>IF(課題タイプ2!D14,"「"&amp;C85&amp;"」","")</f>
        <v/>
      </c>
      <c r="E85" s="397" t="str">
        <f t="shared" si="18"/>
        <v>「(非正規)平均勤続年数」</v>
      </c>
    </row>
    <row r="86" spans="2:16">
      <c r="B86" s="399" t="s">
        <v>60</v>
      </c>
      <c r="C86" s="397" t="str">
        <f>B46</f>
        <v>一月当たりの平均残業時間</v>
      </c>
      <c r="D86" s="397" t="str">
        <f>IF(課題タイプ2!D10,"「"&amp;C86&amp;"」","")</f>
        <v>「一月当たりの平均残業時間」</v>
      </c>
      <c r="E86" s="397" t="str">
        <f t="shared" si="18"/>
        <v/>
      </c>
    </row>
    <row r="87" spans="2:16">
      <c r="B87" s="399" t="s">
        <v>115</v>
      </c>
      <c r="C87" s="397" t="str">
        <f>B49</f>
        <v>(非正規)一月当たりの平均残業時間</v>
      </c>
      <c r="D87" s="397" t="str">
        <f>IF(課題タイプ2!D16,"「"&amp;C87&amp;"」","")</f>
        <v>「(非正規)一月当たりの平均残業時間」</v>
      </c>
      <c r="E87" s="397" t="str">
        <f t="shared" si="18"/>
        <v/>
      </c>
      <c r="G87" s="393"/>
    </row>
    <row r="88" spans="2:16" ht="41.45" customHeight="1">
      <c r="C88" s="965" t="str">
        <f>IF(COUNTIF(D81:D85,"")=7,"参考値もしくは100%以上になっている項目はありませんでした。",IF(COUNTIF(D81:D85,"")=5,"",D81&amp;D82&amp;D83&amp;D84&amp;D85&amp;"が参考値もしくは100%以上でした。"&amp;CHAR(10))&amp;IF(COUNTIF(D86:D87,"")=2,"",D86&amp;D87&amp;"については男女とも参考値以下でした。"&amp;CHAR(10))&amp;IF(COUNTIF(D81:D87,"")=7,"","引き続き女性活躍の取り組みを継続しましょう！"))</f>
        <v>「一月当たりの平均残業時間」「(非正規)一月当たりの平均残業時間」については男女とも参考値以下でした。
引き続き女性活躍の取り組みを継続しましょう！</v>
      </c>
      <c r="D88" s="965"/>
      <c r="E88" s="965"/>
      <c r="F88" s="965"/>
      <c r="G88" s="965"/>
      <c r="H88" s="965"/>
      <c r="I88" s="965"/>
      <c r="J88" s="965"/>
      <c r="K88" s="965"/>
    </row>
    <row r="89" spans="2:16" ht="35.450000000000003" customHeight="1">
      <c r="C89" s="965" t="str">
        <f>VLOOKUP(TRUE,課題タイプ!$P:$T,4,0)</f>
        <v>貴社は【課題タイプ①　採用した労働者に占める女性割合が低い（又は労働者に占める女性割合が低い）企業】の可能性が高いです。</v>
      </c>
      <c r="D89" s="965"/>
      <c r="E89" s="965"/>
      <c r="F89" s="965"/>
      <c r="G89" s="965"/>
      <c r="H89" s="965"/>
      <c r="I89" s="965"/>
      <c r="J89" s="965"/>
      <c r="K89" s="965"/>
    </row>
    <row r="90" spans="2:16" ht="76.900000000000006" customHeight="1">
      <c r="C90" s="965" t="str">
        <f>IF(COUNTIF(E81:E84,"")=4,"",E81&amp;E82&amp;E83&amp;E84&amp;E85&amp;"が参考値未満かつ100%未満となっており、男女間賃金差異が生じる要因の一つとなっているかもしれません。"&amp;CHAR(10))&amp;IF(COUNTIF(E86:E87,"")=2,"",E86&amp;E87&amp;"が参考値もしくは100％を上回っています。今後は一層残業時間に留意の上、女性活躍を推進しましょう！"&amp;CHAR(10))&amp;"「男女間賃金差異が生じる要因」の詳細については「男女間賃金差異分析ツール活用パンフレット」の「5.見える化された課題ごとの雇用管理の見直し方法」を参照してください。"</f>
        <v>「正規雇用」「平均勤続年数」「管理職数」「(非正規)直近1年間の採用者数」「(非正規)平均勤続年数」が参考値未満かつ100%未満となっており、男女間賃金差異が生じる要因の一つとなっているかもしれません。
「男女間賃金差異が生じる要因」の詳細については「男女間賃金差異分析ツール活用パンフレット」の「5.見える化された課題ごとの雇用管理の見直し方法」を参照してください。</v>
      </c>
      <c r="D90" s="965"/>
      <c r="E90" s="965"/>
      <c r="F90" s="965"/>
      <c r="G90" s="965"/>
      <c r="H90" s="965"/>
      <c r="I90" s="965"/>
      <c r="J90" s="965"/>
      <c r="K90" s="965"/>
    </row>
    <row r="91" spans="2:16" ht="9" customHeight="1" thickBot="1">
      <c r="B91" s="405"/>
      <c r="C91" s="405"/>
      <c r="D91" s="407"/>
      <c r="E91" s="405"/>
      <c r="F91" s="405"/>
      <c r="G91" s="407"/>
      <c r="H91" s="407"/>
      <c r="I91" s="408"/>
      <c r="J91" s="407"/>
      <c r="K91" s="406"/>
      <c r="L91" s="406"/>
      <c r="M91" s="406"/>
      <c r="N91" s="406"/>
      <c r="O91" s="406"/>
      <c r="P91" s="406"/>
    </row>
    <row r="92" spans="2:16" ht="9" customHeight="1" thickTop="1">
      <c r="B92" s="394"/>
      <c r="C92" s="394"/>
      <c r="D92" s="402"/>
      <c r="E92" s="394"/>
      <c r="F92" s="394"/>
      <c r="G92" s="402"/>
      <c r="H92" s="402"/>
      <c r="I92" s="403"/>
      <c r="J92" s="402"/>
      <c r="K92" s="404"/>
      <c r="L92" s="404"/>
      <c r="M92" s="404"/>
      <c r="N92" s="404"/>
      <c r="O92" s="404"/>
      <c r="P92" s="404"/>
    </row>
    <row r="93" spans="2:16">
      <c r="B93" s="399" t="s">
        <v>1239</v>
      </c>
    </row>
    <row r="94" spans="2:16">
      <c r="B94" s="393" t="s">
        <v>18</v>
      </c>
      <c r="C94" s="396" t="s">
        <v>195</v>
      </c>
    </row>
    <row r="95" spans="2:16">
      <c r="B95" s="393" t="s">
        <v>19</v>
      </c>
      <c r="C95" s="396" t="s">
        <v>196</v>
      </c>
    </row>
    <row r="96" spans="2:16">
      <c r="B96" s="393" t="s">
        <v>13</v>
      </c>
      <c r="C96" s="396" t="s">
        <v>197</v>
      </c>
    </row>
    <row r="97" spans="2:16" ht="20.45" customHeight="1">
      <c r="B97" s="396" t="s">
        <v>1238</v>
      </c>
    </row>
    <row r="98" spans="2:16" ht="9" customHeight="1" thickBot="1">
      <c r="B98" s="405"/>
      <c r="C98" s="405"/>
      <c r="D98" s="407"/>
      <c r="E98" s="405"/>
      <c r="F98" s="405"/>
      <c r="G98" s="407"/>
      <c r="H98" s="407"/>
      <c r="I98" s="408"/>
      <c r="J98" s="407"/>
      <c r="K98" s="406"/>
      <c r="L98" s="406"/>
      <c r="M98" s="406"/>
      <c r="N98" s="406"/>
      <c r="O98" s="406"/>
      <c r="P98" s="406"/>
    </row>
    <row r="99" spans="2:16" ht="16.5" thickTop="1"/>
    <row r="105" spans="2:16">
      <c r="B105" s="399"/>
    </row>
    <row r="110" spans="2:16">
      <c r="B110" s="463"/>
    </row>
    <row r="112" spans="2:16">
      <c r="B112" s="464"/>
      <c r="E112" s="419"/>
      <c r="F112" s="439"/>
      <c r="I112" s="465"/>
      <c r="J112" s="466"/>
    </row>
    <row r="113" spans="2:10">
      <c r="B113" s="463"/>
      <c r="E113" s="419"/>
      <c r="F113" s="439"/>
      <c r="I113" s="465"/>
      <c r="J113" s="466"/>
    </row>
    <row r="114" spans="2:10">
      <c r="B114" s="463"/>
      <c r="E114" s="419"/>
      <c r="F114" s="439"/>
      <c r="I114" s="465"/>
      <c r="J114" s="466"/>
    </row>
    <row r="115" spans="2:10">
      <c r="B115" s="463"/>
      <c r="F115" s="439"/>
      <c r="I115" s="465"/>
      <c r="J115" s="466"/>
    </row>
    <row r="163" spans="10:10">
      <c r="J163" s="442"/>
    </row>
    <row r="164" spans="10:10">
      <c r="J164" s="466"/>
    </row>
  </sheetData>
  <sheetProtection algorithmName="SHA-512" hashValue="jMvFkfIUAwEqaTwEX/mVqs+ceLqMy1CAtcrlRyZNUL+GivsCwtP54s/VMfszwwdUXSg5fk4sPapxR2cUukCJgA==" saltValue="rfuA1BlKqMof6t2sgIkN8g==" spinCount="100000" sheet="1" selectLockedCells="1" selectUnlockedCells="1"/>
  <mergeCells count="4">
    <mergeCell ref="C77:K77"/>
    <mergeCell ref="C88:K88"/>
    <mergeCell ref="C90:K90"/>
    <mergeCell ref="C89:K89"/>
  </mergeCells>
  <phoneticPr fontId="3"/>
  <pageMargins left="0.7" right="0.7" top="0.75" bottom="0.75"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06DF8-DEC1-3F46-A866-7FF39B31F97D}">
  <dimension ref="A1:J4476"/>
  <sheetViews>
    <sheetView topLeftCell="XFD3950" workbookViewId="0">
      <selection activeCell="A3950" sqref="A1:XFD1048576"/>
    </sheetView>
  </sheetViews>
  <sheetFormatPr defaultColWidth="0" defaultRowHeight="24" customHeight="1"/>
  <cols>
    <col min="1" max="1" width="17.6640625" style="5" hidden="1" customWidth="1"/>
    <col min="2" max="9" width="8.5546875" style="4" hidden="1" customWidth="1"/>
    <col min="10" max="16384" width="8.5546875" hidden="1"/>
  </cols>
  <sheetData>
    <row r="1" spans="1:10" ht="24" customHeight="1">
      <c r="B1" s="966" t="s">
        <v>474</v>
      </c>
      <c r="C1" s="966"/>
      <c r="D1" s="966"/>
      <c r="E1" s="966"/>
      <c r="F1" s="966"/>
      <c r="G1" s="966"/>
      <c r="H1" s="966"/>
      <c r="I1" s="966"/>
    </row>
    <row r="2" spans="1:10" ht="24" customHeight="1">
      <c r="A2" s="967" t="s">
        <v>475</v>
      </c>
      <c r="B2" s="966" t="s">
        <v>476</v>
      </c>
      <c r="C2" s="966"/>
      <c r="D2" s="968" t="s">
        <v>477</v>
      </c>
      <c r="E2" s="966"/>
      <c r="F2" s="966" t="s">
        <v>478</v>
      </c>
      <c r="G2" s="966"/>
      <c r="H2" s="966" t="s">
        <v>479</v>
      </c>
      <c r="I2" s="966"/>
      <c r="J2">
        <f>SUBTOTAL(3,A:A)-1</f>
        <v>4473</v>
      </c>
    </row>
    <row r="3" spans="1:10" ht="24" customHeight="1">
      <c r="A3" s="967"/>
      <c r="B3" s="6" t="s">
        <v>24</v>
      </c>
      <c r="C3" s="6" t="s">
        <v>25</v>
      </c>
      <c r="D3" s="6" t="s">
        <v>24</v>
      </c>
      <c r="E3" s="6" t="s">
        <v>25</v>
      </c>
      <c r="F3" s="6" t="s">
        <v>24</v>
      </c>
      <c r="G3" s="6" t="s">
        <v>25</v>
      </c>
      <c r="H3" s="6" t="s">
        <v>24</v>
      </c>
      <c r="I3" s="6" t="s">
        <v>25</v>
      </c>
    </row>
    <row r="4" spans="1:10" ht="24" customHeight="1">
      <c r="A4" s="6" t="s">
        <v>216</v>
      </c>
      <c r="B4">
        <v>10017</v>
      </c>
      <c r="C4">
        <v>1943</v>
      </c>
      <c r="D4">
        <v>516727</v>
      </c>
      <c r="E4">
        <v>390310</v>
      </c>
      <c r="F4">
        <v>12.2</v>
      </c>
      <c r="G4">
        <v>6.7</v>
      </c>
      <c r="H4">
        <v>14.4</v>
      </c>
      <c r="I4">
        <v>10.8</v>
      </c>
    </row>
    <row r="5" spans="1:10" ht="24" customHeight="1">
      <c r="A5" s="6" t="s">
        <v>217</v>
      </c>
      <c r="B5">
        <v>1597627</v>
      </c>
      <c r="C5">
        <v>344873</v>
      </c>
      <c r="D5">
        <v>483696</v>
      </c>
      <c r="E5">
        <v>313917</v>
      </c>
      <c r="F5">
        <v>13.3</v>
      </c>
      <c r="G5">
        <v>7.4</v>
      </c>
      <c r="H5">
        <v>13.5</v>
      </c>
      <c r="I5">
        <v>9.9</v>
      </c>
    </row>
    <row r="6" spans="1:10" ht="24" customHeight="1">
      <c r="A6" s="6" t="s">
        <v>218</v>
      </c>
      <c r="B6">
        <v>4901655</v>
      </c>
      <c r="C6">
        <v>2436877</v>
      </c>
      <c r="D6">
        <v>464147</v>
      </c>
      <c r="E6">
        <v>247120</v>
      </c>
      <c r="F6">
        <v>14.5</v>
      </c>
      <c r="G6">
        <v>8.6</v>
      </c>
      <c r="H6">
        <v>15.3</v>
      </c>
      <c r="I6">
        <v>10.4</v>
      </c>
    </row>
    <row r="7" spans="1:10" ht="24" customHeight="1">
      <c r="A7" s="6" t="s">
        <v>219</v>
      </c>
      <c r="B7">
        <v>651903</v>
      </c>
      <c r="C7">
        <v>863800</v>
      </c>
      <c r="D7">
        <v>358550</v>
      </c>
      <c r="E7">
        <v>186895</v>
      </c>
      <c r="F7">
        <v>14.7</v>
      </c>
      <c r="G7">
        <v>11.5</v>
      </c>
      <c r="H7">
        <v>12.5</v>
      </c>
      <c r="I7">
        <v>8.4</v>
      </c>
    </row>
    <row r="8" spans="1:10" ht="24" customHeight="1">
      <c r="A8" s="6" t="s">
        <v>220</v>
      </c>
      <c r="B8">
        <v>250101</v>
      </c>
      <c r="C8">
        <v>415596</v>
      </c>
      <c r="D8">
        <v>361794</v>
      </c>
      <c r="E8">
        <v>196498</v>
      </c>
      <c r="F8">
        <v>19</v>
      </c>
      <c r="G8">
        <v>16.399999999999999</v>
      </c>
      <c r="H8">
        <v>13</v>
      </c>
      <c r="I8">
        <v>8</v>
      </c>
    </row>
    <row r="9" spans="1:10" ht="24" customHeight="1">
      <c r="A9" s="6" t="s">
        <v>221</v>
      </c>
      <c r="B9">
        <v>145283</v>
      </c>
      <c r="C9">
        <v>70119</v>
      </c>
      <c r="D9">
        <v>466292</v>
      </c>
      <c r="E9">
        <v>313157</v>
      </c>
      <c r="F9">
        <v>20.7</v>
      </c>
      <c r="G9">
        <v>17.3</v>
      </c>
      <c r="H9">
        <v>15.4</v>
      </c>
      <c r="I9">
        <v>8.3000000000000007</v>
      </c>
    </row>
    <row r="10" spans="1:10" ht="24" customHeight="1">
      <c r="A10" s="6" t="s">
        <v>1786</v>
      </c>
      <c r="B10">
        <v>136643</v>
      </c>
      <c r="C10">
        <v>159725</v>
      </c>
      <c r="D10">
        <v>306472</v>
      </c>
      <c r="E10">
        <v>165908</v>
      </c>
      <c r="F10">
        <v>9.9</v>
      </c>
      <c r="G10">
        <v>4.5999999999999996</v>
      </c>
      <c r="H10">
        <v>11.3</v>
      </c>
      <c r="I10">
        <v>9</v>
      </c>
    </row>
    <row r="11" spans="1:10" ht="24" customHeight="1">
      <c r="A11" s="6" t="s">
        <v>1787</v>
      </c>
      <c r="B11">
        <v>102668</v>
      </c>
      <c r="C11">
        <v>58782</v>
      </c>
      <c r="D11">
        <v>346422</v>
      </c>
      <c r="E11">
        <v>233284</v>
      </c>
      <c r="F11">
        <v>10.8</v>
      </c>
      <c r="G11">
        <v>5.8</v>
      </c>
      <c r="H11">
        <v>11.7</v>
      </c>
      <c r="I11">
        <v>9.5</v>
      </c>
    </row>
    <row r="12" spans="1:10" ht="24" customHeight="1">
      <c r="A12" s="6" t="s">
        <v>1788</v>
      </c>
      <c r="B12">
        <v>94211</v>
      </c>
      <c r="C12">
        <v>119974</v>
      </c>
      <c r="D12">
        <v>363051</v>
      </c>
      <c r="E12">
        <v>199853</v>
      </c>
      <c r="F12">
        <v>13.7</v>
      </c>
      <c r="G12">
        <v>10</v>
      </c>
      <c r="H12">
        <v>12.4</v>
      </c>
      <c r="I12">
        <v>9.1999999999999993</v>
      </c>
    </row>
    <row r="13" spans="1:10" ht="24" customHeight="1">
      <c r="A13" s="6" t="s">
        <v>1789</v>
      </c>
      <c r="B13">
        <v>67260</v>
      </c>
      <c r="C13">
        <v>40730</v>
      </c>
      <c r="D13">
        <v>424857</v>
      </c>
      <c r="E13">
        <v>286753</v>
      </c>
      <c r="F13">
        <v>14.4</v>
      </c>
      <c r="G13">
        <v>13.4</v>
      </c>
      <c r="H13">
        <v>14.3</v>
      </c>
      <c r="I13">
        <v>10.5</v>
      </c>
    </row>
    <row r="14" spans="1:10" ht="24" customHeight="1">
      <c r="A14" s="6" t="s">
        <v>1790</v>
      </c>
      <c r="B14">
        <v>170949</v>
      </c>
      <c r="C14">
        <v>168505</v>
      </c>
      <c r="D14">
        <v>392950</v>
      </c>
      <c r="E14">
        <v>173880</v>
      </c>
      <c r="F14">
        <v>12.8</v>
      </c>
      <c r="G14">
        <v>7</v>
      </c>
      <c r="H14">
        <v>12.8</v>
      </c>
      <c r="I14">
        <v>8.4</v>
      </c>
    </row>
    <row r="15" spans="1:10" ht="24" customHeight="1">
      <c r="A15" s="6" t="s">
        <v>1791</v>
      </c>
      <c r="B15">
        <v>112614</v>
      </c>
      <c r="C15">
        <v>35752</v>
      </c>
      <c r="D15">
        <v>516757</v>
      </c>
      <c r="E15">
        <v>359188</v>
      </c>
      <c r="F15">
        <v>15.4</v>
      </c>
      <c r="G15">
        <v>13.4</v>
      </c>
      <c r="H15">
        <v>16.3</v>
      </c>
      <c r="I15">
        <v>10.6</v>
      </c>
    </row>
    <row r="16" spans="1:10" ht="24" customHeight="1">
      <c r="A16" s="6" t="s">
        <v>223</v>
      </c>
      <c r="B16">
        <v>67378</v>
      </c>
      <c r="C16">
        <v>32667</v>
      </c>
      <c r="D16">
        <v>429443</v>
      </c>
      <c r="E16">
        <v>245771</v>
      </c>
      <c r="F16">
        <v>12.6</v>
      </c>
      <c r="G16">
        <v>6</v>
      </c>
      <c r="H16">
        <v>14.5</v>
      </c>
      <c r="I16">
        <v>9.8000000000000007</v>
      </c>
    </row>
    <row r="17" spans="1:9" ht="24" customHeight="1">
      <c r="A17" s="6" t="s">
        <v>224</v>
      </c>
      <c r="B17">
        <v>12934</v>
      </c>
      <c r="C17">
        <v>2908</v>
      </c>
      <c r="D17">
        <v>552926</v>
      </c>
      <c r="E17">
        <v>364407</v>
      </c>
      <c r="F17">
        <v>16</v>
      </c>
      <c r="G17">
        <v>9.8000000000000007</v>
      </c>
      <c r="H17">
        <v>15.9</v>
      </c>
      <c r="I17">
        <v>11.9</v>
      </c>
    </row>
    <row r="18" spans="1:9" ht="24" customHeight="1">
      <c r="A18" s="6" t="s">
        <v>225</v>
      </c>
      <c r="B18">
        <v>11461</v>
      </c>
      <c r="C18">
        <v>1828</v>
      </c>
      <c r="D18">
        <v>587222</v>
      </c>
      <c r="E18">
        <v>450634</v>
      </c>
      <c r="F18">
        <v>16.8</v>
      </c>
      <c r="G18">
        <v>12.5</v>
      </c>
      <c r="H18">
        <v>16.5</v>
      </c>
      <c r="I18">
        <v>14.4</v>
      </c>
    </row>
    <row r="19" spans="1:9" ht="24" customHeight="1">
      <c r="A19" s="6" t="s">
        <v>1792</v>
      </c>
      <c r="B19">
        <v>25405</v>
      </c>
      <c r="C19">
        <v>16557</v>
      </c>
      <c r="D19">
        <v>356637</v>
      </c>
      <c r="E19">
        <v>198569</v>
      </c>
      <c r="F19">
        <v>7.5</v>
      </c>
      <c r="G19">
        <v>3.6</v>
      </c>
      <c r="H19">
        <v>12.4</v>
      </c>
      <c r="I19">
        <v>8.4</v>
      </c>
    </row>
    <row r="20" spans="1:9" ht="24" customHeight="1">
      <c r="A20" s="6" t="s">
        <v>1793</v>
      </c>
      <c r="B20">
        <v>20767</v>
      </c>
      <c r="C20">
        <v>6767</v>
      </c>
      <c r="D20">
        <v>389564</v>
      </c>
      <c r="E20">
        <v>288345</v>
      </c>
      <c r="F20">
        <v>8.1999999999999993</v>
      </c>
      <c r="G20">
        <v>6.5</v>
      </c>
      <c r="H20">
        <v>13</v>
      </c>
      <c r="I20">
        <v>10.3</v>
      </c>
    </row>
    <row r="21" spans="1:9" ht="24" customHeight="1">
      <c r="A21" s="6" t="s">
        <v>1794</v>
      </c>
      <c r="B21">
        <v>12058</v>
      </c>
      <c r="C21">
        <v>7166</v>
      </c>
      <c r="D21">
        <v>395597</v>
      </c>
      <c r="E21">
        <v>233462</v>
      </c>
      <c r="F21">
        <v>12.9</v>
      </c>
      <c r="G21">
        <v>5.4</v>
      </c>
      <c r="H21">
        <v>14.9</v>
      </c>
      <c r="I21">
        <v>10</v>
      </c>
    </row>
    <row r="22" spans="1:9" ht="24" customHeight="1">
      <c r="A22" s="6" t="s">
        <v>1795</v>
      </c>
      <c r="B22">
        <v>9922</v>
      </c>
      <c r="C22">
        <v>3705</v>
      </c>
      <c r="D22">
        <v>428050</v>
      </c>
      <c r="E22">
        <v>305414</v>
      </c>
      <c r="F22">
        <v>14.1</v>
      </c>
      <c r="G22">
        <v>8.3000000000000007</v>
      </c>
      <c r="H22">
        <v>14.3</v>
      </c>
      <c r="I22">
        <v>10.6</v>
      </c>
    </row>
    <row r="23" spans="1:9" ht="24" customHeight="1">
      <c r="A23" s="6" t="s">
        <v>1796</v>
      </c>
      <c r="B23">
        <v>16981</v>
      </c>
      <c r="C23">
        <v>6036</v>
      </c>
      <c r="D23">
        <v>468348</v>
      </c>
      <c r="E23">
        <v>332700</v>
      </c>
      <c r="F23">
        <v>17.3</v>
      </c>
      <c r="G23">
        <v>11.2</v>
      </c>
      <c r="H23">
        <v>16.399999999999999</v>
      </c>
      <c r="I23">
        <v>12.6</v>
      </c>
    </row>
    <row r="24" spans="1:9" ht="24" customHeight="1">
      <c r="A24" s="6" t="s">
        <v>1797</v>
      </c>
      <c r="B24">
        <v>15264</v>
      </c>
      <c r="C24">
        <v>4541</v>
      </c>
      <c r="D24">
        <v>490883</v>
      </c>
      <c r="E24">
        <v>380588</v>
      </c>
      <c r="F24">
        <v>17.7</v>
      </c>
      <c r="G24">
        <v>12.7</v>
      </c>
      <c r="H24">
        <v>16.7</v>
      </c>
      <c r="I24">
        <v>14.4</v>
      </c>
    </row>
    <row r="25" spans="1:9" ht="24" customHeight="1">
      <c r="A25" s="6" t="s">
        <v>227</v>
      </c>
      <c r="B25">
        <v>84487</v>
      </c>
      <c r="C25">
        <v>127898</v>
      </c>
      <c r="D25">
        <v>369209</v>
      </c>
      <c r="E25">
        <v>202946</v>
      </c>
      <c r="F25">
        <v>9.4</v>
      </c>
      <c r="G25">
        <v>6.4</v>
      </c>
      <c r="H25">
        <v>15</v>
      </c>
      <c r="I25">
        <v>12.2</v>
      </c>
    </row>
    <row r="26" spans="1:9" ht="24" customHeight="1">
      <c r="A26" s="6" t="s">
        <v>228</v>
      </c>
      <c r="B26">
        <v>8567</v>
      </c>
      <c r="C26">
        <v>6705</v>
      </c>
      <c r="D26">
        <v>541380</v>
      </c>
      <c r="E26">
        <v>286001</v>
      </c>
      <c r="F26">
        <v>7.6</v>
      </c>
      <c r="G26">
        <v>7</v>
      </c>
      <c r="H26">
        <v>18</v>
      </c>
      <c r="I26">
        <v>13.1</v>
      </c>
    </row>
    <row r="27" spans="1:9" ht="24" customHeight="1">
      <c r="A27" s="6" t="s">
        <v>229</v>
      </c>
      <c r="B27">
        <v>7952</v>
      </c>
      <c r="C27">
        <v>5187</v>
      </c>
      <c r="D27">
        <v>557119</v>
      </c>
      <c r="E27">
        <v>313322</v>
      </c>
      <c r="F27">
        <v>8</v>
      </c>
      <c r="G27">
        <v>6.9</v>
      </c>
      <c r="H27">
        <v>17.3</v>
      </c>
      <c r="I27">
        <v>12.3</v>
      </c>
    </row>
    <row r="28" spans="1:9" ht="24" customHeight="1">
      <c r="A28" s="6" t="s">
        <v>1798</v>
      </c>
      <c r="B28">
        <v>50655</v>
      </c>
      <c r="C28">
        <v>88068</v>
      </c>
      <c r="D28">
        <v>329929</v>
      </c>
      <c r="E28">
        <v>185736</v>
      </c>
      <c r="F28">
        <v>10.1</v>
      </c>
      <c r="G28">
        <v>6.3</v>
      </c>
      <c r="H28">
        <v>13.4</v>
      </c>
      <c r="I28">
        <v>11.2</v>
      </c>
    </row>
    <row r="29" spans="1:9" ht="24" customHeight="1">
      <c r="A29" s="6" t="s">
        <v>1799</v>
      </c>
      <c r="B29">
        <v>43210</v>
      </c>
      <c r="C29">
        <v>46395</v>
      </c>
      <c r="D29">
        <v>350124</v>
      </c>
      <c r="E29">
        <v>221984</v>
      </c>
      <c r="F29">
        <v>10.199999999999999</v>
      </c>
      <c r="G29">
        <v>5.3</v>
      </c>
      <c r="H29">
        <v>12.9</v>
      </c>
      <c r="I29">
        <v>12.7</v>
      </c>
    </row>
    <row r="30" spans="1:9" ht="24" customHeight="1">
      <c r="A30" s="6" t="s">
        <v>1800</v>
      </c>
      <c r="B30">
        <v>19605</v>
      </c>
      <c r="C30">
        <v>24626</v>
      </c>
      <c r="D30">
        <v>385501</v>
      </c>
      <c r="E30">
        <v>234352</v>
      </c>
      <c r="F30">
        <v>8.9</v>
      </c>
      <c r="G30">
        <v>7.7</v>
      </c>
      <c r="H30">
        <v>17.3</v>
      </c>
      <c r="I30">
        <v>15.1</v>
      </c>
    </row>
    <row r="31" spans="1:9" ht="24" customHeight="1">
      <c r="A31" s="6" t="s">
        <v>1801</v>
      </c>
      <c r="B31">
        <v>16888</v>
      </c>
      <c r="C31">
        <v>16459</v>
      </c>
      <c r="D31">
        <v>403877</v>
      </c>
      <c r="E31">
        <v>256274</v>
      </c>
      <c r="F31">
        <v>9.6999999999999993</v>
      </c>
      <c r="G31">
        <v>6.7</v>
      </c>
      <c r="H31">
        <v>16.8</v>
      </c>
      <c r="I31">
        <v>16</v>
      </c>
    </row>
    <row r="32" spans="1:9" ht="24" customHeight="1">
      <c r="A32" s="6" t="s">
        <v>1802</v>
      </c>
      <c r="B32">
        <v>5660</v>
      </c>
      <c r="C32">
        <v>8499</v>
      </c>
      <c r="D32">
        <v>403726</v>
      </c>
      <c r="E32">
        <v>224748</v>
      </c>
      <c r="F32">
        <v>8.3000000000000007</v>
      </c>
      <c r="G32">
        <v>3.6</v>
      </c>
      <c r="H32">
        <v>16.8</v>
      </c>
      <c r="I32">
        <v>14.2</v>
      </c>
    </row>
    <row r="33" spans="1:9" ht="24" customHeight="1">
      <c r="A33" s="6" t="s">
        <v>1803</v>
      </c>
      <c r="B33">
        <v>4635</v>
      </c>
      <c r="C33">
        <v>5641</v>
      </c>
      <c r="D33">
        <v>439238</v>
      </c>
      <c r="E33">
        <v>254459</v>
      </c>
      <c r="F33">
        <v>8.6</v>
      </c>
      <c r="G33">
        <v>2.5</v>
      </c>
      <c r="H33">
        <v>16</v>
      </c>
      <c r="I33">
        <v>15.4</v>
      </c>
    </row>
    <row r="34" spans="1:9" ht="24" customHeight="1">
      <c r="A34" s="6" t="s">
        <v>231</v>
      </c>
      <c r="B34">
        <v>58932</v>
      </c>
      <c r="C34">
        <v>15857</v>
      </c>
      <c r="D34">
        <v>363582</v>
      </c>
      <c r="E34">
        <v>235903</v>
      </c>
      <c r="F34">
        <v>13.1</v>
      </c>
      <c r="G34">
        <v>4.8</v>
      </c>
      <c r="H34">
        <v>12.5</v>
      </c>
      <c r="I34">
        <v>11</v>
      </c>
    </row>
    <row r="35" spans="1:9" ht="24" customHeight="1">
      <c r="A35" s="6" t="s">
        <v>232</v>
      </c>
      <c r="B35">
        <v>4916</v>
      </c>
      <c r="C35">
        <v>779</v>
      </c>
      <c r="D35">
        <v>468267</v>
      </c>
      <c r="E35">
        <v>334467</v>
      </c>
      <c r="F35">
        <v>22.1</v>
      </c>
      <c r="G35">
        <v>9.5</v>
      </c>
      <c r="H35">
        <v>14.6</v>
      </c>
      <c r="I35">
        <v>11</v>
      </c>
    </row>
    <row r="36" spans="1:9" ht="24" customHeight="1">
      <c r="A36" s="6" t="s">
        <v>233</v>
      </c>
      <c r="B36">
        <v>4350</v>
      </c>
      <c r="C36">
        <v>647</v>
      </c>
      <c r="D36">
        <v>486713</v>
      </c>
      <c r="E36">
        <v>350304</v>
      </c>
      <c r="F36">
        <v>21.3</v>
      </c>
      <c r="G36">
        <v>9.4</v>
      </c>
      <c r="H36">
        <v>15.4</v>
      </c>
      <c r="I36">
        <v>11.1</v>
      </c>
    </row>
    <row r="37" spans="1:9" ht="24" customHeight="1">
      <c r="A37" s="6" t="s">
        <v>1804</v>
      </c>
      <c r="B37">
        <v>32781</v>
      </c>
      <c r="C37">
        <v>10743</v>
      </c>
      <c r="D37">
        <v>336424</v>
      </c>
      <c r="E37">
        <v>214005</v>
      </c>
      <c r="F37">
        <v>9.3000000000000007</v>
      </c>
      <c r="G37">
        <v>3.3</v>
      </c>
      <c r="H37">
        <v>12.2</v>
      </c>
      <c r="I37">
        <v>11.2</v>
      </c>
    </row>
    <row r="38" spans="1:9" ht="24" customHeight="1">
      <c r="A38" s="6" t="s">
        <v>1805</v>
      </c>
      <c r="B38">
        <v>27217</v>
      </c>
      <c r="C38">
        <v>6943</v>
      </c>
      <c r="D38">
        <v>360824</v>
      </c>
      <c r="E38">
        <v>261276</v>
      </c>
      <c r="F38">
        <v>9.9</v>
      </c>
      <c r="G38">
        <v>4.2</v>
      </c>
      <c r="H38">
        <v>12.4</v>
      </c>
      <c r="I38">
        <v>12</v>
      </c>
    </row>
    <row r="39" spans="1:9" ht="24" customHeight="1">
      <c r="A39" s="6" t="s">
        <v>1806</v>
      </c>
      <c r="B39">
        <v>11216</v>
      </c>
      <c r="C39">
        <v>2629</v>
      </c>
      <c r="D39">
        <v>378211</v>
      </c>
      <c r="E39">
        <v>251988</v>
      </c>
      <c r="F39">
        <v>14.2</v>
      </c>
      <c r="G39">
        <v>5.6</v>
      </c>
      <c r="H39">
        <v>13.9</v>
      </c>
      <c r="I39">
        <v>10.6</v>
      </c>
    </row>
    <row r="40" spans="1:9" ht="24" customHeight="1">
      <c r="A40" s="6" t="s">
        <v>1807</v>
      </c>
      <c r="B40">
        <v>9564</v>
      </c>
      <c r="C40">
        <v>1790</v>
      </c>
      <c r="D40">
        <v>397970</v>
      </c>
      <c r="E40">
        <v>298563</v>
      </c>
      <c r="F40">
        <v>14.6</v>
      </c>
      <c r="G40">
        <v>7.4</v>
      </c>
      <c r="H40">
        <v>14.1</v>
      </c>
      <c r="I40">
        <v>10.1</v>
      </c>
    </row>
    <row r="41" spans="1:9" ht="24" customHeight="1">
      <c r="A41" s="6" t="s">
        <v>1808</v>
      </c>
      <c r="B41">
        <v>10020</v>
      </c>
      <c r="C41">
        <v>1705</v>
      </c>
      <c r="D41">
        <v>384700</v>
      </c>
      <c r="E41">
        <v>304043</v>
      </c>
      <c r="F41">
        <v>20</v>
      </c>
      <c r="G41">
        <v>10.5</v>
      </c>
      <c r="H41">
        <v>10.9</v>
      </c>
      <c r="I41">
        <v>9.9</v>
      </c>
    </row>
    <row r="42" spans="1:9" ht="24" customHeight="1">
      <c r="A42" s="6" t="s">
        <v>1809</v>
      </c>
      <c r="B42">
        <v>7383</v>
      </c>
      <c r="C42">
        <v>1326</v>
      </c>
      <c r="D42">
        <v>430240</v>
      </c>
      <c r="E42">
        <v>331853</v>
      </c>
      <c r="F42">
        <v>19.8</v>
      </c>
      <c r="G42">
        <v>10.6</v>
      </c>
      <c r="H42">
        <v>12.1</v>
      </c>
      <c r="I42">
        <v>11.2</v>
      </c>
    </row>
    <row r="43" spans="1:9" ht="24" customHeight="1">
      <c r="A43" s="6" t="s">
        <v>235</v>
      </c>
      <c r="B43">
        <v>49813</v>
      </c>
      <c r="C43">
        <v>19214</v>
      </c>
      <c r="D43">
        <v>378738</v>
      </c>
      <c r="E43">
        <v>252053</v>
      </c>
      <c r="F43">
        <v>11</v>
      </c>
      <c r="G43">
        <v>5.9</v>
      </c>
      <c r="H43">
        <v>15.5</v>
      </c>
      <c r="I43">
        <v>10.8</v>
      </c>
    </row>
    <row r="44" spans="1:9" ht="24" customHeight="1">
      <c r="A44" s="6" t="s">
        <v>236</v>
      </c>
      <c r="B44">
        <v>9831</v>
      </c>
      <c r="C44">
        <v>3880</v>
      </c>
      <c r="D44">
        <v>502498</v>
      </c>
      <c r="E44">
        <v>323105</v>
      </c>
      <c r="F44">
        <v>17.5</v>
      </c>
      <c r="G44">
        <v>10.6</v>
      </c>
      <c r="H44">
        <v>17.3</v>
      </c>
      <c r="I44">
        <v>12.2</v>
      </c>
    </row>
    <row r="45" spans="1:9" ht="24" customHeight="1">
      <c r="A45" s="6" t="s">
        <v>237</v>
      </c>
      <c r="B45">
        <v>8392</v>
      </c>
      <c r="C45">
        <v>2159</v>
      </c>
      <c r="D45">
        <v>536574</v>
      </c>
      <c r="E45">
        <v>403759</v>
      </c>
      <c r="F45">
        <v>18.5</v>
      </c>
      <c r="G45">
        <v>13.5</v>
      </c>
      <c r="H45">
        <v>18.2</v>
      </c>
      <c r="I45">
        <v>14.3</v>
      </c>
    </row>
    <row r="46" spans="1:9" ht="24" customHeight="1">
      <c r="A46" s="6" t="s">
        <v>1810</v>
      </c>
      <c r="B46">
        <v>24276</v>
      </c>
      <c r="C46">
        <v>10150</v>
      </c>
      <c r="D46">
        <v>325093</v>
      </c>
      <c r="E46">
        <v>204081</v>
      </c>
      <c r="F46">
        <v>10.7</v>
      </c>
      <c r="G46">
        <v>3.9</v>
      </c>
      <c r="H46">
        <v>13.6</v>
      </c>
      <c r="I46">
        <v>9.8000000000000007</v>
      </c>
    </row>
    <row r="47" spans="1:9" ht="24" customHeight="1">
      <c r="A47" s="6" t="s">
        <v>1811</v>
      </c>
      <c r="B47">
        <v>20669</v>
      </c>
      <c r="C47">
        <v>5811</v>
      </c>
      <c r="D47">
        <v>348048</v>
      </c>
      <c r="E47">
        <v>261870</v>
      </c>
      <c r="F47">
        <v>11.8</v>
      </c>
      <c r="G47">
        <v>5.6</v>
      </c>
      <c r="H47">
        <v>13.8</v>
      </c>
      <c r="I47">
        <v>10.9</v>
      </c>
    </row>
    <row r="48" spans="1:9" ht="24" customHeight="1">
      <c r="A48" s="6" t="s">
        <v>1812</v>
      </c>
      <c r="B48">
        <v>12142</v>
      </c>
      <c r="C48">
        <v>3709</v>
      </c>
      <c r="D48">
        <v>381832</v>
      </c>
      <c r="E48">
        <v>288388</v>
      </c>
      <c r="F48">
        <v>7.6</v>
      </c>
      <c r="G48">
        <v>7.4</v>
      </c>
      <c r="H48">
        <v>17.100000000000001</v>
      </c>
      <c r="I48">
        <v>10.6</v>
      </c>
    </row>
    <row r="49" spans="1:9" ht="24" customHeight="1">
      <c r="A49" s="6" t="s">
        <v>1813</v>
      </c>
      <c r="B49">
        <v>9955</v>
      </c>
      <c r="C49">
        <v>2814</v>
      </c>
      <c r="D49">
        <v>412675</v>
      </c>
      <c r="E49">
        <v>324639</v>
      </c>
      <c r="F49">
        <v>8.1999999999999993</v>
      </c>
      <c r="G49">
        <v>8.8000000000000007</v>
      </c>
      <c r="H49">
        <v>17.100000000000001</v>
      </c>
      <c r="I49">
        <v>11.2</v>
      </c>
    </row>
    <row r="50" spans="1:9" ht="24" customHeight="1">
      <c r="A50" s="6" t="s">
        <v>1814</v>
      </c>
      <c r="B50">
        <v>3564</v>
      </c>
      <c r="C50">
        <v>1476</v>
      </c>
      <c r="D50">
        <v>392189</v>
      </c>
      <c r="E50">
        <v>303844</v>
      </c>
      <c r="F50">
        <v>6.8</v>
      </c>
      <c r="G50">
        <v>4.5</v>
      </c>
      <c r="H50">
        <v>17.2</v>
      </c>
      <c r="I50">
        <v>13.7</v>
      </c>
    </row>
    <row r="51" spans="1:9" ht="24" customHeight="1">
      <c r="A51" s="6" t="s">
        <v>1815</v>
      </c>
      <c r="B51">
        <v>3019</v>
      </c>
      <c r="C51">
        <v>1207</v>
      </c>
      <c r="D51">
        <v>416548</v>
      </c>
      <c r="E51">
        <v>328166</v>
      </c>
      <c r="F51">
        <v>7.4</v>
      </c>
      <c r="G51">
        <v>4.9000000000000004</v>
      </c>
      <c r="H51">
        <v>16.7</v>
      </c>
      <c r="I51">
        <v>14.2</v>
      </c>
    </row>
    <row r="52" spans="1:9" ht="24" customHeight="1">
      <c r="A52" s="6" t="s">
        <v>239</v>
      </c>
      <c r="B52">
        <v>117663</v>
      </c>
      <c r="C52">
        <v>48226</v>
      </c>
      <c r="D52">
        <v>409456</v>
      </c>
      <c r="E52">
        <v>221999</v>
      </c>
      <c r="F52">
        <v>11.9</v>
      </c>
      <c r="G52">
        <v>4.3</v>
      </c>
      <c r="H52">
        <v>15.4</v>
      </c>
      <c r="I52">
        <v>10.5</v>
      </c>
    </row>
    <row r="53" spans="1:9" ht="24" customHeight="1">
      <c r="A53" s="6" t="s">
        <v>240</v>
      </c>
      <c r="B53">
        <v>23455</v>
      </c>
      <c r="C53">
        <v>3259</v>
      </c>
      <c r="D53">
        <v>541609</v>
      </c>
      <c r="E53">
        <v>366325</v>
      </c>
      <c r="F53">
        <v>16</v>
      </c>
      <c r="G53">
        <v>9.8000000000000007</v>
      </c>
      <c r="H53">
        <v>21</v>
      </c>
      <c r="I53">
        <v>14.4</v>
      </c>
    </row>
    <row r="54" spans="1:9" ht="24" customHeight="1">
      <c r="A54" s="6" t="s">
        <v>241</v>
      </c>
      <c r="B54">
        <v>22094</v>
      </c>
      <c r="C54">
        <v>2498</v>
      </c>
      <c r="D54">
        <v>554378</v>
      </c>
      <c r="E54">
        <v>403432</v>
      </c>
      <c r="F54">
        <v>16.5</v>
      </c>
      <c r="G54">
        <v>10.4</v>
      </c>
      <c r="H54">
        <v>20.7</v>
      </c>
      <c r="I54">
        <v>15.3</v>
      </c>
    </row>
    <row r="55" spans="1:9" ht="24" customHeight="1">
      <c r="A55" s="6" t="s">
        <v>1816</v>
      </c>
      <c r="B55">
        <v>49924</v>
      </c>
      <c r="C55">
        <v>28431</v>
      </c>
      <c r="D55">
        <v>366054</v>
      </c>
      <c r="E55">
        <v>197861</v>
      </c>
      <c r="F55">
        <v>9.6</v>
      </c>
      <c r="G55">
        <v>2.9</v>
      </c>
      <c r="H55">
        <v>12.6</v>
      </c>
      <c r="I55">
        <v>9.6999999999999993</v>
      </c>
    </row>
    <row r="56" spans="1:9" ht="24" customHeight="1">
      <c r="A56" s="6" t="s">
        <v>1817</v>
      </c>
      <c r="B56">
        <v>44243</v>
      </c>
      <c r="C56">
        <v>14253</v>
      </c>
      <c r="D56">
        <v>384817</v>
      </c>
      <c r="E56">
        <v>262203</v>
      </c>
      <c r="F56">
        <v>10</v>
      </c>
      <c r="G56">
        <v>3.5</v>
      </c>
      <c r="H56">
        <v>12.7</v>
      </c>
      <c r="I56">
        <v>11</v>
      </c>
    </row>
    <row r="57" spans="1:9" ht="24" customHeight="1">
      <c r="A57" s="6" t="s">
        <v>1818</v>
      </c>
      <c r="B57">
        <v>28011</v>
      </c>
      <c r="C57">
        <v>10472</v>
      </c>
      <c r="D57">
        <v>368025</v>
      </c>
      <c r="E57">
        <v>226390</v>
      </c>
      <c r="F57">
        <v>11.5</v>
      </c>
      <c r="G57">
        <v>5.4</v>
      </c>
      <c r="H57">
        <v>15.2</v>
      </c>
      <c r="I57">
        <v>10.7</v>
      </c>
    </row>
    <row r="58" spans="1:9" ht="24" customHeight="1">
      <c r="A58" s="6" t="s">
        <v>1819</v>
      </c>
      <c r="B58">
        <v>24200</v>
      </c>
      <c r="C58">
        <v>5444</v>
      </c>
      <c r="D58">
        <v>389672</v>
      </c>
      <c r="E58">
        <v>282782</v>
      </c>
      <c r="F58">
        <v>12.2</v>
      </c>
      <c r="G58">
        <v>7.4</v>
      </c>
      <c r="H58">
        <v>15.4</v>
      </c>
      <c r="I58">
        <v>12.2</v>
      </c>
    </row>
    <row r="59" spans="1:9" ht="24" customHeight="1">
      <c r="A59" s="6" t="s">
        <v>1820</v>
      </c>
      <c r="B59">
        <v>16273</v>
      </c>
      <c r="C59">
        <v>6064</v>
      </c>
      <c r="D59">
        <v>423446</v>
      </c>
      <c r="E59">
        <v>250016</v>
      </c>
      <c r="F59">
        <v>14</v>
      </c>
      <c r="G59">
        <v>5.9</v>
      </c>
      <c r="H59">
        <v>16.399999999999999</v>
      </c>
      <c r="I59">
        <v>11.8</v>
      </c>
    </row>
    <row r="60" spans="1:9" ht="24" customHeight="1">
      <c r="A60" s="6" t="s">
        <v>1821</v>
      </c>
      <c r="B60">
        <v>14846</v>
      </c>
      <c r="C60">
        <v>3729</v>
      </c>
      <c r="D60">
        <v>441274</v>
      </c>
      <c r="E60">
        <v>300006</v>
      </c>
      <c r="F60">
        <v>14.6</v>
      </c>
      <c r="G60">
        <v>6.3</v>
      </c>
      <c r="H60">
        <v>16.3</v>
      </c>
      <c r="I60">
        <v>11.9</v>
      </c>
    </row>
    <row r="61" spans="1:9" ht="24" customHeight="1">
      <c r="A61" s="6" t="s">
        <v>243</v>
      </c>
      <c r="B61">
        <v>148818</v>
      </c>
      <c r="C61">
        <v>81547</v>
      </c>
      <c r="D61">
        <v>426396</v>
      </c>
      <c r="E61">
        <v>241723</v>
      </c>
      <c r="F61">
        <v>15.5</v>
      </c>
      <c r="G61">
        <v>8.1</v>
      </c>
      <c r="H61">
        <v>17.7</v>
      </c>
      <c r="I61">
        <v>10.7</v>
      </c>
    </row>
    <row r="62" spans="1:9" ht="24" customHeight="1">
      <c r="A62" s="6" t="s">
        <v>244</v>
      </c>
      <c r="B62">
        <v>37104</v>
      </c>
      <c r="C62">
        <v>16903</v>
      </c>
      <c r="D62">
        <v>526362</v>
      </c>
      <c r="E62">
        <v>303669</v>
      </c>
      <c r="F62">
        <v>22.5</v>
      </c>
      <c r="G62">
        <v>12.6</v>
      </c>
      <c r="H62">
        <v>21.8</v>
      </c>
      <c r="I62">
        <v>10.5</v>
      </c>
    </row>
    <row r="63" spans="1:9" ht="24" customHeight="1">
      <c r="A63" s="6" t="s">
        <v>245</v>
      </c>
      <c r="B63">
        <v>33601</v>
      </c>
      <c r="C63">
        <v>10491</v>
      </c>
      <c r="D63">
        <v>555765</v>
      </c>
      <c r="E63">
        <v>393444</v>
      </c>
      <c r="F63">
        <v>23.3</v>
      </c>
      <c r="G63">
        <v>16.8</v>
      </c>
      <c r="H63">
        <v>22.6</v>
      </c>
      <c r="I63">
        <v>12.6</v>
      </c>
    </row>
    <row r="64" spans="1:9" ht="24" customHeight="1">
      <c r="A64" s="6" t="s">
        <v>1822</v>
      </c>
      <c r="B64">
        <v>58670</v>
      </c>
      <c r="C64">
        <v>37589</v>
      </c>
      <c r="D64">
        <v>361952</v>
      </c>
      <c r="E64">
        <v>201957</v>
      </c>
      <c r="F64">
        <v>7.3</v>
      </c>
      <c r="G64">
        <v>4.2</v>
      </c>
      <c r="H64">
        <v>15.4</v>
      </c>
      <c r="I64">
        <v>10.7</v>
      </c>
    </row>
    <row r="65" spans="1:9" ht="24" customHeight="1">
      <c r="A65" s="6" t="s">
        <v>1823</v>
      </c>
      <c r="B65">
        <v>52001</v>
      </c>
      <c r="C65">
        <v>21245</v>
      </c>
      <c r="D65">
        <v>377660</v>
      </c>
      <c r="E65">
        <v>261651</v>
      </c>
      <c r="F65">
        <v>7.6</v>
      </c>
      <c r="G65">
        <v>6.4</v>
      </c>
      <c r="H65">
        <v>15.1</v>
      </c>
      <c r="I65">
        <v>12.4</v>
      </c>
    </row>
    <row r="66" spans="1:9" ht="24" customHeight="1">
      <c r="A66" s="6" t="s">
        <v>1824</v>
      </c>
      <c r="B66">
        <v>37002</v>
      </c>
      <c r="C66">
        <v>18883</v>
      </c>
      <c r="D66">
        <v>417621</v>
      </c>
      <c r="E66">
        <v>238977</v>
      </c>
      <c r="F66">
        <v>22</v>
      </c>
      <c r="G66">
        <v>12.1</v>
      </c>
      <c r="H66">
        <v>16.2</v>
      </c>
      <c r="I66">
        <v>10.3</v>
      </c>
    </row>
    <row r="67" spans="1:9" ht="24" customHeight="1">
      <c r="A67" s="6" t="s">
        <v>1825</v>
      </c>
      <c r="B67">
        <v>33452</v>
      </c>
      <c r="C67">
        <v>10790</v>
      </c>
      <c r="D67">
        <v>433458</v>
      </c>
      <c r="E67">
        <v>304450</v>
      </c>
      <c r="F67">
        <v>22.7</v>
      </c>
      <c r="G67">
        <v>16.5</v>
      </c>
      <c r="H67">
        <v>16.100000000000001</v>
      </c>
      <c r="I67">
        <v>11.7</v>
      </c>
    </row>
    <row r="68" spans="1:9" ht="24" customHeight="1">
      <c r="A68" s="6" t="s">
        <v>1826</v>
      </c>
      <c r="B68">
        <v>16042</v>
      </c>
      <c r="C68">
        <v>8172</v>
      </c>
      <c r="D68">
        <v>451110</v>
      </c>
      <c r="E68">
        <v>302854</v>
      </c>
      <c r="F68">
        <v>14.4</v>
      </c>
      <c r="G68">
        <v>7.7</v>
      </c>
      <c r="H68">
        <v>20</v>
      </c>
      <c r="I68">
        <v>12.5</v>
      </c>
    </row>
    <row r="69" spans="1:9" ht="24" customHeight="1">
      <c r="A69" s="6" t="s">
        <v>1827</v>
      </c>
      <c r="B69">
        <v>13697</v>
      </c>
      <c r="C69">
        <v>5696</v>
      </c>
      <c r="D69">
        <v>481381</v>
      </c>
      <c r="E69">
        <v>351954</v>
      </c>
      <c r="F69">
        <v>15.6</v>
      </c>
      <c r="G69">
        <v>9.3000000000000007</v>
      </c>
      <c r="H69">
        <v>19.2</v>
      </c>
      <c r="I69">
        <v>14.2</v>
      </c>
    </row>
    <row r="70" spans="1:9" ht="24" customHeight="1">
      <c r="A70" s="6" t="s">
        <v>247</v>
      </c>
      <c r="B70">
        <v>302541</v>
      </c>
      <c r="C70">
        <v>121735</v>
      </c>
      <c r="D70">
        <v>576054</v>
      </c>
      <c r="E70">
        <v>371880</v>
      </c>
      <c r="F70">
        <v>11.9</v>
      </c>
      <c r="G70">
        <v>7.5</v>
      </c>
      <c r="H70">
        <v>15.8</v>
      </c>
      <c r="I70">
        <v>11.4</v>
      </c>
    </row>
    <row r="71" spans="1:9" ht="24" customHeight="1">
      <c r="A71" s="6" t="s">
        <v>248</v>
      </c>
      <c r="B71">
        <v>127262</v>
      </c>
      <c r="C71">
        <v>37470</v>
      </c>
      <c r="D71">
        <v>694672</v>
      </c>
      <c r="E71">
        <v>523716</v>
      </c>
      <c r="F71">
        <v>11.7</v>
      </c>
      <c r="G71">
        <v>8</v>
      </c>
      <c r="H71">
        <v>17.600000000000001</v>
      </c>
      <c r="I71">
        <v>14.2</v>
      </c>
    </row>
    <row r="72" spans="1:9" ht="24" customHeight="1">
      <c r="A72" s="6" t="s">
        <v>249</v>
      </c>
      <c r="B72">
        <v>119763</v>
      </c>
      <c r="C72">
        <v>31756</v>
      </c>
      <c r="D72">
        <v>711447</v>
      </c>
      <c r="E72">
        <v>573231</v>
      </c>
      <c r="F72">
        <v>12</v>
      </c>
      <c r="G72">
        <v>8.5</v>
      </c>
      <c r="H72">
        <v>17.2</v>
      </c>
      <c r="I72">
        <v>14.6</v>
      </c>
    </row>
    <row r="73" spans="1:9" ht="24" customHeight="1">
      <c r="A73" s="6" t="s">
        <v>1828</v>
      </c>
      <c r="B73">
        <v>39089</v>
      </c>
      <c r="C73">
        <v>26515</v>
      </c>
      <c r="D73">
        <v>456273</v>
      </c>
      <c r="E73">
        <v>275900</v>
      </c>
      <c r="F73">
        <v>9.1</v>
      </c>
      <c r="G73">
        <v>5.5</v>
      </c>
      <c r="H73">
        <v>12.6</v>
      </c>
      <c r="I73">
        <v>10.3</v>
      </c>
    </row>
    <row r="74" spans="1:9" ht="24" customHeight="1">
      <c r="A74" s="6" t="s">
        <v>1829</v>
      </c>
      <c r="B74">
        <v>34368</v>
      </c>
      <c r="C74">
        <v>15638</v>
      </c>
      <c r="D74">
        <v>477781</v>
      </c>
      <c r="E74">
        <v>375870</v>
      </c>
      <c r="F74">
        <v>9.9</v>
      </c>
      <c r="G74">
        <v>8.8000000000000007</v>
      </c>
      <c r="H74">
        <v>12.3</v>
      </c>
      <c r="I74">
        <v>9.9</v>
      </c>
    </row>
    <row r="75" spans="1:9" ht="24" customHeight="1">
      <c r="A75" s="6" t="s">
        <v>1830</v>
      </c>
      <c r="B75">
        <v>69252</v>
      </c>
      <c r="C75">
        <v>32808</v>
      </c>
      <c r="D75">
        <v>459712</v>
      </c>
      <c r="E75">
        <v>270168</v>
      </c>
      <c r="F75">
        <v>11.8</v>
      </c>
      <c r="G75">
        <v>7.8</v>
      </c>
      <c r="H75">
        <v>14.7</v>
      </c>
      <c r="I75">
        <v>9.1</v>
      </c>
    </row>
    <row r="76" spans="1:9" ht="24" customHeight="1">
      <c r="A76" s="6" t="s">
        <v>1831</v>
      </c>
      <c r="B76">
        <v>62638</v>
      </c>
      <c r="C76">
        <v>18722</v>
      </c>
      <c r="D76">
        <v>474559</v>
      </c>
      <c r="E76">
        <v>349913</v>
      </c>
      <c r="F76">
        <v>12.6</v>
      </c>
      <c r="G76">
        <v>9.9</v>
      </c>
      <c r="H76">
        <v>14.4</v>
      </c>
      <c r="I76">
        <v>9.6999999999999993</v>
      </c>
    </row>
    <row r="77" spans="1:9" ht="24" customHeight="1">
      <c r="A77" s="6" t="s">
        <v>1832</v>
      </c>
      <c r="B77">
        <v>66938</v>
      </c>
      <c r="C77">
        <v>24941</v>
      </c>
      <c r="D77">
        <v>540846</v>
      </c>
      <c r="E77">
        <v>379601</v>
      </c>
      <c r="F77">
        <v>14</v>
      </c>
      <c r="G77">
        <v>8.4</v>
      </c>
      <c r="H77">
        <v>15.4</v>
      </c>
      <c r="I77">
        <v>11.5</v>
      </c>
    </row>
    <row r="78" spans="1:9" ht="24" customHeight="1">
      <c r="A78" s="6" t="s">
        <v>1833</v>
      </c>
      <c r="B78">
        <v>60810</v>
      </c>
      <c r="C78">
        <v>17895</v>
      </c>
      <c r="D78">
        <v>557153</v>
      </c>
      <c r="E78">
        <v>445969</v>
      </c>
      <c r="F78">
        <v>14.7</v>
      </c>
      <c r="G78">
        <v>10.4</v>
      </c>
      <c r="H78">
        <v>14.7</v>
      </c>
      <c r="I78">
        <v>11.8</v>
      </c>
    </row>
    <row r="79" spans="1:9" ht="24" customHeight="1">
      <c r="A79" s="6" t="s">
        <v>251</v>
      </c>
      <c r="B79">
        <v>10351</v>
      </c>
      <c r="C79">
        <v>2102</v>
      </c>
      <c r="D79">
        <v>563458</v>
      </c>
      <c r="E79">
        <v>352965</v>
      </c>
      <c r="F79">
        <v>21.3</v>
      </c>
      <c r="G79">
        <v>10.4</v>
      </c>
      <c r="H79">
        <v>14</v>
      </c>
      <c r="I79">
        <v>12.5</v>
      </c>
    </row>
    <row r="80" spans="1:9" ht="24" customHeight="1">
      <c r="A80" s="6" t="s">
        <v>252</v>
      </c>
      <c r="B80">
        <v>5144</v>
      </c>
      <c r="C80">
        <v>818</v>
      </c>
      <c r="D80">
        <v>596996</v>
      </c>
      <c r="E80">
        <v>401619</v>
      </c>
      <c r="F80">
        <v>26.3</v>
      </c>
      <c r="G80">
        <v>16.899999999999999</v>
      </c>
      <c r="H80">
        <v>15</v>
      </c>
      <c r="I80">
        <v>17</v>
      </c>
    </row>
    <row r="81" spans="1:9" ht="24" customHeight="1">
      <c r="A81" s="6" t="s">
        <v>253</v>
      </c>
      <c r="B81">
        <v>5040</v>
      </c>
      <c r="C81">
        <v>748</v>
      </c>
      <c r="D81">
        <v>599165</v>
      </c>
      <c r="E81">
        <v>414394</v>
      </c>
      <c r="F81">
        <v>26.7</v>
      </c>
      <c r="G81">
        <v>18.3</v>
      </c>
      <c r="H81">
        <v>14.6</v>
      </c>
      <c r="I81">
        <v>15.8</v>
      </c>
    </row>
    <row r="82" spans="1:9" ht="24" customHeight="1">
      <c r="A82" s="6" t="s">
        <v>1834</v>
      </c>
      <c r="B82">
        <v>2351</v>
      </c>
      <c r="C82">
        <v>710</v>
      </c>
      <c r="D82">
        <v>433578</v>
      </c>
      <c r="E82">
        <v>304460</v>
      </c>
      <c r="F82">
        <v>16.100000000000001</v>
      </c>
      <c r="G82">
        <v>4.7</v>
      </c>
      <c r="H82">
        <v>10.8</v>
      </c>
      <c r="I82">
        <v>11.7</v>
      </c>
    </row>
    <row r="83" spans="1:9" ht="24" customHeight="1">
      <c r="A83" s="6" t="s">
        <v>1835</v>
      </c>
      <c r="B83">
        <v>2109</v>
      </c>
      <c r="C83">
        <v>515</v>
      </c>
      <c r="D83">
        <v>453960</v>
      </c>
      <c r="E83">
        <v>350536</v>
      </c>
      <c r="F83">
        <v>16.8</v>
      </c>
      <c r="G83">
        <v>6.5</v>
      </c>
      <c r="H83">
        <v>11.3</v>
      </c>
      <c r="I83">
        <v>12</v>
      </c>
    </row>
    <row r="84" spans="1:9" ht="24" customHeight="1">
      <c r="A84" s="6" t="s">
        <v>1836</v>
      </c>
      <c r="B84">
        <v>348</v>
      </c>
      <c r="C84">
        <v>15</v>
      </c>
      <c r="D84">
        <v>404754</v>
      </c>
      <c r="E84">
        <v>402162</v>
      </c>
      <c r="F84">
        <v>11.4</v>
      </c>
      <c r="G84">
        <v>7</v>
      </c>
      <c r="H84">
        <v>11</v>
      </c>
      <c r="I84">
        <v>16</v>
      </c>
    </row>
    <row r="85" spans="1:9" ht="24" customHeight="1">
      <c r="A85" s="6" t="s">
        <v>1837</v>
      </c>
      <c r="B85">
        <v>337</v>
      </c>
      <c r="C85">
        <v>15</v>
      </c>
      <c r="D85">
        <v>410633</v>
      </c>
      <c r="E85">
        <v>402162</v>
      </c>
      <c r="F85">
        <v>11.8</v>
      </c>
      <c r="G85">
        <v>7</v>
      </c>
      <c r="H85">
        <v>10.8</v>
      </c>
      <c r="I85">
        <v>16</v>
      </c>
    </row>
    <row r="86" spans="1:9" ht="24" customHeight="1">
      <c r="A86" s="6" t="s">
        <v>1838</v>
      </c>
      <c r="B86">
        <v>2509</v>
      </c>
      <c r="C86">
        <v>559</v>
      </c>
      <c r="D86">
        <v>638383</v>
      </c>
      <c r="E86">
        <v>342112</v>
      </c>
      <c r="F86">
        <v>17.3</v>
      </c>
      <c r="G86">
        <v>8.3000000000000007</v>
      </c>
      <c r="H86">
        <v>15.6</v>
      </c>
      <c r="I86">
        <v>7.1</v>
      </c>
    </row>
    <row r="87" spans="1:9" ht="24" customHeight="1">
      <c r="A87" s="6" t="s">
        <v>1839</v>
      </c>
      <c r="B87">
        <v>2319</v>
      </c>
      <c r="C87">
        <v>333</v>
      </c>
      <c r="D87">
        <v>662533</v>
      </c>
      <c r="E87">
        <v>421752</v>
      </c>
      <c r="F87">
        <v>17.7</v>
      </c>
      <c r="G87">
        <v>11.7</v>
      </c>
      <c r="H87">
        <v>16.399999999999999</v>
      </c>
      <c r="I87">
        <v>5.5</v>
      </c>
    </row>
    <row r="88" spans="1:9" ht="24" customHeight="1">
      <c r="A88" s="6" t="s">
        <v>255</v>
      </c>
      <c r="B88">
        <v>264444</v>
      </c>
      <c r="C88">
        <v>130207</v>
      </c>
      <c r="D88">
        <v>411001</v>
      </c>
      <c r="E88">
        <v>235495</v>
      </c>
      <c r="F88">
        <v>13.5</v>
      </c>
      <c r="G88">
        <v>7.5</v>
      </c>
      <c r="H88">
        <v>14.8</v>
      </c>
      <c r="I88">
        <v>10.4</v>
      </c>
    </row>
    <row r="89" spans="1:9" ht="24" customHeight="1">
      <c r="A89" s="6" t="s">
        <v>256</v>
      </c>
      <c r="B89">
        <v>44406</v>
      </c>
      <c r="C89">
        <v>12815</v>
      </c>
      <c r="D89">
        <v>525505</v>
      </c>
      <c r="E89">
        <v>316908</v>
      </c>
      <c r="F89">
        <v>12.2</v>
      </c>
      <c r="G89">
        <v>8.6999999999999993</v>
      </c>
      <c r="H89">
        <v>16.8</v>
      </c>
      <c r="I89">
        <v>10.5</v>
      </c>
    </row>
    <row r="90" spans="1:9" ht="24" customHeight="1">
      <c r="A90" s="6" t="s">
        <v>257</v>
      </c>
      <c r="B90">
        <v>39429</v>
      </c>
      <c r="C90">
        <v>7099</v>
      </c>
      <c r="D90">
        <v>550616</v>
      </c>
      <c r="E90">
        <v>413403</v>
      </c>
      <c r="F90">
        <v>12</v>
      </c>
      <c r="G90">
        <v>10.199999999999999</v>
      </c>
      <c r="H90">
        <v>16.8</v>
      </c>
      <c r="I90">
        <v>12.1</v>
      </c>
    </row>
    <row r="91" spans="1:9" ht="24" customHeight="1">
      <c r="A91" s="6" t="s">
        <v>1840</v>
      </c>
      <c r="B91">
        <v>98070</v>
      </c>
      <c r="C91">
        <v>68430</v>
      </c>
      <c r="D91">
        <v>356628</v>
      </c>
      <c r="E91">
        <v>203079</v>
      </c>
      <c r="F91">
        <v>11.9</v>
      </c>
      <c r="G91">
        <v>6.2</v>
      </c>
      <c r="H91">
        <v>13.4</v>
      </c>
      <c r="I91">
        <v>9.6</v>
      </c>
    </row>
    <row r="92" spans="1:9" ht="24" customHeight="1">
      <c r="A92" s="6" t="s">
        <v>1841</v>
      </c>
      <c r="B92">
        <v>84360</v>
      </c>
      <c r="C92">
        <v>34138</v>
      </c>
      <c r="D92">
        <v>379971</v>
      </c>
      <c r="E92">
        <v>258248</v>
      </c>
      <c r="F92">
        <v>12.2</v>
      </c>
      <c r="G92">
        <v>6.7</v>
      </c>
      <c r="H92">
        <v>13.3</v>
      </c>
      <c r="I92">
        <v>11</v>
      </c>
    </row>
    <row r="93" spans="1:9" ht="24" customHeight="1">
      <c r="A93" s="6" t="s">
        <v>1842</v>
      </c>
      <c r="B93">
        <v>64476</v>
      </c>
      <c r="C93">
        <v>27393</v>
      </c>
      <c r="D93">
        <v>391239</v>
      </c>
      <c r="E93">
        <v>256954</v>
      </c>
      <c r="F93">
        <v>14.7</v>
      </c>
      <c r="G93">
        <v>9.9</v>
      </c>
      <c r="H93">
        <v>15.2</v>
      </c>
      <c r="I93">
        <v>11.6</v>
      </c>
    </row>
    <row r="94" spans="1:9" ht="24" customHeight="1">
      <c r="A94" s="6" t="s">
        <v>1843</v>
      </c>
      <c r="B94">
        <v>56842</v>
      </c>
      <c r="C94">
        <v>16899</v>
      </c>
      <c r="D94">
        <v>406325</v>
      </c>
      <c r="E94">
        <v>293095</v>
      </c>
      <c r="F94">
        <v>15.6</v>
      </c>
      <c r="G94">
        <v>10.3</v>
      </c>
      <c r="H94">
        <v>14.8</v>
      </c>
      <c r="I94">
        <v>12.2</v>
      </c>
    </row>
    <row r="95" spans="1:9" ht="24" customHeight="1">
      <c r="A95" s="6" t="s">
        <v>1844</v>
      </c>
      <c r="B95">
        <v>57492</v>
      </c>
      <c r="C95">
        <v>21569</v>
      </c>
      <c r="D95">
        <v>437472</v>
      </c>
      <c r="E95">
        <v>262712</v>
      </c>
      <c r="F95">
        <v>15.9</v>
      </c>
      <c r="G95">
        <v>8</v>
      </c>
      <c r="H95">
        <v>15</v>
      </c>
      <c r="I95">
        <v>11.1</v>
      </c>
    </row>
    <row r="96" spans="1:9" ht="24" customHeight="1">
      <c r="A96" s="6" t="s">
        <v>1845</v>
      </c>
      <c r="B96">
        <v>50211</v>
      </c>
      <c r="C96">
        <v>11915</v>
      </c>
      <c r="D96">
        <v>463008</v>
      </c>
      <c r="E96">
        <v>335244</v>
      </c>
      <c r="F96">
        <v>17.2</v>
      </c>
      <c r="G96">
        <v>11.5</v>
      </c>
      <c r="H96">
        <v>15.3</v>
      </c>
      <c r="I96">
        <v>12.4</v>
      </c>
    </row>
    <row r="97" spans="1:9" ht="24" customHeight="1">
      <c r="A97" s="6" t="s">
        <v>259</v>
      </c>
      <c r="B97">
        <v>80964</v>
      </c>
      <c r="C97">
        <v>32533</v>
      </c>
      <c r="D97">
        <v>472076</v>
      </c>
      <c r="E97">
        <v>257046</v>
      </c>
      <c r="F97">
        <v>15.9</v>
      </c>
      <c r="G97">
        <v>6.9</v>
      </c>
      <c r="H97">
        <v>15.5</v>
      </c>
      <c r="I97">
        <v>11.1</v>
      </c>
    </row>
    <row r="98" spans="1:9" ht="24" customHeight="1">
      <c r="A98" s="6" t="s">
        <v>260</v>
      </c>
      <c r="B98">
        <v>38428</v>
      </c>
      <c r="C98">
        <v>6951</v>
      </c>
      <c r="D98">
        <v>560008</v>
      </c>
      <c r="E98">
        <v>368246</v>
      </c>
      <c r="F98">
        <v>18.8</v>
      </c>
      <c r="G98">
        <v>12.2</v>
      </c>
      <c r="H98">
        <v>16.2</v>
      </c>
      <c r="I98">
        <v>13</v>
      </c>
    </row>
    <row r="99" spans="1:9" ht="24" customHeight="1">
      <c r="A99" s="6" t="s">
        <v>261</v>
      </c>
      <c r="B99">
        <v>33730</v>
      </c>
      <c r="C99">
        <v>4713</v>
      </c>
      <c r="D99">
        <v>588472</v>
      </c>
      <c r="E99">
        <v>430103</v>
      </c>
      <c r="F99">
        <v>19.7</v>
      </c>
      <c r="G99">
        <v>13.1</v>
      </c>
      <c r="H99">
        <v>16.100000000000001</v>
      </c>
      <c r="I99">
        <v>13.9</v>
      </c>
    </row>
    <row r="100" spans="1:9" ht="24" customHeight="1">
      <c r="A100" s="6" t="s">
        <v>1846</v>
      </c>
      <c r="B100">
        <v>16474</v>
      </c>
      <c r="C100">
        <v>13394</v>
      </c>
      <c r="D100">
        <v>345653</v>
      </c>
      <c r="E100">
        <v>201947</v>
      </c>
      <c r="F100">
        <v>12</v>
      </c>
      <c r="G100">
        <v>4.2</v>
      </c>
      <c r="H100">
        <v>13.3</v>
      </c>
      <c r="I100">
        <v>9.9</v>
      </c>
    </row>
    <row r="101" spans="1:9" ht="24" customHeight="1">
      <c r="A101" s="6" t="s">
        <v>1847</v>
      </c>
      <c r="B101">
        <v>14390</v>
      </c>
      <c r="C101">
        <v>6452</v>
      </c>
      <c r="D101">
        <v>367632</v>
      </c>
      <c r="E101">
        <v>279467</v>
      </c>
      <c r="F101">
        <v>12.9</v>
      </c>
      <c r="G101">
        <v>6.7</v>
      </c>
      <c r="H101">
        <v>13</v>
      </c>
      <c r="I101">
        <v>12.1</v>
      </c>
    </row>
    <row r="102" spans="1:9" ht="24" customHeight="1">
      <c r="A102" s="6" t="s">
        <v>1848</v>
      </c>
      <c r="B102">
        <v>11511</v>
      </c>
      <c r="C102">
        <v>8090</v>
      </c>
      <c r="D102">
        <v>382647</v>
      </c>
      <c r="E102">
        <v>233846</v>
      </c>
      <c r="F102">
        <v>12.6</v>
      </c>
      <c r="G102">
        <v>5.9</v>
      </c>
      <c r="H102">
        <v>14.4</v>
      </c>
      <c r="I102">
        <v>10.6</v>
      </c>
    </row>
    <row r="103" spans="1:9" ht="24" customHeight="1">
      <c r="A103" s="6" t="s">
        <v>1849</v>
      </c>
      <c r="B103">
        <v>9999</v>
      </c>
      <c r="C103">
        <v>4662</v>
      </c>
      <c r="D103">
        <v>401058</v>
      </c>
      <c r="E103">
        <v>284029</v>
      </c>
      <c r="F103">
        <v>13.1</v>
      </c>
      <c r="G103">
        <v>7.4</v>
      </c>
      <c r="H103">
        <v>14.2</v>
      </c>
      <c r="I103">
        <v>11.5</v>
      </c>
    </row>
    <row r="104" spans="1:9" ht="24" customHeight="1">
      <c r="A104" s="6" t="s">
        <v>1850</v>
      </c>
      <c r="B104">
        <v>14552</v>
      </c>
      <c r="C104">
        <v>4097</v>
      </c>
      <c r="D104">
        <v>453735</v>
      </c>
      <c r="E104">
        <v>294319</v>
      </c>
      <c r="F104">
        <v>15.4</v>
      </c>
      <c r="G104">
        <v>8.9</v>
      </c>
      <c r="H104">
        <v>16.899999999999999</v>
      </c>
      <c r="I104">
        <v>12.8</v>
      </c>
    </row>
    <row r="105" spans="1:9" ht="24" customHeight="1">
      <c r="A105" s="6" t="s">
        <v>1851</v>
      </c>
      <c r="B105">
        <v>12942</v>
      </c>
      <c r="C105">
        <v>2350</v>
      </c>
      <c r="D105">
        <v>471271</v>
      </c>
      <c r="E105">
        <v>354828</v>
      </c>
      <c r="F105">
        <v>16.399999999999999</v>
      </c>
      <c r="G105">
        <v>8.8000000000000007</v>
      </c>
      <c r="H105">
        <v>16.399999999999999</v>
      </c>
      <c r="I105">
        <v>15.1</v>
      </c>
    </row>
    <row r="106" spans="1:9" ht="24" customHeight="1">
      <c r="A106" s="6" t="s">
        <v>263</v>
      </c>
      <c r="B106">
        <v>7616</v>
      </c>
      <c r="C106">
        <v>9527</v>
      </c>
      <c r="D106">
        <v>310746</v>
      </c>
      <c r="E106">
        <v>188609</v>
      </c>
      <c r="F106">
        <v>3.8</v>
      </c>
      <c r="G106">
        <v>2.2000000000000002</v>
      </c>
      <c r="H106">
        <v>15.8</v>
      </c>
      <c r="I106">
        <v>11.5</v>
      </c>
    </row>
    <row r="107" spans="1:9" ht="24" customHeight="1">
      <c r="A107" s="6" t="s">
        <v>457</v>
      </c>
      <c r="B107">
        <v>48</v>
      </c>
      <c r="C107">
        <v>45</v>
      </c>
      <c r="D107">
        <v>270014</v>
      </c>
      <c r="E107">
        <v>233115</v>
      </c>
      <c r="F107">
        <v>1</v>
      </c>
      <c r="G107">
        <v>0.5</v>
      </c>
      <c r="H107">
        <v>18.600000000000001</v>
      </c>
      <c r="I107">
        <v>12.3</v>
      </c>
    </row>
    <row r="108" spans="1:9" ht="24" customHeight="1">
      <c r="A108" s="6" t="s">
        <v>458</v>
      </c>
      <c r="B108">
        <v>47</v>
      </c>
      <c r="C108">
        <v>33</v>
      </c>
      <c r="D108">
        <v>268601</v>
      </c>
      <c r="E108">
        <v>249429</v>
      </c>
      <c r="F108">
        <v>1</v>
      </c>
      <c r="G108">
        <v>0.7</v>
      </c>
      <c r="H108">
        <v>18</v>
      </c>
      <c r="I108">
        <v>15.1</v>
      </c>
    </row>
    <row r="109" spans="1:9" ht="24" customHeight="1">
      <c r="A109" s="6" t="s">
        <v>1852</v>
      </c>
      <c r="B109">
        <v>4980</v>
      </c>
      <c r="C109">
        <v>6091</v>
      </c>
      <c r="D109">
        <v>284150</v>
      </c>
      <c r="E109">
        <v>178934</v>
      </c>
      <c r="F109">
        <v>1.7</v>
      </c>
      <c r="G109">
        <v>1</v>
      </c>
      <c r="H109">
        <v>17.100000000000001</v>
      </c>
      <c r="I109">
        <v>11.3</v>
      </c>
    </row>
    <row r="110" spans="1:9" ht="24" customHeight="1">
      <c r="A110" s="6" t="s">
        <v>1853</v>
      </c>
      <c r="B110">
        <v>3645</v>
      </c>
      <c r="C110">
        <v>3020</v>
      </c>
      <c r="D110">
        <v>324145</v>
      </c>
      <c r="E110">
        <v>235524</v>
      </c>
      <c r="F110">
        <v>2.1</v>
      </c>
      <c r="G110">
        <v>1.4</v>
      </c>
      <c r="H110">
        <v>13.3</v>
      </c>
      <c r="I110">
        <v>12</v>
      </c>
    </row>
    <row r="111" spans="1:9" ht="24" customHeight="1">
      <c r="A111" s="6" t="s">
        <v>1854</v>
      </c>
      <c r="B111">
        <v>2457</v>
      </c>
      <c r="C111">
        <v>3223</v>
      </c>
      <c r="D111">
        <v>359667</v>
      </c>
      <c r="E111">
        <v>199980</v>
      </c>
      <c r="F111">
        <v>7</v>
      </c>
      <c r="G111">
        <v>3.7</v>
      </c>
      <c r="H111">
        <v>13.2</v>
      </c>
      <c r="I111">
        <v>12.1</v>
      </c>
    </row>
    <row r="112" spans="1:9" ht="24" customHeight="1">
      <c r="A112" s="6" t="s">
        <v>1855</v>
      </c>
      <c r="B112">
        <v>2038</v>
      </c>
      <c r="C112">
        <v>1251</v>
      </c>
      <c r="D112">
        <v>378639</v>
      </c>
      <c r="E112">
        <v>283436</v>
      </c>
      <c r="F112">
        <v>7.6</v>
      </c>
      <c r="G112">
        <v>4.2</v>
      </c>
      <c r="H112">
        <v>13</v>
      </c>
      <c r="I112">
        <v>14</v>
      </c>
    </row>
    <row r="113" spans="1:9" ht="24" customHeight="1">
      <c r="A113" s="6" t="s">
        <v>1856</v>
      </c>
      <c r="B113">
        <v>132</v>
      </c>
      <c r="C113">
        <v>167</v>
      </c>
      <c r="D113">
        <v>418422</v>
      </c>
      <c r="E113">
        <v>309803</v>
      </c>
      <c r="F113">
        <v>29.7</v>
      </c>
      <c r="G113">
        <v>19</v>
      </c>
      <c r="H113">
        <v>12.4</v>
      </c>
      <c r="I113">
        <v>9.8000000000000007</v>
      </c>
    </row>
    <row r="114" spans="1:9" ht="24" customHeight="1">
      <c r="A114" s="6" t="s">
        <v>1857</v>
      </c>
      <c r="B114">
        <v>120</v>
      </c>
      <c r="C114">
        <v>157</v>
      </c>
      <c r="D114">
        <v>434177</v>
      </c>
      <c r="E114">
        <v>310156</v>
      </c>
      <c r="F114">
        <v>31.6</v>
      </c>
      <c r="G114">
        <v>18.399999999999999</v>
      </c>
      <c r="H114">
        <v>11.7</v>
      </c>
      <c r="I114">
        <v>9.8000000000000007</v>
      </c>
    </row>
    <row r="115" spans="1:9" ht="24" customHeight="1">
      <c r="A115" s="6" t="s">
        <v>264</v>
      </c>
      <c r="B115">
        <v>172276</v>
      </c>
      <c r="C115">
        <v>40321</v>
      </c>
      <c r="D115">
        <v>432889</v>
      </c>
      <c r="E115">
        <v>296718</v>
      </c>
      <c r="F115">
        <v>13</v>
      </c>
      <c r="G115">
        <v>6</v>
      </c>
      <c r="H115">
        <v>15</v>
      </c>
      <c r="I115">
        <v>12.9</v>
      </c>
    </row>
    <row r="116" spans="1:9" ht="24" customHeight="1">
      <c r="A116" s="6" t="s">
        <v>265</v>
      </c>
      <c r="B116">
        <v>39009</v>
      </c>
      <c r="C116">
        <v>6598</v>
      </c>
      <c r="D116">
        <v>576963</v>
      </c>
      <c r="E116">
        <v>412295</v>
      </c>
      <c r="F116">
        <v>19</v>
      </c>
      <c r="G116">
        <v>9.9</v>
      </c>
      <c r="H116">
        <v>16.7</v>
      </c>
      <c r="I116">
        <v>13.7</v>
      </c>
    </row>
    <row r="117" spans="1:9" ht="24" customHeight="1">
      <c r="A117" s="6" t="s">
        <v>266</v>
      </c>
      <c r="B117">
        <v>35653</v>
      </c>
      <c r="C117">
        <v>5487</v>
      </c>
      <c r="D117">
        <v>595801</v>
      </c>
      <c r="E117">
        <v>442488</v>
      </c>
      <c r="F117">
        <v>19.2</v>
      </c>
      <c r="G117">
        <v>10.3</v>
      </c>
      <c r="H117">
        <v>17.100000000000001</v>
      </c>
      <c r="I117">
        <v>14.5</v>
      </c>
    </row>
    <row r="118" spans="1:9" ht="24" customHeight="1">
      <c r="A118" s="6" t="s">
        <v>1858</v>
      </c>
      <c r="B118">
        <v>80323</v>
      </c>
      <c r="C118">
        <v>21170</v>
      </c>
      <c r="D118">
        <v>359395</v>
      </c>
      <c r="E118">
        <v>248191</v>
      </c>
      <c r="F118">
        <v>11</v>
      </c>
      <c r="G118">
        <v>4.4000000000000004</v>
      </c>
      <c r="H118">
        <v>13.3</v>
      </c>
      <c r="I118">
        <v>11.9</v>
      </c>
    </row>
    <row r="119" spans="1:9" ht="24" customHeight="1">
      <c r="A119" s="6" t="s">
        <v>1859</v>
      </c>
      <c r="B119">
        <v>64190</v>
      </c>
      <c r="C119">
        <v>14530</v>
      </c>
      <c r="D119">
        <v>382087</v>
      </c>
      <c r="E119">
        <v>286812</v>
      </c>
      <c r="F119">
        <v>11.8</v>
      </c>
      <c r="G119">
        <v>5.3</v>
      </c>
      <c r="H119">
        <v>13.7</v>
      </c>
      <c r="I119">
        <v>13</v>
      </c>
    </row>
    <row r="120" spans="1:9" ht="24" customHeight="1">
      <c r="A120" s="6" t="s">
        <v>1860</v>
      </c>
      <c r="B120">
        <v>33807</v>
      </c>
      <c r="C120">
        <v>9154</v>
      </c>
      <c r="D120">
        <v>419173</v>
      </c>
      <c r="E120">
        <v>302745</v>
      </c>
      <c r="F120">
        <v>10.4</v>
      </c>
      <c r="G120">
        <v>5.8</v>
      </c>
      <c r="H120">
        <v>15.3</v>
      </c>
      <c r="I120">
        <v>13.7</v>
      </c>
    </row>
    <row r="121" spans="1:9" ht="24" customHeight="1">
      <c r="A121" s="6" t="s">
        <v>1861</v>
      </c>
      <c r="B121">
        <v>29299</v>
      </c>
      <c r="C121">
        <v>6143</v>
      </c>
      <c r="D121">
        <v>435681</v>
      </c>
      <c r="E121">
        <v>338181</v>
      </c>
      <c r="F121">
        <v>11.3</v>
      </c>
      <c r="G121">
        <v>7.5</v>
      </c>
      <c r="H121">
        <v>14</v>
      </c>
      <c r="I121">
        <v>12.7</v>
      </c>
    </row>
    <row r="122" spans="1:9" ht="24" customHeight="1">
      <c r="A122" s="6" t="s">
        <v>1862</v>
      </c>
      <c r="B122">
        <v>19138</v>
      </c>
      <c r="C122">
        <v>3400</v>
      </c>
      <c r="D122">
        <v>471910</v>
      </c>
      <c r="E122">
        <v>358365</v>
      </c>
      <c r="F122">
        <v>13.4</v>
      </c>
      <c r="G122">
        <v>9.4</v>
      </c>
      <c r="H122">
        <v>17.8</v>
      </c>
      <c r="I122">
        <v>15.1</v>
      </c>
    </row>
    <row r="123" spans="1:9" ht="24" customHeight="1">
      <c r="A123" s="6" t="s">
        <v>1863</v>
      </c>
      <c r="B123">
        <v>17017</v>
      </c>
      <c r="C123">
        <v>2614</v>
      </c>
      <c r="D123">
        <v>493537</v>
      </c>
      <c r="E123">
        <v>394368</v>
      </c>
      <c r="F123">
        <v>13.8</v>
      </c>
      <c r="G123">
        <v>10.199999999999999</v>
      </c>
      <c r="H123">
        <v>17.7</v>
      </c>
      <c r="I123">
        <v>15.7</v>
      </c>
    </row>
    <row r="124" spans="1:9" ht="24" customHeight="1">
      <c r="A124" s="6" t="s">
        <v>268</v>
      </c>
      <c r="B124">
        <v>181070</v>
      </c>
      <c r="C124">
        <v>22856</v>
      </c>
      <c r="D124">
        <v>514903</v>
      </c>
      <c r="E124">
        <v>353374</v>
      </c>
      <c r="F124">
        <v>20.8</v>
      </c>
      <c r="G124">
        <v>9.9</v>
      </c>
      <c r="H124">
        <v>15.1</v>
      </c>
      <c r="I124">
        <v>12.6</v>
      </c>
    </row>
    <row r="125" spans="1:9" ht="24" customHeight="1">
      <c r="A125" s="6" t="s">
        <v>269</v>
      </c>
      <c r="B125">
        <v>64579</v>
      </c>
      <c r="C125">
        <v>6759</v>
      </c>
      <c r="D125">
        <v>642040</v>
      </c>
      <c r="E125">
        <v>466811</v>
      </c>
      <c r="F125">
        <v>21.4</v>
      </c>
      <c r="G125">
        <v>12.1</v>
      </c>
      <c r="H125">
        <v>17.600000000000001</v>
      </c>
      <c r="I125">
        <v>16.7</v>
      </c>
    </row>
    <row r="126" spans="1:9" ht="24" customHeight="1">
      <c r="A126" s="6" t="s">
        <v>270</v>
      </c>
      <c r="B126">
        <v>61489</v>
      </c>
      <c r="C126">
        <v>5868</v>
      </c>
      <c r="D126">
        <v>653843</v>
      </c>
      <c r="E126">
        <v>495474</v>
      </c>
      <c r="F126">
        <v>21.8</v>
      </c>
      <c r="G126">
        <v>12.3</v>
      </c>
      <c r="H126">
        <v>17</v>
      </c>
      <c r="I126">
        <v>16.3</v>
      </c>
    </row>
    <row r="127" spans="1:9" ht="24" customHeight="1">
      <c r="A127" s="6" t="s">
        <v>1864</v>
      </c>
      <c r="B127">
        <v>35058</v>
      </c>
      <c r="C127">
        <v>6321</v>
      </c>
      <c r="D127">
        <v>383132</v>
      </c>
      <c r="E127">
        <v>268232</v>
      </c>
      <c r="F127">
        <v>17.7</v>
      </c>
      <c r="G127">
        <v>7.7</v>
      </c>
      <c r="H127">
        <v>11.4</v>
      </c>
      <c r="I127">
        <v>9.9</v>
      </c>
    </row>
    <row r="128" spans="1:9" ht="24" customHeight="1">
      <c r="A128" s="6" t="s">
        <v>1865</v>
      </c>
      <c r="B128">
        <v>29629</v>
      </c>
      <c r="C128">
        <v>4760</v>
      </c>
      <c r="D128">
        <v>408227</v>
      </c>
      <c r="E128">
        <v>302466</v>
      </c>
      <c r="F128">
        <v>18.399999999999999</v>
      </c>
      <c r="G128">
        <v>9.5</v>
      </c>
      <c r="H128">
        <v>12.2</v>
      </c>
      <c r="I128">
        <v>11.1</v>
      </c>
    </row>
    <row r="129" spans="1:9" ht="24" customHeight="1">
      <c r="A129" s="6" t="s">
        <v>1866</v>
      </c>
      <c r="B129">
        <v>41758</v>
      </c>
      <c r="C129">
        <v>6482</v>
      </c>
      <c r="D129">
        <v>475480</v>
      </c>
      <c r="E129">
        <v>322515</v>
      </c>
      <c r="F129">
        <v>21</v>
      </c>
      <c r="G129">
        <v>8.3000000000000007</v>
      </c>
      <c r="H129">
        <v>13.7</v>
      </c>
      <c r="I129">
        <v>11.1</v>
      </c>
    </row>
    <row r="130" spans="1:9" ht="24" customHeight="1">
      <c r="A130" s="6" t="s">
        <v>1867</v>
      </c>
      <c r="B130">
        <v>37250</v>
      </c>
      <c r="C130">
        <v>5242</v>
      </c>
      <c r="D130">
        <v>500764</v>
      </c>
      <c r="E130">
        <v>350223</v>
      </c>
      <c r="F130">
        <v>21</v>
      </c>
      <c r="G130">
        <v>9.4</v>
      </c>
      <c r="H130">
        <v>14</v>
      </c>
      <c r="I130">
        <v>11.2</v>
      </c>
    </row>
    <row r="131" spans="1:9" ht="24" customHeight="1">
      <c r="A131" s="6" t="s">
        <v>1868</v>
      </c>
      <c r="B131">
        <v>39675</v>
      </c>
      <c r="C131">
        <v>3294</v>
      </c>
      <c r="D131">
        <v>465889</v>
      </c>
      <c r="E131">
        <v>344711</v>
      </c>
      <c r="F131">
        <v>22.4</v>
      </c>
      <c r="G131">
        <v>12.6</v>
      </c>
      <c r="H131">
        <v>15.9</v>
      </c>
      <c r="I131">
        <v>12.5</v>
      </c>
    </row>
    <row r="132" spans="1:9" ht="24" customHeight="1">
      <c r="A132" s="6" t="s">
        <v>1869</v>
      </c>
      <c r="B132">
        <v>36699</v>
      </c>
      <c r="C132">
        <v>2728</v>
      </c>
      <c r="D132">
        <v>479076</v>
      </c>
      <c r="E132">
        <v>366762</v>
      </c>
      <c r="F132">
        <v>23.3</v>
      </c>
      <c r="G132">
        <v>14.3</v>
      </c>
      <c r="H132">
        <v>15.6</v>
      </c>
      <c r="I132">
        <v>12.8</v>
      </c>
    </row>
    <row r="133" spans="1:9" ht="24" customHeight="1">
      <c r="A133" s="6" t="s">
        <v>272</v>
      </c>
      <c r="B133">
        <v>95707</v>
      </c>
      <c r="C133">
        <v>24959</v>
      </c>
      <c r="D133">
        <v>493819</v>
      </c>
      <c r="E133">
        <v>294171</v>
      </c>
      <c r="F133">
        <v>14.5</v>
      </c>
      <c r="G133">
        <v>7.1</v>
      </c>
      <c r="H133">
        <v>16.3</v>
      </c>
      <c r="I133">
        <v>11.6</v>
      </c>
    </row>
    <row r="134" spans="1:9" ht="24" customHeight="1">
      <c r="A134" s="6" t="s">
        <v>273</v>
      </c>
      <c r="B134">
        <v>31288</v>
      </c>
      <c r="C134">
        <v>4154</v>
      </c>
      <c r="D134">
        <v>589763</v>
      </c>
      <c r="E134">
        <v>412886</v>
      </c>
      <c r="F134">
        <v>16.2</v>
      </c>
      <c r="G134">
        <v>10.4</v>
      </c>
      <c r="H134">
        <v>18</v>
      </c>
      <c r="I134">
        <v>13.9</v>
      </c>
    </row>
    <row r="135" spans="1:9" ht="24" customHeight="1">
      <c r="A135" s="6" t="s">
        <v>274</v>
      </c>
      <c r="B135">
        <v>29451</v>
      </c>
      <c r="C135">
        <v>3368</v>
      </c>
      <c r="D135">
        <v>604433</v>
      </c>
      <c r="E135">
        <v>454567</v>
      </c>
      <c r="F135">
        <v>16.8</v>
      </c>
      <c r="G135">
        <v>11.5</v>
      </c>
      <c r="H135">
        <v>17.8</v>
      </c>
      <c r="I135">
        <v>14.2</v>
      </c>
    </row>
    <row r="136" spans="1:9" ht="24" customHeight="1">
      <c r="A136" s="6" t="s">
        <v>1870</v>
      </c>
      <c r="B136">
        <v>21869</v>
      </c>
      <c r="C136">
        <v>9911</v>
      </c>
      <c r="D136">
        <v>364296</v>
      </c>
      <c r="E136">
        <v>231865</v>
      </c>
      <c r="F136">
        <v>11.6</v>
      </c>
      <c r="G136">
        <v>4.9000000000000004</v>
      </c>
      <c r="H136">
        <v>13.1</v>
      </c>
      <c r="I136">
        <v>9.9</v>
      </c>
    </row>
    <row r="137" spans="1:9" ht="24" customHeight="1">
      <c r="A137" s="6" t="s">
        <v>1871</v>
      </c>
      <c r="B137">
        <v>17234</v>
      </c>
      <c r="C137">
        <v>5477</v>
      </c>
      <c r="D137">
        <v>395800</v>
      </c>
      <c r="E137">
        <v>287149</v>
      </c>
      <c r="F137">
        <v>10.9</v>
      </c>
      <c r="G137">
        <v>5.0999999999999996</v>
      </c>
      <c r="H137">
        <v>14.6</v>
      </c>
      <c r="I137">
        <v>11</v>
      </c>
    </row>
    <row r="138" spans="1:9" ht="24" customHeight="1">
      <c r="A138" s="6" t="s">
        <v>1872</v>
      </c>
      <c r="B138">
        <v>20622</v>
      </c>
      <c r="C138">
        <v>5698</v>
      </c>
      <c r="D138">
        <v>481299</v>
      </c>
      <c r="E138">
        <v>298445</v>
      </c>
      <c r="F138">
        <v>13</v>
      </c>
      <c r="G138">
        <v>6.9</v>
      </c>
      <c r="H138">
        <v>16.399999999999999</v>
      </c>
      <c r="I138">
        <v>11.1</v>
      </c>
    </row>
    <row r="139" spans="1:9" ht="24" customHeight="1">
      <c r="A139" s="6" t="s">
        <v>1873</v>
      </c>
      <c r="B139">
        <v>18679</v>
      </c>
      <c r="C139">
        <v>3561</v>
      </c>
      <c r="D139">
        <v>497314</v>
      </c>
      <c r="E139">
        <v>349833</v>
      </c>
      <c r="F139">
        <v>13.4</v>
      </c>
      <c r="G139">
        <v>6.9</v>
      </c>
      <c r="H139">
        <v>16.3</v>
      </c>
      <c r="I139">
        <v>11.9</v>
      </c>
    </row>
    <row r="140" spans="1:9" ht="24" customHeight="1">
      <c r="A140" s="6" t="s">
        <v>1874</v>
      </c>
      <c r="B140">
        <v>21929</v>
      </c>
      <c r="C140">
        <v>5195</v>
      </c>
      <c r="D140">
        <v>497867</v>
      </c>
      <c r="E140">
        <v>313428</v>
      </c>
      <c r="F140">
        <v>16.399999999999999</v>
      </c>
      <c r="G140">
        <v>8.9</v>
      </c>
      <c r="H140">
        <v>16.8</v>
      </c>
      <c r="I140">
        <v>13.5</v>
      </c>
    </row>
    <row r="141" spans="1:9" ht="24" customHeight="1">
      <c r="A141" s="6" t="s">
        <v>1875</v>
      </c>
      <c r="B141">
        <v>19591</v>
      </c>
      <c r="C141">
        <v>3109</v>
      </c>
      <c r="D141">
        <v>520771</v>
      </c>
      <c r="E141">
        <v>379548</v>
      </c>
      <c r="F141">
        <v>17.100000000000001</v>
      </c>
      <c r="G141">
        <v>9.1999999999999993</v>
      </c>
      <c r="H141">
        <v>16.600000000000001</v>
      </c>
      <c r="I141">
        <v>15.3</v>
      </c>
    </row>
    <row r="142" spans="1:9" ht="24" customHeight="1">
      <c r="A142" s="6" t="s">
        <v>276</v>
      </c>
      <c r="B142">
        <v>355911</v>
      </c>
      <c r="C142">
        <v>111305</v>
      </c>
      <c r="D142">
        <v>417877</v>
      </c>
      <c r="E142">
        <v>270179</v>
      </c>
      <c r="F142">
        <v>13.3</v>
      </c>
      <c r="G142">
        <v>5.6</v>
      </c>
      <c r="H142">
        <v>14</v>
      </c>
      <c r="I142">
        <v>10.3</v>
      </c>
    </row>
    <row r="143" spans="1:9" ht="24" customHeight="1">
      <c r="A143" s="6" t="s">
        <v>277</v>
      </c>
      <c r="B143">
        <v>39579</v>
      </c>
      <c r="C143">
        <v>9171</v>
      </c>
      <c r="D143">
        <v>538632</v>
      </c>
      <c r="E143">
        <v>387818</v>
      </c>
      <c r="F143">
        <v>22.4</v>
      </c>
      <c r="G143">
        <v>12.1</v>
      </c>
      <c r="H143">
        <v>16</v>
      </c>
      <c r="I143">
        <v>14.3</v>
      </c>
    </row>
    <row r="144" spans="1:9" ht="24" customHeight="1">
      <c r="A144" s="6" t="s">
        <v>278</v>
      </c>
      <c r="B144">
        <v>35701</v>
      </c>
      <c r="C144">
        <v>7278</v>
      </c>
      <c r="D144">
        <v>561015</v>
      </c>
      <c r="E144">
        <v>422304</v>
      </c>
      <c r="F144">
        <v>22.8</v>
      </c>
      <c r="G144">
        <v>12.3</v>
      </c>
      <c r="H144">
        <v>16.5</v>
      </c>
      <c r="I144">
        <v>15.4</v>
      </c>
    </row>
    <row r="145" spans="1:9" ht="24" customHeight="1">
      <c r="A145" s="6" t="s">
        <v>1876</v>
      </c>
      <c r="B145">
        <v>189131</v>
      </c>
      <c r="C145">
        <v>62805</v>
      </c>
      <c r="D145">
        <v>371015</v>
      </c>
      <c r="E145">
        <v>236195</v>
      </c>
      <c r="F145">
        <v>10.6</v>
      </c>
      <c r="G145">
        <v>3.3</v>
      </c>
      <c r="H145">
        <v>12.8</v>
      </c>
      <c r="I145">
        <v>9.6</v>
      </c>
    </row>
    <row r="146" spans="1:9" ht="24" customHeight="1">
      <c r="A146" s="6" t="s">
        <v>1877</v>
      </c>
      <c r="B146">
        <v>165870</v>
      </c>
      <c r="C146">
        <v>40917</v>
      </c>
      <c r="D146">
        <v>388649</v>
      </c>
      <c r="E146">
        <v>287808</v>
      </c>
      <c r="F146">
        <v>10.8</v>
      </c>
      <c r="G146">
        <v>4.3</v>
      </c>
      <c r="H146">
        <v>12.9</v>
      </c>
      <c r="I146">
        <v>10.5</v>
      </c>
    </row>
    <row r="147" spans="1:9" ht="24" customHeight="1">
      <c r="A147" s="6" t="s">
        <v>1878</v>
      </c>
      <c r="B147">
        <v>77588</v>
      </c>
      <c r="C147">
        <v>24140</v>
      </c>
      <c r="D147">
        <v>428990</v>
      </c>
      <c r="E147">
        <v>285462</v>
      </c>
      <c r="F147">
        <v>12.8</v>
      </c>
      <c r="G147">
        <v>6.9</v>
      </c>
      <c r="H147">
        <v>15.1</v>
      </c>
      <c r="I147">
        <v>11</v>
      </c>
    </row>
    <row r="148" spans="1:9" ht="24" customHeight="1">
      <c r="A148" s="6" t="s">
        <v>1879</v>
      </c>
      <c r="B148">
        <v>70268</v>
      </c>
      <c r="C148">
        <v>17148</v>
      </c>
      <c r="D148">
        <v>445726</v>
      </c>
      <c r="E148">
        <v>320983</v>
      </c>
      <c r="F148">
        <v>12.6</v>
      </c>
      <c r="G148">
        <v>7.6</v>
      </c>
      <c r="H148">
        <v>15.1</v>
      </c>
      <c r="I148">
        <v>10.3</v>
      </c>
    </row>
    <row r="149" spans="1:9" ht="24" customHeight="1">
      <c r="A149" s="6" t="s">
        <v>1880</v>
      </c>
      <c r="B149">
        <v>49612</v>
      </c>
      <c r="C149">
        <v>15189</v>
      </c>
      <c r="D149">
        <v>482815</v>
      </c>
      <c r="E149">
        <v>315382</v>
      </c>
      <c r="F149">
        <v>17.100000000000001</v>
      </c>
      <c r="G149">
        <v>9.1999999999999993</v>
      </c>
      <c r="H149">
        <v>15.1</v>
      </c>
      <c r="I149">
        <v>9.8000000000000007</v>
      </c>
    </row>
    <row r="150" spans="1:9" ht="24" customHeight="1">
      <c r="A150" s="6" t="s">
        <v>1881</v>
      </c>
      <c r="B150">
        <v>42853</v>
      </c>
      <c r="C150">
        <v>10686</v>
      </c>
      <c r="D150">
        <v>512866</v>
      </c>
      <c r="E150">
        <v>344845</v>
      </c>
      <c r="F150">
        <v>18</v>
      </c>
      <c r="G150">
        <v>10.5</v>
      </c>
      <c r="H150">
        <v>15.2</v>
      </c>
      <c r="I150">
        <v>10.5</v>
      </c>
    </row>
    <row r="151" spans="1:9" ht="24" customHeight="1">
      <c r="A151" s="6" t="s">
        <v>280</v>
      </c>
      <c r="B151">
        <v>240097</v>
      </c>
      <c r="C151">
        <v>63335</v>
      </c>
      <c r="D151">
        <v>504115</v>
      </c>
      <c r="E151">
        <v>320581</v>
      </c>
      <c r="F151">
        <v>14.4</v>
      </c>
      <c r="G151">
        <v>8.1</v>
      </c>
      <c r="H151">
        <v>15.5</v>
      </c>
      <c r="I151">
        <v>11.7</v>
      </c>
    </row>
    <row r="152" spans="1:9" ht="24" customHeight="1">
      <c r="A152" s="6" t="s">
        <v>281</v>
      </c>
      <c r="B152">
        <v>83634</v>
      </c>
      <c r="C152">
        <v>19716</v>
      </c>
      <c r="D152">
        <v>629703</v>
      </c>
      <c r="E152">
        <v>418196</v>
      </c>
      <c r="F152">
        <v>14.4</v>
      </c>
      <c r="G152">
        <v>9</v>
      </c>
      <c r="H152">
        <v>17.3</v>
      </c>
      <c r="I152">
        <v>13.5</v>
      </c>
    </row>
    <row r="153" spans="1:9" ht="24" customHeight="1">
      <c r="A153" s="6" t="s">
        <v>282</v>
      </c>
      <c r="B153">
        <v>73519</v>
      </c>
      <c r="C153">
        <v>13776</v>
      </c>
      <c r="D153">
        <v>662939</v>
      </c>
      <c r="E153">
        <v>490440</v>
      </c>
      <c r="F153">
        <v>15.1</v>
      </c>
      <c r="G153">
        <v>9</v>
      </c>
      <c r="H153">
        <v>17.2</v>
      </c>
      <c r="I153">
        <v>15.8</v>
      </c>
    </row>
    <row r="154" spans="1:9" ht="24" customHeight="1">
      <c r="A154" s="6" t="s">
        <v>1882</v>
      </c>
      <c r="B154">
        <v>59603</v>
      </c>
      <c r="C154">
        <v>17054</v>
      </c>
      <c r="D154">
        <v>384732</v>
      </c>
      <c r="E154">
        <v>235535</v>
      </c>
      <c r="F154">
        <v>13.4</v>
      </c>
      <c r="G154">
        <v>5.2</v>
      </c>
      <c r="H154">
        <v>12.6</v>
      </c>
      <c r="I154">
        <v>9.6</v>
      </c>
    </row>
    <row r="155" spans="1:9" ht="24" customHeight="1">
      <c r="A155" s="6" t="s">
        <v>1883</v>
      </c>
      <c r="B155">
        <v>51883</v>
      </c>
      <c r="C155">
        <v>11594</v>
      </c>
      <c r="D155">
        <v>408786</v>
      </c>
      <c r="E155">
        <v>274093</v>
      </c>
      <c r="F155">
        <v>14.2</v>
      </c>
      <c r="G155">
        <v>6.3</v>
      </c>
      <c r="H155">
        <v>12.9</v>
      </c>
      <c r="I155">
        <v>10.3</v>
      </c>
    </row>
    <row r="156" spans="1:9" ht="24" customHeight="1">
      <c r="A156" s="6" t="s">
        <v>1884</v>
      </c>
      <c r="B156">
        <v>52140</v>
      </c>
      <c r="C156">
        <v>17332</v>
      </c>
      <c r="D156">
        <v>421635</v>
      </c>
      <c r="E156">
        <v>287086</v>
      </c>
      <c r="F156">
        <v>14.8</v>
      </c>
      <c r="G156">
        <v>10.3</v>
      </c>
      <c r="H156">
        <v>16</v>
      </c>
      <c r="I156">
        <v>11.5</v>
      </c>
    </row>
    <row r="157" spans="1:9" ht="24" customHeight="1">
      <c r="A157" s="6" t="s">
        <v>1885</v>
      </c>
      <c r="B157">
        <v>46485</v>
      </c>
      <c r="C157">
        <v>11937</v>
      </c>
      <c r="D157">
        <v>439001</v>
      </c>
      <c r="E157">
        <v>324700</v>
      </c>
      <c r="F157">
        <v>15.6</v>
      </c>
      <c r="G157">
        <v>13.5</v>
      </c>
      <c r="H157">
        <v>15.5</v>
      </c>
      <c r="I157">
        <v>11.8</v>
      </c>
    </row>
    <row r="158" spans="1:9" ht="24" customHeight="1">
      <c r="A158" s="6" t="s">
        <v>1886</v>
      </c>
      <c r="B158">
        <v>44720</v>
      </c>
      <c r="C158">
        <v>9234</v>
      </c>
      <c r="D158">
        <v>524526</v>
      </c>
      <c r="E158">
        <v>332100</v>
      </c>
      <c r="F158">
        <v>15.3</v>
      </c>
      <c r="G158">
        <v>7</v>
      </c>
      <c r="H158">
        <v>15.6</v>
      </c>
      <c r="I158">
        <v>12.2</v>
      </c>
    </row>
    <row r="159" spans="1:9" ht="24" customHeight="1">
      <c r="A159" s="6" t="s">
        <v>1887</v>
      </c>
      <c r="B159">
        <v>39675</v>
      </c>
      <c r="C159">
        <v>6113</v>
      </c>
      <c r="D159">
        <v>548475</v>
      </c>
      <c r="E159">
        <v>395821</v>
      </c>
      <c r="F159">
        <v>16.2</v>
      </c>
      <c r="G159">
        <v>8.4</v>
      </c>
      <c r="H159">
        <v>15.7</v>
      </c>
      <c r="I159">
        <v>13.4</v>
      </c>
    </row>
    <row r="160" spans="1:9" ht="24" customHeight="1">
      <c r="A160" s="6" t="s">
        <v>284</v>
      </c>
      <c r="B160">
        <v>418109</v>
      </c>
      <c r="C160">
        <v>99034</v>
      </c>
      <c r="D160">
        <v>488550</v>
      </c>
      <c r="E160">
        <v>317912</v>
      </c>
      <c r="F160">
        <v>15</v>
      </c>
      <c r="G160">
        <v>7.6</v>
      </c>
      <c r="H160">
        <v>15.4</v>
      </c>
      <c r="I160">
        <v>10.5</v>
      </c>
    </row>
    <row r="161" spans="1:9" ht="24" customHeight="1">
      <c r="A161" s="6" t="s">
        <v>285</v>
      </c>
      <c r="B161">
        <v>88846</v>
      </c>
      <c r="C161">
        <v>16532</v>
      </c>
      <c r="D161">
        <v>661697</v>
      </c>
      <c r="E161">
        <v>430754</v>
      </c>
      <c r="F161">
        <v>16</v>
      </c>
      <c r="G161">
        <v>11.5</v>
      </c>
      <c r="H161">
        <v>17.3</v>
      </c>
      <c r="I161">
        <v>12</v>
      </c>
    </row>
    <row r="162" spans="1:9" ht="24" customHeight="1">
      <c r="A162" s="6" t="s">
        <v>286</v>
      </c>
      <c r="B162">
        <v>82119</v>
      </c>
      <c r="C162">
        <v>12017</v>
      </c>
      <c r="D162">
        <v>686239</v>
      </c>
      <c r="E162">
        <v>489265</v>
      </c>
      <c r="F162">
        <v>16.600000000000001</v>
      </c>
      <c r="G162">
        <v>12.2</v>
      </c>
      <c r="H162">
        <v>17</v>
      </c>
      <c r="I162">
        <v>13.8</v>
      </c>
    </row>
    <row r="163" spans="1:9" ht="24" customHeight="1">
      <c r="A163" s="6" t="s">
        <v>1888</v>
      </c>
      <c r="B163">
        <v>172662</v>
      </c>
      <c r="C163">
        <v>40309</v>
      </c>
      <c r="D163">
        <v>407067</v>
      </c>
      <c r="E163">
        <v>256128</v>
      </c>
      <c r="F163">
        <v>13.5</v>
      </c>
      <c r="G163">
        <v>6.3</v>
      </c>
      <c r="H163">
        <v>13.9</v>
      </c>
      <c r="I163">
        <v>9.3000000000000007</v>
      </c>
    </row>
    <row r="164" spans="1:9" ht="24" customHeight="1">
      <c r="A164" s="6" t="s">
        <v>1889</v>
      </c>
      <c r="B164">
        <v>154451</v>
      </c>
      <c r="C164">
        <v>28670</v>
      </c>
      <c r="D164">
        <v>421335</v>
      </c>
      <c r="E164">
        <v>298030</v>
      </c>
      <c r="F164">
        <v>14</v>
      </c>
      <c r="G164">
        <v>7.3</v>
      </c>
      <c r="H164">
        <v>14</v>
      </c>
      <c r="I164">
        <v>9.8000000000000007</v>
      </c>
    </row>
    <row r="165" spans="1:9" ht="24" customHeight="1">
      <c r="A165" s="6" t="s">
        <v>1890</v>
      </c>
      <c r="B165">
        <v>84313</v>
      </c>
      <c r="C165">
        <v>23712</v>
      </c>
      <c r="D165">
        <v>453440</v>
      </c>
      <c r="E165">
        <v>323761</v>
      </c>
      <c r="F165">
        <v>15.5</v>
      </c>
      <c r="G165">
        <v>7.2</v>
      </c>
      <c r="H165">
        <v>15.8</v>
      </c>
      <c r="I165">
        <v>12.4</v>
      </c>
    </row>
    <row r="166" spans="1:9" ht="24" customHeight="1">
      <c r="A166" s="6" t="s">
        <v>1891</v>
      </c>
      <c r="B166">
        <v>72991</v>
      </c>
      <c r="C166">
        <v>16491</v>
      </c>
      <c r="D166">
        <v>479013</v>
      </c>
      <c r="E166">
        <v>381526</v>
      </c>
      <c r="F166">
        <v>16.399999999999999</v>
      </c>
      <c r="G166">
        <v>8</v>
      </c>
      <c r="H166">
        <v>15.6</v>
      </c>
      <c r="I166">
        <v>13.2</v>
      </c>
    </row>
    <row r="167" spans="1:9" ht="24" customHeight="1">
      <c r="A167" s="6" t="s">
        <v>1892</v>
      </c>
      <c r="B167">
        <v>72287</v>
      </c>
      <c r="C167">
        <v>18481</v>
      </c>
      <c r="D167">
        <v>511319</v>
      </c>
      <c r="E167">
        <v>344217</v>
      </c>
      <c r="F167">
        <v>16.8</v>
      </c>
      <c r="G167">
        <v>7.3</v>
      </c>
      <c r="H167">
        <v>16.399999999999999</v>
      </c>
      <c r="I167">
        <v>9.5</v>
      </c>
    </row>
    <row r="168" spans="1:9" ht="24" customHeight="1">
      <c r="A168" s="6" t="s">
        <v>1893</v>
      </c>
      <c r="B168">
        <v>64781</v>
      </c>
      <c r="C168">
        <v>13587</v>
      </c>
      <c r="D168">
        <v>527462</v>
      </c>
      <c r="E168">
        <v>395105</v>
      </c>
      <c r="F168">
        <v>17.600000000000001</v>
      </c>
      <c r="G168">
        <v>9.4</v>
      </c>
      <c r="H168">
        <v>16.399999999999999</v>
      </c>
      <c r="I168">
        <v>11.4</v>
      </c>
    </row>
    <row r="169" spans="1:9" ht="24" customHeight="1">
      <c r="A169" s="6" t="s">
        <v>288</v>
      </c>
      <c r="B169">
        <v>143262</v>
      </c>
      <c r="C169">
        <v>64380</v>
      </c>
      <c r="D169">
        <v>510790</v>
      </c>
      <c r="E169">
        <v>306677</v>
      </c>
      <c r="F169">
        <v>12.3</v>
      </c>
      <c r="G169">
        <v>6.9</v>
      </c>
      <c r="H169">
        <v>16.2</v>
      </c>
      <c r="I169">
        <v>12</v>
      </c>
    </row>
    <row r="170" spans="1:9" ht="24" customHeight="1">
      <c r="A170" s="6" t="s">
        <v>289</v>
      </c>
      <c r="B170">
        <v>54173</v>
      </c>
      <c r="C170">
        <v>17642</v>
      </c>
      <c r="D170">
        <v>607346</v>
      </c>
      <c r="E170">
        <v>407294</v>
      </c>
      <c r="F170">
        <v>12.7</v>
      </c>
      <c r="G170">
        <v>9</v>
      </c>
      <c r="H170">
        <v>19.100000000000001</v>
      </c>
      <c r="I170">
        <v>15.5</v>
      </c>
    </row>
    <row r="171" spans="1:9" ht="24" customHeight="1">
      <c r="A171" s="6" t="s">
        <v>290</v>
      </c>
      <c r="B171">
        <v>47517</v>
      </c>
      <c r="C171">
        <v>13368</v>
      </c>
      <c r="D171">
        <v>639600</v>
      </c>
      <c r="E171">
        <v>458651</v>
      </c>
      <c r="F171">
        <v>13.4</v>
      </c>
      <c r="G171">
        <v>9.8000000000000007</v>
      </c>
      <c r="H171">
        <v>18.600000000000001</v>
      </c>
      <c r="I171">
        <v>16.100000000000001</v>
      </c>
    </row>
    <row r="172" spans="1:9" ht="24" customHeight="1">
      <c r="A172" s="6" t="s">
        <v>1894</v>
      </c>
      <c r="B172">
        <v>30521</v>
      </c>
      <c r="C172">
        <v>15291</v>
      </c>
      <c r="D172">
        <v>362954</v>
      </c>
      <c r="E172">
        <v>223587</v>
      </c>
      <c r="F172">
        <v>10.6</v>
      </c>
      <c r="G172">
        <v>3.8</v>
      </c>
      <c r="H172">
        <v>12</v>
      </c>
      <c r="I172">
        <v>9.8000000000000007</v>
      </c>
    </row>
    <row r="173" spans="1:9" ht="24" customHeight="1">
      <c r="A173" s="6" t="s">
        <v>1895</v>
      </c>
      <c r="B173">
        <v>26457</v>
      </c>
      <c r="C173">
        <v>9311</v>
      </c>
      <c r="D173">
        <v>384871</v>
      </c>
      <c r="E173">
        <v>270998</v>
      </c>
      <c r="F173">
        <v>11.7</v>
      </c>
      <c r="G173">
        <v>4.9000000000000004</v>
      </c>
      <c r="H173">
        <v>11.9</v>
      </c>
      <c r="I173">
        <v>10.8</v>
      </c>
    </row>
    <row r="174" spans="1:9" ht="24" customHeight="1">
      <c r="A174" s="6" t="s">
        <v>1896</v>
      </c>
      <c r="B174">
        <v>29693</v>
      </c>
      <c r="C174">
        <v>17842</v>
      </c>
      <c r="D174">
        <v>479416</v>
      </c>
      <c r="E174">
        <v>256999</v>
      </c>
      <c r="F174">
        <v>12.5</v>
      </c>
      <c r="G174">
        <v>5.8</v>
      </c>
      <c r="H174">
        <v>14.7</v>
      </c>
      <c r="I174">
        <v>10.6</v>
      </c>
    </row>
    <row r="175" spans="1:9" ht="24" customHeight="1">
      <c r="A175" s="6" t="s">
        <v>1897</v>
      </c>
      <c r="B175">
        <v>26563</v>
      </c>
      <c r="C175">
        <v>8784</v>
      </c>
      <c r="D175">
        <v>498797</v>
      </c>
      <c r="E175">
        <v>341761</v>
      </c>
      <c r="F175">
        <v>13.5</v>
      </c>
      <c r="G175">
        <v>8.9</v>
      </c>
      <c r="H175">
        <v>14.5</v>
      </c>
      <c r="I175">
        <v>12.4</v>
      </c>
    </row>
    <row r="176" spans="1:9" ht="24" customHeight="1">
      <c r="A176" s="6" t="s">
        <v>1898</v>
      </c>
      <c r="B176">
        <v>28875</v>
      </c>
      <c r="C176">
        <v>13605</v>
      </c>
      <c r="D176">
        <v>518167</v>
      </c>
      <c r="E176">
        <v>334746</v>
      </c>
      <c r="F176">
        <v>13.3</v>
      </c>
      <c r="G176">
        <v>9</v>
      </c>
      <c r="H176">
        <v>16.8</v>
      </c>
      <c r="I176">
        <v>12.1</v>
      </c>
    </row>
    <row r="177" spans="1:9" ht="24" customHeight="1">
      <c r="A177" s="6" t="s">
        <v>1899</v>
      </c>
      <c r="B177">
        <v>25607</v>
      </c>
      <c r="C177">
        <v>8449</v>
      </c>
      <c r="D177">
        <v>545641</v>
      </c>
      <c r="E177">
        <v>407257</v>
      </c>
      <c r="F177">
        <v>14.1</v>
      </c>
      <c r="G177">
        <v>11.2</v>
      </c>
      <c r="H177">
        <v>16.3</v>
      </c>
      <c r="I177">
        <v>13.3</v>
      </c>
    </row>
    <row r="178" spans="1:9" ht="24" customHeight="1">
      <c r="A178" s="6" t="s">
        <v>292</v>
      </c>
      <c r="B178">
        <v>255472</v>
      </c>
      <c r="C178">
        <v>110223</v>
      </c>
      <c r="D178">
        <v>511412</v>
      </c>
      <c r="E178">
        <v>287501</v>
      </c>
      <c r="F178">
        <v>12.9</v>
      </c>
      <c r="G178">
        <v>6.9</v>
      </c>
      <c r="H178">
        <v>17.3</v>
      </c>
      <c r="I178">
        <v>13.3</v>
      </c>
    </row>
    <row r="179" spans="1:9" ht="24" customHeight="1">
      <c r="A179" s="6" t="s">
        <v>293</v>
      </c>
      <c r="B179">
        <v>127963</v>
      </c>
      <c r="C179">
        <v>31273</v>
      </c>
      <c r="D179">
        <v>614784</v>
      </c>
      <c r="E179">
        <v>390894</v>
      </c>
      <c r="F179">
        <v>14.1</v>
      </c>
      <c r="G179">
        <v>8</v>
      </c>
      <c r="H179">
        <v>18.399999999999999</v>
      </c>
      <c r="I179">
        <v>16.3</v>
      </c>
    </row>
    <row r="180" spans="1:9" ht="24" customHeight="1">
      <c r="A180" s="6" t="s">
        <v>294</v>
      </c>
      <c r="B180">
        <v>115044</v>
      </c>
      <c r="C180">
        <v>24277</v>
      </c>
      <c r="D180">
        <v>635654</v>
      </c>
      <c r="E180">
        <v>438135</v>
      </c>
      <c r="F180">
        <v>14.8</v>
      </c>
      <c r="G180">
        <v>9</v>
      </c>
      <c r="H180">
        <v>17.899999999999999</v>
      </c>
      <c r="I180">
        <v>17.7</v>
      </c>
    </row>
    <row r="181" spans="1:9" ht="24" customHeight="1">
      <c r="A181" s="6" t="s">
        <v>1900</v>
      </c>
      <c r="B181">
        <v>30214</v>
      </c>
      <c r="C181">
        <v>30497</v>
      </c>
      <c r="D181">
        <v>346482</v>
      </c>
      <c r="E181">
        <v>187470</v>
      </c>
      <c r="F181">
        <v>11</v>
      </c>
      <c r="G181">
        <v>3.3</v>
      </c>
      <c r="H181">
        <v>15.4</v>
      </c>
      <c r="I181">
        <v>10.9</v>
      </c>
    </row>
    <row r="182" spans="1:9" ht="24" customHeight="1">
      <c r="A182" s="6" t="s">
        <v>1901</v>
      </c>
      <c r="B182">
        <v>26073</v>
      </c>
      <c r="C182">
        <v>14322</v>
      </c>
      <c r="D182">
        <v>362986</v>
      </c>
      <c r="E182">
        <v>246074</v>
      </c>
      <c r="F182">
        <v>11.6</v>
      </c>
      <c r="G182">
        <v>4.8</v>
      </c>
      <c r="H182">
        <v>16.100000000000001</v>
      </c>
      <c r="I182">
        <v>13</v>
      </c>
    </row>
    <row r="183" spans="1:9" ht="24" customHeight="1">
      <c r="A183" s="6" t="s">
        <v>1902</v>
      </c>
      <c r="B183">
        <v>51185</v>
      </c>
      <c r="C183">
        <v>29009</v>
      </c>
      <c r="D183">
        <v>411368</v>
      </c>
      <c r="E183">
        <v>263868</v>
      </c>
      <c r="F183">
        <v>10.9</v>
      </c>
      <c r="G183">
        <v>7.9</v>
      </c>
      <c r="H183">
        <v>15.1</v>
      </c>
      <c r="I183">
        <v>11.4</v>
      </c>
    </row>
    <row r="184" spans="1:9" ht="24" customHeight="1">
      <c r="A184" s="6" t="s">
        <v>1903</v>
      </c>
      <c r="B184">
        <v>44475</v>
      </c>
      <c r="C184">
        <v>17421</v>
      </c>
      <c r="D184">
        <v>430241</v>
      </c>
      <c r="E184">
        <v>325384</v>
      </c>
      <c r="F184">
        <v>11.8</v>
      </c>
      <c r="G184">
        <v>9.8000000000000007</v>
      </c>
      <c r="H184">
        <v>14.5</v>
      </c>
      <c r="I184">
        <v>12.7</v>
      </c>
    </row>
    <row r="185" spans="1:9" ht="24" customHeight="1">
      <c r="A185" s="6" t="s">
        <v>1904</v>
      </c>
      <c r="B185">
        <v>46110</v>
      </c>
      <c r="C185">
        <v>19443</v>
      </c>
      <c r="D185">
        <v>443664</v>
      </c>
      <c r="E185">
        <v>313362</v>
      </c>
      <c r="F185">
        <v>13</v>
      </c>
      <c r="G185">
        <v>9.5</v>
      </c>
      <c r="H185">
        <v>18</v>
      </c>
      <c r="I185">
        <v>15</v>
      </c>
    </row>
    <row r="186" spans="1:9" ht="24" customHeight="1">
      <c r="A186" s="6" t="s">
        <v>1905</v>
      </c>
      <c r="B186">
        <v>41212</v>
      </c>
      <c r="C186">
        <v>12929</v>
      </c>
      <c r="D186">
        <v>459517</v>
      </c>
      <c r="E186">
        <v>367598</v>
      </c>
      <c r="F186">
        <v>13.5</v>
      </c>
      <c r="G186">
        <v>10.3</v>
      </c>
      <c r="H186">
        <v>17.7</v>
      </c>
      <c r="I186">
        <v>16.3</v>
      </c>
    </row>
    <row r="187" spans="1:9" ht="24" customHeight="1">
      <c r="A187" s="6" t="s">
        <v>296</v>
      </c>
      <c r="B187">
        <v>318461</v>
      </c>
      <c r="C187">
        <v>154836</v>
      </c>
      <c r="D187">
        <v>524414</v>
      </c>
      <c r="E187">
        <v>283803</v>
      </c>
      <c r="F187">
        <v>13.3</v>
      </c>
      <c r="G187">
        <v>7.7</v>
      </c>
      <c r="H187">
        <v>16.5</v>
      </c>
      <c r="I187">
        <v>12.5</v>
      </c>
    </row>
    <row r="188" spans="1:9" ht="24" customHeight="1">
      <c r="A188" s="6" t="s">
        <v>297</v>
      </c>
      <c r="B188">
        <v>143893</v>
      </c>
      <c r="C188">
        <v>39672</v>
      </c>
      <c r="D188">
        <v>634957</v>
      </c>
      <c r="E188">
        <v>418526</v>
      </c>
      <c r="F188">
        <v>15.3</v>
      </c>
      <c r="G188">
        <v>10.9</v>
      </c>
      <c r="H188">
        <v>18.2</v>
      </c>
      <c r="I188">
        <v>16</v>
      </c>
    </row>
    <row r="189" spans="1:9" ht="24" customHeight="1">
      <c r="A189" s="6" t="s">
        <v>298</v>
      </c>
      <c r="B189">
        <v>127574</v>
      </c>
      <c r="C189">
        <v>31457</v>
      </c>
      <c r="D189">
        <v>662644</v>
      </c>
      <c r="E189">
        <v>454613</v>
      </c>
      <c r="F189">
        <v>15.4</v>
      </c>
      <c r="G189">
        <v>10.6</v>
      </c>
      <c r="H189">
        <v>17.899999999999999</v>
      </c>
      <c r="I189">
        <v>17</v>
      </c>
    </row>
    <row r="190" spans="1:9" ht="24" customHeight="1">
      <c r="A190" s="6" t="s">
        <v>1906</v>
      </c>
      <c r="B190">
        <v>84996</v>
      </c>
      <c r="C190">
        <v>58276</v>
      </c>
      <c r="D190">
        <v>392237</v>
      </c>
      <c r="E190">
        <v>212826</v>
      </c>
      <c r="F190">
        <v>10.9</v>
      </c>
      <c r="G190">
        <v>4.8</v>
      </c>
      <c r="H190">
        <v>14.2</v>
      </c>
      <c r="I190">
        <v>10.7</v>
      </c>
    </row>
    <row r="191" spans="1:9" ht="24" customHeight="1">
      <c r="A191" s="6" t="s">
        <v>1907</v>
      </c>
      <c r="B191">
        <v>72298</v>
      </c>
      <c r="C191">
        <v>26587</v>
      </c>
      <c r="D191">
        <v>419765</v>
      </c>
      <c r="E191">
        <v>262199</v>
      </c>
      <c r="F191">
        <v>11.8</v>
      </c>
      <c r="G191">
        <v>5.5</v>
      </c>
      <c r="H191">
        <v>14.2</v>
      </c>
      <c r="I191">
        <v>11.8</v>
      </c>
    </row>
    <row r="192" spans="1:9" ht="24" customHeight="1">
      <c r="A192" s="6" t="s">
        <v>1908</v>
      </c>
      <c r="B192">
        <v>44728</v>
      </c>
      <c r="C192">
        <v>27937</v>
      </c>
      <c r="D192">
        <v>445373</v>
      </c>
      <c r="E192">
        <v>252162</v>
      </c>
      <c r="F192">
        <v>10.8</v>
      </c>
      <c r="G192">
        <v>6.3</v>
      </c>
      <c r="H192">
        <v>14.6</v>
      </c>
      <c r="I192">
        <v>11.7</v>
      </c>
    </row>
    <row r="193" spans="1:9" ht="24" customHeight="1">
      <c r="A193" s="6" t="s">
        <v>1909</v>
      </c>
      <c r="B193">
        <v>38955</v>
      </c>
      <c r="C193">
        <v>14565</v>
      </c>
      <c r="D193">
        <v>465420</v>
      </c>
      <c r="E193">
        <v>317778</v>
      </c>
      <c r="F193">
        <v>11.4</v>
      </c>
      <c r="G193">
        <v>8.5</v>
      </c>
      <c r="H193">
        <v>14.2</v>
      </c>
      <c r="I193">
        <v>12.8</v>
      </c>
    </row>
    <row r="194" spans="1:9" ht="24" customHeight="1">
      <c r="A194" s="6" t="s">
        <v>1910</v>
      </c>
      <c r="B194">
        <v>44845</v>
      </c>
      <c r="C194">
        <v>28951</v>
      </c>
      <c r="D194">
        <v>499074</v>
      </c>
      <c r="E194">
        <v>272594</v>
      </c>
      <c r="F194">
        <v>13.5</v>
      </c>
      <c r="G194">
        <v>10.3</v>
      </c>
      <c r="H194">
        <v>17.600000000000001</v>
      </c>
      <c r="I194">
        <v>12.2</v>
      </c>
    </row>
    <row r="195" spans="1:9" ht="24" customHeight="1">
      <c r="A195" s="6" t="s">
        <v>1911</v>
      </c>
      <c r="B195">
        <v>39060</v>
      </c>
      <c r="C195">
        <v>15216</v>
      </c>
      <c r="D195">
        <v>517280</v>
      </c>
      <c r="E195">
        <v>328644</v>
      </c>
      <c r="F195">
        <v>14.6</v>
      </c>
      <c r="G195">
        <v>8.8000000000000007</v>
      </c>
      <c r="H195">
        <v>17.8</v>
      </c>
      <c r="I195">
        <v>15</v>
      </c>
    </row>
    <row r="196" spans="1:9" ht="24" customHeight="1">
      <c r="A196" s="6" t="s">
        <v>300</v>
      </c>
      <c r="B196">
        <v>98351</v>
      </c>
      <c r="C196">
        <v>37619</v>
      </c>
      <c r="D196">
        <v>554141</v>
      </c>
      <c r="E196">
        <v>316650</v>
      </c>
      <c r="F196">
        <v>13.4</v>
      </c>
      <c r="G196">
        <v>6.9</v>
      </c>
      <c r="H196">
        <v>18.5</v>
      </c>
      <c r="I196">
        <v>14.3</v>
      </c>
    </row>
    <row r="197" spans="1:9" ht="24" customHeight="1">
      <c r="A197" s="6" t="s">
        <v>301</v>
      </c>
      <c r="B197">
        <v>46909</v>
      </c>
      <c r="C197">
        <v>12124</v>
      </c>
      <c r="D197">
        <v>659990</v>
      </c>
      <c r="E197">
        <v>470437</v>
      </c>
      <c r="F197">
        <v>15.4</v>
      </c>
      <c r="G197">
        <v>9.9</v>
      </c>
      <c r="H197">
        <v>20.100000000000001</v>
      </c>
      <c r="I197">
        <v>17.600000000000001</v>
      </c>
    </row>
    <row r="198" spans="1:9" ht="24" customHeight="1">
      <c r="A198" s="6" t="s">
        <v>302</v>
      </c>
      <c r="B198">
        <v>43098</v>
      </c>
      <c r="C198">
        <v>10666</v>
      </c>
      <c r="D198">
        <v>680144</v>
      </c>
      <c r="E198">
        <v>500584</v>
      </c>
      <c r="F198">
        <v>15.9</v>
      </c>
      <c r="G198">
        <v>10.199999999999999</v>
      </c>
      <c r="H198">
        <v>19.2</v>
      </c>
      <c r="I198">
        <v>17.8</v>
      </c>
    </row>
    <row r="199" spans="1:9" ht="24" customHeight="1">
      <c r="A199" s="6" t="s">
        <v>1912</v>
      </c>
      <c r="B199">
        <v>10141</v>
      </c>
      <c r="C199">
        <v>9347</v>
      </c>
      <c r="D199">
        <v>378297</v>
      </c>
      <c r="E199">
        <v>182702</v>
      </c>
      <c r="F199">
        <v>8.8000000000000007</v>
      </c>
      <c r="G199">
        <v>3.6</v>
      </c>
      <c r="H199">
        <v>15.1</v>
      </c>
      <c r="I199">
        <v>10.3</v>
      </c>
    </row>
    <row r="200" spans="1:9" ht="24" customHeight="1">
      <c r="A200" s="6" t="s">
        <v>1913</v>
      </c>
      <c r="B200">
        <v>8632</v>
      </c>
      <c r="C200">
        <v>4249</v>
      </c>
      <c r="D200">
        <v>406876</v>
      </c>
      <c r="E200">
        <v>256136</v>
      </c>
      <c r="F200">
        <v>9.8000000000000007</v>
      </c>
      <c r="G200">
        <v>5.9</v>
      </c>
      <c r="H200">
        <v>15.1</v>
      </c>
      <c r="I200">
        <v>12.4</v>
      </c>
    </row>
    <row r="201" spans="1:9" ht="24" customHeight="1">
      <c r="A201" s="6" t="s">
        <v>1914</v>
      </c>
      <c r="B201">
        <v>18715</v>
      </c>
      <c r="C201">
        <v>8727</v>
      </c>
      <c r="D201">
        <v>419092</v>
      </c>
      <c r="E201">
        <v>239894</v>
      </c>
      <c r="F201">
        <v>11.1</v>
      </c>
      <c r="G201">
        <v>4.8</v>
      </c>
      <c r="H201">
        <v>15.6</v>
      </c>
      <c r="I201">
        <v>12.1</v>
      </c>
    </row>
    <row r="202" spans="1:9" ht="24" customHeight="1">
      <c r="A202" s="6" t="s">
        <v>1915</v>
      </c>
      <c r="B202">
        <v>16112</v>
      </c>
      <c r="C202">
        <v>4575</v>
      </c>
      <c r="D202">
        <v>443134</v>
      </c>
      <c r="E202">
        <v>312054</v>
      </c>
      <c r="F202">
        <v>12.1</v>
      </c>
      <c r="G202">
        <v>7.9</v>
      </c>
      <c r="H202">
        <v>16</v>
      </c>
      <c r="I202">
        <v>13.7</v>
      </c>
    </row>
    <row r="203" spans="1:9" ht="24" customHeight="1">
      <c r="A203" s="6" t="s">
        <v>1916</v>
      </c>
      <c r="B203">
        <v>22586</v>
      </c>
      <c r="C203">
        <v>7421</v>
      </c>
      <c r="D203">
        <v>525163</v>
      </c>
      <c r="E203">
        <v>324371</v>
      </c>
      <c r="F203">
        <v>13.3</v>
      </c>
      <c r="G203">
        <v>8.4</v>
      </c>
      <c r="H203">
        <v>19.2</v>
      </c>
      <c r="I203">
        <v>16.600000000000001</v>
      </c>
    </row>
    <row r="204" spans="1:9" ht="24" customHeight="1">
      <c r="A204" s="6" t="s">
        <v>1917</v>
      </c>
      <c r="B204">
        <v>20522</v>
      </c>
      <c r="C204">
        <v>5516</v>
      </c>
      <c r="D204">
        <v>540246</v>
      </c>
      <c r="E204">
        <v>367729</v>
      </c>
      <c r="F204">
        <v>14.1</v>
      </c>
      <c r="G204">
        <v>8.8000000000000007</v>
      </c>
      <c r="H204">
        <v>18.399999999999999</v>
      </c>
      <c r="I204">
        <v>17.2</v>
      </c>
    </row>
    <row r="205" spans="1:9" ht="24" customHeight="1">
      <c r="A205" s="6" t="s">
        <v>304</v>
      </c>
      <c r="B205">
        <v>689104</v>
      </c>
      <c r="C205">
        <v>165643</v>
      </c>
      <c r="D205">
        <v>500633</v>
      </c>
      <c r="E205">
        <v>298996</v>
      </c>
      <c r="F205">
        <v>18.399999999999999</v>
      </c>
      <c r="G205">
        <v>7.8</v>
      </c>
      <c r="H205">
        <v>16.100000000000001</v>
      </c>
      <c r="I205">
        <v>10.9</v>
      </c>
    </row>
    <row r="206" spans="1:9" ht="24" customHeight="1">
      <c r="A206" s="6" t="s">
        <v>305</v>
      </c>
      <c r="B206">
        <v>328524</v>
      </c>
      <c r="C206">
        <v>51319</v>
      </c>
      <c r="D206">
        <v>592955</v>
      </c>
      <c r="E206">
        <v>422197</v>
      </c>
      <c r="F206">
        <v>20.2</v>
      </c>
      <c r="G206">
        <v>13.3</v>
      </c>
      <c r="H206">
        <v>18.399999999999999</v>
      </c>
      <c r="I206">
        <v>12.6</v>
      </c>
    </row>
    <row r="207" spans="1:9" ht="24" customHeight="1">
      <c r="A207" s="6" t="s">
        <v>306</v>
      </c>
      <c r="B207">
        <v>297738</v>
      </c>
      <c r="C207">
        <v>41017</v>
      </c>
      <c r="D207">
        <v>612767</v>
      </c>
      <c r="E207">
        <v>449389</v>
      </c>
      <c r="F207">
        <v>20.8</v>
      </c>
      <c r="G207">
        <v>12.8</v>
      </c>
      <c r="H207">
        <v>18.5</v>
      </c>
      <c r="I207">
        <v>13.8</v>
      </c>
    </row>
    <row r="208" spans="1:9" ht="24" customHeight="1">
      <c r="A208" s="6" t="s">
        <v>1918</v>
      </c>
      <c r="B208">
        <v>106461</v>
      </c>
      <c r="C208">
        <v>37032</v>
      </c>
      <c r="D208">
        <v>368038</v>
      </c>
      <c r="E208">
        <v>178567</v>
      </c>
      <c r="F208">
        <v>14.9</v>
      </c>
      <c r="G208">
        <v>2.9</v>
      </c>
      <c r="H208">
        <v>13.8</v>
      </c>
      <c r="I208">
        <v>10.3</v>
      </c>
    </row>
    <row r="209" spans="1:9" ht="24" customHeight="1">
      <c r="A209" s="6" t="s">
        <v>1919</v>
      </c>
      <c r="B209">
        <v>91019</v>
      </c>
      <c r="C209">
        <v>16911</v>
      </c>
      <c r="D209">
        <v>390629</v>
      </c>
      <c r="E209">
        <v>255052</v>
      </c>
      <c r="F209">
        <v>15</v>
      </c>
      <c r="G209">
        <v>4.4000000000000004</v>
      </c>
      <c r="H209">
        <v>14.5</v>
      </c>
      <c r="I209">
        <v>10.1</v>
      </c>
    </row>
    <row r="210" spans="1:9" ht="24" customHeight="1">
      <c r="A210" s="6" t="s">
        <v>1920</v>
      </c>
      <c r="B210">
        <v>98505</v>
      </c>
      <c r="C210">
        <v>49412</v>
      </c>
      <c r="D210">
        <v>388920</v>
      </c>
      <c r="E210">
        <v>257876</v>
      </c>
      <c r="F210">
        <v>15.4</v>
      </c>
      <c r="G210">
        <v>4.4000000000000004</v>
      </c>
      <c r="H210">
        <v>11.8</v>
      </c>
      <c r="I210">
        <v>8.9</v>
      </c>
    </row>
    <row r="211" spans="1:9" ht="24" customHeight="1">
      <c r="A211" s="6" t="s">
        <v>1921</v>
      </c>
      <c r="B211">
        <v>85219</v>
      </c>
      <c r="C211">
        <v>35616</v>
      </c>
      <c r="D211">
        <v>392188</v>
      </c>
      <c r="E211">
        <v>287544</v>
      </c>
      <c r="F211">
        <v>16</v>
      </c>
      <c r="G211">
        <v>3.6</v>
      </c>
      <c r="H211">
        <v>12.2</v>
      </c>
      <c r="I211">
        <v>8.6999999999999993</v>
      </c>
    </row>
    <row r="212" spans="1:9" ht="24" customHeight="1">
      <c r="A212" s="6" t="s">
        <v>1922</v>
      </c>
      <c r="B212">
        <v>155613</v>
      </c>
      <c r="C212">
        <v>27880</v>
      </c>
      <c r="D212">
        <v>467153</v>
      </c>
      <c r="E212">
        <v>305060</v>
      </c>
      <c r="F212">
        <v>19.100000000000001</v>
      </c>
      <c r="G212">
        <v>10.4</v>
      </c>
      <c r="H212">
        <v>15.6</v>
      </c>
      <c r="I212">
        <v>12</v>
      </c>
    </row>
    <row r="213" spans="1:9" ht="24" customHeight="1">
      <c r="A213" s="6" t="s">
        <v>1923</v>
      </c>
      <c r="B213">
        <v>135695</v>
      </c>
      <c r="C213">
        <v>20097</v>
      </c>
      <c r="D213">
        <v>492987</v>
      </c>
      <c r="E213">
        <v>349038</v>
      </c>
      <c r="F213">
        <v>20.3</v>
      </c>
      <c r="G213">
        <v>10</v>
      </c>
      <c r="H213">
        <v>16.2</v>
      </c>
      <c r="I213">
        <v>13.3</v>
      </c>
    </row>
    <row r="214" spans="1:9" ht="24" customHeight="1">
      <c r="A214" s="6" t="s">
        <v>308</v>
      </c>
      <c r="B214">
        <v>88921</v>
      </c>
      <c r="C214">
        <v>57052</v>
      </c>
      <c r="D214">
        <v>455274</v>
      </c>
      <c r="E214">
        <v>260827</v>
      </c>
      <c r="F214">
        <v>11</v>
      </c>
      <c r="G214">
        <v>5.4</v>
      </c>
      <c r="H214">
        <v>15.4</v>
      </c>
      <c r="I214">
        <v>10.5</v>
      </c>
    </row>
    <row r="215" spans="1:9" ht="24" customHeight="1">
      <c r="A215" s="6" t="s">
        <v>309</v>
      </c>
      <c r="B215">
        <v>17340</v>
      </c>
      <c r="C215">
        <v>6405</v>
      </c>
      <c r="D215">
        <v>617396</v>
      </c>
      <c r="E215">
        <v>412854</v>
      </c>
      <c r="F215">
        <v>17.399999999999999</v>
      </c>
      <c r="G215">
        <v>12.7</v>
      </c>
      <c r="H215">
        <v>17.2</v>
      </c>
      <c r="I215">
        <v>13.2</v>
      </c>
    </row>
    <row r="216" spans="1:9" ht="24" customHeight="1">
      <c r="A216" s="6" t="s">
        <v>310</v>
      </c>
      <c r="B216">
        <v>15712</v>
      </c>
      <c r="C216">
        <v>4373</v>
      </c>
      <c r="D216">
        <v>645956</v>
      </c>
      <c r="E216">
        <v>493527</v>
      </c>
      <c r="F216">
        <v>18</v>
      </c>
      <c r="G216">
        <v>15.1</v>
      </c>
      <c r="H216">
        <v>16.7</v>
      </c>
      <c r="I216">
        <v>13.8</v>
      </c>
    </row>
    <row r="217" spans="1:9" ht="24" customHeight="1">
      <c r="A217" s="6" t="s">
        <v>1924</v>
      </c>
      <c r="B217">
        <v>31767</v>
      </c>
      <c r="C217">
        <v>28787</v>
      </c>
      <c r="D217">
        <v>362795</v>
      </c>
      <c r="E217">
        <v>211552</v>
      </c>
      <c r="F217">
        <v>7.9</v>
      </c>
      <c r="G217">
        <v>3.8</v>
      </c>
      <c r="H217">
        <v>13</v>
      </c>
      <c r="I217">
        <v>9.8000000000000007</v>
      </c>
    </row>
    <row r="218" spans="1:9" ht="24" customHeight="1">
      <c r="A218" s="6" t="s">
        <v>1925</v>
      </c>
      <c r="B218">
        <v>26271</v>
      </c>
      <c r="C218">
        <v>14566</v>
      </c>
      <c r="D218">
        <v>398805</v>
      </c>
      <c r="E218">
        <v>290094</v>
      </c>
      <c r="F218">
        <v>9.1999999999999993</v>
      </c>
      <c r="G218">
        <v>6.9</v>
      </c>
      <c r="H218">
        <v>13.3</v>
      </c>
      <c r="I218">
        <v>10.4</v>
      </c>
    </row>
    <row r="219" spans="1:9" ht="24" customHeight="1">
      <c r="A219" s="6" t="s">
        <v>1926</v>
      </c>
      <c r="B219">
        <v>26706</v>
      </c>
      <c r="C219">
        <v>16249</v>
      </c>
      <c r="D219">
        <v>457395</v>
      </c>
      <c r="E219">
        <v>288091</v>
      </c>
      <c r="F219">
        <v>10.1</v>
      </c>
      <c r="G219">
        <v>4.9000000000000004</v>
      </c>
      <c r="H219">
        <v>15.8</v>
      </c>
      <c r="I219">
        <v>10.3</v>
      </c>
    </row>
    <row r="220" spans="1:9" ht="24" customHeight="1">
      <c r="A220" s="6" t="s">
        <v>1927</v>
      </c>
      <c r="B220">
        <v>23297</v>
      </c>
      <c r="C220">
        <v>9965</v>
      </c>
      <c r="D220">
        <v>472561</v>
      </c>
      <c r="E220">
        <v>347220</v>
      </c>
      <c r="F220">
        <v>10.6</v>
      </c>
      <c r="G220">
        <v>6.9</v>
      </c>
      <c r="H220">
        <v>15.2</v>
      </c>
      <c r="I220">
        <v>11.8</v>
      </c>
    </row>
    <row r="221" spans="1:9" ht="24" customHeight="1">
      <c r="A221" s="6" t="s">
        <v>1928</v>
      </c>
      <c r="B221">
        <v>13109</v>
      </c>
      <c r="C221">
        <v>5611</v>
      </c>
      <c r="D221">
        <v>460604</v>
      </c>
      <c r="E221">
        <v>261128</v>
      </c>
      <c r="F221">
        <v>12</v>
      </c>
      <c r="G221">
        <v>5.9</v>
      </c>
      <c r="H221">
        <v>18</v>
      </c>
      <c r="I221">
        <v>12.1</v>
      </c>
    </row>
    <row r="222" spans="1:9" ht="24" customHeight="1">
      <c r="A222" s="6" t="s">
        <v>1929</v>
      </c>
      <c r="B222">
        <v>11323</v>
      </c>
      <c r="C222">
        <v>2557</v>
      </c>
      <c r="D222">
        <v>492502</v>
      </c>
      <c r="E222">
        <v>361108</v>
      </c>
      <c r="F222">
        <v>12.6</v>
      </c>
      <c r="G222">
        <v>7.6</v>
      </c>
      <c r="H222">
        <v>18.7</v>
      </c>
      <c r="I222">
        <v>16</v>
      </c>
    </row>
    <row r="223" spans="1:9" ht="24" customHeight="1">
      <c r="A223" s="6" t="s">
        <v>312</v>
      </c>
      <c r="B223">
        <v>121827</v>
      </c>
      <c r="C223">
        <v>21295</v>
      </c>
      <c r="D223">
        <v>597021</v>
      </c>
      <c r="E223">
        <v>453104</v>
      </c>
      <c r="F223">
        <v>14.9</v>
      </c>
      <c r="G223">
        <v>10.7</v>
      </c>
      <c r="H223">
        <v>18.899999999999999</v>
      </c>
      <c r="I223">
        <v>15.3</v>
      </c>
    </row>
    <row r="224" spans="1:9" ht="24" customHeight="1">
      <c r="A224" s="6" t="s">
        <v>313</v>
      </c>
      <c r="B224">
        <v>1035365</v>
      </c>
      <c r="C224">
        <v>470676</v>
      </c>
      <c r="D224">
        <v>535744</v>
      </c>
      <c r="E224">
        <v>385319</v>
      </c>
      <c r="F224">
        <v>10.4</v>
      </c>
      <c r="G224">
        <v>8.3000000000000007</v>
      </c>
      <c r="H224">
        <v>12.9</v>
      </c>
      <c r="I224">
        <v>8.4</v>
      </c>
    </row>
    <row r="225" spans="1:9" ht="24" customHeight="1">
      <c r="A225" s="6" t="s">
        <v>314</v>
      </c>
      <c r="B225">
        <v>2079920</v>
      </c>
      <c r="C225">
        <v>564173</v>
      </c>
      <c r="D225">
        <v>393812</v>
      </c>
      <c r="E225">
        <v>234199</v>
      </c>
      <c r="F225">
        <v>24.9</v>
      </c>
      <c r="G225">
        <v>9.1999999999999993</v>
      </c>
      <c r="H225">
        <v>12.8</v>
      </c>
      <c r="I225">
        <v>8.6999999999999993</v>
      </c>
    </row>
    <row r="226" spans="1:9" ht="24" customHeight="1">
      <c r="A226" s="6" t="s">
        <v>315</v>
      </c>
      <c r="B226">
        <v>4547876</v>
      </c>
      <c r="C226">
        <v>4577647</v>
      </c>
      <c r="D226">
        <v>369420</v>
      </c>
      <c r="E226">
        <v>187354</v>
      </c>
      <c r="F226">
        <v>8.1</v>
      </c>
      <c r="G226">
        <v>3.4</v>
      </c>
      <c r="H226">
        <v>11.4</v>
      </c>
      <c r="I226">
        <v>7.9</v>
      </c>
    </row>
    <row r="227" spans="1:9" ht="24" customHeight="1">
      <c r="A227" s="6" t="s">
        <v>316</v>
      </c>
      <c r="B227">
        <v>477556</v>
      </c>
      <c r="C227">
        <v>688794</v>
      </c>
      <c r="D227">
        <v>701789</v>
      </c>
      <c r="E227">
        <v>369995</v>
      </c>
      <c r="F227">
        <v>12.1</v>
      </c>
      <c r="G227">
        <v>7.8</v>
      </c>
      <c r="H227">
        <v>15.7</v>
      </c>
      <c r="I227">
        <v>12.1</v>
      </c>
    </row>
    <row r="228" spans="1:9" ht="24" customHeight="1">
      <c r="A228" s="6" t="s">
        <v>317</v>
      </c>
      <c r="B228">
        <v>390959</v>
      </c>
      <c r="C228">
        <v>289022</v>
      </c>
      <c r="D228">
        <v>467885</v>
      </c>
      <c r="E228">
        <v>279218</v>
      </c>
      <c r="F228">
        <v>9.4</v>
      </c>
      <c r="G228">
        <v>5.4</v>
      </c>
      <c r="H228">
        <v>10</v>
      </c>
      <c r="I228">
        <v>7.4</v>
      </c>
    </row>
    <row r="229" spans="1:9" ht="24" customHeight="1">
      <c r="A229" s="6" t="s">
        <v>318</v>
      </c>
      <c r="B229">
        <v>892135</v>
      </c>
      <c r="C229">
        <v>441698</v>
      </c>
      <c r="D229">
        <v>574581</v>
      </c>
      <c r="E229">
        <v>357075</v>
      </c>
      <c r="F229">
        <v>11.7</v>
      </c>
      <c r="G229">
        <v>7.9</v>
      </c>
      <c r="H229">
        <v>12.5</v>
      </c>
      <c r="I229">
        <v>8</v>
      </c>
    </row>
    <row r="230" spans="1:9" ht="24" customHeight="1">
      <c r="A230" s="6" t="s">
        <v>319</v>
      </c>
      <c r="B230">
        <v>1227036</v>
      </c>
      <c r="C230">
        <v>2005865</v>
      </c>
      <c r="D230">
        <v>169739</v>
      </c>
      <c r="E230">
        <v>105091</v>
      </c>
      <c r="F230">
        <v>5.9</v>
      </c>
      <c r="G230">
        <v>2.6</v>
      </c>
      <c r="H230">
        <v>5.0999999999999996</v>
      </c>
      <c r="I230">
        <v>4.7</v>
      </c>
    </row>
    <row r="231" spans="1:9" ht="24" customHeight="1">
      <c r="A231" s="6" t="s">
        <v>320</v>
      </c>
      <c r="B231">
        <v>498460</v>
      </c>
      <c r="C231">
        <v>648080</v>
      </c>
      <c r="D231">
        <v>281171</v>
      </c>
      <c r="E231">
        <v>169758</v>
      </c>
      <c r="F231">
        <v>6.3</v>
      </c>
      <c r="G231">
        <v>3.4</v>
      </c>
      <c r="H231">
        <v>9.1</v>
      </c>
      <c r="I231">
        <v>7.3</v>
      </c>
    </row>
    <row r="232" spans="1:9" ht="24" customHeight="1">
      <c r="A232" s="6" t="s">
        <v>321</v>
      </c>
      <c r="B232">
        <v>651217</v>
      </c>
      <c r="C232">
        <v>773605</v>
      </c>
      <c r="D232">
        <v>388051</v>
      </c>
      <c r="E232">
        <v>252633</v>
      </c>
      <c r="F232">
        <v>4</v>
      </c>
      <c r="G232">
        <v>2.6</v>
      </c>
      <c r="H232">
        <v>9.9</v>
      </c>
      <c r="I232">
        <v>7.7</v>
      </c>
    </row>
    <row r="233" spans="1:9" ht="24" customHeight="1">
      <c r="A233" s="6" t="s">
        <v>322</v>
      </c>
      <c r="B233">
        <v>1696604</v>
      </c>
      <c r="C233">
        <v>4769212</v>
      </c>
      <c r="D233">
        <v>396738</v>
      </c>
      <c r="E233">
        <v>274732</v>
      </c>
      <c r="F233">
        <v>6.1</v>
      </c>
      <c r="G233">
        <v>3.7</v>
      </c>
      <c r="H233">
        <v>8.6</v>
      </c>
      <c r="I233">
        <v>8.1</v>
      </c>
    </row>
    <row r="234" spans="1:9" ht="24" customHeight="1">
      <c r="A234" s="6" t="s">
        <v>323</v>
      </c>
      <c r="B234">
        <v>193295</v>
      </c>
      <c r="C234">
        <v>115450</v>
      </c>
      <c r="D234">
        <v>424663</v>
      </c>
      <c r="E234">
        <v>281312</v>
      </c>
      <c r="F234">
        <v>10</v>
      </c>
      <c r="G234">
        <v>5.3</v>
      </c>
      <c r="H234">
        <v>16.899999999999999</v>
      </c>
      <c r="I234">
        <v>12.3</v>
      </c>
    </row>
    <row r="235" spans="1:9" ht="24" customHeight="1">
      <c r="A235" s="6" t="s">
        <v>324</v>
      </c>
      <c r="B235">
        <v>2204902</v>
      </c>
      <c r="C235">
        <v>1802368</v>
      </c>
      <c r="D235">
        <v>359456</v>
      </c>
      <c r="E235">
        <v>213572</v>
      </c>
      <c r="F235">
        <v>11.8</v>
      </c>
      <c r="G235">
        <v>4.7</v>
      </c>
      <c r="H235">
        <v>9.6</v>
      </c>
      <c r="I235">
        <v>6.1</v>
      </c>
    </row>
    <row r="236" spans="1:9" ht="24" customHeight="1">
      <c r="A236" s="6" t="s">
        <v>325</v>
      </c>
      <c r="B236">
        <v>1704</v>
      </c>
      <c r="C236">
        <v>642</v>
      </c>
      <c r="D236">
        <v>824496</v>
      </c>
      <c r="E236">
        <v>519069</v>
      </c>
      <c r="F236">
        <v>13</v>
      </c>
      <c r="G236">
        <v>9.9</v>
      </c>
      <c r="H236">
        <v>16.2</v>
      </c>
      <c r="I236">
        <v>9.9</v>
      </c>
    </row>
    <row r="237" spans="1:9" ht="24" customHeight="1">
      <c r="A237" s="6" t="s">
        <v>460</v>
      </c>
      <c r="B237">
        <v>1560</v>
      </c>
      <c r="C237">
        <v>518</v>
      </c>
      <c r="D237">
        <v>863537</v>
      </c>
      <c r="E237">
        <v>586738</v>
      </c>
      <c r="F237">
        <v>13.7</v>
      </c>
      <c r="G237">
        <v>11.4</v>
      </c>
      <c r="H237">
        <v>15.8</v>
      </c>
      <c r="I237">
        <v>9.6999999999999993</v>
      </c>
    </row>
    <row r="238" spans="1:9" ht="24" customHeight="1">
      <c r="A238" s="6" t="s">
        <v>1930</v>
      </c>
      <c r="B238">
        <v>5799</v>
      </c>
      <c r="C238">
        <v>855</v>
      </c>
      <c r="D238">
        <v>371386</v>
      </c>
      <c r="E238">
        <v>258978</v>
      </c>
      <c r="F238">
        <v>13.2</v>
      </c>
      <c r="G238">
        <v>3.9</v>
      </c>
      <c r="H238">
        <v>12.6</v>
      </c>
      <c r="I238">
        <v>11.4</v>
      </c>
    </row>
    <row r="239" spans="1:9" ht="24" customHeight="1">
      <c r="A239" s="6" t="s">
        <v>1931</v>
      </c>
      <c r="B239">
        <v>4745</v>
      </c>
      <c r="C239">
        <v>676</v>
      </c>
      <c r="D239">
        <v>387228</v>
      </c>
      <c r="E239">
        <v>281690</v>
      </c>
      <c r="F239">
        <v>13.5</v>
      </c>
      <c r="G239">
        <v>4.0999999999999996</v>
      </c>
      <c r="H239">
        <v>12.6</v>
      </c>
      <c r="I239">
        <v>10.5</v>
      </c>
    </row>
    <row r="240" spans="1:9" ht="24" customHeight="1">
      <c r="A240" s="6" t="s">
        <v>1932</v>
      </c>
      <c r="B240">
        <v>1191</v>
      </c>
      <c r="C240">
        <v>151</v>
      </c>
      <c r="D240">
        <v>473364</v>
      </c>
      <c r="E240">
        <v>328912</v>
      </c>
      <c r="F240">
        <v>9.9</v>
      </c>
      <c r="G240">
        <v>3.1</v>
      </c>
      <c r="H240">
        <v>17.2</v>
      </c>
      <c r="I240">
        <v>12.6</v>
      </c>
    </row>
    <row r="241" spans="1:9" ht="24" customHeight="1">
      <c r="A241" s="6" t="s">
        <v>1933</v>
      </c>
      <c r="B241">
        <v>1097</v>
      </c>
      <c r="C241">
        <v>109</v>
      </c>
      <c r="D241">
        <v>485940</v>
      </c>
      <c r="E241">
        <v>388183</v>
      </c>
      <c r="F241">
        <v>10.5</v>
      </c>
      <c r="G241">
        <v>4.0999999999999996</v>
      </c>
      <c r="H241">
        <v>16.399999999999999</v>
      </c>
      <c r="I241">
        <v>11.8</v>
      </c>
    </row>
    <row r="242" spans="1:9" ht="24" customHeight="1">
      <c r="A242" s="6" t="s">
        <v>1934</v>
      </c>
      <c r="B242">
        <v>1323</v>
      </c>
      <c r="C242">
        <v>294</v>
      </c>
      <c r="D242">
        <v>796328</v>
      </c>
      <c r="E242">
        <v>522408</v>
      </c>
      <c r="F242">
        <v>9.1999999999999993</v>
      </c>
      <c r="G242">
        <v>10.1</v>
      </c>
      <c r="H242">
        <v>17.5</v>
      </c>
      <c r="I242">
        <v>10.1</v>
      </c>
    </row>
    <row r="243" spans="1:9" ht="24" customHeight="1">
      <c r="A243" s="6" t="s">
        <v>1935</v>
      </c>
      <c r="B243">
        <v>1160</v>
      </c>
      <c r="C243">
        <v>276</v>
      </c>
      <c r="D243">
        <v>794337</v>
      </c>
      <c r="E243">
        <v>546748</v>
      </c>
      <c r="F243">
        <v>9.6</v>
      </c>
      <c r="G243">
        <v>10.8</v>
      </c>
      <c r="H243">
        <v>14.9</v>
      </c>
      <c r="I243">
        <v>10.1</v>
      </c>
    </row>
    <row r="244" spans="1:9" ht="24" customHeight="1">
      <c r="A244" s="6" t="s">
        <v>327</v>
      </c>
      <c r="B244">
        <v>277258</v>
      </c>
      <c r="C244">
        <v>63486</v>
      </c>
      <c r="D244">
        <v>715371</v>
      </c>
      <c r="E244">
        <v>433906</v>
      </c>
      <c r="F244">
        <v>19.7</v>
      </c>
      <c r="G244">
        <v>15.2</v>
      </c>
      <c r="H244">
        <v>16.899999999999999</v>
      </c>
      <c r="I244">
        <v>11.4</v>
      </c>
    </row>
    <row r="245" spans="1:9" ht="24" customHeight="1">
      <c r="A245" s="6" t="s">
        <v>328</v>
      </c>
      <c r="B245">
        <v>245839</v>
      </c>
      <c r="C245">
        <v>48604</v>
      </c>
      <c r="D245">
        <v>750568</v>
      </c>
      <c r="E245">
        <v>500017</v>
      </c>
      <c r="F245">
        <v>20.8</v>
      </c>
      <c r="G245">
        <v>18</v>
      </c>
      <c r="H245">
        <v>17.3</v>
      </c>
      <c r="I245">
        <v>12.9</v>
      </c>
    </row>
    <row r="246" spans="1:9" ht="24" customHeight="1">
      <c r="A246" s="6" t="s">
        <v>1936</v>
      </c>
      <c r="B246">
        <v>978463</v>
      </c>
      <c r="C246">
        <v>198547</v>
      </c>
      <c r="D246">
        <v>405827</v>
      </c>
      <c r="E246">
        <v>263559</v>
      </c>
      <c r="F246">
        <v>10.7</v>
      </c>
      <c r="G246">
        <v>3.7</v>
      </c>
      <c r="H246">
        <v>12.2</v>
      </c>
      <c r="I246">
        <v>9.6999999999999993</v>
      </c>
    </row>
    <row r="247" spans="1:9" ht="24" customHeight="1">
      <c r="A247" s="6" t="s">
        <v>1937</v>
      </c>
      <c r="B247">
        <v>835803</v>
      </c>
      <c r="C247">
        <v>152518</v>
      </c>
      <c r="D247">
        <v>425113</v>
      </c>
      <c r="E247">
        <v>305345</v>
      </c>
      <c r="F247">
        <v>10.9</v>
      </c>
      <c r="G247">
        <v>4.4000000000000004</v>
      </c>
      <c r="H247">
        <v>12.5</v>
      </c>
      <c r="I247">
        <v>9.9</v>
      </c>
    </row>
    <row r="248" spans="1:9" ht="24" customHeight="1">
      <c r="A248" s="6" t="s">
        <v>1938</v>
      </c>
      <c r="B248">
        <v>158219</v>
      </c>
      <c r="C248">
        <v>34433</v>
      </c>
      <c r="D248">
        <v>483313</v>
      </c>
      <c r="E248">
        <v>333086</v>
      </c>
      <c r="F248">
        <v>13.9</v>
      </c>
      <c r="G248">
        <v>7.3</v>
      </c>
      <c r="H248">
        <v>13.9</v>
      </c>
      <c r="I248">
        <v>10.4</v>
      </c>
    </row>
    <row r="249" spans="1:9" ht="24" customHeight="1">
      <c r="A249" s="6" t="s">
        <v>1939</v>
      </c>
      <c r="B249">
        <v>134128</v>
      </c>
      <c r="C249">
        <v>26812</v>
      </c>
      <c r="D249">
        <v>503654</v>
      </c>
      <c r="E249">
        <v>361193</v>
      </c>
      <c r="F249">
        <v>15.4</v>
      </c>
      <c r="G249">
        <v>7.9</v>
      </c>
      <c r="H249">
        <v>13.6</v>
      </c>
      <c r="I249">
        <v>11</v>
      </c>
    </row>
    <row r="250" spans="1:9" ht="24" customHeight="1">
      <c r="A250" s="6" t="s">
        <v>1940</v>
      </c>
      <c r="B250">
        <v>183686</v>
      </c>
      <c r="C250">
        <v>48407</v>
      </c>
      <c r="D250">
        <v>549124</v>
      </c>
      <c r="E250">
        <v>349463</v>
      </c>
      <c r="F250">
        <v>17</v>
      </c>
      <c r="G250">
        <v>12.1</v>
      </c>
      <c r="H250">
        <v>14.5</v>
      </c>
      <c r="I250">
        <v>8.8000000000000007</v>
      </c>
    </row>
    <row r="251" spans="1:9" ht="24" customHeight="1">
      <c r="A251" s="6" t="s">
        <v>1941</v>
      </c>
      <c r="B251">
        <v>163055</v>
      </c>
      <c r="C251">
        <v>36693</v>
      </c>
      <c r="D251">
        <v>570454</v>
      </c>
      <c r="E251">
        <v>400414</v>
      </c>
      <c r="F251">
        <v>17.899999999999999</v>
      </c>
      <c r="G251">
        <v>14.5</v>
      </c>
      <c r="H251">
        <v>14.4</v>
      </c>
      <c r="I251">
        <v>9.3000000000000007</v>
      </c>
    </row>
    <row r="252" spans="1:9" ht="24" customHeight="1">
      <c r="A252" s="6" t="s">
        <v>330</v>
      </c>
      <c r="B252">
        <v>1627933</v>
      </c>
      <c r="C252">
        <v>729496</v>
      </c>
      <c r="D252">
        <v>572930</v>
      </c>
      <c r="E252">
        <v>290075</v>
      </c>
      <c r="F252">
        <v>17.2</v>
      </c>
      <c r="G252">
        <v>13.8</v>
      </c>
      <c r="H252">
        <v>17.3</v>
      </c>
      <c r="I252">
        <v>10.6</v>
      </c>
    </row>
    <row r="253" spans="1:9" ht="24" customHeight="1">
      <c r="A253" s="6" t="s">
        <v>331</v>
      </c>
      <c r="B253">
        <v>1395757</v>
      </c>
      <c r="C253">
        <v>310229</v>
      </c>
      <c r="D253">
        <v>616565</v>
      </c>
      <c r="E253">
        <v>430966</v>
      </c>
      <c r="F253">
        <v>17.7</v>
      </c>
      <c r="G253">
        <v>12.4</v>
      </c>
      <c r="H253">
        <v>17.600000000000001</v>
      </c>
      <c r="I253">
        <v>13.6</v>
      </c>
    </row>
    <row r="254" spans="1:9" ht="24" customHeight="1">
      <c r="A254" s="6" t="s">
        <v>1942</v>
      </c>
      <c r="B254">
        <v>1392064</v>
      </c>
      <c r="C254">
        <v>803203</v>
      </c>
      <c r="D254">
        <v>366435</v>
      </c>
      <c r="E254">
        <v>203345</v>
      </c>
      <c r="F254">
        <v>11.3</v>
      </c>
      <c r="G254">
        <v>4.5999999999999996</v>
      </c>
      <c r="H254">
        <v>13.2</v>
      </c>
      <c r="I254">
        <v>10</v>
      </c>
    </row>
    <row r="255" spans="1:9" ht="24" customHeight="1">
      <c r="A255" s="6" t="s">
        <v>1943</v>
      </c>
      <c r="B255">
        <v>1183655</v>
      </c>
      <c r="C255">
        <v>411852</v>
      </c>
      <c r="D255">
        <v>390400</v>
      </c>
      <c r="E255">
        <v>265405</v>
      </c>
      <c r="F255">
        <v>11.8</v>
      </c>
      <c r="G255">
        <v>5.7</v>
      </c>
      <c r="H255">
        <v>13.4</v>
      </c>
      <c r="I255">
        <v>11</v>
      </c>
    </row>
    <row r="256" spans="1:9" ht="24" customHeight="1">
      <c r="A256" s="6" t="s">
        <v>1944</v>
      </c>
      <c r="B256">
        <v>942048</v>
      </c>
      <c r="C256">
        <v>494681</v>
      </c>
      <c r="D256">
        <v>418973</v>
      </c>
      <c r="E256">
        <v>249431</v>
      </c>
      <c r="F256">
        <v>13.7</v>
      </c>
      <c r="G256">
        <v>7.8</v>
      </c>
      <c r="H256">
        <v>14.6</v>
      </c>
      <c r="I256">
        <v>10.6</v>
      </c>
    </row>
    <row r="257" spans="1:9" ht="24" customHeight="1">
      <c r="A257" s="6" t="s">
        <v>1945</v>
      </c>
      <c r="B257">
        <v>812686</v>
      </c>
      <c r="C257">
        <v>274725</v>
      </c>
      <c r="D257">
        <v>441393</v>
      </c>
      <c r="E257">
        <v>312123</v>
      </c>
      <c r="F257">
        <v>14.4</v>
      </c>
      <c r="G257">
        <v>9.1</v>
      </c>
      <c r="H257">
        <v>14.6</v>
      </c>
      <c r="I257">
        <v>11.5</v>
      </c>
    </row>
    <row r="258" spans="1:9" ht="24" customHeight="1">
      <c r="A258" s="6" t="s">
        <v>1946</v>
      </c>
      <c r="B258">
        <v>939610</v>
      </c>
      <c r="C258">
        <v>409496</v>
      </c>
      <c r="D258">
        <v>465732</v>
      </c>
      <c r="E258">
        <v>253668</v>
      </c>
      <c r="F258">
        <v>15.5</v>
      </c>
      <c r="G258">
        <v>8</v>
      </c>
      <c r="H258">
        <v>15.6</v>
      </c>
      <c r="I258">
        <v>10.6</v>
      </c>
    </row>
    <row r="259" spans="1:9" ht="24" customHeight="1">
      <c r="A259" s="6" t="s">
        <v>1947</v>
      </c>
      <c r="B259">
        <v>791893</v>
      </c>
      <c r="C259">
        <v>194142</v>
      </c>
      <c r="D259">
        <v>506232</v>
      </c>
      <c r="E259">
        <v>364720</v>
      </c>
      <c r="F259">
        <v>16.8</v>
      </c>
      <c r="G259">
        <v>10.4</v>
      </c>
      <c r="H259">
        <v>16.3</v>
      </c>
      <c r="I259">
        <v>12.9</v>
      </c>
    </row>
    <row r="260" spans="1:9" ht="24" customHeight="1">
      <c r="A260" s="6" t="s">
        <v>333</v>
      </c>
      <c r="B260">
        <v>91375</v>
      </c>
      <c r="C260">
        <v>15780</v>
      </c>
      <c r="D260">
        <v>629791</v>
      </c>
      <c r="E260">
        <v>485726</v>
      </c>
      <c r="F260">
        <v>17.100000000000001</v>
      </c>
      <c r="G260">
        <v>12.4</v>
      </c>
      <c r="H260">
        <v>19.899999999999999</v>
      </c>
      <c r="I260">
        <v>16.5</v>
      </c>
    </row>
    <row r="261" spans="1:9" ht="24" customHeight="1">
      <c r="A261" s="6" t="s">
        <v>334</v>
      </c>
      <c r="B261">
        <v>84911</v>
      </c>
      <c r="C261">
        <v>13337</v>
      </c>
      <c r="D261">
        <v>649033</v>
      </c>
      <c r="E261">
        <v>528373</v>
      </c>
      <c r="F261">
        <v>17.899999999999999</v>
      </c>
      <c r="G261">
        <v>14.2</v>
      </c>
      <c r="H261">
        <v>20.399999999999999</v>
      </c>
      <c r="I261">
        <v>18.2</v>
      </c>
    </row>
    <row r="262" spans="1:9" ht="24" customHeight="1">
      <c r="A262" s="6" t="s">
        <v>1948</v>
      </c>
      <c r="B262">
        <v>12728</v>
      </c>
      <c r="C262">
        <v>2453</v>
      </c>
      <c r="D262">
        <v>481876</v>
      </c>
      <c r="E262">
        <v>322501</v>
      </c>
      <c r="F262">
        <v>7.4</v>
      </c>
      <c r="G262">
        <v>4</v>
      </c>
      <c r="H262">
        <v>16.8</v>
      </c>
      <c r="I262">
        <v>11</v>
      </c>
    </row>
    <row r="263" spans="1:9" ht="24" customHeight="1">
      <c r="A263" s="6" t="s">
        <v>1949</v>
      </c>
      <c r="B263">
        <v>11000</v>
      </c>
      <c r="C263">
        <v>1815</v>
      </c>
      <c r="D263">
        <v>509295</v>
      </c>
      <c r="E263">
        <v>376554</v>
      </c>
      <c r="F263">
        <v>8</v>
      </c>
      <c r="G263">
        <v>5</v>
      </c>
      <c r="H263">
        <v>17.100000000000001</v>
      </c>
      <c r="I263">
        <v>12.6</v>
      </c>
    </row>
    <row r="264" spans="1:9" ht="24" customHeight="1">
      <c r="A264" s="6" t="s">
        <v>1950</v>
      </c>
      <c r="B264">
        <v>7419</v>
      </c>
      <c r="C264">
        <v>1240</v>
      </c>
      <c r="D264">
        <v>503229</v>
      </c>
      <c r="E264">
        <v>378274</v>
      </c>
      <c r="F264">
        <v>8.6</v>
      </c>
      <c r="G264">
        <v>5.4</v>
      </c>
      <c r="H264">
        <v>14.3</v>
      </c>
      <c r="I264">
        <v>10.1</v>
      </c>
    </row>
    <row r="265" spans="1:9" ht="24" customHeight="1">
      <c r="A265" s="6" t="s">
        <v>1951</v>
      </c>
      <c r="B265">
        <v>6303</v>
      </c>
      <c r="C265">
        <v>918</v>
      </c>
      <c r="D265">
        <v>532519</v>
      </c>
      <c r="E265">
        <v>450058</v>
      </c>
      <c r="F265">
        <v>9.3000000000000007</v>
      </c>
      <c r="G265">
        <v>7</v>
      </c>
      <c r="H265">
        <v>14.6</v>
      </c>
      <c r="I265">
        <v>10.7</v>
      </c>
    </row>
    <row r="266" spans="1:9" ht="24" customHeight="1">
      <c r="A266" s="6" t="s">
        <v>1952</v>
      </c>
      <c r="B266">
        <v>10305</v>
      </c>
      <c r="C266">
        <v>1821</v>
      </c>
      <c r="D266">
        <v>516202</v>
      </c>
      <c r="E266">
        <v>397317</v>
      </c>
      <c r="F266">
        <v>9.6999999999999993</v>
      </c>
      <c r="G266">
        <v>8.1</v>
      </c>
      <c r="H266">
        <v>15.7</v>
      </c>
      <c r="I266">
        <v>13.8</v>
      </c>
    </row>
    <row r="267" spans="1:9" ht="24" customHeight="1">
      <c r="A267" s="6" t="s">
        <v>1953</v>
      </c>
      <c r="B267">
        <v>8808</v>
      </c>
      <c r="C267">
        <v>1460</v>
      </c>
      <c r="D267">
        <v>550902</v>
      </c>
      <c r="E267">
        <v>434591</v>
      </c>
      <c r="F267">
        <v>10.4</v>
      </c>
      <c r="G267">
        <v>9.1</v>
      </c>
      <c r="H267">
        <v>16.100000000000001</v>
      </c>
      <c r="I267">
        <v>15.1</v>
      </c>
    </row>
    <row r="268" spans="1:9" ht="24" customHeight="1">
      <c r="A268" s="6" t="s">
        <v>336</v>
      </c>
      <c r="B268">
        <v>372316</v>
      </c>
      <c r="C268">
        <v>165774</v>
      </c>
      <c r="D268">
        <v>613361</v>
      </c>
      <c r="E268">
        <v>411200</v>
      </c>
      <c r="F268">
        <v>12.8</v>
      </c>
      <c r="G268">
        <v>8.6999999999999993</v>
      </c>
      <c r="H268">
        <v>15.1</v>
      </c>
      <c r="I268">
        <v>8.4</v>
      </c>
    </row>
    <row r="269" spans="1:9" ht="24" customHeight="1">
      <c r="A269" s="6" t="s">
        <v>337</v>
      </c>
      <c r="B269">
        <v>335448</v>
      </c>
      <c r="C269">
        <v>135467</v>
      </c>
      <c r="D269">
        <v>641806</v>
      </c>
      <c r="E269">
        <v>452650</v>
      </c>
      <c r="F269">
        <v>13.5</v>
      </c>
      <c r="G269">
        <v>9.9</v>
      </c>
      <c r="H269">
        <v>15.1</v>
      </c>
      <c r="I269">
        <v>9.1</v>
      </c>
    </row>
    <row r="270" spans="1:9" ht="24" customHeight="1">
      <c r="A270" s="6" t="s">
        <v>1954</v>
      </c>
      <c r="B270">
        <v>263467</v>
      </c>
      <c r="C270">
        <v>116688</v>
      </c>
      <c r="D270">
        <v>445890</v>
      </c>
      <c r="E270">
        <v>320860</v>
      </c>
      <c r="F270">
        <v>6.3</v>
      </c>
      <c r="G270">
        <v>5.0999999999999996</v>
      </c>
      <c r="H270">
        <v>10.9</v>
      </c>
      <c r="I270">
        <v>7.8</v>
      </c>
    </row>
    <row r="271" spans="1:9" ht="24" customHeight="1">
      <c r="A271" s="6" t="s">
        <v>1955</v>
      </c>
      <c r="B271">
        <v>234680</v>
      </c>
      <c r="C271">
        <v>88567</v>
      </c>
      <c r="D271">
        <v>454369</v>
      </c>
      <c r="E271">
        <v>358304</v>
      </c>
      <c r="F271">
        <v>6.6</v>
      </c>
      <c r="G271">
        <v>5.6</v>
      </c>
      <c r="H271">
        <v>11.2</v>
      </c>
      <c r="I271">
        <v>8.6</v>
      </c>
    </row>
    <row r="272" spans="1:9" ht="24" customHeight="1">
      <c r="A272" s="6" t="s">
        <v>1956</v>
      </c>
      <c r="B272">
        <v>213932</v>
      </c>
      <c r="C272">
        <v>108108</v>
      </c>
      <c r="D272">
        <v>505640</v>
      </c>
      <c r="E272">
        <v>394871</v>
      </c>
      <c r="F272">
        <v>10.1</v>
      </c>
      <c r="G272">
        <v>8.6</v>
      </c>
      <c r="H272">
        <v>10.9</v>
      </c>
      <c r="I272">
        <v>8.6</v>
      </c>
    </row>
    <row r="273" spans="1:9" ht="24" customHeight="1">
      <c r="A273" s="6" t="s">
        <v>1957</v>
      </c>
      <c r="B273">
        <v>195392</v>
      </c>
      <c r="C273">
        <v>86448</v>
      </c>
      <c r="D273">
        <v>517906</v>
      </c>
      <c r="E273">
        <v>428724</v>
      </c>
      <c r="F273">
        <v>10.199999999999999</v>
      </c>
      <c r="G273">
        <v>9.3000000000000007</v>
      </c>
      <c r="H273">
        <v>10.9</v>
      </c>
      <c r="I273">
        <v>9.3000000000000007</v>
      </c>
    </row>
    <row r="274" spans="1:9" ht="24" customHeight="1">
      <c r="A274" s="6" t="s">
        <v>1958</v>
      </c>
      <c r="B274">
        <v>185650</v>
      </c>
      <c r="C274">
        <v>80106</v>
      </c>
      <c r="D274">
        <v>542291</v>
      </c>
      <c r="E274">
        <v>412767</v>
      </c>
      <c r="F274">
        <v>11.9</v>
      </c>
      <c r="G274">
        <v>11.6</v>
      </c>
      <c r="H274">
        <v>13.4</v>
      </c>
      <c r="I274">
        <v>9.3000000000000007</v>
      </c>
    </row>
    <row r="275" spans="1:9" ht="24" customHeight="1">
      <c r="A275" s="6" t="s">
        <v>1959</v>
      </c>
      <c r="B275">
        <v>173385</v>
      </c>
      <c r="C275">
        <v>65449</v>
      </c>
      <c r="D275">
        <v>555449</v>
      </c>
      <c r="E275">
        <v>459581</v>
      </c>
      <c r="F275">
        <v>12.3</v>
      </c>
      <c r="G275">
        <v>13.3</v>
      </c>
      <c r="H275">
        <v>13.3</v>
      </c>
      <c r="I275">
        <v>9.4</v>
      </c>
    </row>
    <row r="276" spans="1:9" ht="24" customHeight="1">
      <c r="A276" s="6" t="s">
        <v>339</v>
      </c>
      <c r="B276">
        <v>659794</v>
      </c>
      <c r="C276">
        <v>217221</v>
      </c>
      <c r="D276">
        <v>448474</v>
      </c>
      <c r="E276">
        <v>241848</v>
      </c>
      <c r="F276">
        <v>26.7</v>
      </c>
      <c r="G276">
        <v>10.3</v>
      </c>
      <c r="H276">
        <v>14.8</v>
      </c>
      <c r="I276">
        <v>9.1</v>
      </c>
    </row>
    <row r="277" spans="1:9" ht="24" customHeight="1">
      <c r="A277" s="6" t="s">
        <v>340</v>
      </c>
      <c r="B277">
        <v>528393</v>
      </c>
      <c r="C277">
        <v>84324</v>
      </c>
      <c r="D277">
        <v>502739</v>
      </c>
      <c r="E277">
        <v>383072</v>
      </c>
      <c r="F277">
        <v>30.3</v>
      </c>
      <c r="G277">
        <v>16.399999999999999</v>
      </c>
      <c r="H277">
        <v>15.8</v>
      </c>
      <c r="I277">
        <v>11.5</v>
      </c>
    </row>
    <row r="278" spans="1:9" ht="24" customHeight="1">
      <c r="A278" s="6" t="s">
        <v>1960</v>
      </c>
      <c r="B278">
        <v>678713</v>
      </c>
      <c r="C278">
        <v>111381</v>
      </c>
      <c r="D278">
        <v>344454</v>
      </c>
      <c r="E278">
        <v>217824</v>
      </c>
      <c r="F278">
        <v>22.6</v>
      </c>
      <c r="G278">
        <v>6.4</v>
      </c>
      <c r="H278">
        <v>11.1</v>
      </c>
      <c r="I278">
        <v>8.3000000000000007</v>
      </c>
    </row>
    <row r="279" spans="1:9" ht="24" customHeight="1">
      <c r="A279" s="6" t="s">
        <v>1961</v>
      </c>
      <c r="B279">
        <v>563649</v>
      </c>
      <c r="C279">
        <v>64006</v>
      </c>
      <c r="D279">
        <v>367908</v>
      </c>
      <c r="E279">
        <v>279674</v>
      </c>
      <c r="F279">
        <v>24.4</v>
      </c>
      <c r="G279">
        <v>9.1</v>
      </c>
      <c r="H279">
        <v>11.2</v>
      </c>
      <c r="I279">
        <v>8.8000000000000007</v>
      </c>
    </row>
    <row r="280" spans="1:9" ht="24" customHeight="1">
      <c r="A280" s="6" t="s">
        <v>1962</v>
      </c>
      <c r="B280">
        <v>441516</v>
      </c>
      <c r="C280">
        <v>96904</v>
      </c>
      <c r="D280">
        <v>373110</v>
      </c>
      <c r="E280">
        <v>235124</v>
      </c>
      <c r="F280">
        <v>24.6</v>
      </c>
      <c r="G280">
        <v>9.8000000000000007</v>
      </c>
      <c r="H280">
        <v>12.7</v>
      </c>
      <c r="I280">
        <v>9.4</v>
      </c>
    </row>
    <row r="281" spans="1:9" ht="24" customHeight="1">
      <c r="A281" s="6" t="s">
        <v>1963</v>
      </c>
      <c r="B281">
        <v>343205</v>
      </c>
      <c r="C281">
        <v>52673</v>
      </c>
      <c r="D281">
        <v>408122</v>
      </c>
      <c r="E281">
        <v>305909</v>
      </c>
      <c r="F281">
        <v>27</v>
      </c>
      <c r="G281">
        <v>14.3</v>
      </c>
      <c r="H281">
        <v>12.6</v>
      </c>
      <c r="I281">
        <v>9.9</v>
      </c>
    </row>
    <row r="282" spans="1:9" ht="24" customHeight="1">
      <c r="A282" s="6" t="s">
        <v>1964</v>
      </c>
      <c r="B282">
        <v>299897</v>
      </c>
      <c r="C282">
        <v>138666</v>
      </c>
      <c r="D282">
        <v>415734</v>
      </c>
      <c r="E282">
        <v>234723</v>
      </c>
      <c r="F282">
        <v>27</v>
      </c>
      <c r="G282">
        <v>9.1</v>
      </c>
      <c r="H282">
        <v>12.2</v>
      </c>
      <c r="I282">
        <v>8</v>
      </c>
    </row>
    <row r="283" spans="1:9" ht="24" customHeight="1">
      <c r="A283" s="6" t="s">
        <v>1965</v>
      </c>
      <c r="B283">
        <v>238870</v>
      </c>
      <c r="C283">
        <v>60134</v>
      </c>
      <c r="D283">
        <v>461066</v>
      </c>
      <c r="E283">
        <v>372016</v>
      </c>
      <c r="F283">
        <v>30.6</v>
      </c>
      <c r="G283">
        <v>15.6</v>
      </c>
      <c r="H283">
        <v>12.7</v>
      </c>
      <c r="I283">
        <v>9.1999999999999993</v>
      </c>
    </row>
    <row r="284" spans="1:9" ht="24" customHeight="1">
      <c r="A284" s="6" t="s">
        <v>342</v>
      </c>
      <c r="B284">
        <v>2068628</v>
      </c>
      <c r="C284">
        <v>2318393</v>
      </c>
      <c r="D284">
        <v>342879</v>
      </c>
      <c r="E284">
        <v>173518</v>
      </c>
      <c r="F284">
        <v>8.5</v>
      </c>
      <c r="G284">
        <v>3.4</v>
      </c>
      <c r="H284">
        <v>10.199999999999999</v>
      </c>
      <c r="I284">
        <v>7.6</v>
      </c>
    </row>
    <row r="285" spans="1:9" ht="24" customHeight="1">
      <c r="A285" s="6" t="s">
        <v>343</v>
      </c>
      <c r="B285">
        <v>1145361</v>
      </c>
      <c r="C285">
        <v>426926</v>
      </c>
      <c r="D285">
        <v>510023</v>
      </c>
      <c r="E285">
        <v>389036</v>
      </c>
      <c r="F285">
        <v>13</v>
      </c>
      <c r="G285">
        <v>10.9</v>
      </c>
      <c r="H285">
        <v>14.4</v>
      </c>
      <c r="I285">
        <v>10.1</v>
      </c>
    </row>
    <row r="286" spans="1:9" ht="24" customHeight="1">
      <c r="A286" s="6" t="s">
        <v>1966</v>
      </c>
      <c r="B286">
        <v>1123830</v>
      </c>
      <c r="C286">
        <v>1159370</v>
      </c>
      <c r="D286">
        <v>316421</v>
      </c>
      <c r="E286">
        <v>168568</v>
      </c>
      <c r="F286">
        <v>5.5</v>
      </c>
      <c r="G286">
        <v>2.4</v>
      </c>
      <c r="H286">
        <v>10.7</v>
      </c>
      <c r="I286">
        <v>7.8</v>
      </c>
    </row>
    <row r="287" spans="1:9" ht="24" customHeight="1">
      <c r="A287" s="6" t="s">
        <v>1967</v>
      </c>
      <c r="B287">
        <v>730016</v>
      </c>
      <c r="C287">
        <v>383511</v>
      </c>
      <c r="D287">
        <v>420855</v>
      </c>
      <c r="E287">
        <v>311488</v>
      </c>
      <c r="F287">
        <v>7.2</v>
      </c>
      <c r="G287">
        <v>5.3</v>
      </c>
      <c r="H287">
        <v>13</v>
      </c>
      <c r="I287">
        <v>10.199999999999999</v>
      </c>
    </row>
    <row r="288" spans="1:9" ht="24" customHeight="1">
      <c r="A288" s="6" t="s">
        <v>1968</v>
      </c>
      <c r="B288">
        <v>589517</v>
      </c>
      <c r="C288">
        <v>445507</v>
      </c>
      <c r="D288">
        <v>429028</v>
      </c>
      <c r="E288">
        <v>246573</v>
      </c>
      <c r="F288">
        <v>8.1999999999999993</v>
      </c>
      <c r="G288">
        <v>4.4000000000000004</v>
      </c>
      <c r="H288">
        <v>13.3</v>
      </c>
      <c r="I288">
        <v>9.1</v>
      </c>
    </row>
    <row r="289" spans="1:9" ht="24" customHeight="1">
      <c r="A289" s="6" t="s">
        <v>1969</v>
      </c>
      <c r="B289">
        <v>469590</v>
      </c>
      <c r="C289">
        <v>219830</v>
      </c>
      <c r="D289">
        <v>490918</v>
      </c>
      <c r="E289">
        <v>363279</v>
      </c>
      <c r="F289">
        <v>9.3000000000000007</v>
      </c>
      <c r="G289">
        <v>6.4</v>
      </c>
      <c r="H289">
        <v>14.3</v>
      </c>
      <c r="I289">
        <v>10.199999999999999</v>
      </c>
    </row>
    <row r="290" spans="1:9" ht="24" customHeight="1">
      <c r="A290" s="6" t="s">
        <v>1970</v>
      </c>
      <c r="B290">
        <v>765901</v>
      </c>
      <c r="C290">
        <v>654377</v>
      </c>
      <c r="D290">
        <v>472992</v>
      </c>
      <c r="E290">
        <v>229339</v>
      </c>
      <c r="F290">
        <v>11</v>
      </c>
      <c r="G290">
        <v>4.5</v>
      </c>
      <c r="H290">
        <v>14.1</v>
      </c>
      <c r="I290">
        <v>8.4</v>
      </c>
    </row>
    <row r="291" spans="1:9" ht="24" customHeight="1">
      <c r="A291" s="6" t="s">
        <v>1971</v>
      </c>
      <c r="B291">
        <v>619815</v>
      </c>
      <c r="C291">
        <v>280958</v>
      </c>
      <c r="D291">
        <v>532723</v>
      </c>
      <c r="E291">
        <v>362806</v>
      </c>
      <c r="F291">
        <v>12.7</v>
      </c>
      <c r="G291">
        <v>7.8</v>
      </c>
      <c r="H291">
        <v>14.6</v>
      </c>
      <c r="I291">
        <v>9.6999999999999993</v>
      </c>
    </row>
    <row r="292" spans="1:9" ht="24" customHeight="1">
      <c r="A292" s="6" t="s">
        <v>345</v>
      </c>
      <c r="B292">
        <v>308543</v>
      </c>
      <c r="C292">
        <v>547862</v>
      </c>
      <c r="D292">
        <v>759663</v>
      </c>
      <c r="E292">
        <v>366256</v>
      </c>
      <c r="F292">
        <v>14.5</v>
      </c>
      <c r="G292">
        <v>8</v>
      </c>
      <c r="H292">
        <v>16.3</v>
      </c>
      <c r="I292">
        <v>12.5</v>
      </c>
    </row>
    <row r="293" spans="1:9" ht="24" customHeight="1">
      <c r="A293" s="6" t="s">
        <v>346</v>
      </c>
      <c r="B293">
        <v>284854</v>
      </c>
      <c r="C293">
        <v>434712</v>
      </c>
      <c r="D293">
        <v>786541</v>
      </c>
      <c r="E293">
        <v>410521</v>
      </c>
      <c r="F293">
        <v>15.2</v>
      </c>
      <c r="G293">
        <v>9.1</v>
      </c>
      <c r="H293">
        <v>16.2</v>
      </c>
      <c r="I293">
        <v>12.8</v>
      </c>
    </row>
    <row r="294" spans="1:9" ht="24" customHeight="1">
      <c r="A294" s="6" t="s">
        <v>1972</v>
      </c>
      <c r="B294">
        <v>45303</v>
      </c>
      <c r="C294">
        <v>38486</v>
      </c>
      <c r="D294">
        <v>621805</v>
      </c>
      <c r="E294">
        <v>382451</v>
      </c>
      <c r="F294">
        <v>5.0999999999999996</v>
      </c>
      <c r="G294">
        <v>4.2</v>
      </c>
      <c r="H294">
        <v>12</v>
      </c>
      <c r="I294">
        <v>10.6</v>
      </c>
    </row>
    <row r="295" spans="1:9" ht="24" customHeight="1">
      <c r="A295" s="6" t="s">
        <v>1973</v>
      </c>
      <c r="B295">
        <v>37594</v>
      </c>
      <c r="C295">
        <v>29756</v>
      </c>
      <c r="D295">
        <v>677598</v>
      </c>
      <c r="E295">
        <v>440351</v>
      </c>
      <c r="F295">
        <v>5.8</v>
      </c>
      <c r="G295">
        <v>5</v>
      </c>
      <c r="H295">
        <v>12.1</v>
      </c>
      <c r="I295">
        <v>10.8</v>
      </c>
    </row>
    <row r="296" spans="1:9" ht="24" customHeight="1">
      <c r="A296" s="6" t="s">
        <v>1974</v>
      </c>
      <c r="B296">
        <v>45196</v>
      </c>
      <c r="C296">
        <v>32752</v>
      </c>
      <c r="D296">
        <v>567737</v>
      </c>
      <c r="E296">
        <v>379781</v>
      </c>
      <c r="F296">
        <v>6.6</v>
      </c>
      <c r="G296">
        <v>6.5</v>
      </c>
      <c r="H296">
        <v>15</v>
      </c>
      <c r="I296">
        <v>11</v>
      </c>
    </row>
    <row r="297" spans="1:9" ht="24" customHeight="1">
      <c r="A297" s="6" t="s">
        <v>1975</v>
      </c>
      <c r="B297">
        <v>38445</v>
      </c>
      <c r="C297">
        <v>27111</v>
      </c>
      <c r="D297">
        <v>589449</v>
      </c>
      <c r="E297">
        <v>409738</v>
      </c>
      <c r="F297">
        <v>7.1</v>
      </c>
      <c r="G297">
        <v>7.2</v>
      </c>
      <c r="H297">
        <v>14.4</v>
      </c>
      <c r="I297">
        <v>11.2</v>
      </c>
    </row>
    <row r="298" spans="1:9" ht="24" customHeight="1">
      <c r="A298" s="6" t="s">
        <v>1976</v>
      </c>
      <c r="B298">
        <v>78513</v>
      </c>
      <c r="C298">
        <v>69694</v>
      </c>
      <c r="D298">
        <v>597673</v>
      </c>
      <c r="E298">
        <v>387905</v>
      </c>
      <c r="F298">
        <v>9.8000000000000007</v>
      </c>
      <c r="G298">
        <v>8.5</v>
      </c>
      <c r="H298">
        <v>15.9</v>
      </c>
      <c r="I298">
        <v>10.3</v>
      </c>
    </row>
    <row r="299" spans="1:9" ht="24" customHeight="1">
      <c r="A299" s="6" t="s">
        <v>1977</v>
      </c>
      <c r="B299">
        <v>68415</v>
      </c>
      <c r="C299">
        <v>56786</v>
      </c>
      <c r="D299">
        <v>626815</v>
      </c>
      <c r="E299">
        <v>426025</v>
      </c>
      <c r="F299">
        <v>10.5</v>
      </c>
      <c r="G299">
        <v>9.4</v>
      </c>
      <c r="H299">
        <v>15.3</v>
      </c>
      <c r="I299">
        <v>10.199999999999999</v>
      </c>
    </row>
    <row r="300" spans="1:9" ht="24" customHeight="1">
      <c r="A300" s="6" t="s">
        <v>348</v>
      </c>
      <c r="B300">
        <v>145058</v>
      </c>
      <c r="C300">
        <v>91663</v>
      </c>
      <c r="D300">
        <v>489654</v>
      </c>
      <c r="E300">
        <v>324216</v>
      </c>
      <c r="F300">
        <v>11.1</v>
      </c>
      <c r="G300">
        <v>7.5</v>
      </c>
      <c r="H300">
        <v>10.4</v>
      </c>
      <c r="I300">
        <v>8.1999999999999993</v>
      </c>
    </row>
    <row r="301" spans="1:9" ht="24" customHeight="1">
      <c r="A301" s="6" t="s">
        <v>349</v>
      </c>
      <c r="B301">
        <v>96858</v>
      </c>
      <c r="C301">
        <v>53534</v>
      </c>
      <c r="D301">
        <v>640097</v>
      </c>
      <c r="E301">
        <v>449543</v>
      </c>
      <c r="F301">
        <v>14.5</v>
      </c>
      <c r="G301">
        <v>11</v>
      </c>
      <c r="H301">
        <v>12.3</v>
      </c>
      <c r="I301">
        <v>9.6999999999999993</v>
      </c>
    </row>
    <row r="302" spans="1:9" ht="24" customHeight="1">
      <c r="A302" s="6" t="s">
        <v>1978</v>
      </c>
      <c r="B302">
        <v>121547</v>
      </c>
      <c r="C302">
        <v>98925</v>
      </c>
      <c r="D302">
        <v>433905</v>
      </c>
      <c r="E302">
        <v>249357</v>
      </c>
      <c r="F302">
        <v>5.5</v>
      </c>
      <c r="G302">
        <v>2.8</v>
      </c>
      <c r="H302">
        <v>8.9</v>
      </c>
      <c r="I302">
        <v>7</v>
      </c>
    </row>
    <row r="303" spans="1:9" ht="24" customHeight="1">
      <c r="A303" s="6" t="s">
        <v>1979</v>
      </c>
      <c r="B303">
        <v>97480</v>
      </c>
      <c r="C303">
        <v>56470</v>
      </c>
      <c r="D303">
        <v>489639</v>
      </c>
      <c r="E303">
        <v>344539</v>
      </c>
      <c r="F303">
        <v>6.3</v>
      </c>
      <c r="G303">
        <v>4.0999999999999996</v>
      </c>
      <c r="H303">
        <v>9.4</v>
      </c>
      <c r="I303">
        <v>8.1</v>
      </c>
    </row>
    <row r="304" spans="1:9" ht="24" customHeight="1">
      <c r="A304" s="6" t="s">
        <v>1980</v>
      </c>
      <c r="B304">
        <v>61710</v>
      </c>
      <c r="C304">
        <v>46526</v>
      </c>
      <c r="D304">
        <v>428818</v>
      </c>
      <c r="E304">
        <v>252103</v>
      </c>
      <c r="F304">
        <v>8.6</v>
      </c>
      <c r="G304">
        <v>4.2</v>
      </c>
      <c r="H304">
        <v>9.6</v>
      </c>
      <c r="I304">
        <v>6.2</v>
      </c>
    </row>
    <row r="305" spans="1:9" ht="24" customHeight="1">
      <c r="A305" s="6" t="s">
        <v>1981</v>
      </c>
      <c r="B305">
        <v>44772</v>
      </c>
      <c r="C305">
        <v>22314</v>
      </c>
      <c r="D305">
        <v>515802</v>
      </c>
      <c r="E305">
        <v>368969</v>
      </c>
      <c r="F305">
        <v>10.4</v>
      </c>
      <c r="G305">
        <v>7.6</v>
      </c>
      <c r="H305">
        <v>10.5</v>
      </c>
      <c r="I305">
        <v>7.7</v>
      </c>
    </row>
    <row r="306" spans="1:9" ht="24" customHeight="1">
      <c r="A306" s="6" t="s">
        <v>1982</v>
      </c>
      <c r="B306">
        <v>62645</v>
      </c>
      <c r="C306">
        <v>51908</v>
      </c>
      <c r="D306">
        <v>521892</v>
      </c>
      <c r="E306">
        <v>280969</v>
      </c>
      <c r="F306">
        <v>13.7</v>
      </c>
      <c r="G306">
        <v>7.7</v>
      </c>
      <c r="H306">
        <v>11.8</v>
      </c>
      <c r="I306">
        <v>7.6</v>
      </c>
    </row>
    <row r="307" spans="1:9" ht="24" customHeight="1">
      <c r="A307" s="6" t="s">
        <v>1983</v>
      </c>
      <c r="B307">
        <v>50563</v>
      </c>
      <c r="C307">
        <v>27650</v>
      </c>
      <c r="D307">
        <v>587949</v>
      </c>
      <c r="E307">
        <v>419922</v>
      </c>
      <c r="F307">
        <v>15.3</v>
      </c>
      <c r="G307">
        <v>12.3</v>
      </c>
      <c r="H307">
        <v>12.6</v>
      </c>
      <c r="I307">
        <v>9.1999999999999993</v>
      </c>
    </row>
    <row r="308" spans="1:9" ht="24" customHeight="1">
      <c r="A308" s="6" t="s">
        <v>351</v>
      </c>
      <c r="B308">
        <v>325981</v>
      </c>
      <c r="C308">
        <v>106345</v>
      </c>
      <c r="D308">
        <v>668123</v>
      </c>
      <c r="E308">
        <v>429394</v>
      </c>
      <c r="F308">
        <v>14.3</v>
      </c>
      <c r="G308">
        <v>10.7</v>
      </c>
      <c r="H308">
        <v>15.3</v>
      </c>
      <c r="I308">
        <v>9.8000000000000007</v>
      </c>
    </row>
    <row r="309" spans="1:9" ht="24" customHeight="1">
      <c r="A309" s="6" t="s">
        <v>352</v>
      </c>
      <c r="B309">
        <v>279155</v>
      </c>
      <c r="C309">
        <v>68884</v>
      </c>
      <c r="D309">
        <v>711492</v>
      </c>
      <c r="E309">
        <v>537238</v>
      </c>
      <c r="F309">
        <v>15.7</v>
      </c>
      <c r="G309">
        <v>13.2</v>
      </c>
      <c r="H309">
        <v>15.4</v>
      </c>
      <c r="I309">
        <v>11.5</v>
      </c>
    </row>
    <row r="310" spans="1:9" ht="24" customHeight="1">
      <c r="A310" s="6" t="s">
        <v>1984</v>
      </c>
      <c r="B310">
        <v>303058</v>
      </c>
      <c r="C310">
        <v>214509</v>
      </c>
      <c r="D310">
        <v>490072</v>
      </c>
      <c r="E310">
        <v>312579</v>
      </c>
      <c r="F310">
        <v>8.1</v>
      </c>
      <c r="G310">
        <v>6.5</v>
      </c>
      <c r="H310">
        <v>9.9</v>
      </c>
      <c r="I310">
        <v>6.9</v>
      </c>
    </row>
    <row r="311" spans="1:9" ht="24" customHeight="1">
      <c r="A311" s="6" t="s">
        <v>1985</v>
      </c>
      <c r="B311">
        <v>266690</v>
      </c>
      <c r="C311">
        <v>160307</v>
      </c>
      <c r="D311">
        <v>512947</v>
      </c>
      <c r="E311">
        <v>366671</v>
      </c>
      <c r="F311">
        <v>8.6999999999999993</v>
      </c>
      <c r="G311">
        <v>8.1999999999999993</v>
      </c>
      <c r="H311">
        <v>10.1</v>
      </c>
      <c r="I311">
        <v>7.3</v>
      </c>
    </row>
    <row r="312" spans="1:9" ht="24" customHeight="1">
      <c r="A312" s="6" t="s">
        <v>1986</v>
      </c>
      <c r="B312">
        <v>141623</v>
      </c>
      <c r="C312">
        <v>82914</v>
      </c>
      <c r="D312">
        <v>550486</v>
      </c>
      <c r="E312">
        <v>366219</v>
      </c>
      <c r="F312">
        <v>9.6999999999999993</v>
      </c>
      <c r="G312">
        <v>5.4</v>
      </c>
      <c r="H312">
        <v>11.1</v>
      </c>
      <c r="I312">
        <v>8.1</v>
      </c>
    </row>
    <row r="313" spans="1:9" ht="24" customHeight="1">
      <c r="A313" s="6" t="s">
        <v>1987</v>
      </c>
      <c r="B313">
        <v>115426</v>
      </c>
      <c r="C313">
        <v>57999</v>
      </c>
      <c r="D313">
        <v>585667</v>
      </c>
      <c r="E313">
        <v>429643</v>
      </c>
      <c r="F313">
        <v>11</v>
      </c>
      <c r="G313">
        <v>6.5</v>
      </c>
      <c r="H313">
        <v>11.5</v>
      </c>
      <c r="I313">
        <v>8.6999999999999993</v>
      </c>
    </row>
    <row r="314" spans="1:9" ht="24" customHeight="1">
      <c r="A314" s="6" t="s">
        <v>1988</v>
      </c>
      <c r="B314">
        <v>121472</v>
      </c>
      <c r="C314">
        <v>37929</v>
      </c>
      <c r="D314">
        <v>562489</v>
      </c>
      <c r="E314">
        <v>385967</v>
      </c>
      <c r="F314">
        <v>16.100000000000001</v>
      </c>
      <c r="G314">
        <v>13.6</v>
      </c>
      <c r="H314">
        <v>12.8</v>
      </c>
      <c r="I314">
        <v>9</v>
      </c>
    </row>
    <row r="315" spans="1:9" ht="24" customHeight="1">
      <c r="A315" s="6" t="s">
        <v>1989</v>
      </c>
      <c r="B315">
        <v>109869</v>
      </c>
      <c r="C315">
        <v>30309</v>
      </c>
      <c r="D315">
        <v>579987</v>
      </c>
      <c r="E315">
        <v>431309</v>
      </c>
      <c r="F315">
        <v>17.2</v>
      </c>
      <c r="G315">
        <v>15.9</v>
      </c>
      <c r="H315">
        <v>13</v>
      </c>
      <c r="I315">
        <v>9.6</v>
      </c>
    </row>
    <row r="316" spans="1:9" ht="24" customHeight="1">
      <c r="A316" s="6" t="s">
        <v>354</v>
      </c>
      <c r="B316">
        <v>612369</v>
      </c>
      <c r="C316">
        <v>1053198</v>
      </c>
      <c r="D316">
        <v>146909</v>
      </c>
      <c r="E316">
        <v>103092</v>
      </c>
      <c r="F316">
        <v>5.2</v>
      </c>
      <c r="G316">
        <v>2.8</v>
      </c>
      <c r="H316">
        <v>4.0999999999999996</v>
      </c>
      <c r="I316">
        <v>4.5</v>
      </c>
    </row>
    <row r="317" spans="1:9" ht="24" customHeight="1">
      <c r="A317" s="6" t="s">
        <v>355</v>
      </c>
      <c r="B317">
        <v>106707</v>
      </c>
      <c r="C317">
        <v>69788</v>
      </c>
      <c r="D317">
        <v>451374</v>
      </c>
      <c r="E317">
        <v>350281</v>
      </c>
      <c r="F317">
        <v>18.8</v>
      </c>
      <c r="G317">
        <v>15.8</v>
      </c>
      <c r="H317">
        <v>12.6</v>
      </c>
      <c r="I317">
        <v>8.3000000000000007</v>
      </c>
    </row>
    <row r="318" spans="1:9" ht="24" customHeight="1">
      <c r="A318" s="6" t="s">
        <v>1990</v>
      </c>
      <c r="B318">
        <v>342607</v>
      </c>
      <c r="C318">
        <v>567871</v>
      </c>
      <c r="D318">
        <v>182967</v>
      </c>
      <c r="E318">
        <v>101157</v>
      </c>
      <c r="F318">
        <v>5.6</v>
      </c>
      <c r="G318">
        <v>1.8</v>
      </c>
      <c r="H318">
        <v>5.9</v>
      </c>
      <c r="I318">
        <v>5.0999999999999996</v>
      </c>
    </row>
    <row r="319" spans="1:9" ht="24" customHeight="1">
      <c r="A319" s="6" t="s">
        <v>1991</v>
      </c>
      <c r="B319">
        <v>137773</v>
      </c>
      <c r="C319">
        <v>80145</v>
      </c>
      <c r="D319">
        <v>326891</v>
      </c>
      <c r="E319">
        <v>246382</v>
      </c>
      <c r="F319">
        <v>11.2</v>
      </c>
      <c r="G319">
        <v>7.1</v>
      </c>
      <c r="H319">
        <v>10.1</v>
      </c>
      <c r="I319">
        <v>8.8000000000000007</v>
      </c>
    </row>
    <row r="320" spans="1:9" ht="24" customHeight="1">
      <c r="A320" s="6" t="s">
        <v>1992</v>
      </c>
      <c r="B320">
        <v>131035</v>
      </c>
      <c r="C320">
        <v>183322</v>
      </c>
      <c r="D320">
        <v>204546</v>
      </c>
      <c r="E320">
        <v>117529</v>
      </c>
      <c r="F320">
        <v>8.1</v>
      </c>
      <c r="G320">
        <v>3.2</v>
      </c>
      <c r="H320">
        <v>6.4</v>
      </c>
      <c r="I320">
        <v>5</v>
      </c>
    </row>
    <row r="321" spans="1:9" ht="24" customHeight="1">
      <c r="A321" s="6" t="s">
        <v>1993</v>
      </c>
      <c r="B321">
        <v>55978</v>
      </c>
      <c r="C321">
        <v>31142</v>
      </c>
      <c r="D321">
        <v>353109</v>
      </c>
      <c r="E321">
        <v>288099</v>
      </c>
      <c r="F321">
        <v>15.4</v>
      </c>
      <c r="G321">
        <v>11.7</v>
      </c>
      <c r="H321">
        <v>10.8</v>
      </c>
      <c r="I321">
        <v>7.7</v>
      </c>
    </row>
    <row r="322" spans="1:9" ht="24" customHeight="1">
      <c r="A322" s="6" t="s">
        <v>1994</v>
      </c>
      <c r="B322">
        <v>141024</v>
      </c>
      <c r="C322">
        <v>201474</v>
      </c>
      <c r="D322">
        <v>204398</v>
      </c>
      <c r="E322">
        <v>115308</v>
      </c>
      <c r="F322">
        <v>7.6</v>
      </c>
      <c r="G322">
        <v>3.4</v>
      </c>
      <c r="H322">
        <v>6</v>
      </c>
      <c r="I322">
        <v>4.5</v>
      </c>
    </row>
    <row r="323" spans="1:9" ht="24" customHeight="1">
      <c r="A323" s="6" t="s">
        <v>1995</v>
      </c>
      <c r="B323">
        <v>49934</v>
      </c>
      <c r="C323">
        <v>25746</v>
      </c>
      <c r="D323">
        <v>394159</v>
      </c>
      <c r="E323">
        <v>306320</v>
      </c>
      <c r="F323">
        <v>16.100000000000001</v>
      </c>
      <c r="G323">
        <v>15.1</v>
      </c>
      <c r="H323">
        <v>11.6</v>
      </c>
      <c r="I323">
        <v>8</v>
      </c>
    </row>
    <row r="324" spans="1:9" ht="24" customHeight="1">
      <c r="A324" s="6" t="s">
        <v>357</v>
      </c>
      <c r="B324">
        <v>162437</v>
      </c>
      <c r="C324">
        <v>220362</v>
      </c>
      <c r="D324">
        <v>267479</v>
      </c>
      <c r="E324">
        <v>166443</v>
      </c>
      <c r="F324">
        <v>6.5</v>
      </c>
      <c r="G324">
        <v>4.2</v>
      </c>
      <c r="H324">
        <v>8.4</v>
      </c>
      <c r="I324">
        <v>6.1</v>
      </c>
    </row>
    <row r="325" spans="1:9" ht="24" customHeight="1">
      <c r="A325" s="6" t="s">
        <v>358</v>
      </c>
      <c r="B325">
        <v>65303</v>
      </c>
      <c r="C325">
        <v>47083</v>
      </c>
      <c r="D325">
        <v>485702</v>
      </c>
      <c r="E325">
        <v>338596</v>
      </c>
      <c r="F325">
        <v>12</v>
      </c>
      <c r="G325">
        <v>11.5</v>
      </c>
      <c r="H325">
        <v>14</v>
      </c>
      <c r="I325">
        <v>9.1</v>
      </c>
    </row>
    <row r="326" spans="1:9" ht="24" customHeight="1">
      <c r="A326" s="6" t="s">
        <v>1996</v>
      </c>
      <c r="B326">
        <v>169698</v>
      </c>
      <c r="C326">
        <v>231677</v>
      </c>
      <c r="D326">
        <v>279940</v>
      </c>
      <c r="E326">
        <v>170134</v>
      </c>
      <c r="F326">
        <v>5.3</v>
      </c>
      <c r="G326">
        <v>2.8</v>
      </c>
      <c r="H326">
        <v>9.1999999999999993</v>
      </c>
      <c r="I326">
        <v>8.1999999999999993</v>
      </c>
    </row>
    <row r="327" spans="1:9" ht="24" customHeight="1">
      <c r="A327" s="6" t="s">
        <v>1997</v>
      </c>
      <c r="B327">
        <v>98338</v>
      </c>
      <c r="C327">
        <v>76469</v>
      </c>
      <c r="D327">
        <v>380881</v>
      </c>
      <c r="E327">
        <v>283210</v>
      </c>
      <c r="F327">
        <v>7.3</v>
      </c>
      <c r="G327">
        <v>5.3</v>
      </c>
      <c r="H327">
        <v>11.7</v>
      </c>
      <c r="I327">
        <v>8.9</v>
      </c>
    </row>
    <row r="328" spans="1:9" ht="24" customHeight="1">
      <c r="A328" s="6" t="s">
        <v>1998</v>
      </c>
      <c r="B328">
        <v>94555</v>
      </c>
      <c r="C328">
        <v>112972</v>
      </c>
      <c r="D328">
        <v>283760</v>
      </c>
      <c r="E328">
        <v>168952</v>
      </c>
      <c r="F328">
        <v>7.7</v>
      </c>
      <c r="G328">
        <v>2.9</v>
      </c>
      <c r="H328">
        <v>9</v>
      </c>
      <c r="I328">
        <v>7.6</v>
      </c>
    </row>
    <row r="329" spans="1:9" ht="24" customHeight="1">
      <c r="A329" s="6" t="s">
        <v>1999</v>
      </c>
      <c r="B329">
        <v>53624</v>
      </c>
      <c r="C329">
        <v>33036</v>
      </c>
      <c r="D329">
        <v>391616</v>
      </c>
      <c r="E329">
        <v>290597</v>
      </c>
      <c r="F329">
        <v>11</v>
      </c>
      <c r="G329">
        <v>6.1</v>
      </c>
      <c r="H329">
        <v>11.5</v>
      </c>
      <c r="I329">
        <v>8.5</v>
      </c>
    </row>
    <row r="330" spans="1:9" ht="24" customHeight="1">
      <c r="A330" s="6" t="s">
        <v>2000</v>
      </c>
      <c r="B330">
        <v>71770</v>
      </c>
      <c r="C330">
        <v>83069</v>
      </c>
      <c r="D330">
        <v>311661</v>
      </c>
      <c r="E330">
        <v>178599</v>
      </c>
      <c r="F330">
        <v>6.5</v>
      </c>
      <c r="G330">
        <v>3.5</v>
      </c>
      <c r="H330">
        <v>10.6</v>
      </c>
      <c r="I330">
        <v>7.8</v>
      </c>
    </row>
    <row r="331" spans="1:9" ht="24" customHeight="1">
      <c r="A331" s="6" t="s">
        <v>2001</v>
      </c>
      <c r="B331">
        <v>43014</v>
      </c>
      <c r="C331">
        <v>22999</v>
      </c>
      <c r="D331">
        <v>429464</v>
      </c>
      <c r="E331">
        <v>343248</v>
      </c>
      <c r="F331">
        <v>8.9</v>
      </c>
      <c r="G331">
        <v>7.6</v>
      </c>
      <c r="H331">
        <v>14.5</v>
      </c>
      <c r="I331">
        <v>10.5</v>
      </c>
    </row>
    <row r="332" spans="1:9" ht="24" customHeight="1">
      <c r="A332" s="6" t="s">
        <v>360</v>
      </c>
      <c r="B332">
        <v>291072</v>
      </c>
      <c r="C332">
        <v>239244</v>
      </c>
      <c r="D332">
        <v>422409</v>
      </c>
      <c r="E332">
        <v>262241</v>
      </c>
      <c r="F332">
        <v>3.4</v>
      </c>
      <c r="G332">
        <v>3.3</v>
      </c>
      <c r="H332">
        <v>9.5</v>
      </c>
      <c r="I332">
        <v>7.2</v>
      </c>
    </row>
    <row r="333" spans="1:9" ht="24" customHeight="1">
      <c r="A333" s="6" t="s">
        <v>361</v>
      </c>
      <c r="B333">
        <v>126305</v>
      </c>
      <c r="C333">
        <v>66676</v>
      </c>
      <c r="D333">
        <v>713198</v>
      </c>
      <c r="E333">
        <v>567324</v>
      </c>
      <c r="F333">
        <v>6.7</v>
      </c>
      <c r="G333">
        <v>8</v>
      </c>
      <c r="H333">
        <v>15.5</v>
      </c>
      <c r="I333">
        <v>13</v>
      </c>
    </row>
    <row r="334" spans="1:9" ht="24" customHeight="1">
      <c r="A334" s="6" t="s">
        <v>2002</v>
      </c>
      <c r="B334">
        <v>131468</v>
      </c>
      <c r="C334">
        <v>293863</v>
      </c>
      <c r="D334">
        <v>289804</v>
      </c>
      <c r="E334">
        <v>223608</v>
      </c>
      <c r="F334">
        <v>6.1</v>
      </c>
      <c r="G334">
        <v>2</v>
      </c>
      <c r="H334">
        <v>9.6</v>
      </c>
      <c r="I334">
        <v>7.7</v>
      </c>
    </row>
    <row r="335" spans="1:9" ht="24" customHeight="1">
      <c r="A335" s="6" t="s">
        <v>2003</v>
      </c>
      <c r="B335">
        <v>67426</v>
      </c>
      <c r="C335">
        <v>139061</v>
      </c>
      <c r="D335">
        <v>431034</v>
      </c>
      <c r="E335">
        <v>340176</v>
      </c>
      <c r="F335">
        <v>10.1</v>
      </c>
      <c r="G335">
        <v>3.7</v>
      </c>
      <c r="H335">
        <v>12.7</v>
      </c>
      <c r="I335">
        <v>9.3000000000000007</v>
      </c>
    </row>
    <row r="336" spans="1:9" ht="24" customHeight="1">
      <c r="A336" s="6" t="s">
        <v>2004</v>
      </c>
      <c r="B336">
        <v>110318</v>
      </c>
      <c r="C336">
        <v>114801</v>
      </c>
      <c r="D336">
        <v>406008</v>
      </c>
      <c r="E336">
        <v>273845</v>
      </c>
      <c r="F336">
        <v>4.3</v>
      </c>
      <c r="G336">
        <v>2.2999999999999998</v>
      </c>
      <c r="H336">
        <v>11</v>
      </c>
      <c r="I336">
        <v>8.1</v>
      </c>
    </row>
    <row r="337" spans="1:9" ht="24" customHeight="1">
      <c r="A337" s="6" t="s">
        <v>2005</v>
      </c>
      <c r="B337">
        <v>60674</v>
      </c>
      <c r="C337">
        <v>48857</v>
      </c>
      <c r="D337">
        <v>572364</v>
      </c>
      <c r="E337">
        <v>429176</v>
      </c>
      <c r="F337">
        <v>6.1</v>
      </c>
      <c r="G337">
        <v>3.9</v>
      </c>
      <c r="H337">
        <v>14.4</v>
      </c>
      <c r="I337">
        <v>11.2</v>
      </c>
    </row>
    <row r="338" spans="1:9" ht="24" customHeight="1">
      <c r="A338" s="6" t="s">
        <v>2006</v>
      </c>
      <c r="B338">
        <v>118358</v>
      </c>
      <c r="C338">
        <v>125697</v>
      </c>
      <c r="D338">
        <v>395952</v>
      </c>
      <c r="E338">
        <v>282831</v>
      </c>
      <c r="F338">
        <v>2.7</v>
      </c>
      <c r="G338">
        <v>2.7</v>
      </c>
      <c r="H338">
        <v>10.3</v>
      </c>
      <c r="I338">
        <v>8</v>
      </c>
    </row>
    <row r="339" spans="1:9" ht="24" customHeight="1">
      <c r="A339" s="6" t="s">
        <v>2007</v>
      </c>
      <c r="B339">
        <v>57529</v>
      </c>
      <c r="C339">
        <v>43674</v>
      </c>
      <c r="D339">
        <v>640196</v>
      </c>
      <c r="E339">
        <v>524700</v>
      </c>
      <c r="F339">
        <v>4.5999999999999996</v>
      </c>
      <c r="G339">
        <v>5.3</v>
      </c>
      <c r="H339">
        <v>14.4</v>
      </c>
      <c r="I339">
        <v>12</v>
      </c>
    </row>
    <row r="340" spans="1:9" ht="24" customHeight="1">
      <c r="A340" s="6" t="s">
        <v>363</v>
      </c>
      <c r="B340">
        <v>361422</v>
      </c>
      <c r="C340">
        <v>888604</v>
      </c>
      <c r="D340">
        <v>520220</v>
      </c>
      <c r="E340">
        <v>342111</v>
      </c>
      <c r="F340">
        <v>12.2</v>
      </c>
      <c r="G340">
        <v>6.4</v>
      </c>
      <c r="H340">
        <v>8.8000000000000007</v>
      </c>
      <c r="I340">
        <v>8.4</v>
      </c>
    </row>
    <row r="341" spans="1:9" ht="24" customHeight="1">
      <c r="A341" s="6" t="s">
        <v>364</v>
      </c>
      <c r="B341">
        <v>259188</v>
      </c>
      <c r="C341">
        <v>582169</v>
      </c>
      <c r="D341">
        <v>598416</v>
      </c>
      <c r="E341">
        <v>424121</v>
      </c>
      <c r="F341">
        <v>13.4</v>
      </c>
      <c r="G341">
        <v>8.1</v>
      </c>
      <c r="H341">
        <v>10.1</v>
      </c>
      <c r="I341">
        <v>9.1999999999999993</v>
      </c>
    </row>
    <row r="342" spans="1:9" ht="24" customHeight="1">
      <c r="A342" s="6" t="s">
        <v>2008</v>
      </c>
      <c r="B342">
        <v>504516</v>
      </c>
      <c r="C342">
        <v>1815982</v>
      </c>
      <c r="D342">
        <v>322741</v>
      </c>
      <c r="E342">
        <v>232193</v>
      </c>
      <c r="F342">
        <v>4.3</v>
      </c>
      <c r="G342">
        <v>3.1</v>
      </c>
      <c r="H342">
        <v>7.5</v>
      </c>
      <c r="I342">
        <v>7.2</v>
      </c>
    </row>
    <row r="343" spans="1:9" ht="24" customHeight="1">
      <c r="A343" s="6" t="s">
        <v>2009</v>
      </c>
      <c r="B343">
        <v>320702</v>
      </c>
      <c r="C343">
        <v>900716</v>
      </c>
      <c r="D343">
        <v>413260</v>
      </c>
      <c r="E343">
        <v>329882</v>
      </c>
      <c r="F343">
        <v>6</v>
      </c>
      <c r="G343">
        <v>5.2</v>
      </c>
      <c r="H343">
        <v>8.9</v>
      </c>
      <c r="I343">
        <v>8.3000000000000007</v>
      </c>
    </row>
    <row r="344" spans="1:9" ht="24" customHeight="1">
      <c r="A344" s="6" t="s">
        <v>2010</v>
      </c>
      <c r="B344">
        <v>434069</v>
      </c>
      <c r="C344">
        <v>1129333</v>
      </c>
      <c r="D344">
        <v>373043</v>
      </c>
      <c r="E344">
        <v>272630</v>
      </c>
      <c r="F344">
        <v>3.8</v>
      </c>
      <c r="G344">
        <v>3</v>
      </c>
      <c r="H344">
        <v>9.1</v>
      </c>
      <c r="I344">
        <v>8.8000000000000007</v>
      </c>
    </row>
    <row r="345" spans="1:9" ht="24" customHeight="1">
      <c r="A345" s="6" t="s">
        <v>2011</v>
      </c>
      <c r="B345">
        <v>321785</v>
      </c>
      <c r="C345">
        <v>667520</v>
      </c>
      <c r="D345">
        <v>421073</v>
      </c>
      <c r="E345">
        <v>347039</v>
      </c>
      <c r="F345">
        <v>4.5</v>
      </c>
      <c r="G345">
        <v>4.2</v>
      </c>
      <c r="H345">
        <v>9.8000000000000007</v>
      </c>
      <c r="I345">
        <v>9.3000000000000007</v>
      </c>
    </row>
    <row r="346" spans="1:9" ht="24" customHeight="1">
      <c r="A346" s="6" t="s">
        <v>2012</v>
      </c>
      <c r="B346">
        <v>396598</v>
      </c>
      <c r="C346">
        <v>935293</v>
      </c>
      <c r="D346">
        <v>404276</v>
      </c>
      <c r="E346">
        <v>295849</v>
      </c>
      <c r="F346">
        <v>5.3</v>
      </c>
      <c r="G346">
        <v>3.3</v>
      </c>
      <c r="H346">
        <v>9</v>
      </c>
      <c r="I346">
        <v>8.6</v>
      </c>
    </row>
    <row r="347" spans="1:9" ht="24" customHeight="1">
      <c r="A347" s="6" t="s">
        <v>2013</v>
      </c>
      <c r="B347">
        <v>307114</v>
      </c>
      <c r="C347">
        <v>580746</v>
      </c>
      <c r="D347">
        <v>455844</v>
      </c>
      <c r="E347">
        <v>368533</v>
      </c>
      <c r="F347">
        <v>6.2</v>
      </c>
      <c r="G347">
        <v>4.5999999999999996</v>
      </c>
      <c r="H347">
        <v>9.9</v>
      </c>
      <c r="I347">
        <v>9.1</v>
      </c>
    </row>
    <row r="348" spans="1:9" ht="24" customHeight="1">
      <c r="A348" s="6" t="s">
        <v>366</v>
      </c>
      <c r="B348">
        <v>137613</v>
      </c>
      <c r="C348">
        <v>70216</v>
      </c>
      <c r="D348">
        <v>433482</v>
      </c>
      <c r="E348">
        <v>276112</v>
      </c>
      <c r="F348">
        <v>11.7</v>
      </c>
      <c r="G348">
        <v>6.1</v>
      </c>
      <c r="H348">
        <v>16.600000000000001</v>
      </c>
      <c r="I348">
        <v>11.7</v>
      </c>
    </row>
    <row r="349" spans="1:9" ht="24" customHeight="1">
      <c r="A349" s="6" t="s">
        <v>367</v>
      </c>
      <c r="B349">
        <v>86514</v>
      </c>
      <c r="C349">
        <v>28611</v>
      </c>
      <c r="D349">
        <v>526883</v>
      </c>
      <c r="E349">
        <v>406399</v>
      </c>
      <c r="F349">
        <v>12.7</v>
      </c>
      <c r="G349">
        <v>7.5</v>
      </c>
      <c r="H349">
        <v>19.5</v>
      </c>
      <c r="I349">
        <v>14</v>
      </c>
    </row>
    <row r="350" spans="1:9" ht="24" customHeight="1">
      <c r="A350" s="6" t="s">
        <v>2014</v>
      </c>
      <c r="B350">
        <v>11256</v>
      </c>
      <c r="C350">
        <v>7136</v>
      </c>
      <c r="D350">
        <v>390400</v>
      </c>
      <c r="E350">
        <v>275963</v>
      </c>
      <c r="F350">
        <v>10.1</v>
      </c>
      <c r="G350">
        <v>4</v>
      </c>
      <c r="H350">
        <v>16.8</v>
      </c>
      <c r="I350">
        <v>11.3</v>
      </c>
    </row>
    <row r="351" spans="1:9" ht="24" customHeight="1">
      <c r="A351" s="6" t="s">
        <v>2015</v>
      </c>
      <c r="B351">
        <v>8384</v>
      </c>
      <c r="C351">
        <v>4807</v>
      </c>
      <c r="D351">
        <v>445439</v>
      </c>
      <c r="E351">
        <v>327303</v>
      </c>
      <c r="F351">
        <v>12.4</v>
      </c>
      <c r="G351">
        <v>3.7</v>
      </c>
      <c r="H351">
        <v>17.399999999999999</v>
      </c>
      <c r="I351">
        <v>12.5</v>
      </c>
    </row>
    <row r="352" spans="1:9" ht="24" customHeight="1">
      <c r="A352" s="6" t="s">
        <v>2016</v>
      </c>
      <c r="B352">
        <v>14972</v>
      </c>
      <c r="C352">
        <v>11685</v>
      </c>
      <c r="D352">
        <v>401577</v>
      </c>
      <c r="E352">
        <v>291422</v>
      </c>
      <c r="F352">
        <v>5.0999999999999996</v>
      </c>
      <c r="G352">
        <v>3.5</v>
      </c>
      <c r="H352">
        <v>16.8</v>
      </c>
      <c r="I352">
        <v>13.7</v>
      </c>
    </row>
    <row r="353" spans="1:9" ht="24" customHeight="1">
      <c r="A353" s="6" t="s">
        <v>2017</v>
      </c>
      <c r="B353">
        <v>12237</v>
      </c>
      <c r="C353">
        <v>7419</v>
      </c>
      <c r="D353">
        <v>439858</v>
      </c>
      <c r="E353">
        <v>353579</v>
      </c>
      <c r="F353">
        <v>5</v>
      </c>
      <c r="G353">
        <v>3.3</v>
      </c>
      <c r="H353">
        <v>17.7</v>
      </c>
      <c r="I353">
        <v>15</v>
      </c>
    </row>
    <row r="354" spans="1:9" ht="24" customHeight="1">
      <c r="A354" s="6" t="s">
        <v>2018</v>
      </c>
      <c r="B354">
        <v>29454</v>
      </c>
      <c r="C354">
        <v>26413</v>
      </c>
      <c r="D354">
        <v>408288</v>
      </c>
      <c r="E354">
        <v>292110</v>
      </c>
      <c r="F354">
        <v>4.4000000000000004</v>
      </c>
      <c r="G354">
        <v>4.4000000000000004</v>
      </c>
      <c r="H354">
        <v>18.100000000000001</v>
      </c>
      <c r="I354">
        <v>13.4</v>
      </c>
    </row>
    <row r="355" spans="1:9" ht="24" customHeight="1">
      <c r="A355" s="6" t="s">
        <v>2019</v>
      </c>
      <c r="B355">
        <v>24335</v>
      </c>
      <c r="C355">
        <v>17684</v>
      </c>
      <c r="D355">
        <v>448231</v>
      </c>
      <c r="E355">
        <v>350727</v>
      </c>
      <c r="F355">
        <v>4.3</v>
      </c>
      <c r="G355">
        <v>4.3</v>
      </c>
      <c r="H355">
        <v>18.600000000000001</v>
      </c>
      <c r="I355">
        <v>13.9</v>
      </c>
    </row>
    <row r="356" spans="1:9" ht="24" customHeight="1">
      <c r="A356" s="6" t="s">
        <v>369</v>
      </c>
      <c r="B356">
        <v>882780</v>
      </c>
      <c r="C356">
        <v>806170</v>
      </c>
      <c r="D356">
        <v>412517</v>
      </c>
      <c r="E356">
        <v>232787</v>
      </c>
      <c r="F356">
        <v>13.2</v>
      </c>
      <c r="G356">
        <v>5.3</v>
      </c>
      <c r="H356">
        <v>10</v>
      </c>
      <c r="I356">
        <v>5.5</v>
      </c>
    </row>
    <row r="357" spans="1:9" ht="24" customHeight="1">
      <c r="A357" s="6" t="s">
        <v>370</v>
      </c>
      <c r="B357">
        <v>508858</v>
      </c>
      <c r="C357">
        <v>186275</v>
      </c>
      <c r="D357">
        <v>533235</v>
      </c>
      <c r="E357">
        <v>367426</v>
      </c>
      <c r="F357">
        <v>16.7</v>
      </c>
      <c r="G357">
        <v>10.5</v>
      </c>
      <c r="H357">
        <v>13.6</v>
      </c>
      <c r="I357">
        <v>9.5</v>
      </c>
    </row>
    <row r="358" spans="1:9" ht="24" customHeight="1">
      <c r="A358" s="6" t="s">
        <v>2020</v>
      </c>
      <c r="B358">
        <v>574939</v>
      </c>
      <c r="C358">
        <v>356928</v>
      </c>
      <c r="D358">
        <v>318070</v>
      </c>
      <c r="E358">
        <v>197258</v>
      </c>
      <c r="F358">
        <v>9.1</v>
      </c>
      <c r="G358">
        <v>3.5</v>
      </c>
      <c r="H358">
        <v>9.5</v>
      </c>
      <c r="I358">
        <v>7.5</v>
      </c>
    </row>
    <row r="359" spans="1:9" ht="24" customHeight="1">
      <c r="A359" s="6" t="s">
        <v>2021</v>
      </c>
      <c r="B359">
        <v>382862</v>
      </c>
      <c r="C359">
        <v>135789</v>
      </c>
      <c r="D359">
        <v>381474</v>
      </c>
      <c r="E359">
        <v>313245</v>
      </c>
      <c r="F359">
        <v>11</v>
      </c>
      <c r="G359">
        <v>6</v>
      </c>
      <c r="H359">
        <v>10.9</v>
      </c>
      <c r="I359">
        <v>9.8000000000000007</v>
      </c>
    </row>
    <row r="360" spans="1:9" ht="24" customHeight="1">
      <c r="A360" s="6" t="s">
        <v>2022</v>
      </c>
      <c r="B360">
        <v>367033</v>
      </c>
      <c r="C360">
        <v>272980</v>
      </c>
      <c r="D360">
        <v>331377</v>
      </c>
      <c r="E360">
        <v>199972</v>
      </c>
      <c r="F360">
        <v>11.1</v>
      </c>
      <c r="G360">
        <v>4.7</v>
      </c>
      <c r="H360">
        <v>9.4</v>
      </c>
      <c r="I360">
        <v>6.8</v>
      </c>
    </row>
    <row r="361" spans="1:9" ht="24" customHeight="1">
      <c r="A361" s="6" t="s">
        <v>2023</v>
      </c>
      <c r="B361">
        <v>218875</v>
      </c>
      <c r="C361">
        <v>75149</v>
      </c>
      <c r="D361">
        <v>407444</v>
      </c>
      <c r="E361">
        <v>347342</v>
      </c>
      <c r="F361">
        <v>13.4</v>
      </c>
      <c r="G361">
        <v>9.6999999999999993</v>
      </c>
      <c r="H361">
        <v>11.4</v>
      </c>
      <c r="I361">
        <v>9.9</v>
      </c>
    </row>
    <row r="362" spans="1:9" ht="24" customHeight="1">
      <c r="A362" s="6" t="s">
        <v>2024</v>
      </c>
      <c r="B362">
        <v>380151</v>
      </c>
      <c r="C362">
        <v>366289</v>
      </c>
      <c r="D362">
        <v>325943</v>
      </c>
      <c r="E362">
        <v>197312</v>
      </c>
      <c r="F362">
        <v>13.6</v>
      </c>
      <c r="G362">
        <v>4.5</v>
      </c>
      <c r="H362">
        <v>8.9</v>
      </c>
      <c r="I362">
        <v>5.7</v>
      </c>
    </row>
    <row r="363" spans="1:9" ht="24" customHeight="1">
      <c r="A363" s="6" t="s">
        <v>2025</v>
      </c>
      <c r="B363">
        <v>183791</v>
      </c>
      <c r="C363">
        <v>81852</v>
      </c>
      <c r="D363">
        <v>432400</v>
      </c>
      <c r="E363">
        <v>346738</v>
      </c>
      <c r="F363">
        <v>18.3</v>
      </c>
      <c r="G363">
        <v>9.5</v>
      </c>
      <c r="H363">
        <v>12.2</v>
      </c>
      <c r="I363">
        <v>8.5</v>
      </c>
    </row>
    <row r="364" spans="1:9" ht="24" customHeight="1">
      <c r="A364" s="6" t="s">
        <v>372</v>
      </c>
      <c r="B364">
        <v>427825</v>
      </c>
      <c r="C364">
        <v>205382</v>
      </c>
      <c r="D364">
        <v>444295</v>
      </c>
      <c r="E364">
        <v>293073</v>
      </c>
      <c r="F364">
        <v>15.9</v>
      </c>
      <c r="G364">
        <v>12.5</v>
      </c>
      <c r="H364">
        <v>14.6</v>
      </c>
      <c r="I364">
        <v>9.5</v>
      </c>
    </row>
    <row r="365" spans="1:9" ht="24" customHeight="1">
      <c r="A365" s="6" t="s">
        <v>374</v>
      </c>
      <c r="B365">
        <v>57414</v>
      </c>
      <c r="C365">
        <v>16841</v>
      </c>
      <c r="D365">
        <v>462608</v>
      </c>
      <c r="E365">
        <v>334590</v>
      </c>
      <c r="F365">
        <v>13.5</v>
      </c>
      <c r="G365">
        <v>9.1999999999999993</v>
      </c>
      <c r="H365">
        <v>14.9</v>
      </c>
      <c r="I365">
        <v>11.9</v>
      </c>
    </row>
    <row r="366" spans="1:9" ht="24" customHeight="1">
      <c r="A366" s="6" t="s">
        <v>376</v>
      </c>
      <c r="B366">
        <v>72685</v>
      </c>
      <c r="C366">
        <v>73682</v>
      </c>
      <c r="D366">
        <v>390942</v>
      </c>
      <c r="E366">
        <v>238560</v>
      </c>
      <c r="F366">
        <v>9.6999999999999993</v>
      </c>
      <c r="G366">
        <v>5.6</v>
      </c>
      <c r="H366">
        <v>14.5</v>
      </c>
      <c r="I366">
        <v>13.6</v>
      </c>
    </row>
    <row r="367" spans="1:9" ht="24" customHeight="1">
      <c r="A367" s="6" t="s">
        <v>378</v>
      </c>
      <c r="B367">
        <v>48514</v>
      </c>
      <c r="C367">
        <v>10705</v>
      </c>
      <c r="D367">
        <v>389999</v>
      </c>
      <c r="E367">
        <v>281632</v>
      </c>
      <c r="F367">
        <v>13.4</v>
      </c>
      <c r="G367">
        <v>5.8</v>
      </c>
      <c r="H367">
        <v>12.9</v>
      </c>
      <c r="I367">
        <v>11.5</v>
      </c>
    </row>
    <row r="368" spans="1:9" ht="24" customHeight="1">
      <c r="A368" s="6" t="s">
        <v>380</v>
      </c>
      <c r="B368">
        <v>42034</v>
      </c>
      <c r="C368">
        <v>11990</v>
      </c>
      <c r="D368">
        <v>405910</v>
      </c>
      <c r="E368">
        <v>308819</v>
      </c>
      <c r="F368">
        <v>12</v>
      </c>
      <c r="G368">
        <v>7.7</v>
      </c>
      <c r="H368">
        <v>15.7</v>
      </c>
      <c r="I368">
        <v>11.9</v>
      </c>
    </row>
    <row r="369" spans="1:9" ht="24" customHeight="1">
      <c r="A369" s="6" t="s">
        <v>382</v>
      </c>
      <c r="B369">
        <v>105383</v>
      </c>
      <c r="C369">
        <v>25923</v>
      </c>
      <c r="D369">
        <v>429435</v>
      </c>
      <c r="E369">
        <v>285569</v>
      </c>
      <c r="F369">
        <v>12.5</v>
      </c>
      <c r="G369">
        <v>5.4</v>
      </c>
      <c r="H369">
        <v>15.5</v>
      </c>
      <c r="I369">
        <v>11.8</v>
      </c>
    </row>
    <row r="370" spans="1:9" ht="24" customHeight="1">
      <c r="A370" s="6" t="s">
        <v>384</v>
      </c>
      <c r="B370">
        <v>132751</v>
      </c>
      <c r="C370">
        <v>48222</v>
      </c>
      <c r="D370">
        <v>447502</v>
      </c>
      <c r="E370">
        <v>310568</v>
      </c>
      <c r="F370">
        <v>16.2</v>
      </c>
      <c r="G370">
        <v>11.3</v>
      </c>
      <c r="H370">
        <v>17.7</v>
      </c>
      <c r="I370">
        <v>12.5</v>
      </c>
    </row>
    <row r="371" spans="1:9" ht="24" customHeight="1">
      <c r="A371" s="6" t="s">
        <v>386</v>
      </c>
      <c r="B371">
        <v>277579</v>
      </c>
      <c r="C371">
        <v>84011</v>
      </c>
      <c r="D371">
        <v>595259</v>
      </c>
      <c r="E371">
        <v>459618</v>
      </c>
      <c r="F371">
        <v>12.5</v>
      </c>
      <c r="G371">
        <v>9.3000000000000007</v>
      </c>
      <c r="H371">
        <v>15.4</v>
      </c>
      <c r="I371">
        <v>12.1</v>
      </c>
    </row>
    <row r="372" spans="1:9" ht="24" customHeight="1">
      <c r="A372" s="6" t="s">
        <v>388</v>
      </c>
      <c r="B372">
        <v>9806</v>
      </c>
      <c r="C372">
        <v>1611</v>
      </c>
      <c r="D372">
        <v>576439</v>
      </c>
      <c r="E372">
        <v>395376</v>
      </c>
      <c r="F372">
        <v>22</v>
      </c>
      <c r="G372">
        <v>13.1</v>
      </c>
      <c r="H372">
        <v>14.2</v>
      </c>
      <c r="I372">
        <v>12.5</v>
      </c>
    </row>
    <row r="373" spans="1:9" ht="24" customHeight="1">
      <c r="A373" s="6" t="s">
        <v>390</v>
      </c>
      <c r="B373">
        <v>230842</v>
      </c>
      <c r="C373">
        <v>70051</v>
      </c>
      <c r="D373">
        <v>433669</v>
      </c>
      <c r="E373">
        <v>295475</v>
      </c>
      <c r="F373">
        <v>14.1</v>
      </c>
      <c r="G373">
        <v>8.6999999999999993</v>
      </c>
      <c r="H373">
        <v>14.7</v>
      </c>
      <c r="I373">
        <v>11.6</v>
      </c>
    </row>
    <row r="374" spans="1:9" ht="24" customHeight="1">
      <c r="A374" s="6" t="s">
        <v>392</v>
      </c>
      <c r="B374">
        <v>71061</v>
      </c>
      <c r="C374">
        <v>18177</v>
      </c>
      <c r="D374">
        <v>496034</v>
      </c>
      <c r="E374">
        <v>329436</v>
      </c>
      <c r="F374">
        <v>16.8</v>
      </c>
      <c r="G374">
        <v>8.8000000000000007</v>
      </c>
      <c r="H374">
        <v>15.3</v>
      </c>
      <c r="I374">
        <v>12.8</v>
      </c>
    </row>
    <row r="375" spans="1:9" ht="24" customHeight="1">
      <c r="A375" s="6" t="s">
        <v>394</v>
      </c>
      <c r="B375">
        <v>5849</v>
      </c>
      <c r="C375">
        <v>4461</v>
      </c>
      <c r="D375">
        <v>344940</v>
      </c>
      <c r="E375">
        <v>251691</v>
      </c>
      <c r="F375">
        <v>4.5999999999999996</v>
      </c>
      <c r="G375">
        <v>2.8</v>
      </c>
      <c r="H375">
        <v>13.2</v>
      </c>
      <c r="I375">
        <v>12.5</v>
      </c>
    </row>
    <row r="376" spans="1:9" ht="24" customHeight="1">
      <c r="A376" s="6" t="s">
        <v>396</v>
      </c>
      <c r="B376">
        <v>146160</v>
      </c>
      <c r="C376">
        <v>28773</v>
      </c>
      <c r="D376">
        <v>457938</v>
      </c>
      <c r="E376">
        <v>337236</v>
      </c>
      <c r="F376">
        <v>13.7</v>
      </c>
      <c r="G376">
        <v>7.2</v>
      </c>
      <c r="H376">
        <v>15</v>
      </c>
      <c r="I376">
        <v>13.5</v>
      </c>
    </row>
    <row r="377" spans="1:9" ht="24" customHeight="1">
      <c r="A377" s="6" t="s">
        <v>398</v>
      </c>
      <c r="B377">
        <v>165067</v>
      </c>
      <c r="C377">
        <v>18597</v>
      </c>
      <c r="D377">
        <v>536356</v>
      </c>
      <c r="E377">
        <v>386252</v>
      </c>
      <c r="F377">
        <v>21.3</v>
      </c>
      <c r="G377">
        <v>11.1</v>
      </c>
      <c r="H377">
        <v>15.2</v>
      </c>
      <c r="I377">
        <v>13</v>
      </c>
    </row>
    <row r="378" spans="1:9" ht="24" customHeight="1">
      <c r="A378" s="6" t="s">
        <v>400</v>
      </c>
      <c r="B378">
        <v>84954</v>
      </c>
      <c r="C378">
        <v>15515</v>
      </c>
      <c r="D378">
        <v>519265</v>
      </c>
      <c r="E378">
        <v>356393</v>
      </c>
      <c r="F378">
        <v>14.9</v>
      </c>
      <c r="G378">
        <v>7.7</v>
      </c>
      <c r="H378">
        <v>16.5</v>
      </c>
      <c r="I378">
        <v>12.8</v>
      </c>
    </row>
    <row r="379" spans="1:9" ht="24" customHeight="1">
      <c r="A379" s="6" t="s">
        <v>402</v>
      </c>
      <c r="B379">
        <v>314692</v>
      </c>
      <c r="C379">
        <v>76029</v>
      </c>
      <c r="D379">
        <v>437863</v>
      </c>
      <c r="E379">
        <v>316182</v>
      </c>
      <c r="F379">
        <v>13.5</v>
      </c>
      <c r="G379">
        <v>6.7</v>
      </c>
      <c r="H379">
        <v>14.1</v>
      </c>
      <c r="I379">
        <v>10.9</v>
      </c>
    </row>
    <row r="380" spans="1:9" ht="24" customHeight="1">
      <c r="A380" s="6" t="s">
        <v>404</v>
      </c>
      <c r="B380">
        <v>211562</v>
      </c>
      <c r="C380">
        <v>43421</v>
      </c>
      <c r="D380">
        <v>529941</v>
      </c>
      <c r="E380">
        <v>373783</v>
      </c>
      <c r="F380">
        <v>15.2</v>
      </c>
      <c r="G380">
        <v>9.5</v>
      </c>
      <c r="H380">
        <v>15.5</v>
      </c>
      <c r="I380">
        <v>12.9</v>
      </c>
    </row>
    <row r="381" spans="1:9" ht="24" customHeight="1">
      <c r="A381" s="6" t="s">
        <v>406</v>
      </c>
      <c r="B381">
        <v>374342</v>
      </c>
      <c r="C381">
        <v>70765</v>
      </c>
      <c r="D381">
        <v>509058</v>
      </c>
      <c r="E381">
        <v>368601</v>
      </c>
      <c r="F381">
        <v>15.6</v>
      </c>
      <c r="G381">
        <v>8.6999999999999993</v>
      </c>
      <c r="H381">
        <v>15.4</v>
      </c>
      <c r="I381">
        <v>11.6</v>
      </c>
    </row>
    <row r="382" spans="1:9" ht="24" customHeight="1">
      <c r="A382" s="6" t="s">
        <v>408</v>
      </c>
      <c r="B382">
        <v>126144</v>
      </c>
      <c r="C382">
        <v>39911</v>
      </c>
      <c r="D382">
        <v>537451</v>
      </c>
      <c r="E382">
        <v>378268</v>
      </c>
      <c r="F382">
        <v>13.2</v>
      </c>
      <c r="G382">
        <v>8.8000000000000007</v>
      </c>
      <c r="H382">
        <v>15.9</v>
      </c>
      <c r="I382">
        <v>13.4</v>
      </c>
    </row>
    <row r="383" spans="1:9" ht="24" customHeight="1">
      <c r="A383" s="6" t="s">
        <v>410</v>
      </c>
      <c r="B383">
        <v>226804</v>
      </c>
      <c r="C383">
        <v>68949</v>
      </c>
      <c r="D383">
        <v>532022</v>
      </c>
      <c r="E383">
        <v>356525</v>
      </c>
      <c r="F383">
        <v>13.6</v>
      </c>
      <c r="G383">
        <v>8.6</v>
      </c>
      <c r="H383">
        <v>17</v>
      </c>
      <c r="I383">
        <v>15.2</v>
      </c>
    </row>
    <row r="384" spans="1:9" ht="24" customHeight="1">
      <c r="A384" s="6" t="s">
        <v>412</v>
      </c>
      <c r="B384">
        <v>277887</v>
      </c>
      <c r="C384">
        <v>87824</v>
      </c>
      <c r="D384">
        <v>551374</v>
      </c>
      <c r="E384">
        <v>351847</v>
      </c>
      <c r="F384">
        <v>13.8</v>
      </c>
      <c r="G384">
        <v>8.4</v>
      </c>
      <c r="H384">
        <v>16.399999999999999</v>
      </c>
      <c r="I384">
        <v>14.4</v>
      </c>
    </row>
    <row r="385" spans="1:9" ht="24" customHeight="1">
      <c r="A385" s="6" t="s">
        <v>414</v>
      </c>
      <c r="B385">
        <v>88363</v>
      </c>
      <c r="C385">
        <v>25006</v>
      </c>
      <c r="D385">
        <v>577743</v>
      </c>
      <c r="E385">
        <v>395247</v>
      </c>
      <c r="F385">
        <v>14.2</v>
      </c>
      <c r="G385">
        <v>8.6999999999999993</v>
      </c>
      <c r="H385">
        <v>18</v>
      </c>
      <c r="I385">
        <v>16</v>
      </c>
    </row>
    <row r="386" spans="1:9" ht="24" customHeight="1">
      <c r="A386" s="6" t="s">
        <v>416</v>
      </c>
      <c r="B386">
        <v>609671</v>
      </c>
      <c r="C386">
        <v>113640</v>
      </c>
      <c r="D386">
        <v>522112</v>
      </c>
      <c r="E386">
        <v>352000</v>
      </c>
      <c r="F386">
        <v>19.2</v>
      </c>
      <c r="G386">
        <v>8.1999999999999993</v>
      </c>
      <c r="H386">
        <v>16.5</v>
      </c>
      <c r="I386">
        <v>11.5</v>
      </c>
    </row>
    <row r="387" spans="1:9" ht="24" customHeight="1">
      <c r="A387" s="6" t="s">
        <v>418</v>
      </c>
      <c r="B387">
        <v>76602</v>
      </c>
      <c r="C387">
        <v>31461</v>
      </c>
      <c r="D387">
        <v>485779</v>
      </c>
      <c r="E387">
        <v>342238</v>
      </c>
      <c r="F387">
        <v>11.9</v>
      </c>
      <c r="G387">
        <v>8.1</v>
      </c>
      <c r="H387">
        <v>15.4</v>
      </c>
      <c r="I387">
        <v>11.8</v>
      </c>
    </row>
    <row r="388" spans="1:9" ht="24" customHeight="1">
      <c r="A388" s="6" t="s">
        <v>420</v>
      </c>
      <c r="B388">
        <v>8562</v>
      </c>
      <c r="C388">
        <v>1578</v>
      </c>
      <c r="D388">
        <v>541803</v>
      </c>
      <c r="E388">
        <v>435386</v>
      </c>
      <c r="F388">
        <v>12.6</v>
      </c>
      <c r="G388">
        <v>7.7</v>
      </c>
      <c r="H388">
        <v>14</v>
      </c>
      <c r="I388">
        <v>10.3</v>
      </c>
    </row>
    <row r="389" spans="1:9" ht="24" customHeight="1">
      <c r="A389" s="6" t="s">
        <v>422</v>
      </c>
      <c r="B389">
        <v>1378826</v>
      </c>
      <c r="C389">
        <v>264626</v>
      </c>
      <c r="D389">
        <v>507968</v>
      </c>
      <c r="E389">
        <v>359941</v>
      </c>
      <c r="F389">
        <v>13.9</v>
      </c>
      <c r="G389">
        <v>8.6999999999999993</v>
      </c>
      <c r="H389">
        <v>13.7</v>
      </c>
      <c r="I389">
        <v>10.5</v>
      </c>
    </row>
    <row r="390" spans="1:9" ht="24" customHeight="1">
      <c r="A390" s="6" t="s">
        <v>424</v>
      </c>
      <c r="B390">
        <v>4183990</v>
      </c>
      <c r="C390">
        <v>1190948</v>
      </c>
      <c r="D390">
        <v>497675</v>
      </c>
      <c r="E390">
        <v>335498</v>
      </c>
      <c r="F390">
        <v>15.2</v>
      </c>
      <c r="G390">
        <v>9</v>
      </c>
      <c r="H390">
        <v>15.6</v>
      </c>
      <c r="I390">
        <v>12.1</v>
      </c>
    </row>
    <row r="391" spans="1:9" ht="24" customHeight="1">
      <c r="A391" s="6" t="s">
        <v>426</v>
      </c>
      <c r="B391">
        <v>111023</v>
      </c>
      <c r="C391">
        <v>17530</v>
      </c>
      <c r="D391">
        <v>620787</v>
      </c>
      <c r="E391">
        <v>500744</v>
      </c>
      <c r="F391">
        <v>15.8</v>
      </c>
      <c r="G391">
        <v>12.4</v>
      </c>
      <c r="H391">
        <v>19.399999999999999</v>
      </c>
      <c r="I391">
        <v>17</v>
      </c>
    </row>
    <row r="392" spans="1:9" ht="24" customHeight="1">
      <c r="A392" s="6" t="s">
        <v>428</v>
      </c>
      <c r="B392">
        <v>938905</v>
      </c>
      <c r="C392">
        <v>375931</v>
      </c>
      <c r="D392">
        <v>553224</v>
      </c>
      <c r="E392">
        <v>426127</v>
      </c>
      <c r="F392">
        <v>10.9</v>
      </c>
      <c r="G392">
        <v>9.3000000000000007</v>
      </c>
      <c r="H392">
        <v>12.9</v>
      </c>
      <c r="I392">
        <v>9.1</v>
      </c>
    </row>
    <row r="393" spans="1:9" ht="24" customHeight="1">
      <c r="A393" s="6" t="s">
        <v>430</v>
      </c>
      <c r="B393">
        <v>1674118</v>
      </c>
      <c r="C393">
        <v>261137</v>
      </c>
      <c r="D393">
        <v>432000</v>
      </c>
      <c r="E393">
        <v>339618</v>
      </c>
      <c r="F393">
        <v>27.7</v>
      </c>
      <c r="G393">
        <v>14</v>
      </c>
      <c r="H393">
        <v>13.1</v>
      </c>
      <c r="I393">
        <v>10</v>
      </c>
    </row>
    <row r="394" spans="1:9" ht="24" customHeight="1">
      <c r="A394" s="6" t="s">
        <v>432</v>
      </c>
      <c r="B394">
        <v>2964782</v>
      </c>
      <c r="C394">
        <v>1311225</v>
      </c>
      <c r="D394">
        <v>489787</v>
      </c>
      <c r="E394">
        <v>356416</v>
      </c>
      <c r="F394">
        <v>10.9</v>
      </c>
      <c r="G394">
        <v>7.9</v>
      </c>
      <c r="H394">
        <v>14.1</v>
      </c>
      <c r="I394">
        <v>10.1</v>
      </c>
    </row>
    <row r="395" spans="1:9" ht="24" customHeight="1">
      <c r="A395" s="6" t="s">
        <v>434</v>
      </c>
      <c r="B395">
        <v>429309</v>
      </c>
      <c r="C395">
        <v>548364</v>
      </c>
      <c r="D395">
        <v>733897</v>
      </c>
      <c r="E395">
        <v>413707</v>
      </c>
      <c r="F395">
        <v>12.9</v>
      </c>
      <c r="G395">
        <v>8.8000000000000007</v>
      </c>
      <c r="H395">
        <v>15.5</v>
      </c>
      <c r="I395">
        <v>12.4</v>
      </c>
    </row>
    <row r="396" spans="1:9" ht="24" customHeight="1">
      <c r="A396" s="6" t="s">
        <v>436</v>
      </c>
      <c r="B396">
        <v>289673</v>
      </c>
      <c r="C396">
        <v>159967</v>
      </c>
      <c r="D396">
        <v>561151</v>
      </c>
      <c r="E396">
        <v>396116</v>
      </c>
      <c r="F396">
        <v>11.2</v>
      </c>
      <c r="G396">
        <v>8.3000000000000007</v>
      </c>
      <c r="H396">
        <v>11.1</v>
      </c>
      <c r="I396">
        <v>8.8000000000000007</v>
      </c>
    </row>
    <row r="397" spans="1:9" ht="24" customHeight="1">
      <c r="A397" s="6" t="s">
        <v>438</v>
      </c>
      <c r="B397">
        <v>771139</v>
      </c>
      <c r="C397">
        <v>317499</v>
      </c>
      <c r="D397">
        <v>605257</v>
      </c>
      <c r="E397">
        <v>421351</v>
      </c>
      <c r="F397">
        <v>12.8</v>
      </c>
      <c r="G397">
        <v>9.6999999999999993</v>
      </c>
      <c r="H397">
        <v>12.6</v>
      </c>
      <c r="I397">
        <v>8.6999999999999993</v>
      </c>
    </row>
    <row r="398" spans="1:9" ht="24" customHeight="1">
      <c r="A398" s="6" t="s">
        <v>440</v>
      </c>
      <c r="B398">
        <v>350392</v>
      </c>
      <c r="C398">
        <v>206822</v>
      </c>
      <c r="D398">
        <v>378575</v>
      </c>
      <c r="E398">
        <v>295183</v>
      </c>
      <c r="F398">
        <v>14.9</v>
      </c>
      <c r="G398">
        <v>11.7</v>
      </c>
      <c r="H398">
        <v>11.2</v>
      </c>
      <c r="I398">
        <v>8.4</v>
      </c>
    </row>
    <row r="399" spans="1:9" ht="24" customHeight="1">
      <c r="A399" s="6" t="s">
        <v>442</v>
      </c>
      <c r="B399">
        <v>260278</v>
      </c>
      <c r="C399">
        <v>179587</v>
      </c>
      <c r="D399">
        <v>417421</v>
      </c>
      <c r="E399">
        <v>306779</v>
      </c>
      <c r="F399">
        <v>9.5</v>
      </c>
      <c r="G399">
        <v>7.4</v>
      </c>
      <c r="H399">
        <v>12.7</v>
      </c>
      <c r="I399">
        <v>9.1</v>
      </c>
    </row>
    <row r="400" spans="1:9" ht="24" customHeight="1">
      <c r="A400" s="6" t="s">
        <v>444</v>
      </c>
      <c r="B400">
        <v>311935</v>
      </c>
      <c r="C400">
        <v>298268</v>
      </c>
      <c r="D400">
        <v>611350</v>
      </c>
      <c r="E400">
        <v>432551</v>
      </c>
      <c r="F400">
        <v>6.9</v>
      </c>
      <c r="G400">
        <v>4.9000000000000004</v>
      </c>
      <c r="H400">
        <v>14.5</v>
      </c>
      <c r="I400">
        <v>10.8</v>
      </c>
    </row>
    <row r="401" spans="1:9" ht="24" customHeight="1">
      <c r="A401" s="6" t="s">
        <v>446</v>
      </c>
      <c r="B401">
        <v>1208789</v>
      </c>
      <c r="C401">
        <v>2731151</v>
      </c>
      <c r="D401">
        <v>465860</v>
      </c>
      <c r="E401">
        <v>362382</v>
      </c>
      <c r="F401">
        <v>7.3</v>
      </c>
      <c r="G401">
        <v>5.4</v>
      </c>
      <c r="H401">
        <v>9.6</v>
      </c>
      <c r="I401">
        <v>8.9</v>
      </c>
    </row>
    <row r="402" spans="1:9" ht="24" customHeight="1">
      <c r="A402" s="6" t="s">
        <v>448</v>
      </c>
      <c r="B402">
        <v>131470</v>
      </c>
      <c r="C402">
        <v>58521</v>
      </c>
      <c r="D402">
        <v>499031</v>
      </c>
      <c r="E402">
        <v>376383</v>
      </c>
      <c r="F402">
        <v>10.4</v>
      </c>
      <c r="G402">
        <v>5.7</v>
      </c>
      <c r="H402">
        <v>19</v>
      </c>
      <c r="I402">
        <v>14</v>
      </c>
    </row>
    <row r="403" spans="1:9" ht="24" customHeight="1">
      <c r="A403" s="6" t="s">
        <v>450</v>
      </c>
      <c r="B403">
        <v>1294387</v>
      </c>
      <c r="C403">
        <v>479065</v>
      </c>
      <c r="D403">
        <v>452758</v>
      </c>
      <c r="E403">
        <v>345384</v>
      </c>
      <c r="F403">
        <v>14.7</v>
      </c>
      <c r="G403">
        <v>8.9</v>
      </c>
      <c r="H403">
        <v>12.2</v>
      </c>
      <c r="I403">
        <v>9.5</v>
      </c>
    </row>
    <row r="404" spans="1:9" ht="24" customHeight="1">
      <c r="A404" s="6" t="s">
        <v>452</v>
      </c>
      <c r="B404">
        <v>8326283</v>
      </c>
      <c r="C404">
        <v>7534459</v>
      </c>
      <c r="D404">
        <v>458181</v>
      </c>
      <c r="E404">
        <v>234287</v>
      </c>
      <c r="F404">
        <v>13</v>
      </c>
      <c r="G404">
        <v>5.9</v>
      </c>
      <c r="H404">
        <v>12.4</v>
      </c>
      <c r="I404">
        <v>7.8</v>
      </c>
    </row>
    <row r="405" spans="1:9" ht="24" customHeight="1">
      <c r="A405" s="6" t="s">
        <v>453</v>
      </c>
      <c r="B405">
        <v>5551011</v>
      </c>
      <c r="C405">
        <v>2557139</v>
      </c>
      <c r="D405">
        <v>593279</v>
      </c>
      <c r="E405">
        <v>418354</v>
      </c>
      <c r="F405">
        <v>16.8</v>
      </c>
      <c r="G405">
        <v>10.5</v>
      </c>
      <c r="H405">
        <v>15.5</v>
      </c>
      <c r="I405">
        <v>10.9</v>
      </c>
    </row>
    <row r="406" spans="1:9" ht="24" customHeight="1">
      <c r="A406" s="6" t="s">
        <v>2026</v>
      </c>
      <c r="B406">
        <v>6659455</v>
      </c>
      <c r="C406">
        <v>6017875</v>
      </c>
      <c r="D406">
        <v>352905</v>
      </c>
      <c r="E406">
        <v>205529</v>
      </c>
      <c r="F406">
        <v>9.6</v>
      </c>
      <c r="G406">
        <v>3.2</v>
      </c>
      <c r="H406">
        <v>10.8</v>
      </c>
      <c r="I406">
        <v>7.7</v>
      </c>
    </row>
    <row r="407" spans="1:9" ht="24" customHeight="1">
      <c r="A407" s="6" t="s">
        <v>2027</v>
      </c>
      <c r="B407">
        <v>4980799</v>
      </c>
      <c r="C407">
        <v>2686464</v>
      </c>
      <c r="D407">
        <v>411572</v>
      </c>
      <c r="E407">
        <v>315333</v>
      </c>
      <c r="F407">
        <v>11.3</v>
      </c>
      <c r="G407">
        <v>5.5</v>
      </c>
      <c r="H407">
        <v>12</v>
      </c>
      <c r="I407">
        <v>9.1999999999999993</v>
      </c>
    </row>
    <row r="408" spans="1:9" ht="24" customHeight="1">
      <c r="A408" s="6" t="s">
        <v>2028</v>
      </c>
      <c r="B408">
        <v>3754354</v>
      </c>
      <c r="C408">
        <v>3168309</v>
      </c>
      <c r="D408">
        <v>404692</v>
      </c>
      <c r="E408">
        <v>253506</v>
      </c>
      <c r="F408">
        <v>11.5</v>
      </c>
      <c r="G408">
        <v>4.5999999999999996</v>
      </c>
      <c r="H408">
        <v>12.1</v>
      </c>
      <c r="I408">
        <v>8.6999999999999993</v>
      </c>
    </row>
    <row r="409" spans="1:9" ht="24" customHeight="1">
      <c r="A409" s="6" t="s">
        <v>2029</v>
      </c>
      <c r="B409">
        <v>2884218</v>
      </c>
      <c r="C409">
        <v>1632062</v>
      </c>
      <c r="D409">
        <v>457961</v>
      </c>
      <c r="E409">
        <v>351153</v>
      </c>
      <c r="F409">
        <v>13.1</v>
      </c>
      <c r="G409">
        <v>6.6</v>
      </c>
      <c r="H409">
        <v>12.9</v>
      </c>
      <c r="I409">
        <v>9.9</v>
      </c>
    </row>
    <row r="410" spans="1:9" ht="24" customHeight="1">
      <c r="A410" s="6" t="s">
        <v>2030</v>
      </c>
      <c r="B410">
        <v>3786359</v>
      </c>
      <c r="C410">
        <v>3230934</v>
      </c>
      <c r="D410">
        <v>442308</v>
      </c>
      <c r="E410">
        <v>255012</v>
      </c>
      <c r="F410">
        <v>13.1</v>
      </c>
      <c r="G410">
        <v>5.2</v>
      </c>
      <c r="H410">
        <v>12.7</v>
      </c>
      <c r="I410">
        <v>8.1999999999999993</v>
      </c>
    </row>
    <row r="411" spans="1:9" ht="24" customHeight="1">
      <c r="A411" s="6" t="s">
        <v>2031</v>
      </c>
      <c r="B411">
        <v>2891550</v>
      </c>
      <c r="C411">
        <v>1526556</v>
      </c>
      <c r="D411">
        <v>511143</v>
      </c>
      <c r="E411">
        <v>377875</v>
      </c>
      <c r="F411">
        <v>15.2</v>
      </c>
      <c r="G411">
        <v>8</v>
      </c>
      <c r="H411">
        <v>14.1</v>
      </c>
      <c r="I411">
        <v>9.9</v>
      </c>
    </row>
    <row r="412" spans="1:9" ht="24" customHeight="1">
      <c r="A412" s="6" t="s">
        <v>455</v>
      </c>
      <c r="B412">
        <v>16307578</v>
      </c>
      <c r="C412">
        <v>8402221</v>
      </c>
      <c r="D412">
        <v>499284</v>
      </c>
      <c r="E412">
        <v>365007</v>
      </c>
      <c r="F412">
        <v>14.2</v>
      </c>
      <c r="G412">
        <v>7.7</v>
      </c>
      <c r="H412">
        <v>13.7</v>
      </c>
      <c r="I412">
        <v>10</v>
      </c>
    </row>
    <row r="413" spans="1:9" ht="24" customHeight="1">
      <c r="A413" s="6" t="s">
        <v>1216</v>
      </c>
      <c r="B413">
        <v>16220936</v>
      </c>
      <c r="C413">
        <v>8080594</v>
      </c>
      <c r="D413">
        <v>500634</v>
      </c>
      <c r="E413">
        <v>369584</v>
      </c>
      <c r="F413">
        <v>14.2</v>
      </c>
      <c r="G413">
        <v>7.9</v>
      </c>
      <c r="H413">
        <v>13.7</v>
      </c>
      <c r="I413">
        <v>9.9</v>
      </c>
    </row>
    <row r="414" spans="1:9" ht="24" customHeight="1">
      <c r="A414" s="6" t="s">
        <v>480</v>
      </c>
      <c r="B414">
        <v>8514</v>
      </c>
      <c r="C414">
        <v>1559</v>
      </c>
      <c r="D414">
        <v>543891</v>
      </c>
      <c r="E414">
        <v>438200</v>
      </c>
      <c r="F414">
        <v>12.7</v>
      </c>
      <c r="G414">
        <v>7.8</v>
      </c>
      <c r="H414">
        <v>14</v>
      </c>
      <c r="I414">
        <v>10.199999999999999</v>
      </c>
    </row>
    <row r="415" spans="1:9" ht="24" customHeight="1">
      <c r="A415" s="6" t="s">
        <v>481</v>
      </c>
      <c r="B415">
        <v>1363951</v>
      </c>
      <c r="C415">
        <v>250211</v>
      </c>
      <c r="D415">
        <v>511216</v>
      </c>
      <c r="E415">
        <v>364477</v>
      </c>
      <c r="F415">
        <v>14.1</v>
      </c>
      <c r="G415">
        <v>9</v>
      </c>
      <c r="H415">
        <v>13.7</v>
      </c>
      <c r="I415">
        <v>10.3</v>
      </c>
    </row>
    <row r="416" spans="1:9" ht="24" customHeight="1">
      <c r="A416" s="6" t="s">
        <v>482</v>
      </c>
      <c r="B416">
        <v>4172350</v>
      </c>
      <c r="C416">
        <v>1147840</v>
      </c>
      <c r="D416">
        <v>498281</v>
      </c>
      <c r="E416">
        <v>339670</v>
      </c>
      <c r="F416">
        <v>15.2</v>
      </c>
      <c r="G416">
        <v>9.3000000000000007</v>
      </c>
      <c r="H416">
        <v>15.6</v>
      </c>
      <c r="I416">
        <v>12.1</v>
      </c>
    </row>
    <row r="417" spans="1:9" ht="24" customHeight="1">
      <c r="A417" s="6" t="s">
        <v>483</v>
      </c>
      <c r="B417">
        <v>426942</v>
      </c>
      <c r="C417">
        <v>199591</v>
      </c>
      <c r="D417">
        <v>444865</v>
      </c>
      <c r="E417">
        <v>295383</v>
      </c>
      <c r="F417">
        <v>16</v>
      </c>
      <c r="G417">
        <v>12.8</v>
      </c>
      <c r="H417">
        <v>14.6</v>
      </c>
      <c r="I417">
        <v>9.4</v>
      </c>
    </row>
    <row r="418" spans="1:9" ht="24" customHeight="1">
      <c r="A418" s="6" t="s">
        <v>484</v>
      </c>
      <c r="B418">
        <v>145175</v>
      </c>
      <c r="C418">
        <v>68693</v>
      </c>
      <c r="D418">
        <v>466457</v>
      </c>
      <c r="E418">
        <v>313258</v>
      </c>
      <c r="F418">
        <v>20.7</v>
      </c>
      <c r="G418">
        <v>17.600000000000001</v>
      </c>
      <c r="H418">
        <v>15.4</v>
      </c>
      <c r="I418">
        <v>8.3000000000000007</v>
      </c>
    </row>
    <row r="419" spans="1:9" ht="24" customHeight="1">
      <c r="A419" s="6" t="s">
        <v>485</v>
      </c>
      <c r="B419">
        <v>4770</v>
      </c>
      <c r="C419">
        <v>9318</v>
      </c>
      <c r="D419">
        <v>213940</v>
      </c>
      <c r="E419">
        <v>196946</v>
      </c>
      <c r="F419">
        <v>6.8</v>
      </c>
      <c r="G419">
        <v>2.6</v>
      </c>
      <c r="H419">
        <v>0</v>
      </c>
      <c r="I419">
        <v>0</v>
      </c>
    </row>
    <row r="420" spans="1:9" ht="24" customHeight="1">
      <c r="A420" s="6" t="s">
        <v>2032</v>
      </c>
      <c r="B420">
        <v>6985</v>
      </c>
      <c r="C420">
        <v>18456</v>
      </c>
      <c r="D420">
        <v>284956</v>
      </c>
      <c r="E420">
        <v>258363</v>
      </c>
      <c r="F420">
        <v>16.7</v>
      </c>
      <c r="G420">
        <v>21.8</v>
      </c>
      <c r="H420">
        <v>1.7</v>
      </c>
      <c r="I420">
        <v>1.5</v>
      </c>
    </row>
    <row r="421" spans="1:9" ht="24" customHeight="1">
      <c r="A421" s="6" t="s">
        <v>2033</v>
      </c>
      <c r="B421">
        <v>31468</v>
      </c>
      <c r="C421">
        <v>5520</v>
      </c>
      <c r="D421">
        <v>419661</v>
      </c>
      <c r="E421">
        <v>353885</v>
      </c>
      <c r="F421">
        <v>23</v>
      </c>
      <c r="G421">
        <v>16.100000000000001</v>
      </c>
      <c r="H421">
        <v>11.9</v>
      </c>
      <c r="I421">
        <v>13.1</v>
      </c>
    </row>
    <row r="422" spans="1:9" ht="24" customHeight="1">
      <c r="A422" s="6" t="s">
        <v>2034</v>
      </c>
      <c r="B422">
        <v>23478</v>
      </c>
      <c r="C422">
        <v>7301</v>
      </c>
      <c r="D422">
        <v>478412</v>
      </c>
      <c r="E422">
        <v>387950</v>
      </c>
      <c r="F422">
        <v>22.1</v>
      </c>
      <c r="G422">
        <v>10.7</v>
      </c>
      <c r="H422">
        <v>17.100000000000001</v>
      </c>
      <c r="I422">
        <v>16.8</v>
      </c>
    </row>
    <row r="423" spans="1:9" ht="24" customHeight="1">
      <c r="A423" s="6" t="s">
        <v>2035</v>
      </c>
      <c r="B423">
        <v>14103</v>
      </c>
      <c r="C423">
        <v>4050</v>
      </c>
      <c r="D423">
        <v>588829</v>
      </c>
      <c r="E423">
        <v>431950</v>
      </c>
      <c r="F423">
        <v>28.5</v>
      </c>
      <c r="G423">
        <v>13.3</v>
      </c>
      <c r="H423">
        <v>22.1</v>
      </c>
      <c r="I423">
        <v>20.8</v>
      </c>
    </row>
    <row r="424" spans="1:9" ht="24" customHeight="1">
      <c r="A424" s="6" t="s">
        <v>2036</v>
      </c>
      <c r="B424">
        <v>12862</v>
      </c>
      <c r="C424">
        <v>1423</v>
      </c>
      <c r="D424">
        <v>577653</v>
      </c>
      <c r="E424">
        <v>530610</v>
      </c>
      <c r="F424">
        <v>15.2</v>
      </c>
      <c r="G424">
        <v>10.5</v>
      </c>
      <c r="H424">
        <v>26.5</v>
      </c>
      <c r="I424">
        <v>26.8</v>
      </c>
    </row>
    <row r="425" spans="1:9" ht="24" customHeight="1">
      <c r="A425" s="6" t="s">
        <v>2037</v>
      </c>
      <c r="B425">
        <v>11287</v>
      </c>
      <c r="C425">
        <v>9714</v>
      </c>
      <c r="D425">
        <v>316885</v>
      </c>
      <c r="E425">
        <v>284761</v>
      </c>
      <c r="F425">
        <v>23.7</v>
      </c>
      <c r="G425">
        <v>18.899999999999999</v>
      </c>
      <c r="H425">
        <v>3.5</v>
      </c>
      <c r="I425">
        <v>3.6</v>
      </c>
    </row>
    <row r="426" spans="1:9" ht="24" customHeight="1">
      <c r="A426" s="6" t="s">
        <v>486</v>
      </c>
      <c r="B426">
        <v>18739</v>
      </c>
      <c r="C426">
        <v>4532</v>
      </c>
      <c r="D426">
        <v>706712</v>
      </c>
      <c r="E426">
        <v>431924</v>
      </c>
      <c r="F426">
        <v>11.3</v>
      </c>
      <c r="G426">
        <v>19.3</v>
      </c>
      <c r="H426">
        <v>33.1</v>
      </c>
      <c r="I426">
        <v>30.8</v>
      </c>
    </row>
    <row r="427" spans="1:9" ht="24" customHeight="1">
      <c r="A427" s="6" t="s">
        <v>2038</v>
      </c>
      <c r="B427">
        <v>21591</v>
      </c>
      <c r="C427">
        <v>9805</v>
      </c>
      <c r="D427">
        <v>358554</v>
      </c>
      <c r="E427">
        <v>340727</v>
      </c>
      <c r="F427">
        <v>24.6</v>
      </c>
      <c r="G427">
        <v>28.5</v>
      </c>
      <c r="H427">
        <v>6.8</v>
      </c>
      <c r="I427">
        <v>6.6</v>
      </c>
    </row>
    <row r="428" spans="1:9" ht="24" customHeight="1">
      <c r="A428" s="6" t="s">
        <v>2039</v>
      </c>
      <c r="B428">
        <v>102607</v>
      </c>
      <c r="C428">
        <v>56384</v>
      </c>
      <c r="D428">
        <v>346516</v>
      </c>
      <c r="E428">
        <v>237115</v>
      </c>
      <c r="F428">
        <v>10.8</v>
      </c>
      <c r="G428">
        <v>6</v>
      </c>
      <c r="H428">
        <v>11.7</v>
      </c>
      <c r="I428">
        <v>9.4</v>
      </c>
    </row>
    <row r="429" spans="1:9" ht="24" customHeight="1">
      <c r="A429" s="6" t="s">
        <v>2040</v>
      </c>
      <c r="B429">
        <v>7919</v>
      </c>
      <c r="C429">
        <v>4570</v>
      </c>
      <c r="D429">
        <v>248573</v>
      </c>
      <c r="E429">
        <v>194631</v>
      </c>
      <c r="F429">
        <v>11.7</v>
      </c>
      <c r="G429">
        <v>4.9000000000000004</v>
      </c>
      <c r="H429">
        <v>0</v>
      </c>
      <c r="I429">
        <v>0</v>
      </c>
    </row>
    <row r="430" spans="1:9" ht="24" customHeight="1">
      <c r="A430" s="6" t="s">
        <v>2041</v>
      </c>
      <c r="B430">
        <v>10876</v>
      </c>
      <c r="C430">
        <v>7509</v>
      </c>
      <c r="D430">
        <v>290017</v>
      </c>
      <c r="E430">
        <v>203359</v>
      </c>
      <c r="F430">
        <v>13.2</v>
      </c>
      <c r="G430">
        <v>2.7</v>
      </c>
      <c r="H430">
        <v>1.5</v>
      </c>
      <c r="I430">
        <v>1.4</v>
      </c>
    </row>
    <row r="431" spans="1:9" ht="24" customHeight="1">
      <c r="A431" s="6" t="s">
        <v>2042</v>
      </c>
      <c r="B431">
        <v>16423</v>
      </c>
      <c r="C431">
        <v>10893</v>
      </c>
      <c r="D431">
        <v>351488</v>
      </c>
      <c r="E431">
        <v>249739</v>
      </c>
      <c r="F431">
        <v>10.5</v>
      </c>
      <c r="G431">
        <v>6</v>
      </c>
      <c r="H431">
        <v>12.1</v>
      </c>
      <c r="I431">
        <v>12</v>
      </c>
    </row>
    <row r="432" spans="1:9" ht="24" customHeight="1">
      <c r="A432" s="6" t="s">
        <v>2043</v>
      </c>
      <c r="B432">
        <v>12235</v>
      </c>
      <c r="C432">
        <v>5913</v>
      </c>
      <c r="D432">
        <v>384079</v>
      </c>
      <c r="E432">
        <v>244882</v>
      </c>
      <c r="F432">
        <v>10.6</v>
      </c>
      <c r="G432">
        <v>6.8</v>
      </c>
      <c r="H432">
        <v>16.7</v>
      </c>
      <c r="I432">
        <v>16.399999999999999</v>
      </c>
    </row>
    <row r="433" spans="1:9" ht="24" customHeight="1">
      <c r="A433" s="6" t="s">
        <v>2044</v>
      </c>
      <c r="B433">
        <v>9040</v>
      </c>
      <c r="C433">
        <v>3524</v>
      </c>
      <c r="D433">
        <v>426073</v>
      </c>
      <c r="E433">
        <v>229523</v>
      </c>
      <c r="F433">
        <v>11.7</v>
      </c>
      <c r="G433">
        <v>7.9</v>
      </c>
      <c r="H433">
        <v>21.6</v>
      </c>
      <c r="I433">
        <v>21.2</v>
      </c>
    </row>
    <row r="434" spans="1:9" ht="24" customHeight="1">
      <c r="A434" s="6" t="s">
        <v>2045</v>
      </c>
      <c r="B434">
        <v>6010</v>
      </c>
      <c r="C434">
        <v>2176</v>
      </c>
      <c r="D434">
        <v>419920</v>
      </c>
      <c r="E434">
        <v>286387</v>
      </c>
      <c r="F434">
        <v>7</v>
      </c>
      <c r="G434">
        <v>4.7</v>
      </c>
      <c r="H434">
        <v>27.1</v>
      </c>
      <c r="I434">
        <v>26.7</v>
      </c>
    </row>
    <row r="435" spans="1:9" ht="24" customHeight="1">
      <c r="A435" s="6" t="s">
        <v>2046</v>
      </c>
      <c r="B435">
        <v>11211</v>
      </c>
      <c r="C435">
        <v>10166</v>
      </c>
      <c r="D435">
        <v>312156</v>
      </c>
      <c r="E435">
        <v>226788</v>
      </c>
      <c r="F435">
        <v>11.6</v>
      </c>
      <c r="G435">
        <v>7.2</v>
      </c>
      <c r="H435">
        <v>3.4</v>
      </c>
      <c r="I435">
        <v>3.5</v>
      </c>
    </row>
    <row r="436" spans="1:9" ht="24" customHeight="1">
      <c r="A436" s="6" t="s">
        <v>2047</v>
      </c>
      <c r="B436">
        <v>6425</v>
      </c>
      <c r="C436">
        <v>2212</v>
      </c>
      <c r="D436">
        <v>392242</v>
      </c>
      <c r="E436">
        <v>323573</v>
      </c>
      <c r="F436">
        <v>6.5</v>
      </c>
      <c r="G436">
        <v>4.8</v>
      </c>
      <c r="H436">
        <v>34.700000000000003</v>
      </c>
      <c r="I436">
        <v>32.5</v>
      </c>
    </row>
    <row r="437" spans="1:9" ht="24" customHeight="1">
      <c r="A437" s="6" t="s">
        <v>2048</v>
      </c>
      <c r="B437">
        <v>22531</v>
      </c>
      <c r="C437">
        <v>11820</v>
      </c>
      <c r="D437">
        <v>336319</v>
      </c>
      <c r="E437">
        <v>226314</v>
      </c>
      <c r="F437">
        <v>11.2</v>
      </c>
      <c r="G437">
        <v>5.8</v>
      </c>
      <c r="H437">
        <v>7.2</v>
      </c>
      <c r="I437">
        <v>6.8</v>
      </c>
    </row>
    <row r="438" spans="1:9" ht="24" customHeight="1">
      <c r="A438" s="6" t="s">
        <v>2049</v>
      </c>
      <c r="B438">
        <v>66728</v>
      </c>
      <c r="C438">
        <v>39626</v>
      </c>
      <c r="D438">
        <v>427284</v>
      </c>
      <c r="E438">
        <v>290049</v>
      </c>
      <c r="F438">
        <v>14.5</v>
      </c>
      <c r="G438">
        <v>13.7</v>
      </c>
      <c r="H438">
        <v>14.4</v>
      </c>
      <c r="I438">
        <v>10.6</v>
      </c>
    </row>
    <row r="439" spans="1:9" ht="24" customHeight="1">
      <c r="A439" s="6" t="s">
        <v>2050</v>
      </c>
      <c r="B439">
        <v>4326</v>
      </c>
      <c r="C439">
        <v>3717</v>
      </c>
      <c r="D439">
        <v>265201</v>
      </c>
      <c r="E439">
        <v>208919</v>
      </c>
      <c r="F439">
        <v>10.4</v>
      </c>
      <c r="G439">
        <v>5.7</v>
      </c>
      <c r="H439">
        <v>0</v>
      </c>
      <c r="I439">
        <v>0</v>
      </c>
    </row>
    <row r="440" spans="1:9" ht="24" customHeight="1">
      <c r="A440" s="6" t="s">
        <v>2051</v>
      </c>
      <c r="B440">
        <v>6415</v>
      </c>
      <c r="C440">
        <v>5168</v>
      </c>
      <c r="D440">
        <v>354819</v>
      </c>
      <c r="E440">
        <v>265318</v>
      </c>
      <c r="F440">
        <v>20.6</v>
      </c>
      <c r="G440">
        <v>18.2</v>
      </c>
      <c r="H440">
        <v>1.4</v>
      </c>
      <c r="I440">
        <v>1.5</v>
      </c>
    </row>
    <row r="441" spans="1:9" ht="24" customHeight="1">
      <c r="A441" s="6" t="s">
        <v>2052</v>
      </c>
      <c r="B441">
        <v>7838</v>
      </c>
      <c r="C441">
        <v>5165</v>
      </c>
      <c r="D441">
        <v>390350</v>
      </c>
      <c r="E441">
        <v>282828</v>
      </c>
      <c r="F441">
        <v>16.2</v>
      </c>
      <c r="G441">
        <v>12.1</v>
      </c>
      <c r="H441">
        <v>11.6</v>
      </c>
      <c r="I441">
        <v>12.1</v>
      </c>
    </row>
    <row r="442" spans="1:9" ht="24" customHeight="1">
      <c r="A442" s="6" t="s">
        <v>2053</v>
      </c>
      <c r="B442">
        <v>11747</v>
      </c>
      <c r="C442">
        <v>5552</v>
      </c>
      <c r="D442">
        <v>454560</v>
      </c>
      <c r="E442">
        <v>304198</v>
      </c>
      <c r="F442">
        <v>14.2</v>
      </c>
      <c r="G442">
        <v>12.3</v>
      </c>
      <c r="H442">
        <v>16.600000000000001</v>
      </c>
      <c r="I442">
        <v>16.899999999999999</v>
      </c>
    </row>
    <row r="443" spans="1:9" ht="24" customHeight="1">
      <c r="A443" s="6" t="s">
        <v>2054</v>
      </c>
      <c r="B443">
        <v>7461</v>
      </c>
      <c r="C443">
        <v>2905</v>
      </c>
      <c r="D443">
        <v>490914</v>
      </c>
      <c r="E443">
        <v>319162</v>
      </c>
      <c r="F443">
        <v>11.4</v>
      </c>
      <c r="G443">
        <v>9.8000000000000007</v>
      </c>
      <c r="H443">
        <v>21.9</v>
      </c>
      <c r="I443">
        <v>22</v>
      </c>
    </row>
    <row r="444" spans="1:9" ht="24" customHeight="1">
      <c r="A444" s="6" t="s">
        <v>2055</v>
      </c>
      <c r="B444">
        <v>6920</v>
      </c>
      <c r="C444">
        <v>1948</v>
      </c>
      <c r="D444">
        <v>559475</v>
      </c>
      <c r="E444">
        <v>405011</v>
      </c>
      <c r="F444">
        <v>7.2</v>
      </c>
      <c r="G444">
        <v>13.7</v>
      </c>
      <c r="H444">
        <v>26.9</v>
      </c>
      <c r="I444">
        <v>26.8</v>
      </c>
    </row>
    <row r="445" spans="1:9" ht="24" customHeight="1">
      <c r="A445" s="6" t="s">
        <v>2056</v>
      </c>
      <c r="B445">
        <v>4865</v>
      </c>
      <c r="C445">
        <v>5070</v>
      </c>
      <c r="D445">
        <v>339795</v>
      </c>
      <c r="E445">
        <v>272357</v>
      </c>
      <c r="F445">
        <v>21.2</v>
      </c>
      <c r="G445">
        <v>13.1</v>
      </c>
      <c r="H445">
        <v>3.4</v>
      </c>
      <c r="I445">
        <v>3.4</v>
      </c>
    </row>
    <row r="446" spans="1:9" ht="24" customHeight="1">
      <c r="A446" s="6" t="s">
        <v>2057</v>
      </c>
      <c r="B446">
        <v>6278</v>
      </c>
      <c r="C446">
        <v>2070</v>
      </c>
      <c r="D446">
        <v>557302</v>
      </c>
      <c r="E446">
        <v>342566</v>
      </c>
      <c r="F446">
        <v>8.6999999999999993</v>
      </c>
      <c r="G446">
        <v>14.1</v>
      </c>
      <c r="H446">
        <v>35.6</v>
      </c>
      <c r="I446">
        <v>33.799999999999997</v>
      </c>
    </row>
    <row r="447" spans="1:9" ht="24" customHeight="1">
      <c r="A447" s="6" t="s">
        <v>2058</v>
      </c>
      <c r="B447">
        <v>11409</v>
      </c>
      <c r="C447">
        <v>9136</v>
      </c>
      <c r="D447">
        <v>356441</v>
      </c>
      <c r="E447">
        <v>281988</v>
      </c>
      <c r="F447">
        <v>17.8</v>
      </c>
      <c r="G447">
        <v>16.2</v>
      </c>
      <c r="H447">
        <v>6.8</v>
      </c>
      <c r="I447">
        <v>6.8</v>
      </c>
    </row>
    <row r="448" spans="1:9" ht="24" customHeight="1">
      <c r="A448" s="6" t="s">
        <v>2059</v>
      </c>
      <c r="B448">
        <v>112432</v>
      </c>
      <c r="C448">
        <v>34887</v>
      </c>
      <c r="D448">
        <v>517174</v>
      </c>
      <c r="E448">
        <v>360416</v>
      </c>
      <c r="F448">
        <v>15.4</v>
      </c>
      <c r="G448">
        <v>13.5</v>
      </c>
      <c r="H448">
        <v>16.3</v>
      </c>
      <c r="I448">
        <v>10.4</v>
      </c>
    </row>
    <row r="449" spans="1:9" ht="24" customHeight="1">
      <c r="A449" s="6" t="s">
        <v>2060</v>
      </c>
      <c r="B449">
        <v>6394</v>
      </c>
      <c r="C449">
        <v>3346</v>
      </c>
      <c r="D449">
        <v>265149</v>
      </c>
      <c r="E449">
        <v>227398</v>
      </c>
      <c r="F449">
        <v>9.1</v>
      </c>
      <c r="G449">
        <v>12.5</v>
      </c>
      <c r="H449">
        <v>0</v>
      </c>
      <c r="I449">
        <v>0</v>
      </c>
    </row>
    <row r="450" spans="1:9" ht="24" customHeight="1">
      <c r="A450" s="6" t="s">
        <v>2061</v>
      </c>
      <c r="B450">
        <v>8762</v>
      </c>
      <c r="C450">
        <v>4924</v>
      </c>
      <c r="D450">
        <v>373033</v>
      </c>
      <c r="E450">
        <v>281957</v>
      </c>
      <c r="F450">
        <v>16.2</v>
      </c>
      <c r="G450">
        <v>18.899999999999999</v>
      </c>
      <c r="H450">
        <v>1.7</v>
      </c>
      <c r="I450">
        <v>1.3</v>
      </c>
    </row>
    <row r="451" spans="1:9" ht="24" customHeight="1">
      <c r="A451" s="6" t="s">
        <v>2062</v>
      </c>
      <c r="B451">
        <v>14824</v>
      </c>
      <c r="C451">
        <v>4395</v>
      </c>
      <c r="D451">
        <v>481481</v>
      </c>
      <c r="E451">
        <v>379681</v>
      </c>
      <c r="F451">
        <v>25.4</v>
      </c>
      <c r="G451">
        <v>11.6</v>
      </c>
      <c r="H451">
        <v>12.6</v>
      </c>
      <c r="I451">
        <v>11.9</v>
      </c>
    </row>
    <row r="452" spans="1:9" ht="24" customHeight="1">
      <c r="A452" s="6" t="s">
        <v>2063</v>
      </c>
      <c r="B452">
        <v>15422</v>
      </c>
      <c r="C452">
        <v>3174</v>
      </c>
      <c r="D452">
        <v>555907</v>
      </c>
      <c r="E452">
        <v>341523</v>
      </c>
      <c r="F452">
        <v>19.600000000000001</v>
      </c>
      <c r="G452">
        <v>14.6</v>
      </c>
      <c r="H452">
        <v>16.7</v>
      </c>
      <c r="I452">
        <v>16.600000000000001</v>
      </c>
    </row>
    <row r="453" spans="1:9" ht="24" customHeight="1">
      <c r="A453" s="6" t="s">
        <v>2064</v>
      </c>
      <c r="B453">
        <v>10421</v>
      </c>
      <c r="C453">
        <v>2893</v>
      </c>
      <c r="D453">
        <v>610549</v>
      </c>
      <c r="E453">
        <v>537820</v>
      </c>
      <c r="F453">
        <v>15</v>
      </c>
      <c r="G453">
        <v>7.5</v>
      </c>
      <c r="H453">
        <v>21.8</v>
      </c>
      <c r="I453">
        <v>21.4</v>
      </c>
    </row>
    <row r="454" spans="1:9" ht="24" customHeight="1">
      <c r="A454" s="6" t="s">
        <v>2065</v>
      </c>
      <c r="B454">
        <v>10600</v>
      </c>
      <c r="C454">
        <v>2705</v>
      </c>
      <c r="D454">
        <v>651667</v>
      </c>
      <c r="E454">
        <v>496175</v>
      </c>
      <c r="F454">
        <v>11.3</v>
      </c>
      <c r="G454">
        <v>10.4</v>
      </c>
      <c r="H454">
        <v>27.2</v>
      </c>
      <c r="I454">
        <v>27.2</v>
      </c>
    </row>
    <row r="455" spans="1:9" ht="24" customHeight="1">
      <c r="A455" s="6" t="s">
        <v>2066</v>
      </c>
      <c r="B455">
        <v>10342</v>
      </c>
      <c r="C455">
        <v>4296</v>
      </c>
      <c r="D455">
        <v>344625</v>
      </c>
      <c r="E455">
        <v>337228</v>
      </c>
      <c r="F455">
        <v>14.9</v>
      </c>
      <c r="G455">
        <v>14.7</v>
      </c>
      <c r="H455">
        <v>3.4</v>
      </c>
      <c r="I455">
        <v>3.4</v>
      </c>
    </row>
    <row r="456" spans="1:9" ht="24" customHeight="1">
      <c r="A456" s="6" t="s">
        <v>2067</v>
      </c>
      <c r="B456">
        <v>21107</v>
      </c>
      <c r="C456">
        <v>1885</v>
      </c>
      <c r="D456">
        <v>674194</v>
      </c>
      <c r="E456">
        <v>462244</v>
      </c>
      <c r="F456">
        <v>7.4</v>
      </c>
      <c r="G456">
        <v>8.4</v>
      </c>
      <c r="H456">
        <v>34</v>
      </c>
      <c r="I456">
        <v>34.5</v>
      </c>
    </row>
    <row r="457" spans="1:9" ht="24" customHeight="1">
      <c r="A457" s="6" t="s">
        <v>2068</v>
      </c>
      <c r="B457">
        <v>14740</v>
      </c>
      <c r="C457">
        <v>8134</v>
      </c>
      <c r="D457">
        <v>437860</v>
      </c>
      <c r="E457">
        <v>334602</v>
      </c>
      <c r="F457">
        <v>18.399999999999999</v>
      </c>
      <c r="G457">
        <v>14.4</v>
      </c>
      <c r="H457">
        <v>7.2</v>
      </c>
      <c r="I457">
        <v>6.3</v>
      </c>
    </row>
    <row r="458" spans="1:9" ht="24" customHeight="1">
      <c r="A458" s="6" t="s">
        <v>487</v>
      </c>
      <c r="B458">
        <v>57378</v>
      </c>
      <c r="C458">
        <v>16346</v>
      </c>
      <c r="D458">
        <v>462710</v>
      </c>
      <c r="E458">
        <v>339176</v>
      </c>
      <c r="F458">
        <v>13.5</v>
      </c>
      <c r="G458">
        <v>9.4</v>
      </c>
      <c r="H458">
        <v>14.9</v>
      </c>
      <c r="I458">
        <v>12.1</v>
      </c>
    </row>
    <row r="459" spans="1:9" ht="24" customHeight="1">
      <c r="A459" s="6" t="s">
        <v>488</v>
      </c>
      <c r="B459">
        <v>11461</v>
      </c>
      <c r="C459">
        <v>1773</v>
      </c>
      <c r="D459">
        <v>587222</v>
      </c>
      <c r="E459">
        <v>454488</v>
      </c>
      <c r="F459">
        <v>16.8</v>
      </c>
      <c r="G459">
        <v>12.6</v>
      </c>
      <c r="H459">
        <v>16.5</v>
      </c>
      <c r="I459">
        <v>14.4</v>
      </c>
    </row>
    <row r="460" spans="1:9" ht="24" customHeight="1">
      <c r="A460" s="6" t="s">
        <v>489</v>
      </c>
      <c r="B460">
        <v>220</v>
      </c>
      <c r="C460">
        <v>94</v>
      </c>
      <c r="D460">
        <v>283193</v>
      </c>
      <c r="E460">
        <v>234656</v>
      </c>
      <c r="F460">
        <v>9.5</v>
      </c>
      <c r="G460">
        <v>2.7</v>
      </c>
      <c r="H460">
        <v>0</v>
      </c>
      <c r="I460">
        <v>0</v>
      </c>
    </row>
    <row r="461" spans="1:9" ht="24" customHeight="1">
      <c r="A461" s="6" t="s">
        <v>2069</v>
      </c>
      <c r="B461">
        <v>602</v>
      </c>
      <c r="C461">
        <v>223</v>
      </c>
      <c r="D461">
        <v>376370</v>
      </c>
      <c r="E461">
        <v>378944</v>
      </c>
      <c r="F461">
        <v>21.3</v>
      </c>
      <c r="G461">
        <v>19.899999999999999</v>
      </c>
      <c r="H461">
        <v>1.7</v>
      </c>
      <c r="I461">
        <v>1.5</v>
      </c>
    </row>
    <row r="462" spans="1:9" ht="24" customHeight="1">
      <c r="A462" s="6" t="s">
        <v>2070</v>
      </c>
      <c r="B462">
        <v>1620</v>
      </c>
      <c r="C462">
        <v>204</v>
      </c>
      <c r="D462">
        <v>522515</v>
      </c>
      <c r="E462">
        <v>468705</v>
      </c>
      <c r="F462">
        <v>18.5</v>
      </c>
      <c r="G462">
        <v>11.8</v>
      </c>
      <c r="H462">
        <v>12.2</v>
      </c>
      <c r="I462">
        <v>12.1</v>
      </c>
    </row>
    <row r="463" spans="1:9" ht="24" customHeight="1">
      <c r="A463" s="6" t="s">
        <v>2071</v>
      </c>
      <c r="B463">
        <v>1819</v>
      </c>
      <c r="C463">
        <v>139</v>
      </c>
      <c r="D463">
        <v>568017</v>
      </c>
      <c r="E463">
        <v>480792</v>
      </c>
      <c r="F463">
        <v>17.3</v>
      </c>
      <c r="G463">
        <v>7.3</v>
      </c>
      <c r="H463">
        <v>16.899999999999999</v>
      </c>
      <c r="I463">
        <v>16.5</v>
      </c>
    </row>
    <row r="464" spans="1:9" ht="24" customHeight="1">
      <c r="A464" s="6" t="s">
        <v>2072</v>
      </c>
      <c r="B464">
        <v>1138</v>
      </c>
      <c r="C464">
        <v>94</v>
      </c>
      <c r="D464">
        <v>670447</v>
      </c>
      <c r="E464">
        <v>486143</v>
      </c>
      <c r="F464">
        <v>16</v>
      </c>
      <c r="G464">
        <v>7.8</v>
      </c>
      <c r="H464">
        <v>21.7</v>
      </c>
      <c r="I464">
        <v>21.1</v>
      </c>
    </row>
    <row r="465" spans="1:9" ht="24" customHeight="1">
      <c r="A465" s="6" t="s">
        <v>2073</v>
      </c>
      <c r="B465">
        <v>1232</v>
      </c>
      <c r="C465">
        <v>208</v>
      </c>
      <c r="D465">
        <v>767656</v>
      </c>
      <c r="E465">
        <v>506407</v>
      </c>
      <c r="F465">
        <v>15</v>
      </c>
      <c r="G465">
        <v>9.1999999999999993</v>
      </c>
      <c r="H465">
        <v>26.9</v>
      </c>
      <c r="I465">
        <v>27.9</v>
      </c>
    </row>
    <row r="466" spans="1:9" ht="24" customHeight="1">
      <c r="A466" s="6" t="s">
        <v>2074</v>
      </c>
      <c r="B466">
        <v>800</v>
      </c>
      <c r="C466">
        <v>197</v>
      </c>
      <c r="D466">
        <v>418197</v>
      </c>
      <c r="E466">
        <v>350576</v>
      </c>
      <c r="F466">
        <v>18.3</v>
      </c>
      <c r="G466">
        <v>15.4</v>
      </c>
      <c r="H466">
        <v>3.4</v>
      </c>
      <c r="I466">
        <v>3.5</v>
      </c>
    </row>
    <row r="467" spans="1:9" ht="24" customHeight="1">
      <c r="A467" s="6" t="s">
        <v>490</v>
      </c>
      <c r="B467">
        <v>1939</v>
      </c>
      <c r="C467">
        <v>326</v>
      </c>
      <c r="D467">
        <v>745712</v>
      </c>
      <c r="E467">
        <v>622308</v>
      </c>
      <c r="F467">
        <v>12.1</v>
      </c>
      <c r="G467">
        <v>8.3000000000000007</v>
      </c>
      <c r="H467">
        <v>33.1</v>
      </c>
      <c r="I467">
        <v>32.5</v>
      </c>
    </row>
    <row r="468" spans="1:9" ht="24" customHeight="1">
      <c r="A468" s="6" t="s">
        <v>2075</v>
      </c>
      <c r="B468">
        <v>2092</v>
      </c>
      <c r="C468">
        <v>344</v>
      </c>
      <c r="D468">
        <v>512945</v>
      </c>
      <c r="E468">
        <v>384039</v>
      </c>
      <c r="F468">
        <v>19.899999999999999</v>
      </c>
      <c r="G468">
        <v>18.3</v>
      </c>
      <c r="H468">
        <v>6.4</v>
      </c>
      <c r="I468">
        <v>6.2</v>
      </c>
    </row>
    <row r="469" spans="1:9" ht="24" customHeight="1">
      <c r="A469" s="6" t="s">
        <v>2076</v>
      </c>
      <c r="B469">
        <v>20732</v>
      </c>
      <c r="C469">
        <v>6425</v>
      </c>
      <c r="D469">
        <v>389722</v>
      </c>
      <c r="E469">
        <v>295868</v>
      </c>
      <c r="F469">
        <v>8.3000000000000007</v>
      </c>
      <c r="G469">
        <v>6.8</v>
      </c>
      <c r="H469">
        <v>13</v>
      </c>
      <c r="I469">
        <v>10.6</v>
      </c>
    </row>
    <row r="470" spans="1:9" ht="24" customHeight="1">
      <c r="A470" s="6" t="s">
        <v>2077</v>
      </c>
      <c r="B470">
        <v>1311</v>
      </c>
      <c r="C470">
        <v>626</v>
      </c>
      <c r="D470">
        <v>241482</v>
      </c>
      <c r="E470">
        <v>193312</v>
      </c>
      <c r="F470">
        <v>6.5</v>
      </c>
      <c r="G470">
        <v>3.9</v>
      </c>
      <c r="H470">
        <v>0</v>
      </c>
      <c r="I470">
        <v>0</v>
      </c>
    </row>
    <row r="471" spans="1:9" ht="24" customHeight="1">
      <c r="A471" s="6" t="s">
        <v>2078</v>
      </c>
      <c r="B471">
        <v>2221</v>
      </c>
      <c r="C471">
        <v>790</v>
      </c>
      <c r="D471">
        <v>302983</v>
      </c>
      <c r="E471">
        <v>263078</v>
      </c>
      <c r="F471">
        <v>8.6</v>
      </c>
      <c r="G471">
        <v>8.1</v>
      </c>
      <c r="H471">
        <v>1.5</v>
      </c>
      <c r="I471">
        <v>1.5</v>
      </c>
    </row>
    <row r="472" spans="1:9" ht="24" customHeight="1">
      <c r="A472" s="6" t="s">
        <v>2079</v>
      </c>
      <c r="B472">
        <v>2702</v>
      </c>
      <c r="C472">
        <v>780</v>
      </c>
      <c r="D472">
        <v>409103</v>
      </c>
      <c r="E472">
        <v>312817</v>
      </c>
      <c r="F472">
        <v>11.7</v>
      </c>
      <c r="G472">
        <v>6.9</v>
      </c>
      <c r="H472">
        <v>11.7</v>
      </c>
      <c r="I472">
        <v>12</v>
      </c>
    </row>
    <row r="473" spans="1:9" ht="24" customHeight="1">
      <c r="A473" s="6" t="s">
        <v>2080</v>
      </c>
      <c r="B473">
        <v>2746</v>
      </c>
      <c r="C473">
        <v>834</v>
      </c>
      <c r="D473">
        <v>443839</v>
      </c>
      <c r="E473">
        <v>324134</v>
      </c>
      <c r="F473">
        <v>9.5</v>
      </c>
      <c r="G473">
        <v>5.6</v>
      </c>
      <c r="H473">
        <v>16.899999999999999</v>
      </c>
      <c r="I473">
        <v>16.899999999999999</v>
      </c>
    </row>
    <row r="474" spans="1:9" ht="24" customHeight="1">
      <c r="A474" s="6" t="s">
        <v>2081</v>
      </c>
      <c r="B474">
        <v>1969</v>
      </c>
      <c r="C474">
        <v>479</v>
      </c>
      <c r="D474">
        <v>461856</v>
      </c>
      <c r="E474">
        <v>343127</v>
      </c>
      <c r="F474">
        <v>6.7</v>
      </c>
      <c r="G474">
        <v>8.3000000000000007</v>
      </c>
      <c r="H474">
        <v>21.8</v>
      </c>
      <c r="I474">
        <v>21.7</v>
      </c>
    </row>
    <row r="475" spans="1:9" ht="24" customHeight="1">
      <c r="A475" s="6" t="s">
        <v>2082</v>
      </c>
      <c r="B475">
        <v>1742</v>
      </c>
      <c r="C475">
        <v>460</v>
      </c>
      <c r="D475">
        <v>472982</v>
      </c>
      <c r="E475">
        <v>321784</v>
      </c>
      <c r="F475">
        <v>6.5</v>
      </c>
      <c r="G475">
        <v>4.7</v>
      </c>
      <c r="H475">
        <v>26.9</v>
      </c>
      <c r="I475">
        <v>26.8</v>
      </c>
    </row>
    <row r="476" spans="1:9" ht="24" customHeight="1">
      <c r="A476" s="6" t="s">
        <v>2083</v>
      </c>
      <c r="B476">
        <v>2176</v>
      </c>
      <c r="C476">
        <v>1024</v>
      </c>
      <c r="D476">
        <v>336312</v>
      </c>
      <c r="E476">
        <v>287261</v>
      </c>
      <c r="F476">
        <v>9.5</v>
      </c>
      <c r="G476">
        <v>8.1</v>
      </c>
      <c r="H476">
        <v>3.5</v>
      </c>
      <c r="I476">
        <v>3.5</v>
      </c>
    </row>
    <row r="477" spans="1:9" ht="24" customHeight="1">
      <c r="A477" s="6" t="s">
        <v>2084</v>
      </c>
      <c r="B477">
        <v>1737</v>
      </c>
      <c r="C477">
        <v>232</v>
      </c>
      <c r="D477">
        <v>440071</v>
      </c>
      <c r="E477">
        <v>363749</v>
      </c>
      <c r="F477">
        <v>2.7</v>
      </c>
      <c r="G477">
        <v>3.8</v>
      </c>
      <c r="H477">
        <v>35.5</v>
      </c>
      <c r="I477">
        <v>34.299999999999997</v>
      </c>
    </row>
    <row r="478" spans="1:9" ht="24" customHeight="1">
      <c r="A478" s="6" t="s">
        <v>2085</v>
      </c>
      <c r="B478">
        <v>4162</v>
      </c>
      <c r="C478">
        <v>1541</v>
      </c>
      <c r="D478">
        <v>371540</v>
      </c>
      <c r="E478">
        <v>270466</v>
      </c>
      <c r="F478">
        <v>8.6</v>
      </c>
      <c r="G478">
        <v>6.5</v>
      </c>
      <c r="H478">
        <v>7</v>
      </c>
      <c r="I478">
        <v>6.9</v>
      </c>
    </row>
    <row r="479" spans="1:9" ht="24" customHeight="1">
      <c r="A479" s="6" t="s">
        <v>2086</v>
      </c>
      <c r="B479">
        <v>9922</v>
      </c>
      <c r="C479">
        <v>3656</v>
      </c>
      <c r="D479">
        <v>428050</v>
      </c>
      <c r="E479">
        <v>306173</v>
      </c>
      <c r="F479">
        <v>14.1</v>
      </c>
      <c r="G479">
        <v>8.4</v>
      </c>
      <c r="H479">
        <v>14.3</v>
      </c>
      <c r="I479">
        <v>10.6</v>
      </c>
    </row>
    <row r="480" spans="1:9" ht="24" customHeight="1">
      <c r="A480" s="6" t="s">
        <v>2087</v>
      </c>
      <c r="B480">
        <v>535</v>
      </c>
      <c r="C480">
        <v>305</v>
      </c>
      <c r="D480">
        <v>226117</v>
      </c>
      <c r="E480">
        <v>210238</v>
      </c>
      <c r="F480">
        <v>8.6999999999999993</v>
      </c>
      <c r="G480">
        <v>8.1</v>
      </c>
      <c r="H480">
        <v>0</v>
      </c>
      <c r="I480">
        <v>0</v>
      </c>
    </row>
    <row r="481" spans="1:9" ht="24" customHeight="1">
      <c r="A481" s="6" t="s">
        <v>2088</v>
      </c>
      <c r="B481">
        <v>935</v>
      </c>
      <c r="C481">
        <v>499</v>
      </c>
      <c r="D481">
        <v>322058</v>
      </c>
      <c r="E481">
        <v>281791</v>
      </c>
      <c r="F481">
        <v>18.5</v>
      </c>
      <c r="G481">
        <v>12.7</v>
      </c>
      <c r="H481">
        <v>1.5</v>
      </c>
      <c r="I481">
        <v>1.5</v>
      </c>
    </row>
    <row r="482" spans="1:9" ht="24" customHeight="1">
      <c r="A482" s="6" t="s">
        <v>2089</v>
      </c>
      <c r="B482">
        <v>1361</v>
      </c>
      <c r="C482">
        <v>695</v>
      </c>
      <c r="D482">
        <v>424331</v>
      </c>
      <c r="E482">
        <v>290777</v>
      </c>
      <c r="F482">
        <v>16.3</v>
      </c>
      <c r="G482">
        <v>3.8</v>
      </c>
      <c r="H482">
        <v>12.1</v>
      </c>
      <c r="I482">
        <v>12</v>
      </c>
    </row>
    <row r="483" spans="1:9" ht="24" customHeight="1">
      <c r="A483" s="6" t="s">
        <v>2090</v>
      </c>
      <c r="B483">
        <v>1258</v>
      </c>
      <c r="C483">
        <v>351</v>
      </c>
      <c r="D483">
        <v>480294</v>
      </c>
      <c r="E483">
        <v>322538</v>
      </c>
      <c r="F483">
        <v>13.9</v>
      </c>
      <c r="G483">
        <v>6.3</v>
      </c>
      <c r="H483">
        <v>16.8</v>
      </c>
      <c r="I483">
        <v>16.7</v>
      </c>
    </row>
    <row r="484" spans="1:9" ht="24" customHeight="1">
      <c r="A484" s="6" t="s">
        <v>2091</v>
      </c>
      <c r="B484">
        <v>1209</v>
      </c>
      <c r="C484">
        <v>306</v>
      </c>
      <c r="D484">
        <v>521900</v>
      </c>
      <c r="E484">
        <v>380611</v>
      </c>
      <c r="F484">
        <v>14.4</v>
      </c>
      <c r="G484">
        <v>3.6</v>
      </c>
      <c r="H484">
        <v>21.8</v>
      </c>
      <c r="I484">
        <v>21.3</v>
      </c>
    </row>
    <row r="485" spans="1:9" ht="24" customHeight="1">
      <c r="A485" s="6" t="s">
        <v>2092</v>
      </c>
      <c r="B485">
        <v>841</v>
      </c>
      <c r="C485">
        <v>114</v>
      </c>
      <c r="D485">
        <v>503500</v>
      </c>
      <c r="E485">
        <v>366840</v>
      </c>
      <c r="F485">
        <v>7.9</v>
      </c>
      <c r="G485">
        <v>10.9</v>
      </c>
      <c r="H485">
        <v>27.1</v>
      </c>
      <c r="I485">
        <v>27</v>
      </c>
    </row>
    <row r="486" spans="1:9" ht="24" customHeight="1">
      <c r="A486" s="6" t="s">
        <v>2093</v>
      </c>
      <c r="B486">
        <v>1116</v>
      </c>
      <c r="C486">
        <v>341</v>
      </c>
      <c r="D486">
        <v>349748</v>
      </c>
      <c r="E486">
        <v>291369</v>
      </c>
      <c r="F486">
        <v>17.100000000000001</v>
      </c>
      <c r="G486">
        <v>14.4</v>
      </c>
      <c r="H486">
        <v>3.5</v>
      </c>
      <c r="I486">
        <v>3.5</v>
      </c>
    </row>
    <row r="487" spans="1:9" ht="24" customHeight="1">
      <c r="A487" s="6" t="s">
        <v>2094</v>
      </c>
      <c r="B487">
        <v>1162</v>
      </c>
      <c r="C487">
        <v>244</v>
      </c>
      <c r="D487">
        <v>556363</v>
      </c>
      <c r="E487">
        <v>452356</v>
      </c>
      <c r="F487">
        <v>6.2</v>
      </c>
      <c r="G487">
        <v>5.8</v>
      </c>
      <c r="H487">
        <v>34.1</v>
      </c>
      <c r="I487">
        <v>33.9</v>
      </c>
    </row>
    <row r="488" spans="1:9" ht="24" customHeight="1">
      <c r="A488" s="6" t="s">
        <v>2095</v>
      </c>
      <c r="B488">
        <v>1505</v>
      </c>
      <c r="C488">
        <v>849</v>
      </c>
      <c r="D488">
        <v>366837</v>
      </c>
      <c r="E488">
        <v>286535</v>
      </c>
      <c r="F488">
        <v>18.3</v>
      </c>
      <c r="G488">
        <v>9.8000000000000007</v>
      </c>
      <c r="H488">
        <v>6.7</v>
      </c>
      <c r="I488">
        <v>6.3</v>
      </c>
    </row>
    <row r="489" spans="1:9" ht="24" customHeight="1">
      <c r="A489" s="6" t="s">
        <v>2096</v>
      </c>
      <c r="B489">
        <v>15264</v>
      </c>
      <c r="C489">
        <v>4493</v>
      </c>
      <c r="D489">
        <v>490883</v>
      </c>
      <c r="E489">
        <v>382454</v>
      </c>
      <c r="F489">
        <v>17.7</v>
      </c>
      <c r="G489">
        <v>12.8</v>
      </c>
      <c r="H489">
        <v>16.7</v>
      </c>
      <c r="I489">
        <v>14.4</v>
      </c>
    </row>
    <row r="490" spans="1:9" ht="24" customHeight="1">
      <c r="A490" s="6" t="s">
        <v>2097</v>
      </c>
      <c r="B490">
        <v>543</v>
      </c>
      <c r="C490">
        <v>210</v>
      </c>
      <c r="D490">
        <v>240861</v>
      </c>
      <c r="E490">
        <v>238117</v>
      </c>
      <c r="F490">
        <v>9.1999999999999993</v>
      </c>
      <c r="G490">
        <v>14.9</v>
      </c>
      <c r="H490">
        <v>0</v>
      </c>
      <c r="I490">
        <v>0</v>
      </c>
    </row>
    <row r="491" spans="1:9" ht="24" customHeight="1">
      <c r="A491" s="6" t="s">
        <v>2098</v>
      </c>
      <c r="B491">
        <v>1091</v>
      </c>
      <c r="C491">
        <v>359</v>
      </c>
      <c r="D491">
        <v>331817</v>
      </c>
      <c r="E491">
        <v>286788</v>
      </c>
      <c r="F491">
        <v>22.5</v>
      </c>
      <c r="G491">
        <v>14.7</v>
      </c>
      <c r="H491">
        <v>1.5</v>
      </c>
      <c r="I491">
        <v>1.5</v>
      </c>
    </row>
    <row r="492" spans="1:9" ht="24" customHeight="1">
      <c r="A492" s="6" t="s">
        <v>2099</v>
      </c>
      <c r="B492">
        <v>2306</v>
      </c>
      <c r="C492">
        <v>547</v>
      </c>
      <c r="D492">
        <v>499540</v>
      </c>
      <c r="E492">
        <v>382151</v>
      </c>
      <c r="F492">
        <v>20.9</v>
      </c>
      <c r="G492">
        <v>11.7</v>
      </c>
      <c r="H492">
        <v>12.1</v>
      </c>
      <c r="I492">
        <v>12.1</v>
      </c>
    </row>
    <row r="493" spans="1:9" ht="24" customHeight="1">
      <c r="A493" s="6" t="s">
        <v>2100</v>
      </c>
      <c r="B493">
        <v>2118</v>
      </c>
      <c r="C493">
        <v>744</v>
      </c>
      <c r="D493">
        <v>539132</v>
      </c>
      <c r="E493">
        <v>433875</v>
      </c>
      <c r="F493">
        <v>19.2</v>
      </c>
      <c r="G493">
        <v>13.2</v>
      </c>
      <c r="H493">
        <v>17.2</v>
      </c>
      <c r="I493">
        <v>17.100000000000001</v>
      </c>
    </row>
    <row r="494" spans="1:9" ht="24" customHeight="1">
      <c r="A494" s="6" t="s">
        <v>2101</v>
      </c>
      <c r="B494">
        <v>1441</v>
      </c>
      <c r="C494">
        <v>330</v>
      </c>
      <c r="D494">
        <v>542496</v>
      </c>
      <c r="E494">
        <v>427739</v>
      </c>
      <c r="F494">
        <v>20.2</v>
      </c>
      <c r="G494">
        <v>8.6999999999999993</v>
      </c>
      <c r="H494">
        <v>21.6</v>
      </c>
      <c r="I494">
        <v>21.8</v>
      </c>
    </row>
    <row r="495" spans="1:9" ht="24" customHeight="1">
      <c r="A495" s="6" t="s">
        <v>2102</v>
      </c>
      <c r="B495">
        <v>1659</v>
      </c>
      <c r="C495">
        <v>565</v>
      </c>
      <c r="D495">
        <v>589866</v>
      </c>
      <c r="E495">
        <v>394087</v>
      </c>
      <c r="F495">
        <v>14.6</v>
      </c>
      <c r="G495">
        <v>6.6</v>
      </c>
      <c r="H495">
        <v>27</v>
      </c>
      <c r="I495">
        <v>26.8</v>
      </c>
    </row>
    <row r="496" spans="1:9" ht="24" customHeight="1">
      <c r="A496" s="6" t="s">
        <v>2103</v>
      </c>
      <c r="B496">
        <v>1300</v>
      </c>
      <c r="C496">
        <v>762</v>
      </c>
      <c r="D496">
        <v>371871</v>
      </c>
      <c r="E496">
        <v>344900</v>
      </c>
      <c r="F496">
        <v>22.1</v>
      </c>
      <c r="G496">
        <v>17</v>
      </c>
      <c r="H496">
        <v>3.5</v>
      </c>
      <c r="I496">
        <v>3.4</v>
      </c>
    </row>
    <row r="497" spans="1:9" ht="24" customHeight="1">
      <c r="A497" s="6" t="s">
        <v>2104</v>
      </c>
      <c r="B497">
        <v>2724</v>
      </c>
      <c r="C497">
        <v>501</v>
      </c>
      <c r="D497">
        <v>590157</v>
      </c>
      <c r="E497">
        <v>492719</v>
      </c>
      <c r="F497">
        <v>6.5</v>
      </c>
      <c r="G497">
        <v>9.9</v>
      </c>
      <c r="H497">
        <v>34.5</v>
      </c>
      <c r="I497">
        <v>34.4</v>
      </c>
    </row>
    <row r="498" spans="1:9" ht="24" customHeight="1">
      <c r="A498" s="6" t="s">
        <v>2105</v>
      </c>
      <c r="B498">
        <v>2082</v>
      </c>
      <c r="C498">
        <v>523</v>
      </c>
      <c r="D498">
        <v>410590</v>
      </c>
      <c r="E498">
        <v>324940</v>
      </c>
      <c r="F498">
        <v>24.5</v>
      </c>
      <c r="G498">
        <v>16.600000000000001</v>
      </c>
      <c r="H498">
        <v>6.7</v>
      </c>
      <c r="I498">
        <v>6.2</v>
      </c>
    </row>
    <row r="499" spans="1:9" ht="24" customHeight="1">
      <c r="A499" s="6" t="s">
        <v>491</v>
      </c>
      <c r="B499">
        <v>72419</v>
      </c>
      <c r="C499">
        <v>69490</v>
      </c>
      <c r="D499">
        <v>391582</v>
      </c>
      <c r="E499">
        <v>243549</v>
      </c>
      <c r="F499">
        <v>9.8000000000000007</v>
      </c>
      <c r="G499">
        <v>5.9</v>
      </c>
      <c r="H499">
        <v>14.5</v>
      </c>
      <c r="I499">
        <v>13.7</v>
      </c>
    </row>
    <row r="500" spans="1:9" ht="24" customHeight="1">
      <c r="A500" s="6" t="s">
        <v>492</v>
      </c>
      <c r="B500">
        <v>7944</v>
      </c>
      <c r="C500">
        <v>5054</v>
      </c>
      <c r="D500">
        <v>557277</v>
      </c>
      <c r="E500">
        <v>314837</v>
      </c>
      <c r="F500">
        <v>8</v>
      </c>
      <c r="G500">
        <v>7.1</v>
      </c>
      <c r="H500">
        <v>17.3</v>
      </c>
      <c r="I500">
        <v>12.3</v>
      </c>
    </row>
    <row r="501" spans="1:9" ht="24" customHeight="1">
      <c r="A501" s="6" t="s">
        <v>493</v>
      </c>
      <c r="B501">
        <v>252</v>
      </c>
      <c r="C501">
        <v>527</v>
      </c>
      <c r="D501">
        <v>293328</v>
      </c>
      <c r="E501">
        <v>195448</v>
      </c>
      <c r="F501">
        <v>4.4000000000000004</v>
      </c>
      <c r="G501">
        <v>3.2</v>
      </c>
      <c r="H501">
        <v>0</v>
      </c>
      <c r="I501">
        <v>0</v>
      </c>
    </row>
    <row r="502" spans="1:9" ht="24" customHeight="1">
      <c r="A502" s="6" t="s">
        <v>2106</v>
      </c>
      <c r="B502">
        <v>457</v>
      </c>
      <c r="C502">
        <v>674</v>
      </c>
      <c r="D502">
        <v>375647</v>
      </c>
      <c r="E502">
        <v>293719</v>
      </c>
      <c r="F502">
        <v>13.1</v>
      </c>
      <c r="G502">
        <v>9.1</v>
      </c>
      <c r="H502">
        <v>1.3</v>
      </c>
      <c r="I502">
        <v>1.5</v>
      </c>
    </row>
    <row r="503" spans="1:9" ht="24" customHeight="1">
      <c r="A503" s="6" t="s">
        <v>2107</v>
      </c>
      <c r="B503">
        <v>805</v>
      </c>
      <c r="C503">
        <v>418</v>
      </c>
      <c r="D503">
        <v>536881</v>
      </c>
      <c r="E503">
        <v>300506</v>
      </c>
      <c r="F503">
        <v>10.3</v>
      </c>
      <c r="G503">
        <v>2.7</v>
      </c>
      <c r="H503">
        <v>12.1</v>
      </c>
      <c r="I503">
        <v>12.3</v>
      </c>
    </row>
    <row r="504" spans="1:9" ht="24" customHeight="1">
      <c r="A504" s="6" t="s">
        <v>2108</v>
      </c>
      <c r="B504">
        <v>1256</v>
      </c>
      <c r="C504">
        <v>505</v>
      </c>
      <c r="D504">
        <v>551053</v>
      </c>
      <c r="E504">
        <v>326122</v>
      </c>
      <c r="F504">
        <v>7</v>
      </c>
      <c r="G504">
        <v>6.2</v>
      </c>
      <c r="H504">
        <v>16.5</v>
      </c>
      <c r="I504">
        <v>16.899999999999999</v>
      </c>
    </row>
    <row r="505" spans="1:9" ht="24" customHeight="1">
      <c r="A505" s="6" t="s">
        <v>2109</v>
      </c>
      <c r="B505">
        <v>644</v>
      </c>
      <c r="C505">
        <v>236</v>
      </c>
      <c r="D505">
        <v>700656</v>
      </c>
      <c r="E505">
        <v>350087</v>
      </c>
      <c r="F505">
        <v>9.6999999999999993</v>
      </c>
      <c r="G505">
        <v>3.4</v>
      </c>
      <c r="H505">
        <v>22.3</v>
      </c>
      <c r="I505">
        <v>22.2</v>
      </c>
    </row>
    <row r="506" spans="1:9" ht="24" customHeight="1">
      <c r="A506" s="6" t="s">
        <v>2110</v>
      </c>
      <c r="B506">
        <v>921</v>
      </c>
      <c r="C506">
        <v>352</v>
      </c>
      <c r="D506">
        <v>632517</v>
      </c>
      <c r="E506">
        <v>395654</v>
      </c>
      <c r="F506">
        <v>7.2</v>
      </c>
      <c r="G506">
        <v>6.5</v>
      </c>
      <c r="H506">
        <v>26.6</v>
      </c>
      <c r="I506">
        <v>26.9</v>
      </c>
    </row>
    <row r="507" spans="1:9" ht="24" customHeight="1">
      <c r="A507" s="6" t="s">
        <v>2111</v>
      </c>
      <c r="B507">
        <v>728</v>
      </c>
      <c r="C507">
        <v>605</v>
      </c>
      <c r="D507">
        <v>389405</v>
      </c>
      <c r="E507">
        <v>269850</v>
      </c>
      <c r="F507">
        <v>8.6999999999999993</v>
      </c>
      <c r="G507">
        <v>7.8</v>
      </c>
      <c r="H507">
        <v>3.5</v>
      </c>
      <c r="I507">
        <v>3.6</v>
      </c>
    </row>
    <row r="508" spans="1:9" ht="24" customHeight="1">
      <c r="A508" s="6" t="s">
        <v>494</v>
      </c>
      <c r="B508">
        <v>1725</v>
      </c>
      <c r="C508">
        <v>740</v>
      </c>
      <c r="D508">
        <v>749351</v>
      </c>
      <c r="E508">
        <v>431095</v>
      </c>
      <c r="F508">
        <v>4.5999999999999996</v>
      </c>
      <c r="G508">
        <v>10.199999999999999</v>
      </c>
      <c r="H508">
        <v>33.299999999999997</v>
      </c>
      <c r="I508">
        <v>33.700000000000003</v>
      </c>
    </row>
    <row r="509" spans="1:9" ht="24" customHeight="1">
      <c r="A509" s="6" t="s">
        <v>2112</v>
      </c>
      <c r="B509">
        <v>1164</v>
      </c>
      <c r="C509">
        <v>1130</v>
      </c>
      <c r="D509">
        <v>386814</v>
      </c>
      <c r="E509">
        <v>291890</v>
      </c>
      <c r="F509">
        <v>10.4</v>
      </c>
      <c r="G509">
        <v>7.4</v>
      </c>
      <c r="H509">
        <v>6.6</v>
      </c>
      <c r="I509">
        <v>6.6</v>
      </c>
    </row>
    <row r="510" spans="1:9" ht="24" customHeight="1">
      <c r="A510" s="6" t="s">
        <v>2113</v>
      </c>
      <c r="B510">
        <v>42958</v>
      </c>
      <c r="C510">
        <v>42849</v>
      </c>
      <c r="D510">
        <v>351003</v>
      </c>
      <c r="E510">
        <v>227493</v>
      </c>
      <c r="F510">
        <v>10.199999999999999</v>
      </c>
      <c r="G510">
        <v>5.8</v>
      </c>
      <c r="H510">
        <v>13</v>
      </c>
      <c r="I510">
        <v>12.8</v>
      </c>
    </row>
    <row r="511" spans="1:9" ht="24" customHeight="1">
      <c r="A511" s="6" t="s">
        <v>2114</v>
      </c>
      <c r="B511">
        <v>3220</v>
      </c>
      <c r="C511">
        <v>3164</v>
      </c>
      <c r="D511">
        <v>230735</v>
      </c>
      <c r="E511">
        <v>180863</v>
      </c>
      <c r="F511">
        <v>6.2</v>
      </c>
      <c r="G511">
        <v>4.3</v>
      </c>
      <c r="H511">
        <v>0</v>
      </c>
      <c r="I511">
        <v>0</v>
      </c>
    </row>
    <row r="512" spans="1:9" ht="24" customHeight="1">
      <c r="A512" s="6" t="s">
        <v>2115</v>
      </c>
      <c r="B512">
        <v>4051</v>
      </c>
      <c r="C512">
        <v>4223</v>
      </c>
      <c r="D512">
        <v>274371</v>
      </c>
      <c r="E512">
        <v>207386</v>
      </c>
      <c r="F512">
        <v>7.5</v>
      </c>
      <c r="G512">
        <v>5.3</v>
      </c>
      <c r="H512">
        <v>1.6</v>
      </c>
      <c r="I512">
        <v>1.4</v>
      </c>
    </row>
    <row r="513" spans="1:9" ht="24" customHeight="1">
      <c r="A513" s="6" t="s">
        <v>2116</v>
      </c>
      <c r="B513">
        <v>7035</v>
      </c>
      <c r="C513">
        <v>7431</v>
      </c>
      <c r="D513">
        <v>393192</v>
      </c>
      <c r="E513">
        <v>225339</v>
      </c>
      <c r="F513">
        <v>11</v>
      </c>
      <c r="G513">
        <v>5.9</v>
      </c>
      <c r="H513">
        <v>11.9</v>
      </c>
      <c r="I513">
        <v>11.8</v>
      </c>
    </row>
    <row r="514" spans="1:9" ht="24" customHeight="1">
      <c r="A514" s="6" t="s">
        <v>2117</v>
      </c>
      <c r="B514">
        <v>5079</v>
      </c>
      <c r="C514">
        <v>5961</v>
      </c>
      <c r="D514">
        <v>376553</v>
      </c>
      <c r="E514">
        <v>236213</v>
      </c>
      <c r="F514">
        <v>10.7</v>
      </c>
      <c r="G514">
        <v>4.5999999999999996</v>
      </c>
      <c r="H514">
        <v>16.8</v>
      </c>
      <c r="I514">
        <v>16.7</v>
      </c>
    </row>
    <row r="515" spans="1:9" ht="24" customHeight="1">
      <c r="A515" s="6" t="s">
        <v>2118</v>
      </c>
      <c r="B515">
        <v>2985</v>
      </c>
      <c r="C515">
        <v>3618</v>
      </c>
      <c r="D515">
        <v>422209</v>
      </c>
      <c r="E515">
        <v>241168</v>
      </c>
      <c r="F515">
        <v>12.3</v>
      </c>
      <c r="G515">
        <v>6.5</v>
      </c>
      <c r="H515">
        <v>21.9</v>
      </c>
      <c r="I515">
        <v>21.7</v>
      </c>
    </row>
    <row r="516" spans="1:9" ht="24" customHeight="1">
      <c r="A516" s="6" t="s">
        <v>2119</v>
      </c>
      <c r="B516">
        <v>2488</v>
      </c>
      <c r="C516">
        <v>3682</v>
      </c>
      <c r="D516">
        <v>407451</v>
      </c>
      <c r="E516">
        <v>250226</v>
      </c>
      <c r="F516">
        <v>9.3000000000000007</v>
      </c>
      <c r="G516">
        <v>3</v>
      </c>
      <c r="H516">
        <v>26.9</v>
      </c>
      <c r="I516">
        <v>26.7</v>
      </c>
    </row>
    <row r="517" spans="1:9" ht="24" customHeight="1">
      <c r="A517" s="6" t="s">
        <v>2120</v>
      </c>
      <c r="B517">
        <v>3973</v>
      </c>
      <c r="C517">
        <v>3774</v>
      </c>
      <c r="D517">
        <v>286213</v>
      </c>
      <c r="E517">
        <v>215938</v>
      </c>
      <c r="F517">
        <v>10.5</v>
      </c>
      <c r="G517">
        <v>6.4</v>
      </c>
      <c r="H517">
        <v>3.4</v>
      </c>
      <c r="I517">
        <v>3.4</v>
      </c>
    </row>
    <row r="518" spans="1:9" ht="24" customHeight="1">
      <c r="A518" s="6" t="s">
        <v>2121</v>
      </c>
      <c r="B518">
        <v>4554</v>
      </c>
      <c r="C518">
        <v>3693</v>
      </c>
      <c r="D518">
        <v>414808</v>
      </c>
      <c r="E518">
        <v>226241</v>
      </c>
      <c r="F518">
        <v>5.0999999999999996</v>
      </c>
      <c r="G518">
        <v>6</v>
      </c>
      <c r="H518">
        <v>36.799999999999997</v>
      </c>
      <c r="I518">
        <v>35</v>
      </c>
    </row>
    <row r="519" spans="1:9" ht="24" customHeight="1">
      <c r="A519" s="6" t="s">
        <v>2122</v>
      </c>
      <c r="B519">
        <v>9825</v>
      </c>
      <c r="C519">
        <v>10849</v>
      </c>
      <c r="D519">
        <v>335422</v>
      </c>
      <c r="E519">
        <v>214212</v>
      </c>
      <c r="F519">
        <v>13.5</v>
      </c>
      <c r="G519">
        <v>5.5</v>
      </c>
      <c r="H519">
        <v>7</v>
      </c>
      <c r="I519">
        <v>7</v>
      </c>
    </row>
    <row r="520" spans="1:9" ht="24" customHeight="1">
      <c r="A520" s="6" t="s">
        <v>2123</v>
      </c>
      <c r="B520">
        <v>16888</v>
      </c>
      <c r="C520">
        <v>15954</v>
      </c>
      <c r="D520">
        <v>403877</v>
      </c>
      <c r="E520">
        <v>260134</v>
      </c>
      <c r="F520">
        <v>9.6999999999999993</v>
      </c>
      <c r="G520">
        <v>7</v>
      </c>
      <c r="H520">
        <v>16.8</v>
      </c>
      <c r="I520">
        <v>16.3</v>
      </c>
    </row>
    <row r="521" spans="1:9" ht="24" customHeight="1">
      <c r="A521" s="6" t="s">
        <v>2124</v>
      </c>
      <c r="B521">
        <v>512</v>
      </c>
      <c r="C521">
        <v>649</v>
      </c>
      <c r="D521">
        <v>232595</v>
      </c>
      <c r="E521">
        <v>184228</v>
      </c>
      <c r="F521">
        <v>9.6</v>
      </c>
      <c r="G521">
        <v>5.3</v>
      </c>
      <c r="H521">
        <v>0</v>
      </c>
      <c r="I521">
        <v>0</v>
      </c>
    </row>
    <row r="522" spans="1:9" ht="24" customHeight="1">
      <c r="A522" s="6" t="s">
        <v>2125</v>
      </c>
      <c r="B522">
        <v>1467</v>
      </c>
      <c r="C522">
        <v>1316</v>
      </c>
      <c r="D522">
        <v>334537</v>
      </c>
      <c r="E522">
        <v>196226</v>
      </c>
      <c r="F522">
        <v>10.6</v>
      </c>
      <c r="G522">
        <v>5.8</v>
      </c>
      <c r="H522">
        <v>1.5</v>
      </c>
      <c r="I522">
        <v>1.5</v>
      </c>
    </row>
    <row r="523" spans="1:9" ht="24" customHeight="1">
      <c r="A523" s="6" t="s">
        <v>2126</v>
      </c>
      <c r="B523">
        <v>1757</v>
      </c>
      <c r="C523">
        <v>2192</v>
      </c>
      <c r="D523">
        <v>373254</v>
      </c>
      <c r="E523">
        <v>248226</v>
      </c>
      <c r="F523">
        <v>13</v>
      </c>
      <c r="G523">
        <v>8.1</v>
      </c>
      <c r="H523">
        <v>12.1</v>
      </c>
      <c r="I523">
        <v>12.3</v>
      </c>
    </row>
    <row r="524" spans="1:9" ht="24" customHeight="1">
      <c r="A524" s="6" t="s">
        <v>2127</v>
      </c>
      <c r="B524">
        <v>2516</v>
      </c>
      <c r="C524">
        <v>2459</v>
      </c>
      <c r="D524">
        <v>425195</v>
      </c>
      <c r="E524">
        <v>269801</v>
      </c>
      <c r="F524">
        <v>8.9</v>
      </c>
      <c r="G524">
        <v>4.8</v>
      </c>
      <c r="H524">
        <v>16.8</v>
      </c>
      <c r="I524">
        <v>16.899999999999999</v>
      </c>
    </row>
    <row r="525" spans="1:9" ht="24" customHeight="1">
      <c r="A525" s="6" t="s">
        <v>2128</v>
      </c>
      <c r="B525">
        <v>1821</v>
      </c>
      <c r="C525">
        <v>2056</v>
      </c>
      <c r="D525">
        <v>442368</v>
      </c>
      <c r="E525">
        <v>282294</v>
      </c>
      <c r="F525">
        <v>9.8000000000000007</v>
      </c>
      <c r="G525">
        <v>11.1</v>
      </c>
      <c r="H525">
        <v>21.9</v>
      </c>
      <c r="I525">
        <v>22.1</v>
      </c>
    </row>
    <row r="526" spans="1:9" ht="24" customHeight="1">
      <c r="A526" s="6" t="s">
        <v>2129</v>
      </c>
      <c r="B526">
        <v>1910</v>
      </c>
      <c r="C526">
        <v>2025</v>
      </c>
      <c r="D526">
        <v>461145</v>
      </c>
      <c r="E526">
        <v>276319</v>
      </c>
      <c r="F526">
        <v>8.6999999999999993</v>
      </c>
      <c r="G526">
        <v>3.9</v>
      </c>
      <c r="H526">
        <v>26.8</v>
      </c>
      <c r="I526">
        <v>26.9</v>
      </c>
    </row>
    <row r="527" spans="1:9" ht="24" customHeight="1">
      <c r="A527" s="6" t="s">
        <v>2130</v>
      </c>
      <c r="B527">
        <v>1267</v>
      </c>
      <c r="C527">
        <v>1134</v>
      </c>
      <c r="D527">
        <v>328875</v>
      </c>
      <c r="E527">
        <v>219028</v>
      </c>
      <c r="F527">
        <v>12.2</v>
      </c>
      <c r="G527">
        <v>6.7</v>
      </c>
      <c r="H527">
        <v>3.4</v>
      </c>
      <c r="I527">
        <v>3.5</v>
      </c>
    </row>
    <row r="528" spans="1:9" ht="24" customHeight="1">
      <c r="A528" s="6" t="s">
        <v>2131</v>
      </c>
      <c r="B528">
        <v>3142</v>
      </c>
      <c r="C528">
        <v>2061</v>
      </c>
      <c r="D528">
        <v>473194</v>
      </c>
      <c r="E528">
        <v>302820</v>
      </c>
      <c r="F528">
        <v>7.6</v>
      </c>
      <c r="G528">
        <v>7</v>
      </c>
      <c r="H528">
        <v>33.5</v>
      </c>
      <c r="I528">
        <v>34.200000000000003</v>
      </c>
    </row>
    <row r="529" spans="1:9" ht="24" customHeight="1">
      <c r="A529" s="6" t="s">
        <v>2132</v>
      </c>
      <c r="B529">
        <v>2497</v>
      </c>
      <c r="C529">
        <v>2568</v>
      </c>
      <c r="D529">
        <v>358750</v>
      </c>
      <c r="E529">
        <v>241607</v>
      </c>
      <c r="F529">
        <v>9.9</v>
      </c>
      <c r="G529">
        <v>6.8</v>
      </c>
      <c r="H529">
        <v>6.9</v>
      </c>
      <c r="I529">
        <v>6.9</v>
      </c>
    </row>
    <row r="530" spans="1:9" ht="24" customHeight="1">
      <c r="A530" s="6" t="s">
        <v>2133</v>
      </c>
      <c r="B530">
        <v>4629</v>
      </c>
      <c r="C530">
        <v>5632</v>
      </c>
      <c r="D530">
        <v>438963</v>
      </c>
      <c r="E530">
        <v>254747</v>
      </c>
      <c r="F530">
        <v>8.6</v>
      </c>
      <c r="G530">
        <v>2.5</v>
      </c>
      <c r="H530">
        <v>16</v>
      </c>
      <c r="I530">
        <v>15.4</v>
      </c>
    </row>
    <row r="531" spans="1:9" ht="24" customHeight="1">
      <c r="A531" s="6" t="s">
        <v>2134</v>
      </c>
      <c r="B531">
        <v>244</v>
      </c>
      <c r="C531">
        <v>316</v>
      </c>
      <c r="D531">
        <v>226064</v>
      </c>
      <c r="E531">
        <v>188480</v>
      </c>
      <c r="F531">
        <v>8.1999999999999993</v>
      </c>
      <c r="G531">
        <v>0.6</v>
      </c>
      <c r="H531">
        <v>0</v>
      </c>
      <c r="I531">
        <v>0</v>
      </c>
    </row>
    <row r="532" spans="1:9" ht="24" customHeight="1">
      <c r="A532" s="6" t="s">
        <v>2135</v>
      </c>
      <c r="B532">
        <v>494</v>
      </c>
      <c r="C532">
        <v>517</v>
      </c>
      <c r="D532">
        <v>328158</v>
      </c>
      <c r="E532">
        <v>212250</v>
      </c>
      <c r="F532">
        <v>12.4</v>
      </c>
      <c r="G532">
        <v>4.2</v>
      </c>
      <c r="H532">
        <v>1.4</v>
      </c>
      <c r="I532">
        <v>1.5</v>
      </c>
    </row>
    <row r="533" spans="1:9" ht="24" customHeight="1">
      <c r="A533" s="6" t="s">
        <v>2136</v>
      </c>
      <c r="B533">
        <v>494</v>
      </c>
      <c r="C533">
        <v>632</v>
      </c>
      <c r="D533">
        <v>413704</v>
      </c>
      <c r="E533">
        <v>253077</v>
      </c>
      <c r="F533">
        <v>8.3000000000000007</v>
      </c>
      <c r="G533">
        <v>2.1</v>
      </c>
      <c r="H533">
        <v>11.9</v>
      </c>
      <c r="I533">
        <v>11.9</v>
      </c>
    </row>
    <row r="534" spans="1:9" ht="24" customHeight="1">
      <c r="A534" s="6" t="s">
        <v>2137</v>
      </c>
      <c r="B534">
        <v>648</v>
      </c>
      <c r="C534">
        <v>662</v>
      </c>
      <c r="D534">
        <v>416934</v>
      </c>
      <c r="E534">
        <v>269573</v>
      </c>
      <c r="F534">
        <v>8.8000000000000007</v>
      </c>
      <c r="G534">
        <v>2.5</v>
      </c>
      <c r="H534">
        <v>16.600000000000001</v>
      </c>
      <c r="I534">
        <v>16.600000000000001</v>
      </c>
    </row>
    <row r="535" spans="1:9" ht="24" customHeight="1">
      <c r="A535" s="6" t="s">
        <v>2138</v>
      </c>
      <c r="B535">
        <v>332</v>
      </c>
      <c r="C535">
        <v>577</v>
      </c>
      <c r="D535">
        <v>546311</v>
      </c>
      <c r="E535">
        <v>311973</v>
      </c>
      <c r="F535">
        <v>6.1</v>
      </c>
      <c r="G535">
        <v>7.1</v>
      </c>
      <c r="H535">
        <v>22</v>
      </c>
      <c r="I535">
        <v>22.2</v>
      </c>
    </row>
    <row r="536" spans="1:9" ht="24" customHeight="1">
      <c r="A536" s="6" t="s">
        <v>2139</v>
      </c>
      <c r="B536">
        <v>326</v>
      </c>
      <c r="C536">
        <v>506</v>
      </c>
      <c r="D536">
        <v>543714</v>
      </c>
      <c r="E536">
        <v>275925</v>
      </c>
      <c r="F536">
        <v>4.8</v>
      </c>
      <c r="G536">
        <v>3</v>
      </c>
      <c r="H536">
        <v>27.4</v>
      </c>
      <c r="I536">
        <v>26.9</v>
      </c>
    </row>
    <row r="537" spans="1:9" ht="24" customHeight="1">
      <c r="A537" s="6" t="s">
        <v>2140</v>
      </c>
      <c r="B537">
        <v>482</v>
      </c>
      <c r="C537">
        <v>658</v>
      </c>
      <c r="D537">
        <v>336823</v>
      </c>
      <c r="E537">
        <v>226135</v>
      </c>
      <c r="F537">
        <v>10.3</v>
      </c>
      <c r="G537">
        <v>1.2</v>
      </c>
      <c r="H537">
        <v>3.6</v>
      </c>
      <c r="I537">
        <v>3.6</v>
      </c>
    </row>
    <row r="538" spans="1:9" ht="24" customHeight="1">
      <c r="A538" s="6" t="s">
        <v>2141</v>
      </c>
      <c r="B538">
        <v>1014</v>
      </c>
      <c r="C538">
        <v>931</v>
      </c>
      <c r="D538">
        <v>568043</v>
      </c>
      <c r="E538">
        <v>280511</v>
      </c>
      <c r="F538">
        <v>5.3</v>
      </c>
      <c r="G538">
        <v>1.8</v>
      </c>
      <c r="H538">
        <v>34.5</v>
      </c>
      <c r="I538">
        <v>35.1</v>
      </c>
    </row>
    <row r="539" spans="1:9" ht="24" customHeight="1">
      <c r="A539" s="6" t="s">
        <v>2142</v>
      </c>
      <c r="B539">
        <v>601</v>
      </c>
      <c r="C539">
        <v>842</v>
      </c>
      <c r="D539">
        <v>410954</v>
      </c>
      <c r="E539">
        <v>235233</v>
      </c>
      <c r="F539">
        <v>13.5</v>
      </c>
      <c r="G539">
        <v>1.1000000000000001</v>
      </c>
      <c r="H539">
        <v>6.3</v>
      </c>
      <c r="I539">
        <v>7.1</v>
      </c>
    </row>
    <row r="540" spans="1:9" ht="24" customHeight="1">
      <c r="A540" s="6" t="s">
        <v>495</v>
      </c>
      <c r="B540">
        <v>48379</v>
      </c>
      <c r="C540">
        <v>10188</v>
      </c>
      <c r="D540">
        <v>390565</v>
      </c>
      <c r="E540">
        <v>286978</v>
      </c>
      <c r="F540">
        <v>13.4</v>
      </c>
      <c r="G540">
        <v>6.1</v>
      </c>
      <c r="H540">
        <v>12.9</v>
      </c>
      <c r="I540">
        <v>11.1</v>
      </c>
    </row>
    <row r="541" spans="1:9" ht="24" customHeight="1">
      <c r="A541" s="6" t="s">
        <v>496</v>
      </c>
      <c r="B541">
        <v>4311</v>
      </c>
      <c r="C541">
        <v>605</v>
      </c>
      <c r="D541">
        <v>489762</v>
      </c>
      <c r="E541">
        <v>365023</v>
      </c>
      <c r="F541">
        <v>21.4</v>
      </c>
      <c r="G541">
        <v>9.9</v>
      </c>
      <c r="H541">
        <v>15.4</v>
      </c>
      <c r="I541">
        <v>11.7</v>
      </c>
    </row>
    <row r="542" spans="1:9" ht="24" customHeight="1">
      <c r="A542" s="6" t="s">
        <v>497</v>
      </c>
      <c r="B542">
        <v>269</v>
      </c>
      <c r="C542">
        <v>42</v>
      </c>
      <c r="D542">
        <v>307997</v>
      </c>
      <c r="E542">
        <v>251703</v>
      </c>
      <c r="F542">
        <v>31.9</v>
      </c>
      <c r="G542">
        <v>7.8</v>
      </c>
      <c r="H542">
        <v>0</v>
      </c>
      <c r="I542">
        <v>0</v>
      </c>
    </row>
    <row r="543" spans="1:9" ht="24" customHeight="1">
      <c r="A543" s="6" t="s">
        <v>2143</v>
      </c>
      <c r="B543">
        <v>515</v>
      </c>
      <c r="C543">
        <v>117</v>
      </c>
      <c r="D543">
        <v>358848</v>
      </c>
      <c r="E543">
        <v>342349</v>
      </c>
      <c r="F543">
        <v>21.5</v>
      </c>
      <c r="G543">
        <v>14.5</v>
      </c>
      <c r="H543">
        <v>1.5</v>
      </c>
      <c r="I543">
        <v>1.7</v>
      </c>
    </row>
    <row r="544" spans="1:9" ht="24" customHeight="1">
      <c r="A544" s="6" t="s">
        <v>2144</v>
      </c>
      <c r="B544">
        <v>528</v>
      </c>
      <c r="C544">
        <v>75</v>
      </c>
      <c r="D544">
        <v>460044</v>
      </c>
      <c r="E544">
        <v>339362</v>
      </c>
      <c r="F544">
        <v>26.1</v>
      </c>
      <c r="G544">
        <v>7.7</v>
      </c>
      <c r="H544">
        <v>11.7</v>
      </c>
      <c r="I544">
        <v>11.8</v>
      </c>
    </row>
    <row r="545" spans="1:9" ht="24" customHeight="1">
      <c r="A545" s="6" t="s">
        <v>2145</v>
      </c>
      <c r="B545">
        <v>572</v>
      </c>
      <c r="C545">
        <v>38</v>
      </c>
      <c r="D545">
        <v>518387</v>
      </c>
      <c r="E545">
        <v>398002</v>
      </c>
      <c r="F545">
        <v>24.1</v>
      </c>
      <c r="G545">
        <v>20.399999999999999</v>
      </c>
      <c r="H545">
        <v>16.8</v>
      </c>
      <c r="I545">
        <v>17.3</v>
      </c>
    </row>
    <row r="546" spans="1:9" ht="24" customHeight="1">
      <c r="A546" s="6" t="s">
        <v>2146</v>
      </c>
      <c r="B546">
        <v>441</v>
      </c>
      <c r="C546">
        <v>49</v>
      </c>
      <c r="D546">
        <v>553464</v>
      </c>
      <c r="E546">
        <v>458938</v>
      </c>
      <c r="F546">
        <v>19.100000000000001</v>
      </c>
      <c r="G546">
        <v>5.0999999999999996</v>
      </c>
      <c r="H546">
        <v>21.6</v>
      </c>
      <c r="I546">
        <v>21.5</v>
      </c>
    </row>
    <row r="547" spans="1:9" ht="24" customHeight="1">
      <c r="A547" s="6" t="s">
        <v>2147</v>
      </c>
      <c r="B547">
        <v>307</v>
      </c>
      <c r="C547">
        <v>40</v>
      </c>
      <c r="D547">
        <v>614954</v>
      </c>
      <c r="E547">
        <v>437357</v>
      </c>
      <c r="F547">
        <v>13.1</v>
      </c>
      <c r="G547">
        <v>8.4</v>
      </c>
      <c r="H547">
        <v>27.1</v>
      </c>
      <c r="I547">
        <v>26.9</v>
      </c>
    </row>
    <row r="548" spans="1:9" ht="24" customHeight="1">
      <c r="A548" s="6" t="s">
        <v>2148</v>
      </c>
      <c r="B548">
        <v>235</v>
      </c>
      <c r="C548">
        <v>81</v>
      </c>
      <c r="D548">
        <v>395871</v>
      </c>
      <c r="E548">
        <v>314180</v>
      </c>
      <c r="F548">
        <v>25.9</v>
      </c>
      <c r="G548">
        <v>10.3</v>
      </c>
      <c r="H548">
        <v>3.5</v>
      </c>
      <c r="I548">
        <v>3.6</v>
      </c>
    </row>
    <row r="549" spans="1:9" ht="24" customHeight="1">
      <c r="A549" s="6" t="s">
        <v>498</v>
      </c>
      <c r="B549">
        <v>749</v>
      </c>
      <c r="C549">
        <v>57</v>
      </c>
      <c r="D549">
        <v>660144</v>
      </c>
      <c r="E549">
        <v>519164</v>
      </c>
      <c r="F549">
        <v>15.1</v>
      </c>
      <c r="G549">
        <v>6.7</v>
      </c>
      <c r="H549">
        <v>35.200000000000003</v>
      </c>
      <c r="I549">
        <v>35.5</v>
      </c>
    </row>
    <row r="550" spans="1:9" ht="24" customHeight="1">
      <c r="A550" s="6" t="s">
        <v>2149</v>
      </c>
      <c r="B550">
        <v>733</v>
      </c>
      <c r="C550">
        <v>149</v>
      </c>
      <c r="D550">
        <v>394515</v>
      </c>
      <c r="E550">
        <v>273500</v>
      </c>
      <c r="F550">
        <v>21.3</v>
      </c>
      <c r="G550">
        <v>5.9</v>
      </c>
      <c r="H550">
        <v>7.4</v>
      </c>
      <c r="I550">
        <v>6.9</v>
      </c>
    </row>
    <row r="551" spans="1:9" ht="24" customHeight="1">
      <c r="A551" s="6" t="s">
        <v>2150</v>
      </c>
      <c r="B551">
        <v>27159</v>
      </c>
      <c r="C551">
        <v>6505</v>
      </c>
      <c r="D551">
        <v>361270</v>
      </c>
      <c r="E551">
        <v>267015</v>
      </c>
      <c r="F551">
        <v>9.9</v>
      </c>
      <c r="G551">
        <v>4.5</v>
      </c>
      <c r="H551">
        <v>12.3</v>
      </c>
      <c r="I551">
        <v>11.3</v>
      </c>
    </row>
    <row r="552" spans="1:9" ht="24" customHeight="1">
      <c r="A552" s="6" t="s">
        <v>2151</v>
      </c>
      <c r="B552">
        <v>1773</v>
      </c>
      <c r="C552">
        <v>715</v>
      </c>
      <c r="D552">
        <v>231605</v>
      </c>
      <c r="E552">
        <v>209428</v>
      </c>
      <c r="F552">
        <v>9.6</v>
      </c>
      <c r="G552">
        <v>1.5</v>
      </c>
      <c r="H552">
        <v>0</v>
      </c>
      <c r="I552">
        <v>0</v>
      </c>
    </row>
    <row r="553" spans="1:9" ht="24" customHeight="1">
      <c r="A553" s="6" t="s">
        <v>2152</v>
      </c>
      <c r="B553">
        <v>3159</v>
      </c>
      <c r="C553">
        <v>567</v>
      </c>
      <c r="D553">
        <v>295687</v>
      </c>
      <c r="E553">
        <v>241734</v>
      </c>
      <c r="F553">
        <v>12.1</v>
      </c>
      <c r="G553">
        <v>7.5</v>
      </c>
      <c r="H553">
        <v>1.5</v>
      </c>
      <c r="I553">
        <v>1.3</v>
      </c>
    </row>
    <row r="554" spans="1:9" ht="24" customHeight="1">
      <c r="A554" s="6" t="s">
        <v>2153</v>
      </c>
      <c r="B554">
        <v>4363</v>
      </c>
      <c r="C554">
        <v>1285</v>
      </c>
      <c r="D554">
        <v>377260</v>
      </c>
      <c r="E554">
        <v>281042</v>
      </c>
      <c r="F554">
        <v>9.9</v>
      </c>
      <c r="G554">
        <v>1.9</v>
      </c>
      <c r="H554">
        <v>11.8</v>
      </c>
      <c r="I554">
        <v>11.4</v>
      </c>
    </row>
    <row r="555" spans="1:9" ht="24" customHeight="1">
      <c r="A555" s="6" t="s">
        <v>2154</v>
      </c>
      <c r="B555">
        <v>3519</v>
      </c>
      <c r="C555">
        <v>972</v>
      </c>
      <c r="D555">
        <v>380106</v>
      </c>
      <c r="E555">
        <v>268186</v>
      </c>
      <c r="F555">
        <v>10.6</v>
      </c>
      <c r="G555">
        <v>4.7</v>
      </c>
      <c r="H555">
        <v>16.8</v>
      </c>
      <c r="I555">
        <v>16.5</v>
      </c>
    </row>
    <row r="556" spans="1:9" ht="24" customHeight="1">
      <c r="A556" s="6" t="s">
        <v>2155</v>
      </c>
      <c r="B556">
        <v>2497</v>
      </c>
      <c r="C556">
        <v>409</v>
      </c>
      <c r="D556">
        <v>445732</v>
      </c>
      <c r="E556">
        <v>259770</v>
      </c>
      <c r="F556">
        <v>7.4</v>
      </c>
      <c r="G556">
        <v>2.5</v>
      </c>
      <c r="H556">
        <v>22</v>
      </c>
      <c r="I556">
        <v>21.4</v>
      </c>
    </row>
    <row r="557" spans="1:9" ht="24" customHeight="1">
      <c r="A557" s="6" t="s">
        <v>2156</v>
      </c>
      <c r="B557">
        <v>1819</v>
      </c>
      <c r="C557">
        <v>296</v>
      </c>
      <c r="D557">
        <v>453046</v>
      </c>
      <c r="E557">
        <v>283907</v>
      </c>
      <c r="F557">
        <v>7.3</v>
      </c>
      <c r="G557">
        <v>6.1</v>
      </c>
      <c r="H557">
        <v>26.6</v>
      </c>
      <c r="I557">
        <v>26.5</v>
      </c>
    </row>
    <row r="558" spans="1:9" ht="24" customHeight="1">
      <c r="A558" s="6" t="s">
        <v>2157</v>
      </c>
      <c r="B558">
        <v>2664</v>
      </c>
      <c r="C558">
        <v>847</v>
      </c>
      <c r="D558">
        <v>315845</v>
      </c>
      <c r="E558">
        <v>265086</v>
      </c>
      <c r="F558">
        <v>12.3</v>
      </c>
      <c r="G558">
        <v>4.8</v>
      </c>
      <c r="H558">
        <v>3.5</v>
      </c>
      <c r="I558">
        <v>3.4</v>
      </c>
    </row>
    <row r="559" spans="1:9" ht="24" customHeight="1">
      <c r="A559" s="6" t="s">
        <v>2158</v>
      </c>
      <c r="B559">
        <v>1939</v>
      </c>
      <c r="C559">
        <v>672</v>
      </c>
      <c r="D559">
        <v>450744</v>
      </c>
      <c r="E559">
        <v>236107</v>
      </c>
      <c r="F559">
        <v>4.7</v>
      </c>
      <c r="G559">
        <v>0.9</v>
      </c>
      <c r="H559">
        <v>36.4</v>
      </c>
      <c r="I559">
        <v>36.799999999999997</v>
      </c>
    </row>
    <row r="560" spans="1:9" ht="24" customHeight="1">
      <c r="A560" s="6" t="s">
        <v>2159</v>
      </c>
      <c r="B560">
        <v>5485</v>
      </c>
      <c r="C560">
        <v>1180</v>
      </c>
      <c r="D560">
        <v>335482</v>
      </c>
      <c r="E560">
        <v>281326</v>
      </c>
      <c r="F560">
        <v>11.1</v>
      </c>
      <c r="G560">
        <v>7.8</v>
      </c>
      <c r="H560">
        <v>7</v>
      </c>
      <c r="I560">
        <v>6.4</v>
      </c>
    </row>
    <row r="561" spans="1:9" ht="24" customHeight="1">
      <c r="A561" s="6" t="s">
        <v>2160</v>
      </c>
      <c r="B561">
        <v>9531</v>
      </c>
      <c r="C561">
        <v>1769</v>
      </c>
      <c r="D561">
        <v>398333</v>
      </c>
      <c r="E561">
        <v>299671</v>
      </c>
      <c r="F561">
        <v>14.6</v>
      </c>
      <c r="G561">
        <v>7.4</v>
      </c>
      <c r="H561">
        <v>14.1</v>
      </c>
      <c r="I561">
        <v>10</v>
      </c>
    </row>
    <row r="562" spans="1:9" ht="24" customHeight="1">
      <c r="A562" s="6" t="s">
        <v>2161</v>
      </c>
      <c r="B562">
        <v>396</v>
      </c>
      <c r="C562">
        <v>153</v>
      </c>
      <c r="D562">
        <v>251147</v>
      </c>
      <c r="E562">
        <v>230979</v>
      </c>
      <c r="F562">
        <v>10.8</v>
      </c>
      <c r="G562">
        <v>7.3</v>
      </c>
      <c r="H562">
        <v>0</v>
      </c>
      <c r="I562">
        <v>0</v>
      </c>
    </row>
    <row r="563" spans="1:9" ht="24" customHeight="1">
      <c r="A563" s="6" t="s">
        <v>2162</v>
      </c>
      <c r="B563">
        <v>928</v>
      </c>
      <c r="C563">
        <v>298</v>
      </c>
      <c r="D563">
        <v>303253</v>
      </c>
      <c r="E563">
        <v>260988</v>
      </c>
      <c r="F563">
        <v>17</v>
      </c>
      <c r="G563">
        <v>7.5</v>
      </c>
      <c r="H563">
        <v>1.3</v>
      </c>
      <c r="I563">
        <v>1.4</v>
      </c>
    </row>
    <row r="564" spans="1:9" ht="24" customHeight="1">
      <c r="A564" s="6" t="s">
        <v>2163</v>
      </c>
      <c r="B564">
        <v>1253</v>
      </c>
      <c r="C564">
        <v>203</v>
      </c>
      <c r="D564">
        <v>379387</v>
      </c>
      <c r="E564">
        <v>290638</v>
      </c>
      <c r="F564">
        <v>15.5</v>
      </c>
      <c r="G564">
        <v>4.9000000000000004</v>
      </c>
      <c r="H564">
        <v>11.8</v>
      </c>
      <c r="I564">
        <v>12</v>
      </c>
    </row>
    <row r="565" spans="1:9" ht="24" customHeight="1">
      <c r="A565" s="6" t="s">
        <v>2164</v>
      </c>
      <c r="B565">
        <v>1330</v>
      </c>
      <c r="C565">
        <v>184</v>
      </c>
      <c r="D565">
        <v>431907</v>
      </c>
      <c r="E565">
        <v>327301</v>
      </c>
      <c r="F565">
        <v>13.9</v>
      </c>
      <c r="G565">
        <v>5.2</v>
      </c>
      <c r="H565">
        <v>17.100000000000001</v>
      </c>
      <c r="I565">
        <v>16.600000000000001</v>
      </c>
    </row>
    <row r="566" spans="1:9" ht="24" customHeight="1">
      <c r="A566" s="6" t="s">
        <v>2165</v>
      </c>
      <c r="B566">
        <v>946</v>
      </c>
      <c r="C566">
        <v>136</v>
      </c>
      <c r="D566">
        <v>467266</v>
      </c>
      <c r="E566">
        <v>321990</v>
      </c>
      <c r="F566">
        <v>8.6</v>
      </c>
      <c r="G566">
        <v>13.8</v>
      </c>
      <c r="H566">
        <v>21.6</v>
      </c>
      <c r="I566">
        <v>21.6</v>
      </c>
    </row>
    <row r="567" spans="1:9" ht="24" customHeight="1">
      <c r="A567" s="6" t="s">
        <v>2166</v>
      </c>
      <c r="B567">
        <v>1265</v>
      </c>
      <c r="C567">
        <v>92</v>
      </c>
      <c r="D567">
        <v>481307</v>
      </c>
      <c r="E567">
        <v>334103</v>
      </c>
      <c r="F567">
        <v>8.1999999999999993</v>
      </c>
      <c r="G567">
        <v>5.3</v>
      </c>
      <c r="H567">
        <v>26.9</v>
      </c>
      <c r="I567">
        <v>26.7</v>
      </c>
    </row>
    <row r="568" spans="1:9" ht="24" customHeight="1">
      <c r="A568" s="6" t="s">
        <v>2167</v>
      </c>
      <c r="B568">
        <v>767</v>
      </c>
      <c r="C568">
        <v>297</v>
      </c>
      <c r="D568">
        <v>345624</v>
      </c>
      <c r="E568">
        <v>292566</v>
      </c>
      <c r="F568">
        <v>17.8</v>
      </c>
      <c r="G568">
        <v>7.3</v>
      </c>
      <c r="H568">
        <v>3.5</v>
      </c>
      <c r="I568">
        <v>3.4</v>
      </c>
    </row>
    <row r="569" spans="1:9" ht="24" customHeight="1">
      <c r="A569" s="6" t="s">
        <v>2168</v>
      </c>
      <c r="B569">
        <v>733</v>
      </c>
      <c r="C569">
        <v>106</v>
      </c>
      <c r="D569">
        <v>463301</v>
      </c>
      <c r="E569">
        <v>393152</v>
      </c>
      <c r="F569">
        <v>10</v>
      </c>
      <c r="G569">
        <v>6.7</v>
      </c>
      <c r="H569">
        <v>34.200000000000003</v>
      </c>
      <c r="I569">
        <v>34.6</v>
      </c>
    </row>
    <row r="570" spans="1:9" ht="24" customHeight="1">
      <c r="A570" s="6" t="s">
        <v>2169</v>
      </c>
      <c r="B570">
        <v>1945</v>
      </c>
      <c r="C570">
        <v>320</v>
      </c>
      <c r="D570">
        <v>369921</v>
      </c>
      <c r="E570">
        <v>308551</v>
      </c>
      <c r="F570">
        <v>21.5</v>
      </c>
      <c r="G570">
        <v>8.1999999999999993</v>
      </c>
      <c r="H570">
        <v>7</v>
      </c>
      <c r="I570">
        <v>6.6</v>
      </c>
    </row>
    <row r="571" spans="1:9" ht="24" customHeight="1">
      <c r="A571" s="6" t="s">
        <v>2170</v>
      </c>
      <c r="B571">
        <v>7378</v>
      </c>
      <c r="C571">
        <v>1309</v>
      </c>
      <c r="D571">
        <v>430414</v>
      </c>
      <c r="E571">
        <v>332964</v>
      </c>
      <c r="F571">
        <v>19.8</v>
      </c>
      <c r="G571">
        <v>10.8</v>
      </c>
      <c r="H571">
        <v>12.1</v>
      </c>
      <c r="I571">
        <v>11.1</v>
      </c>
    </row>
    <row r="572" spans="1:9" ht="24" customHeight="1">
      <c r="A572" s="6" t="s">
        <v>2171</v>
      </c>
      <c r="B572">
        <v>458</v>
      </c>
      <c r="C572">
        <v>33</v>
      </c>
      <c r="D572">
        <v>244853</v>
      </c>
      <c r="E572">
        <v>213039</v>
      </c>
      <c r="F572">
        <v>13</v>
      </c>
      <c r="G572">
        <v>11.9</v>
      </c>
      <c r="H572">
        <v>0</v>
      </c>
      <c r="I572">
        <v>0</v>
      </c>
    </row>
    <row r="573" spans="1:9" ht="24" customHeight="1">
      <c r="A573" s="6" t="s">
        <v>2172</v>
      </c>
      <c r="B573">
        <v>691</v>
      </c>
      <c r="C573">
        <v>179</v>
      </c>
      <c r="D573">
        <v>310852</v>
      </c>
      <c r="E573">
        <v>275584</v>
      </c>
      <c r="F573">
        <v>20.5</v>
      </c>
      <c r="G573">
        <v>8.9</v>
      </c>
      <c r="H573">
        <v>1.5</v>
      </c>
      <c r="I573">
        <v>1.3</v>
      </c>
    </row>
    <row r="574" spans="1:9" ht="24" customHeight="1">
      <c r="A574" s="6" t="s">
        <v>2173</v>
      </c>
      <c r="B574">
        <v>865</v>
      </c>
      <c r="C574">
        <v>108</v>
      </c>
      <c r="D574">
        <v>454224</v>
      </c>
      <c r="E574">
        <v>414414</v>
      </c>
      <c r="F574">
        <v>22.9</v>
      </c>
      <c r="G574">
        <v>18.2</v>
      </c>
      <c r="H574">
        <v>11.8</v>
      </c>
      <c r="I574">
        <v>12.1</v>
      </c>
    </row>
    <row r="575" spans="1:9" ht="24" customHeight="1">
      <c r="A575" s="6" t="s">
        <v>2174</v>
      </c>
      <c r="B575">
        <v>978</v>
      </c>
      <c r="C575">
        <v>153</v>
      </c>
      <c r="D575">
        <v>511571</v>
      </c>
      <c r="E575">
        <v>334693</v>
      </c>
      <c r="F575">
        <v>22.4</v>
      </c>
      <c r="G575">
        <v>9.4</v>
      </c>
      <c r="H575">
        <v>16.3</v>
      </c>
      <c r="I575">
        <v>16.8</v>
      </c>
    </row>
    <row r="576" spans="1:9" ht="24" customHeight="1">
      <c r="A576" s="6" t="s">
        <v>2175</v>
      </c>
      <c r="B576">
        <v>566</v>
      </c>
      <c r="C576">
        <v>69</v>
      </c>
      <c r="D576">
        <v>523487</v>
      </c>
      <c r="E576">
        <v>334475</v>
      </c>
      <c r="F576">
        <v>17.7</v>
      </c>
      <c r="G576">
        <v>1.6</v>
      </c>
      <c r="H576">
        <v>21.7</v>
      </c>
      <c r="I576">
        <v>21.5</v>
      </c>
    </row>
    <row r="577" spans="1:9" ht="24" customHeight="1">
      <c r="A577" s="6" t="s">
        <v>2176</v>
      </c>
      <c r="B577">
        <v>487</v>
      </c>
      <c r="C577">
        <v>92</v>
      </c>
      <c r="D577">
        <v>539575</v>
      </c>
      <c r="E577">
        <v>342291</v>
      </c>
      <c r="F577">
        <v>21.9</v>
      </c>
      <c r="G577">
        <v>3</v>
      </c>
      <c r="H577">
        <v>26.9</v>
      </c>
      <c r="I577">
        <v>27</v>
      </c>
    </row>
    <row r="578" spans="1:9" ht="24" customHeight="1">
      <c r="A578" s="6" t="s">
        <v>2177</v>
      </c>
      <c r="B578">
        <v>858</v>
      </c>
      <c r="C578">
        <v>110</v>
      </c>
      <c r="D578">
        <v>359065</v>
      </c>
      <c r="E578">
        <v>305175</v>
      </c>
      <c r="F578">
        <v>16.7</v>
      </c>
      <c r="G578">
        <v>11.8</v>
      </c>
      <c r="H578">
        <v>3.4</v>
      </c>
      <c r="I578">
        <v>3.3</v>
      </c>
    </row>
    <row r="579" spans="1:9" ht="24" customHeight="1">
      <c r="A579" s="6" t="s">
        <v>2178</v>
      </c>
      <c r="B579">
        <v>611</v>
      </c>
      <c r="C579">
        <v>111</v>
      </c>
      <c r="D579">
        <v>558822</v>
      </c>
      <c r="E579">
        <v>494912</v>
      </c>
      <c r="F579">
        <v>19.8</v>
      </c>
      <c r="G579">
        <v>24.6</v>
      </c>
      <c r="H579">
        <v>33.6</v>
      </c>
      <c r="I579">
        <v>31.1</v>
      </c>
    </row>
    <row r="580" spans="1:9" ht="24" customHeight="1">
      <c r="A580" s="6" t="s">
        <v>2179</v>
      </c>
      <c r="B580">
        <v>1870</v>
      </c>
      <c r="C580">
        <v>471</v>
      </c>
      <c r="D580">
        <v>400089</v>
      </c>
      <c r="E580">
        <v>307415</v>
      </c>
      <c r="F580">
        <v>20.100000000000001</v>
      </c>
      <c r="G580">
        <v>9.1</v>
      </c>
      <c r="H580">
        <v>7.2</v>
      </c>
      <c r="I580">
        <v>6.3</v>
      </c>
    </row>
    <row r="581" spans="1:9" ht="24" customHeight="1">
      <c r="A581" s="6" t="s">
        <v>499</v>
      </c>
      <c r="B581">
        <v>41948</v>
      </c>
      <c r="C581">
        <v>11759</v>
      </c>
      <c r="D581">
        <v>406144</v>
      </c>
      <c r="E581">
        <v>310681</v>
      </c>
      <c r="F581">
        <v>12</v>
      </c>
      <c r="G581">
        <v>7.8</v>
      </c>
      <c r="H581">
        <v>15.7</v>
      </c>
      <c r="I581">
        <v>11.9</v>
      </c>
    </row>
    <row r="582" spans="1:9" ht="24" customHeight="1">
      <c r="A582" s="6" t="s">
        <v>500</v>
      </c>
      <c r="B582">
        <v>8380</v>
      </c>
      <c r="C582">
        <v>2141</v>
      </c>
      <c r="D582">
        <v>536625</v>
      </c>
      <c r="E582">
        <v>403891</v>
      </c>
      <c r="F582">
        <v>18.5</v>
      </c>
      <c r="G582">
        <v>13.6</v>
      </c>
      <c r="H582">
        <v>18.2</v>
      </c>
      <c r="I582">
        <v>14.1</v>
      </c>
    </row>
    <row r="583" spans="1:9" ht="24" customHeight="1">
      <c r="A583" s="6" t="s">
        <v>501</v>
      </c>
      <c r="B583">
        <v>459</v>
      </c>
      <c r="C583">
        <v>153</v>
      </c>
      <c r="D583">
        <v>288669</v>
      </c>
      <c r="E583">
        <v>239017</v>
      </c>
      <c r="F583">
        <v>17.3</v>
      </c>
      <c r="G583">
        <v>7.4</v>
      </c>
      <c r="H583">
        <v>0</v>
      </c>
      <c r="I583">
        <v>0</v>
      </c>
    </row>
    <row r="584" spans="1:9" ht="24" customHeight="1">
      <c r="A584" s="6" t="s">
        <v>2180</v>
      </c>
      <c r="B584">
        <v>958</v>
      </c>
      <c r="C584">
        <v>387</v>
      </c>
      <c r="D584">
        <v>353194</v>
      </c>
      <c r="E584">
        <v>330130</v>
      </c>
      <c r="F584">
        <v>19.7</v>
      </c>
      <c r="G584">
        <v>16.600000000000001</v>
      </c>
      <c r="H584">
        <v>1.5</v>
      </c>
      <c r="I584">
        <v>1.4</v>
      </c>
    </row>
    <row r="585" spans="1:9" ht="24" customHeight="1">
      <c r="A585" s="6" t="s">
        <v>2181</v>
      </c>
      <c r="B585">
        <v>616</v>
      </c>
      <c r="C585">
        <v>210</v>
      </c>
      <c r="D585">
        <v>539004</v>
      </c>
      <c r="E585">
        <v>394379</v>
      </c>
      <c r="F585">
        <v>20.100000000000001</v>
      </c>
      <c r="G585">
        <v>16.3</v>
      </c>
      <c r="H585">
        <v>11.9</v>
      </c>
      <c r="I585">
        <v>11.5</v>
      </c>
    </row>
    <row r="586" spans="1:9" ht="24" customHeight="1">
      <c r="A586" s="6" t="s">
        <v>2182</v>
      </c>
      <c r="B586">
        <v>710</v>
      </c>
      <c r="C586">
        <v>191</v>
      </c>
      <c r="D586">
        <v>582814</v>
      </c>
      <c r="E586">
        <v>447990</v>
      </c>
      <c r="F586">
        <v>16.100000000000001</v>
      </c>
      <c r="G586">
        <v>9.4</v>
      </c>
      <c r="H586">
        <v>17.100000000000001</v>
      </c>
      <c r="I586">
        <v>16.7</v>
      </c>
    </row>
    <row r="587" spans="1:9" ht="24" customHeight="1">
      <c r="A587" s="6" t="s">
        <v>2183</v>
      </c>
      <c r="B587">
        <v>564</v>
      </c>
      <c r="C587">
        <v>172</v>
      </c>
      <c r="D587">
        <v>595039</v>
      </c>
      <c r="E587">
        <v>480162</v>
      </c>
      <c r="F587">
        <v>16</v>
      </c>
      <c r="G587">
        <v>13.3</v>
      </c>
      <c r="H587">
        <v>22</v>
      </c>
      <c r="I587">
        <v>21.6</v>
      </c>
    </row>
    <row r="588" spans="1:9" ht="24" customHeight="1">
      <c r="A588" s="6" t="s">
        <v>2184</v>
      </c>
      <c r="B588">
        <v>1198</v>
      </c>
      <c r="C588">
        <v>214</v>
      </c>
      <c r="D588">
        <v>599143</v>
      </c>
      <c r="E588">
        <v>448562</v>
      </c>
      <c r="F588">
        <v>21.3</v>
      </c>
      <c r="G588">
        <v>5.0999999999999996</v>
      </c>
      <c r="H588">
        <v>26.8</v>
      </c>
      <c r="I588">
        <v>26.9</v>
      </c>
    </row>
    <row r="589" spans="1:9" ht="24" customHeight="1">
      <c r="A589" s="6" t="s">
        <v>2185</v>
      </c>
      <c r="B589">
        <v>607</v>
      </c>
      <c r="C589">
        <v>85</v>
      </c>
      <c r="D589">
        <v>396199</v>
      </c>
      <c r="E589">
        <v>344220</v>
      </c>
      <c r="F589">
        <v>23.4</v>
      </c>
      <c r="G589">
        <v>16.100000000000001</v>
      </c>
      <c r="H589">
        <v>3.4</v>
      </c>
      <c r="I589">
        <v>3.6</v>
      </c>
    </row>
    <row r="590" spans="1:9" ht="24" customHeight="1">
      <c r="A590" s="6" t="s">
        <v>502</v>
      </c>
      <c r="B590">
        <v>2330</v>
      </c>
      <c r="C590">
        <v>381</v>
      </c>
      <c r="D590">
        <v>662989</v>
      </c>
      <c r="E590">
        <v>504866</v>
      </c>
      <c r="F590">
        <v>14</v>
      </c>
      <c r="G590">
        <v>14.9</v>
      </c>
      <c r="H590">
        <v>33.9</v>
      </c>
      <c r="I590">
        <v>33</v>
      </c>
    </row>
    <row r="591" spans="1:9" ht="24" customHeight="1">
      <c r="A591" s="6" t="s">
        <v>2186</v>
      </c>
      <c r="B591">
        <v>951</v>
      </c>
      <c r="C591">
        <v>366</v>
      </c>
      <c r="D591">
        <v>471117</v>
      </c>
      <c r="E591">
        <v>379293</v>
      </c>
      <c r="F591">
        <v>24.1</v>
      </c>
      <c r="G591">
        <v>16.5</v>
      </c>
      <c r="H591">
        <v>6.8</v>
      </c>
      <c r="I591">
        <v>6.4</v>
      </c>
    </row>
    <row r="592" spans="1:9" ht="24" customHeight="1">
      <c r="A592" s="6" t="s">
        <v>2187</v>
      </c>
      <c r="B592">
        <v>20595</v>
      </c>
      <c r="C592">
        <v>5660</v>
      </c>
      <c r="D592">
        <v>348373</v>
      </c>
      <c r="E592">
        <v>264231</v>
      </c>
      <c r="F592">
        <v>11.8</v>
      </c>
      <c r="G592">
        <v>5.7</v>
      </c>
      <c r="H592">
        <v>13.8</v>
      </c>
      <c r="I592">
        <v>11</v>
      </c>
    </row>
    <row r="593" spans="1:9" ht="24" customHeight="1">
      <c r="A593" s="6" t="s">
        <v>2188</v>
      </c>
      <c r="B593">
        <v>1086</v>
      </c>
      <c r="C593">
        <v>357</v>
      </c>
      <c r="D593">
        <v>246611</v>
      </c>
      <c r="E593">
        <v>200442</v>
      </c>
      <c r="F593">
        <v>9.5</v>
      </c>
      <c r="G593">
        <v>4.0999999999999996</v>
      </c>
      <c r="H593">
        <v>0</v>
      </c>
      <c r="I593">
        <v>0</v>
      </c>
    </row>
    <row r="594" spans="1:9" ht="24" customHeight="1">
      <c r="A594" s="6" t="s">
        <v>2189</v>
      </c>
      <c r="B594">
        <v>2373</v>
      </c>
      <c r="C594">
        <v>826</v>
      </c>
      <c r="D594">
        <v>296402</v>
      </c>
      <c r="E594">
        <v>219185</v>
      </c>
      <c r="F594">
        <v>13.9</v>
      </c>
      <c r="G594">
        <v>2.2000000000000002</v>
      </c>
      <c r="H594">
        <v>1.5</v>
      </c>
      <c r="I594">
        <v>1.4</v>
      </c>
    </row>
    <row r="595" spans="1:9" ht="24" customHeight="1">
      <c r="A595" s="6" t="s">
        <v>2190</v>
      </c>
      <c r="B595">
        <v>2542</v>
      </c>
      <c r="C595">
        <v>696</v>
      </c>
      <c r="D595">
        <v>373808</v>
      </c>
      <c r="E595">
        <v>260946</v>
      </c>
      <c r="F595">
        <v>13.8</v>
      </c>
      <c r="G595">
        <v>8.6</v>
      </c>
      <c r="H595">
        <v>11.7</v>
      </c>
      <c r="I595">
        <v>11.7</v>
      </c>
    </row>
    <row r="596" spans="1:9" ht="24" customHeight="1">
      <c r="A596" s="6" t="s">
        <v>2191</v>
      </c>
      <c r="B596">
        <v>2358</v>
      </c>
      <c r="C596">
        <v>563</v>
      </c>
      <c r="D596">
        <v>364828</v>
      </c>
      <c r="E596">
        <v>274970</v>
      </c>
      <c r="F596">
        <v>13.3</v>
      </c>
      <c r="G596">
        <v>4.8</v>
      </c>
      <c r="H596">
        <v>16.7</v>
      </c>
      <c r="I596">
        <v>16.8</v>
      </c>
    </row>
    <row r="597" spans="1:9" ht="24" customHeight="1">
      <c r="A597" s="6" t="s">
        <v>2192</v>
      </c>
      <c r="B597">
        <v>2164</v>
      </c>
      <c r="C597">
        <v>495</v>
      </c>
      <c r="D597">
        <v>445133</v>
      </c>
      <c r="E597">
        <v>299977</v>
      </c>
      <c r="F597">
        <v>12.2</v>
      </c>
      <c r="G597">
        <v>9.1</v>
      </c>
      <c r="H597">
        <v>21.7</v>
      </c>
      <c r="I597">
        <v>21.7</v>
      </c>
    </row>
    <row r="598" spans="1:9" ht="24" customHeight="1">
      <c r="A598" s="6" t="s">
        <v>2193</v>
      </c>
      <c r="B598">
        <v>1505</v>
      </c>
      <c r="C598">
        <v>425</v>
      </c>
      <c r="D598">
        <v>392760</v>
      </c>
      <c r="E598">
        <v>347498</v>
      </c>
      <c r="F598">
        <v>8.1999999999999993</v>
      </c>
      <c r="G598">
        <v>5.7</v>
      </c>
      <c r="H598">
        <v>26.8</v>
      </c>
      <c r="I598">
        <v>26.9</v>
      </c>
    </row>
    <row r="599" spans="1:9" ht="24" customHeight="1">
      <c r="A599" s="6" t="s">
        <v>2194</v>
      </c>
      <c r="B599">
        <v>1799</v>
      </c>
      <c r="C599">
        <v>772</v>
      </c>
      <c r="D599">
        <v>288251</v>
      </c>
      <c r="E599">
        <v>237504</v>
      </c>
      <c r="F599">
        <v>9.1</v>
      </c>
      <c r="G599">
        <v>4.9000000000000004</v>
      </c>
      <c r="H599">
        <v>3.4</v>
      </c>
      <c r="I599">
        <v>3.6</v>
      </c>
    </row>
    <row r="600" spans="1:9" ht="24" customHeight="1">
      <c r="A600" s="6" t="s">
        <v>2195</v>
      </c>
      <c r="B600">
        <v>2397</v>
      </c>
      <c r="C600">
        <v>298</v>
      </c>
      <c r="D600">
        <v>359704</v>
      </c>
      <c r="E600">
        <v>316707</v>
      </c>
      <c r="F600">
        <v>8.1999999999999993</v>
      </c>
      <c r="G600">
        <v>1.7</v>
      </c>
      <c r="H600">
        <v>36.299999999999997</v>
      </c>
      <c r="I600">
        <v>34.4</v>
      </c>
    </row>
    <row r="601" spans="1:9" ht="24" customHeight="1">
      <c r="A601" s="6" t="s">
        <v>2196</v>
      </c>
      <c r="B601">
        <v>4445</v>
      </c>
      <c r="C601">
        <v>1379</v>
      </c>
      <c r="D601">
        <v>332274</v>
      </c>
      <c r="E601">
        <v>260179</v>
      </c>
      <c r="F601">
        <v>13.2</v>
      </c>
      <c r="G601">
        <v>6.9</v>
      </c>
      <c r="H601">
        <v>7.1</v>
      </c>
      <c r="I601">
        <v>6.8</v>
      </c>
    </row>
    <row r="602" spans="1:9" ht="24" customHeight="1">
      <c r="A602" s="6" t="s">
        <v>2197</v>
      </c>
      <c r="B602">
        <v>9955</v>
      </c>
      <c r="C602">
        <v>2786</v>
      </c>
      <c r="D602">
        <v>412675</v>
      </c>
      <c r="E602">
        <v>325559</v>
      </c>
      <c r="F602">
        <v>8.1999999999999993</v>
      </c>
      <c r="G602">
        <v>8.9</v>
      </c>
      <c r="H602">
        <v>17.100000000000001</v>
      </c>
      <c r="I602">
        <v>11.1</v>
      </c>
    </row>
    <row r="603" spans="1:9" ht="24" customHeight="1">
      <c r="A603" s="6" t="s">
        <v>2198</v>
      </c>
      <c r="B603">
        <v>453</v>
      </c>
      <c r="C603">
        <v>245</v>
      </c>
      <c r="D603">
        <v>238208</v>
      </c>
      <c r="E603">
        <v>235790</v>
      </c>
      <c r="F603">
        <v>5.8</v>
      </c>
      <c r="G603">
        <v>2.5</v>
      </c>
      <c r="H603">
        <v>0</v>
      </c>
      <c r="I603">
        <v>0</v>
      </c>
    </row>
    <row r="604" spans="1:9" ht="24" customHeight="1">
      <c r="A604" s="6" t="s">
        <v>2199</v>
      </c>
      <c r="B604">
        <v>879</v>
      </c>
      <c r="C604">
        <v>296</v>
      </c>
      <c r="D604">
        <v>316245</v>
      </c>
      <c r="E604">
        <v>274873</v>
      </c>
      <c r="F604">
        <v>10.9</v>
      </c>
      <c r="G604">
        <v>10.7</v>
      </c>
      <c r="H604">
        <v>1.5</v>
      </c>
      <c r="I604">
        <v>1.6</v>
      </c>
    </row>
    <row r="605" spans="1:9" ht="24" customHeight="1">
      <c r="A605" s="6" t="s">
        <v>2200</v>
      </c>
      <c r="B605">
        <v>1102</v>
      </c>
      <c r="C605">
        <v>401</v>
      </c>
      <c r="D605">
        <v>387205</v>
      </c>
      <c r="E605">
        <v>330268</v>
      </c>
      <c r="F605">
        <v>8.1</v>
      </c>
      <c r="G605">
        <v>10.1</v>
      </c>
      <c r="H605">
        <v>11.3</v>
      </c>
      <c r="I605">
        <v>11.6</v>
      </c>
    </row>
    <row r="606" spans="1:9" ht="24" customHeight="1">
      <c r="A606" s="6" t="s">
        <v>2201</v>
      </c>
      <c r="B606">
        <v>1121</v>
      </c>
      <c r="C606">
        <v>470</v>
      </c>
      <c r="D606">
        <v>453274</v>
      </c>
      <c r="E606">
        <v>379929</v>
      </c>
      <c r="F606">
        <v>6.9</v>
      </c>
      <c r="G606">
        <v>14.1</v>
      </c>
      <c r="H606">
        <v>16.8</v>
      </c>
      <c r="I606">
        <v>16.7</v>
      </c>
    </row>
    <row r="607" spans="1:9" ht="24" customHeight="1">
      <c r="A607" s="6" t="s">
        <v>2202</v>
      </c>
      <c r="B607">
        <v>746</v>
      </c>
      <c r="C607">
        <v>168</v>
      </c>
      <c r="D607">
        <v>482696</v>
      </c>
      <c r="E607">
        <v>311841</v>
      </c>
      <c r="F607">
        <v>7.9</v>
      </c>
      <c r="G607">
        <v>10.3</v>
      </c>
      <c r="H607">
        <v>21.8</v>
      </c>
      <c r="I607">
        <v>21.1</v>
      </c>
    </row>
    <row r="608" spans="1:9" ht="24" customHeight="1">
      <c r="A608" s="6" t="s">
        <v>2203</v>
      </c>
      <c r="B608">
        <v>998</v>
      </c>
      <c r="C608">
        <v>102</v>
      </c>
      <c r="D608">
        <v>474876</v>
      </c>
      <c r="E608">
        <v>320013</v>
      </c>
      <c r="F608">
        <v>7.8</v>
      </c>
      <c r="G608">
        <v>8.6</v>
      </c>
      <c r="H608">
        <v>26.7</v>
      </c>
      <c r="I608">
        <v>26.5</v>
      </c>
    </row>
    <row r="609" spans="1:9" ht="24" customHeight="1">
      <c r="A609" s="6" t="s">
        <v>2204</v>
      </c>
      <c r="B609">
        <v>641</v>
      </c>
      <c r="C609">
        <v>242</v>
      </c>
      <c r="D609">
        <v>326902</v>
      </c>
      <c r="E609">
        <v>286147</v>
      </c>
      <c r="F609">
        <v>10.6</v>
      </c>
      <c r="G609">
        <v>8.6</v>
      </c>
      <c r="H609">
        <v>3.4</v>
      </c>
      <c r="I609">
        <v>3.5</v>
      </c>
    </row>
    <row r="610" spans="1:9" ht="24" customHeight="1">
      <c r="A610" s="6" t="s">
        <v>2205</v>
      </c>
      <c r="B610">
        <v>2277</v>
      </c>
      <c r="C610">
        <v>209</v>
      </c>
      <c r="D610">
        <v>495698</v>
      </c>
      <c r="E610">
        <v>436975</v>
      </c>
      <c r="F610">
        <v>5.5</v>
      </c>
      <c r="G610">
        <v>3.8</v>
      </c>
      <c r="H610">
        <v>35.4</v>
      </c>
      <c r="I610">
        <v>33.200000000000003</v>
      </c>
    </row>
    <row r="611" spans="1:9" ht="24" customHeight="1">
      <c r="A611" s="6" t="s">
        <v>2206</v>
      </c>
      <c r="B611">
        <v>1737</v>
      </c>
      <c r="C611">
        <v>681</v>
      </c>
      <c r="D611">
        <v>354003</v>
      </c>
      <c r="E611">
        <v>319790</v>
      </c>
      <c r="F611">
        <v>11.5</v>
      </c>
      <c r="G611">
        <v>7.2</v>
      </c>
      <c r="H611">
        <v>6.7</v>
      </c>
      <c r="I611">
        <v>6.5</v>
      </c>
    </row>
    <row r="612" spans="1:9" ht="24" customHeight="1">
      <c r="A612" s="6" t="s">
        <v>2207</v>
      </c>
      <c r="B612">
        <v>3019</v>
      </c>
      <c r="C612">
        <v>1171</v>
      </c>
      <c r="D612">
        <v>416548</v>
      </c>
      <c r="E612">
        <v>329349</v>
      </c>
      <c r="F612">
        <v>7.4</v>
      </c>
      <c r="G612">
        <v>5</v>
      </c>
      <c r="H612">
        <v>16.7</v>
      </c>
      <c r="I612">
        <v>14.1</v>
      </c>
    </row>
    <row r="613" spans="1:9" ht="24" customHeight="1">
      <c r="A613" s="6" t="s">
        <v>2208</v>
      </c>
      <c r="B613">
        <v>173</v>
      </c>
      <c r="C613">
        <v>71</v>
      </c>
      <c r="D613">
        <v>219743</v>
      </c>
      <c r="E613">
        <v>205232</v>
      </c>
      <c r="F613">
        <v>4</v>
      </c>
      <c r="G613">
        <v>2.8</v>
      </c>
      <c r="H613">
        <v>0</v>
      </c>
      <c r="I613">
        <v>0</v>
      </c>
    </row>
    <row r="614" spans="1:9" ht="24" customHeight="1">
      <c r="A614" s="6" t="s">
        <v>2209</v>
      </c>
      <c r="B614">
        <v>234</v>
      </c>
      <c r="C614">
        <v>125</v>
      </c>
      <c r="D614">
        <v>286672</v>
      </c>
      <c r="E614">
        <v>262431</v>
      </c>
      <c r="F614">
        <v>6.4</v>
      </c>
      <c r="G614">
        <v>11.5</v>
      </c>
      <c r="H614">
        <v>1.4</v>
      </c>
      <c r="I614">
        <v>1.5</v>
      </c>
    </row>
    <row r="615" spans="1:9" ht="24" customHeight="1">
      <c r="A615" s="6" t="s">
        <v>2210</v>
      </c>
      <c r="B615">
        <v>427</v>
      </c>
      <c r="C615">
        <v>111</v>
      </c>
      <c r="D615">
        <v>398441</v>
      </c>
      <c r="E615">
        <v>311874</v>
      </c>
      <c r="F615">
        <v>7.4</v>
      </c>
      <c r="G615">
        <v>2.2000000000000002</v>
      </c>
      <c r="H615">
        <v>11.9</v>
      </c>
      <c r="I615">
        <v>11.5</v>
      </c>
    </row>
    <row r="616" spans="1:9" ht="24" customHeight="1">
      <c r="A616" s="6" t="s">
        <v>2211</v>
      </c>
      <c r="B616">
        <v>441</v>
      </c>
      <c r="C616">
        <v>140</v>
      </c>
      <c r="D616">
        <v>458798</v>
      </c>
      <c r="E616">
        <v>397928</v>
      </c>
      <c r="F616">
        <v>6.8</v>
      </c>
      <c r="G616">
        <v>4.5999999999999996</v>
      </c>
      <c r="H616">
        <v>16.899999999999999</v>
      </c>
      <c r="I616">
        <v>17.2</v>
      </c>
    </row>
    <row r="617" spans="1:9" ht="24" customHeight="1">
      <c r="A617" s="6" t="s">
        <v>2212</v>
      </c>
      <c r="B617">
        <v>217</v>
      </c>
      <c r="C617">
        <v>133</v>
      </c>
      <c r="D617">
        <v>464302</v>
      </c>
      <c r="E617">
        <v>346088</v>
      </c>
      <c r="F617">
        <v>10.6</v>
      </c>
      <c r="G617">
        <v>3.2</v>
      </c>
      <c r="H617">
        <v>21.6</v>
      </c>
      <c r="I617">
        <v>22.4</v>
      </c>
    </row>
    <row r="618" spans="1:9" ht="24" customHeight="1">
      <c r="A618" s="6" t="s">
        <v>2213</v>
      </c>
      <c r="B618">
        <v>283</v>
      </c>
      <c r="C618">
        <v>146</v>
      </c>
      <c r="D618">
        <v>506035</v>
      </c>
      <c r="E618">
        <v>395191</v>
      </c>
      <c r="F618">
        <v>9.1</v>
      </c>
      <c r="G618">
        <v>5.9</v>
      </c>
      <c r="H618">
        <v>27</v>
      </c>
      <c r="I618">
        <v>26.5</v>
      </c>
    </row>
    <row r="619" spans="1:9" ht="24" customHeight="1">
      <c r="A619" s="6" t="s">
        <v>2214</v>
      </c>
      <c r="B619">
        <v>158</v>
      </c>
      <c r="C619">
        <v>145</v>
      </c>
      <c r="D619">
        <v>311498</v>
      </c>
      <c r="E619">
        <v>263758</v>
      </c>
      <c r="F619">
        <v>8</v>
      </c>
      <c r="G619">
        <v>2.8</v>
      </c>
      <c r="H619">
        <v>3.5</v>
      </c>
      <c r="I619">
        <v>3.5</v>
      </c>
    </row>
    <row r="620" spans="1:9" ht="24" customHeight="1">
      <c r="A620" s="6" t="s">
        <v>2215</v>
      </c>
      <c r="B620">
        <v>639</v>
      </c>
      <c r="C620">
        <v>133</v>
      </c>
      <c r="D620">
        <v>512367</v>
      </c>
      <c r="E620">
        <v>425357</v>
      </c>
      <c r="F620">
        <v>6.6</v>
      </c>
      <c r="G620">
        <v>9.3000000000000007</v>
      </c>
      <c r="H620">
        <v>33.9</v>
      </c>
      <c r="I620">
        <v>33.700000000000003</v>
      </c>
    </row>
    <row r="621" spans="1:9" ht="24" customHeight="1">
      <c r="A621" s="6" t="s">
        <v>2216</v>
      </c>
      <c r="B621">
        <v>447</v>
      </c>
      <c r="C621">
        <v>202</v>
      </c>
      <c r="D621">
        <v>356759</v>
      </c>
      <c r="E621">
        <v>294558</v>
      </c>
      <c r="F621">
        <v>8.1</v>
      </c>
      <c r="G621">
        <v>1.9</v>
      </c>
      <c r="H621">
        <v>7.1</v>
      </c>
      <c r="I621">
        <v>7.1</v>
      </c>
    </row>
    <row r="622" spans="1:9" ht="24" customHeight="1">
      <c r="A622" s="6" t="s">
        <v>503</v>
      </c>
      <c r="B622">
        <v>105164</v>
      </c>
      <c r="C622">
        <v>25286</v>
      </c>
      <c r="D622">
        <v>429868</v>
      </c>
      <c r="E622">
        <v>288684</v>
      </c>
      <c r="F622">
        <v>12.5</v>
      </c>
      <c r="G622">
        <v>5.5</v>
      </c>
      <c r="H622">
        <v>15.5</v>
      </c>
      <c r="I622">
        <v>11.9</v>
      </c>
    </row>
    <row r="623" spans="1:9" ht="24" customHeight="1">
      <c r="A623" s="6" t="s">
        <v>504</v>
      </c>
      <c r="B623">
        <v>22094</v>
      </c>
      <c r="C623">
        <v>2488</v>
      </c>
      <c r="D623">
        <v>554378</v>
      </c>
      <c r="E623">
        <v>403992</v>
      </c>
      <c r="F623">
        <v>16.5</v>
      </c>
      <c r="G623">
        <v>10.5</v>
      </c>
      <c r="H623">
        <v>20.7</v>
      </c>
      <c r="I623">
        <v>15.3</v>
      </c>
    </row>
    <row r="624" spans="1:9" ht="24" customHeight="1">
      <c r="A624" s="6" t="s">
        <v>505</v>
      </c>
      <c r="B624">
        <v>534</v>
      </c>
      <c r="C624">
        <v>77</v>
      </c>
      <c r="D624">
        <v>236920</v>
      </c>
      <c r="E624">
        <v>252386</v>
      </c>
      <c r="F624">
        <v>6.1</v>
      </c>
      <c r="G624">
        <v>2.8</v>
      </c>
      <c r="H624">
        <v>0</v>
      </c>
      <c r="I624">
        <v>0</v>
      </c>
    </row>
    <row r="625" spans="1:9" ht="24" customHeight="1">
      <c r="A625" s="6" t="s">
        <v>2217</v>
      </c>
      <c r="B625">
        <v>1051</v>
      </c>
      <c r="C625">
        <v>313</v>
      </c>
      <c r="D625">
        <v>341864</v>
      </c>
      <c r="E625">
        <v>319928</v>
      </c>
      <c r="F625">
        <v>17.399999999999999</v>
      </c>
      <c r="G625">
        <v>13.8</v>
      </c>
      <c r="H625">
        <v>1.5</v>
      </c>
      <c r="I625">
        <v>1.5</v>
      </c>
    </row>
    <row r="626" spans="1:9" ht="24" customHeight="1">
      <c r="A626" s="6" t="s">
        <v>2218</v>
      </c>
      <c r="B626">
        <v>2585</v>
      </c>
      <c r="C626">
        <v>275</v>
      </c>
      <c r="D626">
        <v>528079</v>
      </c>
      <c r="E626">
        <v>410561</v>
      </c>
      <c r="F626">
        <v>21.5</v>
      </c>
      <c r="G626">
        <v>6.2</v>
      </c>
      <c r="H626">
        <v>12.5</v>
      </c>
      <c r="I626">
        <v>13.4</v>
      </c>
    </row>
    <row r="627" spans="1:9" ht="24" customHeight="1">
      <c r="A627" s="6" t="s">
        <v>2219</v>
      </c>
      <c r="B627">
        <v>1892</v>
      </c>
      <c r="C627">
        <v>199</v>
      </c>
      <c r="D627">
        <v>553612</v>
      </c>
      <c r="E627">
        <v>415140</v>
      </c>
      <c r="F627">
        <v>14.8</v>
      </c>
      <c r="G627">
        <v>9.5</v>
      </c>
      <c r="H627">
        <v>16.899999999999999</v>
      </c>
      <c r="I627">
        <v>16.8</v>
      </c>
    </row>
    <row r="628" spans="1:9" ht="24" customHeight="1">
      <c r="A628" s="6" t="s">
        <v>2220</v>
      </c>
      <c r="B628">
        <v>1230</v>
      </c>
      <c r="C628">
        <v>129</v>
      </c>
      <c r="D628">
        <v>614197</v>
      </c>
      <c r="E628">
        <v>418471</v>
      </c>
      <c r="F628">
        <v>14.3</v>
      </c>
      <c r="G628">
        <v>6.3</v>
      </c>
      <c r="H628">
        <v>21.9</v>
      </c>
      <c r="I628">
        <v>23</v>
      </c>
    </row>
    <row r="629" spans="1:9" ht="24" customHeight="1">
      <c r="A629" s="6" t="s">
        <v>2221</v>
      </c>
      <c r="B629">
        <v>2651</v>
      </c>
      <c r="C629">
        <v>287</v>
      </c>
      <c r="D629">
        <v>661420</v>
      </c>
      <c r="E629">
        <v>481942</v>
      </c>
      <c r="F629">
        <v>15.5</v>
      </c>
      <c r="G629">
        <v>15.1</v>
      </c>
      <c r="H629">
        <v>26.8</v>
      </c>
      <c r="I629">
        <v>27.5</v>
      </c>
    </row>
    <row r="630" spans="1:9" ht="24" customHeight="1">
      <c r="A630" s="6" t="s">
        <v>2222</v>
      </c>
      <c r="B630">
        <v>1768</v>
      </c>
      <c r="C630">
        <v>396</v>
      </c>
      <c r="D630">
        <v>398205</v>
      </c>
      <c r="E630">
        <v>352740</v>
      </c>
      <c r="F630">
        <v>18</v>
      </c>
      <c r="G630">
        <v>15.2</v>
      </c>
      <c r="H630">
        <v>3.5</v>
      </c>
      <c r="I630">
        <v>3.4</v>
      </c>
    </row>
    <row r="631" spans="1:9" ht="24" customHeight="1">
      <c r="A631" s="6" t="s">
        <v>506</v>
      </c>
      <c r="B631">
        <v>7842</v>
      </c>
      <c r="C631">
        <v>473</v>
      </c>
      <c r="D631">
        <v>639015</v>
      </c>
      <c r="E631">
        <v>490175</v>
      </c>
      <c r="F631">
        <v>13.9</v>
      </c>
      <c r="G631">
        <v>7.1</v>
      </c>
      <c r="H631">
        <v>34.4</v>
      </c>
      <c r="I631">
        <v>34.1</v>
      </c>
    </row>
    <row r="632" spans="1:9" ht="24" customHeight="1">
      <c r="A632" s="6" t="s">
        <v>2223</v>
      </c>
      <c r="B632">
        <v>2542</v>
      </c>
      <c r="C632">
        <v>349</v>
      </c>
      <c r="D632">
        <v>443169</v>
      </c>
      <c r="E632">
        <v>369211</v>
      </c>
      <c r="F632">
        <v>23.7</v>
      </c>
      <c r="G632">
        <v>9.6999999999999993</v>
      </c>
      <c r="H632">
        <v>6.9</v>
      </c>
      <c r="I632">
        <v>6.9</v>
      </c>
    </row>
    <row r="633" spans="1:9" ht="24" customHeight="1">
      <c r="A633" s="6" t="s">
        <v>2224</v>
      </c>
      <c r="B633">
        <v>44088</v>
      </c>
      <c r="C633">
        <v>13685</v>
      </c>
      <c r="D633">
        <v>385496</v>
      </c>
      <c r="E633">
        <v>266420</v>
      </c>
      <c r="F633">
        <v>10</v>
      </c>
      <c r="G633">
        <v>3.6</v>
      </c>
      <c r="H633">
        <v>12.7</v>
      </c>
      <c r="I633">
        <v>11.1</v>
      </c>
    </row>
    <row r="634" spans="1:9" ht="24" customHeight="1">
      <c r="A634" s="6" t="s">
        <v>2225</v>
      </c>
      <c r="B634">
        <v>1939</v>
      </c>
      <c r="C634">
        <v>1204</v>
      </c>
      <c r="D634">
        <v>243688</v>
      </c>
      <c r="E634">
        <v>190468</v>
      </c>
      <c r="F634">
        <v>6.3</v>
      </c>
      <c r="G634">
        <v>1.2</v>
      </c>
      <c r="H634">
        <v>0</v>
      </c>
      <c r="I634">
        <v>0</v>
      </c>
    </row>
    <row r="635" spans="1:9" ht="24" customHeight="1">
      <c r="A635" s="6" t="s">
        <v>2226</v>
      </c>
      <c r="B635">
        <v>3612</v>
      </c>
      <c r="C635">
        <v>1515</v>
      </c>
      <c r="D635">
        <v>313839</v>
      </c>
      <c r="E635">
        <v>224908</v>
      </c>
      <c r="F635">
        <v>13.3</v>
      </c>
      <c r="G635">
        <v>3.5</v>
      </c>
      <c r="H635">
        <v>1.5</v>
      </c>
      <c r="I635">
        <v>1.4</v>
      </c>
    </row>
    <row r="636" spans="1:9" ht="24" customHeight="1">
      <c r="A636" s="6" t="s">
        <v>2227</v>
      </c>
      <c r="B636">
        <v>6107</v>
      </c>
      <c r="C636">
        <v>1714</v>
      </c>
      <c r="D636">
        <v>386499</v>
      </c>
      <c r="E636">
        <v>272428</v>
      </c>
      <c r="F636">
        <v>9.6999999999999993</v>
      </c>
      <c r="G636">
        <v>4.0999999999999996</v>
      </c>
      <c r="H636">
        <v>11.8</v>
      </c>
      <c r="I636">
        <v>11.7</v>
      </c>
    </row>
    <row r="637" spans="1:9" ht="24" customHeight="1">
      <c r="A637" s="6" t="s">
        <v>2228</v>
      </c>
      <c r="B637">
        <v>5379</v>
      </c>
      <c r="C637">
        <v>2296</v>
      </c>
      <c r="D637">
        <v>425542</v>
      </c>
      <c r="E637">
        <v>300408</v>
      </c>
      <c r="F637">
        <v>12.1</v>
      </c>
      <c r="G637">
        <v>2.9</v>
      </c>
      <c r="H637">
        <v>16.8</v>
      </c>
      <c r="I637">
        <v>17.3</v>
      </c>
    </row>
    <row r="638" spans="1:9" ht="24" customHeight="1">
      <c r="A638" s="6" t="s">
        <v>2229</v>
      </c>
      <c r="B638">
        <v>4747</v>
      </c>
      <c r="C638">
        <v>1421</v>
      </c>
      <c r="D638">
        <v>435752</v>
      </c>
      <c r="E638">
        <v>269660</v>
      </c>
      <c r="F638">
        <v>11.3</v>
      </c>
      <c r="G638">
        <v>2</v>
      </c>
      <c r="H638">
        <v>21.6</v>
      </c>
      <c r="I638">
        <v>21.8</v>
      </c>
    </row>
    <row r="639" spans="1:9" ht="24" customHeight="1">
      <c r="A639" s="6" t="s">
        <v>2230</v>
      </c>
      <c r="B639">
        <v>2969</v>
      </c>
      <c r="C639">
        <v>736</v>
      </c>
      <c r="D639">
        <v>427998</v>
      </c>
      <c r="E639">
        <v>343972</v>
      </c>
      <c r="F639">
        <v>11.4</v>
      </c>
      <c r="G639">
        <v>2.5</v>
      </c>
      <c r="H639">
        <v>27</v>
      </c>
      <c r="I639">
        <v>26.5</v>
      </c>
    </row>
    <row r="640" spans="1:9" ht="24" customHeight="1">
      <c r="A640" s="6" t="s">
        <v>2231</v>
      </c>
      <c r="B640">
        <v>6893</v>
      </c>
      <c r="C640">
        <v>2019</v>
      </c>
      <c r="D640">
        <v>364307</v>
      </c>
      <c r="E640">
        <v>250146</v>
      </c>
      <c r="F640">
        <v>8.4</v>
      </c>
      <c r="G640">
        <v>4.7</v>
      </c>
      <c r="H640">
        <v>3.4</v>
      </c>
      <c r="I640">
        <v>3.5</v>
      </c>
    </row>
    <row r="641" spans="1:9" ht="24" customHeight="1">
      <c r="A641" s="6" t="s">
        <v>2232</v>
      </c>
      <c r="B641">
        <v>3618</v>
      </c>
      <c r="C641">
        <v>504</v>
      </c>
      <c r="D641">
        <v>433466</v>
      </c>
      <c r="E641">
        <v>295360</v>
      </c>
      <c r="F641">
        <v>8.1999999999999993</v>
      </c>
      <c r="G641">
        <v>2.5</v>
      </c>
      <c r="H641">
        <v>34.4</v>
      </c>
      <c r="I641">
        <v>33.5</v>
      </c>
    </row>
    <row r="642" spans="1:9" ht="24" customHeight="1">
      <c r="A642" s="6" t="s">
        <v>2233</v>
      </c>
      <c r="B642">
        <v>8980</v>
      </c>
      <c r="C642">
        <v>2843</v>
      </c>
      <c r="D642">
        <v>373258</v>
      </c>
      <c r="E642">
        <v>253228</v>
      </c>
      <c r="F642">
        <v>9.1</v>
      </c>
      <c r="G642">
        <v>4.8</v>
      </c>
      <c r="H642">
        <v>7</v>
      </c>
      <c r="I642">
        <v>7.2</v>
      </c>
    </row>
    <row r="643" spans="1:9" ht="24" customHeight="1">
      <c r="A643" s="6" t="s">
        <v>2234</v>
      </c>
      <c r="B643">
        <v>24136</v>
      </c>
      <c r="C643">
        <v>5401</v>
      </c>
      <c r="D643">
        <v>389928</v>
      </c>
      <c r="E643">
        <v>283971</v>
      </c>
      <c r="F643">
        <v>12.2</v>
      </c>
      <c r="G643">
        <v>7.4</v>
      </c>
      <c r="H643">
        <v>15.4</v>
      </c>
      <c r="I643">
        <v>12.2</v>
      </c>
    </row>
    <row r="644" spans="1:9" ht="24" customHeight="1">
      <c r="A644" s="6" t="s">
        <v>2235</v>
      </c>
      <c r="B644">
        <v>1420</v>
      </c>
      <c r="C644">
        <v>289</v>
      </c>
      <c r="D644">
        <v>244568</v>
      </c>
      <c r="E644">
        <v>213803</v>
      </c>
      <c r="F644">
        <v>5.2</v>
      </c>
      <c r="G644">
        <v>2.5</v>
      </c>
      <c r="H644">
        <v>0</v>
      </c>
      <c r="I644">
        <v>0</v>
      </c>
    </row>
    <row r="645" spans="1:9" ht="24" customHeight="1">
      <c r="A645" s="6" t="s">
        <v>2236</v>
      </c>
      <c r="B645">
        <v>2536</v>
      </c>
      <c r="C645">
        <v>835</v>
      </c>
      <c r="D645">
        <v>273830</v>
      </c>
      <c r="E645">
        <v>215826</v>
      </c>
      <c r="F645">
        <v>10.6</v>
      </c>
      <c r="G645">
        <v>5.3</v>
      </c>
      <c r="H645">
        <v>1.4</v>
      </c>
      <c r="I645">
        <v>1</v>
      </c>
    </row>
    <row r="646" spans="1:9" ht="24" customHeight="1">
      <c r="A646" s="6" t="s">
        <v>2237</v>
      </c>
      <c r="B646">
        <v>3052</v>
      </c>
      <c r="C646">
        <v>658</v>
      </c>
      <c r="D646">
        <v>378007</v>
      </c>
      <c r="E646">
        <v>293439</v>
      </c>
      <c r="F646">
        <v>18.5</v>
      </c>
      <c r="G646">
        <v>4.5</v>
      </c>
      <c r="H646">
        <v>12.2</v>
      </c>
      <c r="I646">
        <v>13</v>
      </c>
    </row>
    <row r="647" spans="1:9" ht="24" customHeight="1">
      <c r="A647" s="6" t="s">
        <v>2238</v>
      </c>
      <c r="B647">
        <v>3171</v>
      </c>
      <c r="C647">
        <v>687</v>
      </c>
      <c r="D647">
        <v>417292</v>
      </c>
      <c r="E647">
        <v>303298</v>
      </c>
      <c r="F647">
        <v>12.1</v>
      </c>
      <c r="G647">
        <v>11.3</v>
      </c>
      <c r="H647">
        <v>17</v>
      </c>
      <c r="I647">
        <v>17.2</v>
      </c>
    </row>
    <row r="648" spans="1:9" ht="24" customHeight="1">
      <c r="A648" s="6" t="s">
        <v>2239</v>
      </c>
      <c r="B648">
        <v>2071</v>
      </c>
      <c r="C648">
        <v>268</v>
      </c>
      <c r="D648">
        <v>456849</v>
      </c>
      <c r="E648">
        <v>279549</v>
      </c>
      <c r="F648">
        <v>9.1</v>
      </c>
      <c r="G648">
        <v>10.7</v>
      </c>
      <c r="H648">
        <v>21.8</v>
      </c>
      <c r="I648">
        <v>22.4</v>
      </c>
    </row>
    <row r="649" spans="1:9" ht="24" customHeight="1">
      <c r="A649" s="6" t="s">
        <v>2240</v>
      </c>
      <c r="B649">
        <v>2631</v>
      </c>
      <c r="C649">
        <v>377</v>
      </c>
      <c r="D649">
        <v>447173</v>
      </c>
      <c r="E649">
        <v>311345</v>
      </c>
      <c r="F649">
        <v>11.4</v>
      </c>
      <c r="G649">
        <v>4.2</v>
      </c>
      <c r="H649">
        <v>27</v>
      </c>
      <c r="I649">
        <v>26.7</v>
      </c>
    </row>
    <row r="650" spans="1:9" ht="24" customHeight="1">
      <c r="A650" s="6" t="s">
        <v>2241</v>
      </c>
      <c r="B650">
        <v>1463</v>
      </c>
      <c r="C650">
        <v>763</v>
      </c>
      <c r="D650">
        <v>325464</v>
      </c>
      <c r="E650">
        <v>278920</v>
      </c>
      <c r="F650">
        <v>14.6</v>
      </c>
      <c r="G650">
        <v>7.6</v>
      </c>
      <c r="H650">
        <v>3.6</v>
      </c>
      <c r="I650">
        <v>3.6</v>
      </c>
    </row>
    <row r="651" spans="1:9" ht="24" customHeight="1">
      <c r="A651" s="6" t="s">
        <v>2242</v>
      </c>
      <c r="B651">
        <v>3573</v>
      </c>
      <c r="C651">
        <v>623</v>
      </c>
      <c r="D651">
        <v>505527</v>
      </c>
      <c r="E651">
        <v>378658</v>
      </c>
      <c r="F651">
        <v>9.9</v>
      </c>
      <c r="G651">
        <v>9.9</v>
      </c>
      <c r="H651">
        <v>35.299999999999997</v>
      </c>
      <c r="I651">
        <v>33.1</v>
      </c>
    </row>
    <row r="652" spans="1:9" ht="24" customHeight="1">
      <c r="A652" s="6" t="s">
        <v>2243</v>
      </c>
      <c r="B652">
        <v>4284</v>
      </c>
      <c r="C652">
        <v>945</v>
      </c>
      <c r="D652">
        <v>351704</v>
      </c>
      <c r="E652">
        <v>270114</v>
      </c>
      <c r="F652">
        <v>14.1</v>
      </c>
      <c r="G652">
        <v>8.1</v>
      </c>
      <c r="H652">
        <v>7.1</v>
      </c>
      <c r="I652">
        <v>6.3</v>
      </c>
    </row>
    <row r="653" spans="1:9" ht="24" customHeight="1">
      <c r="A653" s="6" t="s">
        <v>2244</v>
      </c>
      <c r="B653">
        <v>14846</v>
      </c>
      <c r="C653">
        <v>3711</v>
      </c>
      <c r="D653">
        <v>441274</v>
      </c>
      <c r="E653">
        <v>300355</v>
      </c>
      <c r="F653">
        <v>14.6</v>
      </c>
      <c r="G653">
        <v>6.3</v>
      </c>
      <c r="H653">
        <v>16.3</v>
      </c>
      <c r="I653">
        <v>11.9</v>
      </c>
    </row>
    <row r="654" spans="1:9" ht="24" customHeight="1">
      <c r="A654" s="6" t="s">
        <v>2245</v>
      </c>
      <c r="B654">
        <v>434</v>
      </c>
      <c r="C654">
        <v>345</v>
      </c>
      <c r="D654">
        <v>224702</v>
      </c>
      <c r="E654">
        <v>197532</v>
      </c>
      <c r="F654">
        <v>6.3</v>
      </c>
      <c r="G654">
        <v>1.2</v>
      </c>
      <c r="H654">
        <v>0</v>
      </c>
      <c r="I654">
        <v>0</v>
      </c>
    </row>
    <row r="655" spans="1:9" ht="24" customHeight="1">
      <c r="A655" s="6" t="s">
        <v>2246</v>
      </c>
      <c r="B655">
        <v>898</v>
      </c>
      <c r="C655">
        <v>325</v>
      </c>
      <c r="D655">
        <v>320876</v>
      </c>
      <c r="E655">
        <v>267234</v>
      </c>
      <c r="F655">
        <v>16.899999999999999</v>
      </c>
      <c r="G655">
        <v>5.8</v>
      </c>
      <c r="H655">
        <v>1.4</v>
      </c>
      <c r="I655">
        <v>1.5</v>
      </c>
    </row>
    <row r="656" spans="1:9" ht="24" customHeight="1">
      <c r="A656" s="6" t="s">
        <v>2247</v>
      </c>
      <c r="B656">
        <v>1368</v>
      </c>
      <c r="C656">
        <v>478</v>
      </c>
      <c r="D656">
        <v>437324</v>
      </c>
      <c r="E656">
        <v>296960</v>
      </c>
      <c r="F656">
        <v>15.6</v>
      </c>
      <c r="G656">
        <v>6.8</v>
      </c>
      <c r="H656">
        <v>11.9</v>
      </c>
      <c r="I656">
        <v>11.7</v>
      </c>
    </row>
    <row r="657" spans="1:9" ht="24" customHeight="1">
      <c r="A657" s="6" t="s">
        <v>2248</v>
      </c>
      <c r="B657">
        <v>2847</v>
      </c>
      <c r="C657">
        <v>466</v>
      </c>
      <c r="D657">
        <v>443458</v>
      </c>
      <c r="E657">
        <v>333118</v>
      </c>
      <c r="F657">
        <v>15.4</v>
      </c>
      <c r="G657">
        <v>5.5</v>
      </c>
      <c r="H657">
        <v>17.100000000000001</v>
      </c>
      <c r="I657">
        <v>16.600000000000001</v>
      </c>
    </row>
    <row r="658" spans="1:9" ht="24" customHeight="1">
      <c r="A658" s="6" t="s">
        <v>2249</v>
      </c>
      <c r="B658">
        <v>1281</v>
      </c>
      <c r="C658">
        <v>213</v>
      </c>
      <c r="D658">
        <v>498252</v>
      </c>
      <c r="E658">
        <v>334919</v>
      </c>
      <c r="F658">
        <v>11.8</v>
      </c>
      <c r="G658">
        <v>4.8</v>
      </c>
      <c r="H658">
        <v>21.8</v>
      </c>
      <c r="I658">
        <v>22</v>
      </c>
    </row>
    <row r="659" spans="1:9" ht="24" customHeight="1">
      <c r="A659" s="6" t="s">
        <v>2250</v>
      </c>
      <c r="B659">
        <v>1332</v>
      </c>
      <c r="C659">
        <v>256</v>
      </c>
      <c r="D659">
        <v>553230</v>
      </c>
      <c r="E659">
        <v>370768</v>
      </c>
      <c r="F659">
        <v>13.4</v>
      </c>
      <c r="G659">
        <v>7.6</v>
      </c>
      <c r="H659">
        <v>26.7</v>
      </c>
      <c r="I659">
        <v>27.3</v>
      </c>
    </row>
    <row r="660" spans="1:9" ht="24" customHeight="1">
      <c r="A660" s="6" t="s">
        <v>2251</v>
      </c>
      <c r="B660">
        <v>1318</v>
      </c>
      <c r="C660">
        <v>519</v>
      </c>
      <c r="D660">
        <v>356103</v>
      </c>
      <c r="E660">
        <v>281231</v>
      </c>
      <c r="F660">
        <v>19.899999999999999</v>
      </c>
      <c r="G660">
        <v>8.5</v>
      </c>
      <c r="H660">
        <v>3.4</v>
      </c>
      <c r="I660">
        <v>3.6</v>
      </c>
    </row>
    <row r="661" spans="1:9" ht="24" customHeight="1">
      <c r="A661" s="6" t="s">
        <v>2252</v>
      </c>
      <c r="B661">
        <v>2623</v>
      </c>
      <c r="C661">
        <v>343</v>
      </c>
      <c r="D661">
        <v>571559</v>
      </c>
      <c r="E661">
        <v>394226</v>
      </c>
      <c r="F661">
        <v>12.8</v>
      </c>
      <c r="G661">
        <v>5.5</v>
      </c>
      <c r="H661">
        <v>34.200000000000003</v>
      </c>
      <c r="I661">
        <v>33.9</v>
      </c>
    </row>
    <row r="662" spans="1:9" ht="24" customHeight="1">
      <c r="A662" s="6" t="s">
        <v>2253</v>
      </c>
      <c r="B662">
        <v>2745</v>
      </c>
      <c r="C662">
        <v>785</v>
      </c>
      <c r="D662">
        <v>350076</v>
      </c>
      <c r="E662">
        <v>279502</v>
      </c>
      <c r="F662">
        <v>14.9</v>
      </c>
      <c r="G662">
        <v>7.9</v>
      </c>
      <c r="H662">
        <v>6.6</v>
      </c>
      <c r="I662">
        <v>6.8</v>
      </c>
    </row>
    <row r="663" spans="1:9" ht="24" customHeight="1">
      <c r="A663" s="6" t="s">
        <v>507</v>
      </c>
      <c r="B663">
        <v>132512</v>
      </c>
      <c r="C663">
        <v>46645</v>
      </c>
      <c r="D663">
        <v>447708</v>
      </c>
      <c r="E663">
        <v>314496</v>
      </c>
      <c r="F663">
        <v>16.2</v>
      </c>
      <c r="G663">
        <v>11.6</v>
      </c>
      <c r="H663">
        <v>17.7</v>
      </c>
      <c r="I663">
        <v>12.5</v>
      </c>
    </row>
    <row r="664" spans="1:9" ht="24" customHeight="1">
      <c r="A664" s="6" t="s">
        <v>508</v>
      </c>
      <c r="B664">
        <v>33601</v>
      </c>
      <c r="C664">
        <v>10320</v>
      </c>
      <c r="D664">
        <v>555765</v>
      </c>
      <c r="E664">
        <v>393912</v>
      </c>
      <c r="F664">
        <v>23.3</v>
      </c>
      <c r="G664">
        <v>17.100000000000001</v>
      </c>
      <c r="H664">
        <v>22.6</v>
      </c>
      <c r="I664">
        <v>12.5</v>
      </c>
    </row>
    <row r="665" spans="1:9" ht="24" customHeight="1">
      <c r="A665" s="6" t="s">
        <v>509</v>
      </c>
      <c r="B665">
        <v>1015</v>
      </c>
      <c r="C665">
        <v>911</v>
      </c>
      <c r="D665">
        <v>232939</v>
      </c>
      <c r="E665">
        <v>244162</v>
      </c>
      <c r="F665">
        <v>7.3</v>
      </c>
      <c r="G665">
        <v>9.8000000000000007</v>
      </c>
      <c r="H665">
        <v>0</v>
      </c>
      <c r="I665">
        <v>0</v>
      </c>
    </row>
    <row r="666" spans="1:9" ht="24" customHeight="1">
      <c r="A666" s="6" t="s">
        <v>2254</v>
      </c>
      <c r="B666">
        <v>1090</v>
      </c>
      <c r="C666">
        <v>1355</v>
      </c>
      <c r="D666">
        <v>349992</v>
      </c>
      <c r="E666">
        <v>310140</v>
      </c>
      <c r="F666">
        <v>26.6</v>
      </c>
      <c r="G666">
        <v>25.3</v>
      </c>
      <c r="H666">
        <v>1.4</v>
      </c>
      <c r="I666">
        <v>1.6</v>
      </c>
    </row>
    <row r="667" spans="1:9" ht="24" customHeight="1">
      <c r="A667" s="6" t="s">
        <v>2255</v>
      </c>
      <c r="B667">
        <v>2091</v>
      </c>
      <c r="C667">
        <v>1503</v>
      </c>
      <c r="D667">
        <v>463845</v>
      </c>
      <c r="E667">
        <v>372942</v>
      </c>
      <c r="F667">
        <v>25.7</v>
      </c>
      <c r="G667">
        <v>16.3</v>
      </c>
      <c r="H667">
        <v>12.2</v>
      </c>
      <c r="I667">
        <v>11.4</v>
      </c>
    </row>
    <row r="668" spans="1:9" ht="24" customHeight="1">
      <c r="A668" s="6" t="s">
        <v>2256</v>
      </c>
      <c r="B668">
        <v>3790</v>
      </c>
      <c r="C668">
        <v>1793</v>
      </c>
      <c r="D668">
        <v>572042</v>
      </c>
      <c r="E668">
        <v>444177</v>
      </c>
      <c r="F668">
        <v>25.2</v>
      </c>
      <c r="G668">
        <v>13.2</v>
      </c>
      <c r="H668">
        <v>16.899999999999999</v>
      </c>
      <c r="I668">
        <v>16.100000000000001</v>
      </c>
    </row>
    <row r="669" spans="1:9" ht="24" customHeight="1">
      <c r="A669" s="6" t="s">
        <v>2257</v>
      </c>
      <c r="B669">
        <v>3746</v>
      </c>
      <c r="C669">
        <v>649</v>
      </c>
      <c r="D669">
        <v>617975</v>
      </c>
      <c r="E669">
        <v>461465</v>
      </c>
      <c r="F669">
        <v>24.3</v>
      </c>
      <c r="G669">
        <v>14.2</v>
      </c>
      <c r="H669">
        <v>22.1</v>
      </c>
      <c r="I669">
        <v>21.2</v>
      </c>
    </row>
    <row r="670" spans="1:9" ht="24" customHeight="1">
      <c r="A670" s="6" t="s">
        <v>2258</v>
      </c>
      <c r="B670">
        <v>7019</v>
      </c>
      <c r="C670">
        <v>468</v>
      </c>
      <c r="D670">
        <v>611164</v>
      </c>
      <c r="E670">
        <v>424227</v>
      </c>
      <c r="F670">
        <v>23.7</v>
      </c>
      <c r="G670">
        <v>6.8</v>
      </c>
      <c r="H670">
        <v>27</v>
      </c>
      <c r="I670">
        <v>25.7</v>
      </c>
    </row>
    <row r="671" spans="1:9" ht="24" customHeight="1">
      <c r="A671" s="6" t="s">
        <v>2259</v>
      </c>
      <c r="B671">
        <v>1122</v>
      </c>
      <c r="C671">
        <v>857</v>
      </c>
      <c r="D671">
        <v>381515</v>
      </c>
      <c r="E671">
        <v>353830</v>
      </c>
      <c r="F671">
        <v>27.8</v>
      </c>
      <c r="G671">
        <v>22.2</v>
      </c>
      <c r="H671">
        <v>3.5</v>
      </c>
      <c r="I671">
        <v>3.4</v>
      </c>
    </row>
    <row r="672" spans="1:9" ht="24" customHeight="1">
      <c r="A672" s="6" t="s">
        <v>510</v>
      </c>
      <c r="B672">
        <v>10992</v>
      </c>
      <c r="C672">
        <v>1346</v>
      </c>
      <c r="D672">
        <v>613452</v>
      </c>
      <c r="E672">
        <v>545844</v>
      </c>
      <c r="F672">
        <v>20.5</v>
      </c>
      <c r="G672">
        <v>13.5</v>
      </c>
      <c r="H672">
        <v>34.1</v>
      </c>
      <c r="I672">
        <v>33.200000000000003</v>
      </c>
    </row>
    <row r="673" spans="1:9" ht="24" customHeight="1">
      <c r="A673" s="6" t="s">
        <v>2260</v>
      </c>
      <c r="B673">
        <v>2737</v>
      </c>
      <c r="C673">
        <v>1609</v>
      </c>
      <c r="D673">
        <v>417631</v>
      </c>
      <c r="E673">
        <v>367977</v>
      </c>
      <c r="F673">
        <v>30.5</v>
      </c>
      <c r="G673">
        <v>22.1</v>
      </c>
      <c r="H673">
        <v>6.8</v>
      </c>
      <c r="I673">
        <v>6.9</v>
      </c>
    </row>
    <row r="674" spans="1:9" ht="24" customHeight="1">
      <c r="A674" s="6" t="s">
        <v>2261</v>
      </c>
      <c r="B674">
        <v>51904</v>
      </c>
      <c r="C674">
        <v>20123</v>
      </c>
      <c r="D674">
        <v>378074</v>
      </c>
      <c r="E674">
        <v>267305</v>
      </c>
      <c r="F674">
        <v>7.6</v>
      </c>
      <c r="G674">
        <v>6.7</v>
      </c>
      <c r="H674">
        <v>15.1</v>
      </c>
      <c r="I674">
        <v>12.5</v>
      </c>
    </row>
    <row r="675" spans="1:9" ht="24" customHeight="1">
      <c r="A675" s="6" t="s">
        <v>2262</v>
      </c>
      <c r="B675">
        <v>2840</v>
      </c>
      <c r="C675">
        <v>1663</v>
      </c>
      <c r="D675">
        <v>272397</v>
      </c>
      <c r="E675">
        <v>216435</v>
      </c>
      <c r="F675">
        <v>11.9</v>
      </c>
      <c r="G675">
        <v>9.3000000000000007</v>
      </c>
      <c r="H675">
        <v>0</v>
      </c>
      <c r="I675">
        <v>0</v>
      </c>
    </row>
    <row r="676" spans="1:9" ht="24" customHeight="1">
      <c r="A676" s="6" t="s">
        <v>2263</v>
      </c>
      <c r="B676">
        <v>3212</v>
      </c>
      <c r="C676">
        <v>1646</v>
      </c>
      <c r="D676">
        <v>295159</v>
      </c>
      <c r="E676">
        <v>208952</v>
      </c>
      <c r="F676">
        <v>9.3000000000000007</v>
      </c>
      <c r="G676">
        <v>3.3</v>
      </c>
      <c r="H676">
        <v>1.4</v>
      </c>
      <c r="I676">
        <v>1.5</v>
      </c>
    </row>
    <row r="677" spans="1:9" ht="24" customHeight="1">
      <c r="A677" s="6" t="s">
        <v>2264</v>
      </c>
      <c r="B677">
        <v>8107</v>
      </c>
      <c r="C677">
        <v>2396</v>
      </c>
      <c r="D677">
        <v>375530</v>
      </c>
      <c r="E677">
        <v>278166</v>
      </c>
      <c r="F677">
        <v>6.6</v>
      </c>
      <c r="G677">
        <v>5.7</v>
      </c>
      <c r="H677">
        <v>12</v>
      </c>
      <c r="I677">
        <v>12.2</v>
      </c>
    </row>
    <row r="678" spans="1:9" ht="24" customHeight="1">
      <c r="A678" s="6" t="s">
        <v>2265</v>
      </c>
      <c r="B678">
        <v>7015</v>
      </c>
      <c r="C678">
        <v>2945</v>
      </c>
      <c r="D678">
        <v>415965</v>
      </c>
      <c r="E678">
        <v>249634</v>
      </c>
      <c r="F678">
        <v>10.5</v>
      </c>
      <c r="G678">
        <v>5.0999999999999996</v>
      </c>
      <c r="H678">
        <v>16.8</v>
      </c>
      <c r="I678">
        <v>16.899999999999999</v>
      </c>
    </row>
    <row r="679" spans="1:9" ht="24" customHeight="1">
      <c r="A679" s="6" t="s">
        <v>2266</v>
      </c>
      <c r="B679">
        <v>5548</v>
      </c>
      <c r="C679">
        <v>1968</v>
      </c>
      <c r="D679">
        <v>391941</v>
      </c>
      <c r="E679">
        <v>302209</v>
      </c>
      <c r="F679">
        <v>5</v>
      </c>
      <c r="G679">
        <v>4.4000000000000004</v>
      </c>
      <c r="H679">
        <v>21.9</v>
      </c>
      <c r="I679">
        <v>21.6</v>
      </c>
    </row>
    <row r="680" spans="1:9" ht="24" customHeight="1">
      <c r="A680" s="6" t="s">
        <v>2267</v>
      </c>
      <c r="B680">
        <v>4713</v>
      </c>
      <c r="C680">
        <v>1389</v>
      </c>
      <c r="D680">
        <v>396683</v>
      </c>
      <c r="E680">
        <v>286191</v>
      </c>
      <c r="F680">
        <v>6.2</v>
      </c>
      <c r="G680">
        <v>2.9</v>
      </c>
      <c r="H680">
        <v>26.6</v>
      </c>
      <c r="I680">
        <v>26.7</v>
      </c>
    </row>
    <row r="681" spans="1:9" ht="24" customHeight="1">
      <c r="A681" s="6" t="s">
        <v>2268</v>
      </c>
      <c r="B681">
        <v>4002</v>
      </c>
      <c r="C681">
        <v>3513</v>
      </c>
      <c r="D681">
        <v>307015</v>
      </c>
      <c r="E681">
        <v>258927</v>
      </c>
      <c r="F681">
        <v>8.3000000000000007</v>
      </c>
      <c r="G681">
        <v>7.8</v>
      </c>
      <c r="H681">
        <v>3.6</v>
      </c>
      <c r="I681">
        <v>3.6</v>
      </c>
    </row>
    <row r="682" spans="1:9" ht="24" customHeight="1">
      <c r="A682" s="6" t="s">
        <v>2269</v>
      </c>
      <c r="B682">
        <v>6783</v>
      </c>
      <c r="C682">
        <v>2033</v>
      </c>
      <c r="D682">
        <v>440453</v>
      </c>
      <c r="E682">
        <v>278149</v>
      </c>
      <c r="F682">
        <v>4.2</v>
      </c>
      <c r="G682">
        <v>6.6</v>
      </c>
      <c r="H682">
        <v>35.299999999999997</v>
      </c>
      <c r="I682">
        <v>32.6</v>
      </c>
    </row>
    <row r="683" spans="1:9" ht="24" customHeight="1">
      <c r="A683" s="6" t="s">
        <v>2270</v>
      </c>
      <c r="B683">
        <v>9781</v>
      </c>
      <c r="C683">
        <v>3691</v>
      </c>
      <c r="D683">
        <v>377699</v>
      </c>
      <c r="E683">
        <v>267042</v>
      </c>
      <c r="F683">
        <v>8.9</v>
      </c>
      <c r="G683">
        <v>8.6999999999999993</v>
      </c>
      <c r="H683">
        <v>6.8</v>
      </c>
      <c r="I683">
        <v>6.5</v>
      </c>
    </row>
    <row r="684" spans="1:9" ht="24" customHeight="1">
      <c r="A684" s="6" t="s">
        <v>2271</v>
      </c>
      <c r="B684">
        <v>33414</v>
      </c>
      <c r="C684">
        <v>10673</v>
      </c>
      <c r="D684">
        <v>433555</v>
      </c>
      <c r="E684">
        <v>305615</v>
      </c>
      <c r="F684">
        <v>22.8</v>
      </c>
      <c r="G684">
        <v>16.7</v>
      </c>
      <c r="H684">
        <v>16</v>
      </c>
      <c r="I684">
        <v>11.7</v>
      </c>
    </row>
    <row r="685" spans="1:9" ht="24" customHeight="1">
      <c r="A685" s="6" t="s">
        <v>2272</v>
      </c>
      <c r="B685">
        <v>822</v>
      </c>
      <c r="C685">
        <v>633</v>
      </c>
      <c r="D685">
        <v>260004</v>
      </c>
      <c r="E685">
        <v>202166</v>
      </c>
      <c r="F685">
        <v>23.3</v>
      </c>
      <c r="G685">
        <v>13.6</v>
      </c>
      <c r="H685">
        <v>0</v>
      </c>
      <c r="I685">
        <v>0</v>
      </c>
    </row>
    <row r="686" spans="1:9" ht="24" customHeight="1">
      <c r="A686" s="6" t="s">
        <v>2273</v>
      </c>
      <c r="B686">
        <v>2632</v>
      </c>
      <c r="C686">
        <v>1184</v>
      </c>
      <c r="D686">
        <v>375740</v>
      </c>
      <c r="E686">
        <v>265274</v>
      </c>
      <c r="F686">
        <v>26.8</v>
      </c>
      <c r="G686">
        <v>9.1</v>
      </c>
      <c r="H686">
        <v>1.6</v>
      </c>
      <c r="I686">
        <v>1.6</v>
      </c>
    </row>
    <row r="687" spans="1:9" ht="24" customHeight="1">
      <c r="A687" s="6" t="s">
        <v>2274</v>
      </c>
      <c r="B687">
        <v>2871</v>
      </c>
      <c r="C687">
        <v>1104</v>
      </c>
      <c r="D687">
        <v>396331</v>
      </c>
      <c r="E687">
        <v>304504</v>
      </c>
      <c r="F687">
        <v>26.1</v>
      </c>
      <c r="G687">
        <v>17.399999999999999</v>
      </c>
      <c r="H687">
        <v>12.1</v>
      </c>
      <c r="I687">
        <v>11.6</v>
      </c>
    </row>
    <row r="688" spans="1:9" ht="24" customHeight="1">
      <c r="A688" s="6" t="s">
        <v>2275</v>
      </c>
      <c r="B688">
        <v>4672</v>
      </c>
      <c r="C688">
        <v>1255</v>
      </c>
      <c r="D688">
        <v>452813</v>
      </c>
      <c r="E688">
        <v>330361</v>
      </c>
      <c r="F688">
        <v>25.5</v>
      </c>
      <c r="G688">
        <v>14.8</v>
      </c>
      <c r="H688">
        <v>16.899999999999999</v>
      </c>
      <c r="I688">
        <v>16.8</v>
      </c>
    </row>
    <row r="689" spans="1:9" ht="24" customHeight="1">
      <c r="A689" s="6" t="s">
        <v>2276</v>
      </c>
      <c r="B689">
        <v>5305</v>
      </c>
      <c r="C689">
        <v>1307</v>
      </c>
      <c r="D689">
        <v>491027</v>
      </c>
      <c r="E689">
        <v>360841</v>
      </c>
      <c r="F689">
        <v>25.3</v>
      </c>
      <c r="G689">
        <v>20</v>
      </c>
      <c r="H689">
        <v>21.7</v>
      </c>
      <c r="I689">
        <v>22.1</v>
      </c>
    </row>
    <row r="690" spans="1:9" ht="24" customHeight="1">
      <c r="A690" s="6" t="s">
        <v>2277</v>
      </c>
      <c r="B690">
        <v>4663</v>
      </c>
      <c r="C690">
        <v>629</v>
      </c>
      <c r="D690">
        <v>510579</v>
      </c>
      <c r="E690">
        <v>327082</v>
      </c>
      <c r="F690">
        <v>16.7</v>
      </c>
      <c r="G690">
        <v>12.3</v>
      </c>
      <c r="H690">
        <v>26.8</v>
      </c>
      <c r="I690">
        <v>26.8</v>
      </c>
    </row>
    <row r="691" spans="1:9" ht="24" customHeight="1">
      <c r="A691" s="6" t="s">
        <v>2278</v>
      </c>
      <c r="B691">
        <v>3827</v>
      </c>
      <c r="C691">
        <v>1847</v>
      </c>
      <c r="D691">
        <v>358018</v>
      </c>
      <c r="E691">
        <v>300927</v>
      </c>
      <c r="F691">
        <v>25</v>
      </c>
      <c r="G691">
        <v>28.5</v>
      </c>
      <c r="H691">
        <v>3.7</v>
      </c>
      <c r="I691">
        <v>3.9</v>
      </c>
    </row>
    <row r="692" spans="1:9" ht="24" customHeight="1">
      <c r="A692" s="6" t="s">
        <v>2279</v>
      </c>
      <c r="B692">
        <v>3959</v>
      </c>
      <c r="C692">
        <v>707</v>
      </c>
      <c r="D692">
        <v>471516</v>
      </c>
      <c r="E692">
        <v>353572</v>
      </c>
      <c r="F692">
        <v>12</v>
      </c>
      <c r="G692">
        <v>12.6</v>
      </c>
      <c r="H692">
        <v>33.700000000000003</v>
      </c>
      <c r="I692">
        <v>33.9</v>
      </c>
    </row>
    <row r="693" spans="1:9" ht="24" customHeight="1">
      <c r="A693" s="6" t="s">
        <v>2280</v>
      </c>
      <c r="B693">
        <v>4700</v>
      </c>
      <c r="C693">
        <v>2123</v>
      </c>
      <c r="D693">
        <v>387437</v>
      </c>
      <c r="E693">
        <v>286740</v>
      </c>
      <c r="F693">
        <v>25.9</v>
      </c>
      <c r="G693">
        <v>12.3</v>
      </c>
      <c r="H693">
        <v>6.8</v>
      </c>
      <c r="I693">
        <v>6.6</v>
      </c>
    </row>
    <row r="694" spans="1:9" ht="24" customHeight="1">
      <c r="A694" s="6" t="s">
        <v>2281</v>
      </c>
      <c r="B694">
        <v>13594</v>
      </c>
      <c r="C694">
        <v>5529</v>
      </c>
      <c r="D694">
        <v>481278</v>
      </c>
      <c r="E694">
        <v>355157</v>
      </c>
      <c r="F694">
        <v>15.5</v>
      </c>
      <c r="G694">
        <v>9.6</v>
      </c>
      <c r="H694">
        <v>19.2</v>
      </c>
      <c r="I694">
        <v>14.1</v>
      </c>
    </row>
    <row r="695" spans="1:9" ht="24" customHeight="1">
      <c r="A695" s="6" t="s">
        <v>2282</v>
      </c>
      <c r="B695">
        <v>520</v>
      </c>
      <c r="C695">
        <v>321</v>
      </c>
      <c r="D695">
        <v>295614</v>
      </c>
      <c r="E695">
        <v>225375</v>
      </c>
      <c r="F695">
        <v>10.9</v>
      </c>
      <c r="G695">
        <v>1.8</v>
      </c>
      <c r="H695">
        <v>0</v>
      </c>
      <c r="I695">
        <v>0</v>
      </c>
    </row>
    <row r="696" spans="1:9" ht="24" customHeight="1">
      <c r="A696" s="6" t="s">
        <v>2283</v>
      </c>
      <c r="B696">
        <v>850</v>
      </c>
      <c r="C696">
        <v>777</v>
      </c>
      <c r="D696">
        <v>376582</v>
      </c>
      <c r="E696">
        <v>322994</v>
      </c>
      <c r="F696">
        <v>24.3</v>
      </c>
      <c r="G696">
        <v>13.7</v>
      </c>
      <c r="H696">
        <v>1.2</v>
      </c>
      <c r="I696">
        <v>1.4</v>
      </c>
    </row>
    <row r="697" spans="1:9" ht="24" customHeight="1">
      <c r="A697" s="6" t="s">
        <v>2284</v>
      </c>
      <c r="B697">
        <v>1010</v>
      </c>
      <c r="C697">
        <v>406</v>
      </c>
      <c r="D697">
        <v>451778</v>
      </c>
      <c r="E697">
        <v>345043</v>
      </c>
      <c r="F697">
        <v>21.8</v>
      </c>
      <c r="G697">
        <v>12.7</v>
      </c>
      <c r="H697">
        <v>12</v>
      </c>
      <c r="I697">
        <v>12.1</v>
      </c>
    </row>
    <row r="698" spans="1:9" ht="24" customHeight="1">
      <c r="A698" s="6" t="s">
        <v>2285</v>
      </c>
      <c r="B698">
        <v>1545</v>
      </c>
      <c r="C698">
        <v>845</v>
      </c>
      <c r="D698">
        <v>461328</v>
      </c>
      <c r="E698">
        <v>304061</v>
      </c>
      <c r="F698">
        <v>16</v>
      </c>
      <c r="G698">
        <v>3.3</v>
      </c>
      <c r="H698">
        <v>16.899999999999999</v>
      </c>
      <c r="I698">
        <v>16.8</v>
      </c>
    </row>
    <row r="699" spans="1:9" ht="24" customHeight="1">
      <c r="A699" s="6" t="s">
        <v>2286</v>
      </c>
      <c r="B699">
        <v>1610</v>
      </c>
      <c r="C699">
        <v>352</v>
      </c>
      <c r="D699">
        <v>603600</v>
      </c>
      <c r="E699">
        <v>423067</v>
      </c>
      <c r="F699">
        <v>11.7</v>
      </c>
      <c r="G699">
        <v>13</v>
      </c>
      <c r="H699">
        <v>21.9</v>
      </c>
      <c r="I699">
        <v>22.5</v>
      </c>
    </row>
    <row r="700" spans="1:9" ht="24" customHeight="1">
      <c r="A700" s="6" t="s">
        <v>2287</v>
      </c>
      <c r="B700">
        <v>2305</v>
      </c>
      <c r="C700">
        <v>631</v>
      </c>
      <c r="D700">
        <v>581058</v>
      </c>
      <c r="E700">
        <v>422396</v>
      </c>
      <c r="F700">
        <v>12.3</v>
      </c>
      <c r="G700">
        <v>11.3</v>
      </c>
      <c r="H700">
        <v>26.9</v>
      </c>
      <c r="I700">
        <v>26.6</v>
      </c>
    </row>
    <row r="701" spans="1:9" ht="24" customHeight="1">
      <c r="A701" s="6" t="s">
        <v>2288</v>
      </c>
      <c r="B701">
        <v>712</v>
      </c>
      <c r="C701">
        <v>516</v>
      </c>
      <c r="D701">
        <v>404216</v>
      </c>
      <c r="E701">
        <v>322374</v>
      </c>
      <c r="F701">
        <v>25.9</v>
      </c>
      <c r="G701">
        <v>10.6</v>
      </c>
      <c r="H701">
        <v>3.3</v>
      </c>
      <c r="I701">
        <v>3.5</v>
      </c>
    </row>
    <row r="702" spans="1:9" ht="24" customHeight="1">
      <c r="A702" s="6" t="s">
        <v>2289</v>
      </c>
      <c r="B702">
        <v>3262</v>
      </c>
      <c r="C702">
        <v>819</v>
      </c>
      <c r="D702">
        <v>485968</v>
      </c>
      <c r="E702">
        <v>428620</v>
      </c>
      <c r="F702">
        <v>9.9</v>
      </c>
      <c r="G702">
        <v>6.9</v>
      </c>
      <c r="H702">
        <v>34</v>
      </c>
      <c r="I702">
        <v>33.200000000000003</v>
      </c>
    </row>
    <row r="703" spans="1:9" ht="24" customHeight="1">
      <c r="A703" s="6" t="s">
        <v>2290</v>
      </c>
      <c r="B703">
        <v>1883</v>
      </c>
      <c r="C703">
        <v>1030</v>
      </c>
      <c r="D703">
        <v>406995</v>
      </c>
      <c r="E703">
        <v>341740</v>
      </c>
      <c r="F703">
        <v>22.4</v>
      </c>
      <c r="G703">
        <v>10.8</v>
      </c>
      <c r="H703">
        <v>6.8</v>
      </c>
      <c r="I703">
        <v>6.7</v>
      </c>
    </row>
    <row r="704" spans="1:9" ht="24" customHeight="1">
      <c r="A704" s="6" t="s">
        <v>511</v>
      </c>
      <c r="B704">
        <v>276986</v>
      </c>
      <c r="C704">
        <v>82470</v>
      </c>
      <c r="D704">
        <v>595434</v>
      </c>
      <c r="E704">
        <v>461976</v>
      </c>
      <c r="F704">
        <v>12.5</v>
      </c>
      <c r="G704">
        <v>9.4</v>
      </c>
      <c r="H704">
        <v>15.4</v>
      </c>
      <c r="I704">
        <v>12.1</v>
      </c>
    </row>
    <row r="705" spans="1:9" ht="24" customHeight="1">
      <c r="A705" s="6" t="s">
        <v>512</v>
      </c>
      <c r="B705">
        <v>119490</v>
      </c>
      <c r="C705">
        <v>31403</v>
      </c>
      <c r="D705">
        <v>711663</v>
      </c>
      <c r="E705">
        <v>575397</v>
      </c>
      <c r="F705">
        <v>12</v>
      </c>
      <c r="G705">
        <v>8.6</v>
      </c>
      <c r="H705">
        <v>17.2</v>
      </c>
      <c r="I705">
        <v>14.7</v>
      </c>
    </row>
    <row r="706" spans="1:9" ht="24" customHeight="1">
      <c r="A706" s="6" t="s">
        <v>513</v>
      </c>
      <c r="B706">
        <v>5379</v>
      </c>
      <c r="C706">
        <v>2036</v>
      </c>
      <c r="D706">
        <v>354167</v>
      </c>
      <c r="E706">
        <v>388967</v>
      </c>
      <c r="F706">
        <v>6.9</v>
      </c>
      <c r="G706">
        <v>5.5</v>
      </c>
      <c r="H706">
        <v>0</v>
      </c>
      <c r="I706">
        <v>0</v>
      </c>
    </row>
    <row r="707" spans="1:9" ht="24" customHeight="1">
      <c r="A707" s="6" t="s">
        <v>2291</v>
      </c>
      <c r="B707">
        <v>9025</v>
      </c>
      <c r="C707">
        <v>4084</v>
      </c>
      <c r="D707">
        <v>511622</v>
      </c>
      <c r="E707">
        <v>484246</v>
      </c>
      <c r="F707">
        <v>15.1</v>
      </c>
      <c r="G707">
        <v>13.1</v>
      </c>
      <c r="H707">
        <v>1.4</v>
      </c>
      <c r="I707">
        <v>1.5</v>
      </c>
    </row>
    <row r="708" spans="1:9" ht="24" customHeight="1">
      <c r="A708" s="6" t="s">
        <v>2292</v>
      </c>
      <c r="B708">
        <v>14841</v>
      </c>
      <c r="C708">
        <v>4397</v>
      </c>
      <c r="D708">
        <v>632246</v>
      </c>
      <c r="E708">
        <v>574053</v>
      </c>
      <c r="F708">
        <v>15.8</v>
      </c>
      <c r="G708">
        <v>7.4</v>
      </c>
      <c r="H708">
        <v>12.1</v>
      </c>
      <c r="I708">
        <v>12</v>
      </c>
    </row>
    <row r="709" spans="1:9" ht="24" customHeight="1">
      <c r="A709" s="6" t="s">
        <v>2293</v>
      </c>
      <c r="B709">
        <v>16651</v>
      </c>
      <c r="C709">
        <v>2796</v>
      </c>
      <c r="D709">
        <v>770773</v>
      </c>
      <c r="E709">
        <v>655085</v>
      </c>
      <c r="F709">
        <v>10.8</v>
      </c>
      <c r="G709">
        <v>5.6</v>
      </c>
      <c r="H709">
        <v>16.600000000000001</v>
      </c>
      <c r="I709">
        <v>16.600000000000001</v>
      </c>
    </row>
    <row r="710" spans="1:9" ht="24" customHeight="1">
      <c r="A710" s="6" t="s">
        <v>2294</v>
      </c>
      <c r="B710">
        <v>9518</v>
      </c>
      <c r="C710">
        <v>2001</v>
      </c>
      <c r="D710">
        <v>896196</v>
      </c>
      <c r="E710">
        <v>703111</v>
      </c>
      <c r="F710">
        <v>9.1999999999999993</v>
      </c>
      <c r="G710">
        <v>5.2</v>
      </c>
      <c r="H710">
        <v>22</v>
      </c>
      <c r="I710">
        <v>21.6</v>
      </c>
    </row>
    <row r="711" spans="1:9" ht="24" customHeight="1">
      <c r="A711" s="6" t="s">
        <v>2295</v>
      </c>
      <c r="B711">
        <v>10986</v>
      </c>
      <c r="C711">
        <v>2947</v>
      </c>
      <c r="D711">
        <v>891440</v>
      </c>
      <c r="E711">
        <v>623935</v>
      </c>
      <c r="F711">
        <v>8.6999999999999993</v>
      </c>
      <c r="G711">
        <v>6.7</v>
      </c>
      <c r="H711">
        <v>26.7</v>
      </c>
      <c r="I711">
        <v>26.7</v>
      </c>
    </row>
    <row r="712" spans="1:9" ht="24" customHeight="1">
      <c r="A712" s="6" t="s">
        <v>2296</v>
      </c>
      <c r="B712">
        <v>9154</v>
      </c>
      <c r="C712">
        <v>3053</v>
      </c>
      <c r="D712">
        <v>553120</v>
      </c>
      <c r="E712">
        <v>532723</v>
      </c>
      <c r="F712">
        <v>14</v>
      </c>
      <c r="G712">
        <v>9.8000000000000007</v>
      </c>
      <c r="H712">
        <v>3.5</v>
      </c>
      <c r="I712">
        <v>3.5</v>
      </c>
    </row>
    <row r="713" spans="1:9" ht="24" customHeight="1">
      <c r="A713" s="6" t="s">
        <v>514</v>
      </c>
      <c r="B713">
        <v>27815</v>
      </c>
      <c r="C713">
        <v>5744</v>
      </c>
      <c r="D713">
        <v>821149</v>
      </c>
      <c r="E713">
        <v>606591</v>
      </c>
      <c r="F713">
        <v>9.6</v>
      </c>
      <c r="G713">
        <v>7.8</v>
      </c>
      <c r="H713">
        <v>34.200000000000003</v>
      </c>
      <c r="I713">
        <v>34</v>
      </c>
    </row>
    <row r="714" spans="1:9" ht="24" customHeight="1">
      <c r="A714" s="6" t="s">
        <v>2297</v>
      </c>
      <c r="B714">
        <v>16393</v>
      </c>
      <c r="C714">
        <v>4699</v>
      </c>
      <c r="D714">
        <v>624528</v>
      </c>
      <c r="E714">
        <v>579350</v>
      </c>
      <c r="F714">
        <v>16.5</v>
      </c>
      <c r="G714">
        <v>11.4</v>
      </c>
      <c r="H714">
        <v>6.7</v>
      </c>
      <c r="I714">
        <v>6.7</v>
      </c>
    </row>
    <row r="715" spans="1:9" ht="24" customHeight="1">
      <c r="A715" s="6" t="s">
        <v>2298</v>
      </c>
      <c r="B715">
        <v>34289</v>
      </c>
      <c r="C715">
        <v>15217</v>
      </c>
      <c r="D715">
        <v>478284</v>
      </c>
      <c r="E715">
        <v>374990</v>
      </c>
      <c r="F715">
        <v>9.9</v>
      </c>
      <c r="G715">
        <v>9.1</v>
      </c>
      <c r="H715">
        <v>12.3</v>
      </c>
      <c r="I715">
        <v>9.8000000000000007</v>
      </c>
    </row>
    <row r="716" spans="1:9" ht="24" customHeight="1">
      <c r="A716" s="6" t="s">
        <v>2299</v>
      </c>
      <c r="B716">
        <v>2061</v>
      </c>
      <c r="C716">
        <v>1229</v>
      </c>
      <c r="D716">
        <v>333253</v>
      </c>
      <c r="E716">
        <v>265564</v>
      </c>
      <c r="F716">
        <v>12.3</v>
      </c>
      <c r="G716">
        <v>3.5</v>
      </c>
      <c r="H716">
        <v>0</v>
      </c>
      <c r="I716">
        <v>0</v>
      </c>
    </row>
    <row r="717" spans="1:9" ht="24" customHeight="1">
      <c r="A717" s="6" t="s">
        <v>2300</v>
      </c>
      <c r="B717">
        <v>3889</v>
      </c>
      <c r="C717">
        <v>2409</v>
      </c>
      <c r="D717">
        <v>429804</v>
      </c>
      <c r="E717">
        <v>309241</v>
      </c>
      <c r="F717">
        <v>12.3</v>
      </c>
      <c r="G717">
        <v>10.7</v>
      </c>
      <c r="H717">
        <v>1.5</v>
      </c>
      <c r="I717">
        <v>1.4</v>
      </c>
    </row>
    <row r="718" spans="1:9" ht="24" customHeight="1">
      <c r="A718" s="6" t="s">
        <v>2301</v>
      </c>
      <c r="B718">
        <v>4809</v>
      </c>
      <c r="C718">
        <v>2129</v>
      </c>
      <c r="D718">
        <v>509355</v>
      </c>
      <c r="E718">
        <v>410279</v>
      </c>
      <c r="F718">
        <v>12</v>
      </c>
      <c r="G718">
        <v>8.8000000000000007</v>
      </c>
      <c r="H718">
        <v>11.8</v>
      </c>
      <c r="I718">
        <v>11.3</v>
      </c>
    </row>
    <row r="719" spans="1:9" ht="24" customHeight="1">
      <c r="A719" s="6" t="s">
        <v>2302</v>
      </c>
      <c r="B719">
        <v>5072</v>
      </c>
      <c r="C719">
        <v>2030</v>
      </c>
      <c r="D719">
        <v>583260</v>
      </c>
      <c r="E719">
        <v>459878</v>
      </c>
      <c r="F719">
        <v>11.8</v>
      </c>
      <c r="G719">
        <v>12.2</v>
      </c>
      <c r="H719">
        <v>16.899999999999999</v>
      </c>
      <c r="I719">
        <v>17.399999999999999</v>
      </c>
    </row>
    <row r="720" spans="1:9" ht="24" customHeight="1">
      <c r="A720" s="6" t="s">
        <v>2303</v>
      </c>
      <c r="B720">
        <v>1792</v>
      </c>
      <c r="C720">
        <v>923</v>
      </c>
      <c r="D720">
        <v>573272</v>
      </c>
      <c r="E720">
        <v>463008</v>
      </c>
      <c r="F720">
        <v>4.5999999999999996</v>
      </c>
      <c r="G720">
        <v>2.2000000000000002</v>
      </c>
      <c r="H720">
        <v>21.9</v>
      </c>
      <c r="I720">
        <v>22.2</v>
      </c>
    </row>
    <row r="721" spans="1:9" ht="24" customHeight="1">
      <c r="A721" s="6" t="s">
        <v>2304</v>
      </c>
      <c r="B721">
        <v>2462</v>
      </c>
      <c r="C721">
        <v>1052</v>
      </c>
      <c r="D721">
        <v>522467</v>
      </c>
      <c r="E721">
        <v>462104</v>
      </c>
      <c r="F721">
        <v>4.8</v>
      </c>
      <c r="G721">
        <v>17.399999999999999</v>
      </c>
      <c r="H721">
        <v>27.1</v>
      </c>
      <c r="I721">
        <v>27.3</v>
      </c>
    </row>
    <row r="722" spans="1:9" ht="24" customHeight="1">
      <c r="A722" s="6" t="s">
        <v>2305</v>
      </c>
      <c r="B722">
        <v>4071</v>
      </c>
      <c r="C722">
        <v>2487</v>
      </c>
      <c r="D722">
        <v>401904</v>
      </c>
      <c r="E722">
        <v>301049</v>
      </c>
      <c r="F722">
        <v>10.6</v>
      </c>
      <c r="G722">
        <v>4.5999999999999996</v>
      </c>
      <c r="H722">
        <v>3.4</v>
      </c>
      <c r="I722">
        <v>3.6</v>
      </c>
    </row>
    <row r="723" spans="1:9" ht="24" customHeight="1">
      <c r="A723" s="6" t="s">
        <v>2306</v>
      </c>
      <c r="B723">
        <v>3070</v>
      </c>
      <c r="C723">
        <v>440</v>
      </c>
      <c r="D723">
        <v>588990</v>
      </c>
      <c r="E723">
        <v>416432</v>
      </c>
      <c r="F723">
        <v>5.9</v>
      </c>
      <c r="G723">
        <v>8.1</v>
      </c>
      <c r="H723">
        <v>34.200000000000003</v>
      </c>
      <c r="I723">
        <v>32.5</v>
      </c>
    </row>
    <row r="724" spans="1:9" ht="24" customHeight="1">
      <c r="A724" s="6" t="s">
        <v>2307</v>
      </c>
      <c r="B724">
        <v>7142</v>
      </c>
      <c r="C724">
        <v>2939</v>
      </c>
      <c r="D724">
        <v>405530</v>
      </c>
      <c r="E724">
        <v>392668</v>
      </c>
      <c r="F724">
        <v>9.5</v>
      </c>
      <c r="G724">
        <v>10.1</v>
      </c>
      <c r="H724">
        <v>6.7</v>
      </c>
      <c r="I724">
        <v>6.9</v>
      </c>
    </row>
    <row r="725" spans="1:9" ht="24" customHeight="1">
      <c r="A725" s="6" t="s">
        <v>2308</v>
      </c>
      <c r="B725">
        <v>62562</v>
      </c>
      <c r="C725">
        <v>18113</v>
      </c>
      <c r="D725">
        <v>474522</v>
      </c>
      <c r="E725">
        <v>352909</v>
      </c>
      <c r="F725">
        <v>12.6</v>
      </c>
      <c r="G725">
        <v>10.199999999999999</v>
      </c>
      <c r="H725">
        <v>14.4</v>
      </c>
      <c r="I725">
        <v>9.6</v>
      </c>
    </row>
    <row r="726" spans="1:9" ht="24" customHeight="1">
      <c r="A726" s="6" t="s">
        <v>2309</v>
      </c>
      <c r="B726">
        <v>4392</v>
      </c>
      <c r="C726">
        <v>1566</v>
      </c>
      <c r="D726">
        <v>291021</v>
      </c>
      <c r="E726">
        <v>210339</v>
      </c>
      <c r="F726">
        <v>11.8</v>
      </c>
      <c r="G726">
        <v>5.0999999999999996</v>
      </c>
      <c r="H726">
        <v>0</v>
      </c>
      <c r="I726">
        <v>0</v>
      </c>
    </row>
    <row r="727" spans="1:9" ht="24" customHeight="1">
      <c r="A727" s="6" t="s">
        <v>2310</v>
      </c>
      <c r="B727">
        <v>5883</v>
      </c>
      <c r="C727">
        <v>3725</v>
      </c>
      <c r="D727">
        <v>345972</v>
      </c>
      <c r="E727">
        <v>266790</v>
      </c>
      <c r="F727">
        <v>15.3</v>
      </c>
      <c r="G727">
        <v>8.9</v>
      </c>
      <c r="H727">
        <v>1.4</v>
      </c>
      <c r="I727">
        <v>1.6</v>
      </c>
    </row>
    <row r="728" spans="1:9" ht="24" customHeight="1">
      <c r="A728" s="6" t="s">
        <v>2311</v>
      </c>
      <c r="B728">
        <v>7862</v>
      </c>
      <c r="C728">
        <v>1680</v>
      </c>
      <c r="D728">
        <v>471745</v>
      </c>
      <c r="E728">
        <v>349300</v>
      </c>
      <c r="F728">
        <v>12.9</v>
      </c>
      <c r="G728">
        <v>8.1999999999999993</v>
      </c>
      <c r="H728">
        <v>12.1</v>
      </c>
      <c r="I728">
        <v>11.4</v>
      </c>
    </row>
    <row r="729" spans="1:9" ht="24" customHeight="1">
      <c r="A729" s="6" t="s">
        <v>2312</v>
      </c>
      <c r="B729">
        <v>7495</v>
      </c>
      <c r="C729">
        <v>1426</v>
      </c>
      <c r="D729">
        <v>508034</v>
      </c>
      <c r="E729">
        <v>411681</v>
      </c>
      <c r="F729">
        <v>15.7</v>
      </c>
      <c r="G729">
        <v>11.3</v>
      </c>
      <c r="H729">
        <v>16.7</v>
      </c>
      <c r="I729">
        <v>17</v>
      </c>
    </row>
    <row r="730" spans="1:9" ht="24" customHeight="1">
      <c r="A730" s="6" t="s">
        <v>2313</v>
      </c>
      <c r="B730">
        <v>6137</v>
      </c>
      <c r="C730">
        <v>1193</v>
      </c>
      <c r="D730">
        <v>567504</v>
      </c>
      <c r="E730">
        <v>461948</v>
      </c>
      <c r="F730">
        <v>7.2</v>
      </c>
      <c r="G730">
        <v>2.2000000000000002</v>
      </c>
      <c r="H730">
        <v>21.8</v>
      </c>
      <c r="I730">
        <v>22.5</v>
      </c>
    </row>
    <row r="731" spans="1:9" ht="24" customHeight="1">
      <c r="A731" s="6" t="s">
        <v>2314</v>
      </c>
      <c r="B731">
        <v>5714</v>
      </c>
      <c r="C731">
        <v>950</v>
      </c>
      <c r="D731">
        <v>609274</v>
      </c>
      <c r="E731">
        <v>486383</v>
      </c>
      <c r="F731">
        <v>6.8</v>
      </c>
      <c r="G731">
        <v>9.3000000000000007</v>
      </c>
      <c r="H731">
        <v>26.8</v>
      </c>
      <c r="I731">
        <v>27.3</v>
      </c>
    </row>
    <row r="732" spans="1:9" ht="24" customHeight="1">
      <c r="A732" s="6" t="s">
        <v>2315</v>
      </c>
      <c r="B732">
        <v>5711</v>
      </c>
      <c r="C732">
        <v>2947</v>
      </c>
      <c r="D732">
        <v>368132</v>
      </c>
      <c r="E732">
        <v>319364</v>
      </c>
      <c r="F732">
        <v>16.5</v>
      </c>
      <c r="G732">
        <v>13.5</v>
      </c>
      <c r="H732">
        <v>3.5</v>
      </c>
      <c r="I732">
        <v>3.4</v>
      </c>
    </row>
    <row r="733" spans="1:9" ht="24" customHeight="1">
      <c r="A733" s="6" t="s">
        <v>2316</v>
      </c>
      <c r="B733">
        <v>8399</v>
      </c>
      <c r="C733">
        <v>1314</v>
      </c>
      <c r="D733">
        <v>630858</v>
      </c>
      <c r="E733">
        <v>555066</v>
      </c>
      <c r="F733">
        <v>8.6999999999999993</v>
      </c>
      <c r="G733">
        <v>5.6</v>
      </c>
      <c r="H733">
        <v>34.299999999999997</v>
      </c>
      <c r="I733">
        <v>33.200000000000003</v>
      </c>
    </row>
    <row r="734" spans="1:9" ht="24" customHeight="1">
      <c r="A734" s="6" t="s">
        <v>2317</v>
      </c>
      <c r="B734">
        <v>11046</v>
      </c>
      <c r="C734">
        <v>3922</v>
      </c>
      <c r="D734">
        <v>410159</v>
      </c>
      <c r="E734">
        <v>349469</v>
      </c>
      <c r="F734">
        <v>16.100000000000001</v>
      </c>
      <c r="G734">
        <v>14.4</v>
      </c>
      <c r="H734">
        <v>6.9</v>
      </c>
      <c r="I734">
        <v>6.5</v>
      </c>
    </row>
    <row r="735" spans="1:9" ht="24" customHeight="1">
      <c r="A735" s="6" t="s">
        <v>2318</v>
      </c>
      <c r="B735">
        <v>60644</v>
      </c>
      <c r="C735">
        <v>17737</v>
      </c>
      <c r="D735">
        <v>557398</v>
      </c>
      <c r="E735">
        <v>447174</v>
      </c>
      <c r="F735">
        <v>14.7</v>
      </c>
      <c r="G735">
        <v>10.5</v>
      </c>
      <c r="H735">
        <v>14.7</v>
      </c>
      <c r="I735">
        <v>11.9</v>
      </c>
    </row>
    <row r="736" spans="1:9" ht="24" customHeight="1">
      <c r="A736" s="6" t="s">
        <v>2319</v>
      </c>
      <c r="B736">
        <v>2759</v>
      </c>
      <c r="C736">
        <v>1262</v>
      </c>
      <c r="D736">
        <v>294666</v>
      </c>
      <c r="E736">
        <v>242749</v>
      </c>
      <c r="F736">
        <v>7.2</v>
      </c>
      <c r="G736">
        <v>3.1</v>
      </c>
      <c r="H736">
        <v>0</v>
      </c>
      <c r="I736">
        <v>0</v>
      </c>
    </row>
    <row r="737" spans="1:9" ht="24" customHeight="1">
      <c r="A737" s="6" t="s">
        <v>2320</v>
      </c>
      <c r="B737">
        <v>6669</v>
      </c>
      <c r="C737">
        <v>2737</v>
      </c>
      <c r="D737">
        <v>386707</v>
      </c>
      <c r="E737">
        <v>367164</v>
      </c>
      <c r="F737">
        <v>15</v>
      </c>
      <c r="G737">
        <v>17.899999999999999</v>
      </c>
      <c r="H737">
        <v>1.6</v>
      </c>
      <c r="I737">
        <v>1.6</v>
      </c>
    </row>
    <row r="738" spans="1:9" ht="24" customHeight="1">
      <c r="A738" s="6" t="s">
        <v>2321</v>
      </c>
      <c r="B738">
        <v>7349</v>
      </c>
      <c r="C738">
        <v>2034</v>
      </c>
      <c r="D738">
        <v>536004</v>
      </c>
      <c r="E738">
        <v>397599</v>
      </c>
      <c r="F738">
        <v>17.600000000000001</v>
      </c>
      <c r="G738">
        <v>11</v>
      </c>
      <c r="H738">
        <v>12</v>
      </c>
      <c r="I738">
        <v>12</v>
      </c>
    </row>
    <row r="739" spans="1:9" ht="24" customHeight="1">
      <c r="A739" s="6" t="s">
        <v>2322</v>
      </c>
      <c r="B739">
        <v>7505</v>
      </c>
      <c r="C739">
        <v>1648</v>
      </c>
      <c r="D739">
        <v>603744</v>
      </c>
      <c r="E739">
        <v>542721</v>
      </c>
      <c r="F739">
        <v>16.399999999999999</v>
      </c>
      <c r="G739">
        <v>10.8</v>
      </c>
      <c r="H739">
        <v>16.5</v>
      </c>
      <c r="I739">
        <v>16.8</v>
      </c>
    </row>
    <row r="740" spans="1:9" ht="24" customHeight="1">
      <c r="A740" s="6" t="s">
        <v>2323</v>
      </c>
      <c r="B740">
        <v>4690</v>
      </c>
      <c r="C740">
        <v>1139</v>
      </c>
      <c r="D740">
        <v>676384</v>
      </c>
      <c r="E740">
        <v>553903</v>
      </c>
      <c r="F740">
        <v>16</v>
      </c>
      <c r="G740">
        <v>5.3</v>
      </c>
      <c r="H740">
        <v>21.9</v>
      </c>
      <c r="I740">
        <v>21.9</v>
      </c>
    </row>
    <row r="741" spans="1:9" ht="24" customHeight="1">
      <c r="A741" s="6" t="s">
        <v>2324</v>
      </c>
      <c r="B741">
        <v>5838</v>
      </c>
      <c r="C741">
        <v>586</v>
      </c>
      <c r="D741">
        <v>674644</v>
      </c>
      <c r="E741">
        <v>545941</v>
      </c>
      <c r="F741">
        <v>13.1</v>
      </c>
      <c r="G741">
        <v>14.2</v>
      </c>
      <c r="H741">
        <v>26.7</v>
      </c>
      <c r="I741">
        <v>26.5</v>
      </c>
    </row>
    <row r="742" spans="1:9" ht="24" customHeight="1">
      <c r="A742" s="6" t="s">
        <v>2325</v>
      </c>
      <c r="B742">
        <v>5141</v>
      </c>
      <c r="C742">
        <v>2231</v>
      </c>
      <c r="D742">
        <v>414843</v>
      </c>
      <c r="E742">
        <v>372826</v>
      </c>
      <c r="F742">
        <v>18.399999999999999</v>
      </c>
      <c r="G742">
        <v>7.6</v>
      </c>
      <c r="H742">
        <v>3.5</v>
      </c>
      <c r="I742">
        <v>3.6</v>
      </c>
    </row>
    <row r="743" spans="1:9" ht="24" customHeight="1">
      <c r="A743" s="6" t="s">
        <v>2326</v>
      </c>
      <c r="B743">
        <v>9408</v>
      </c>
      <c r="C743">
        <v>2450</v>
      </c>
      <c r="D743">
        <v>766023</v>
      </c>
      <c r="E743">
        <v>659021</v>
      </c>
      <c r="F743">
        <v>7.9</v>
      </c>
      <c r="G743">
        <v>9.4</v>
      </c>
      <c r="H743">
        <v>33.700000000000003</v>
      </c>
      <c r="I743">
        <v>33.700000000000003</v>
      </c>
    </row>
    <row r="744" spans="1:9" ht="24" customHeight="1">
      <c r="A744" s="6" t="s">
        <v>2327</v>
      </c>
      <c r="B744">
        <v>11451</v>
      </c>
      <c r="C744">
        <v>3808</v>
      </c>
      <c r="D744">
        <v>486245</v>
      </c>
      <c r="E744">
        <v>412044</v>
      </c>
      <c r="F744">
        <v>17.3</v>
      </c>
      <c r="G744">
        <v>10.1</v>
      </c>
      <c r="H744">
        <v>6.8</v>
      </c>
      <c r="I744">
        <v>6.3</v>
      </c>
    </row>
    <row r="745" spans="1:9" ht="24" customHeight="1">
      <c r="A745" s="6" t="s">
        <v>515</v>
      </c>
      <c r="B745">
        <v>9806</v>
      </c>
      <c r="C745">
        <v>1576</v>
      </c>
      <c r="D745">
        <v>576439</v>
      </c>
      <c r="E745">
        <v>398222</v>
      </c>
      <c r="F745">
        <v>22</v>
      </c>
      <c r="G745">
        <v>13.4</v>
      </c>
      <c r="H745">
        <v>14.2</v>
      </c>
      <c r="I745">
        <v>12.6</v>
      </c>
    </row>
    <row r="746" spans="1:9" ht="24" customHeight="1">
      <c r="A746" s="6" t="s">
        <v>516</v>
      </c>
      <c r="B746">
        <v>5040</v>
      </c>
      <c r="C746">
        <v>727</v>
      </c>
      <c r="D746">
        <v>599165</v>
      </c>
      <c r="E746">
        <v>418352</v>
      </c>
      <c r="F746">
        <v>26.7</v>
      </c>
      <c r="G746">
        <v>18.899999999999999</v>
      </c>
      <c r="H746">
        <v>14.6</v>
      </c>
      <c r="I746">
        <v>16</v>
      </c>
    </row>
    <row r="747" spans="1:9" ht="24" customHeight="1">
      <c r="A747" s="6" t="s">
        <v>517</v>
      </c>
      <c r="B747">
        <v>116</v>
      </c>
      <c r="C747">
        <v>81</v>
      </c>
      <c r="D747">
        <v>205914</v>
      </c>
      <c r="E747">
        <v>282593</v>
      </c>
      <c r="F747">
        <v>6.1</v>
      </c>
      <c r="G747">
        <v>4.3</v>
      </c>
      <c r="H747">
        <v>0</v>
      </c>
      <c r="I747">
        <v>0</v>
      </c>
    </row>
    <row r="748" spans="1:9" ht="24" customHeight="1">
      <c r="A748" s="6" t="s">
        <v>2328</v>
      </c>
      <c r="B748">
        <v>519</v>
      </c>
      <c r="C748">
        <v>147</v>
      </c>
      <c r="D748">
        <v>489752</v>
      </c>
      <c r="E748">
        <v>390188</v>
      </c>
      <c r="F748">
        <v>36.9</v>
      </c>
      <c r="G748">
        <v>27.4</v>
      </c>
      <c r="H748">
        <v>1.7</v>
      </c>
      <c r="I748">
        <v>1.2</v>
      </c>
    </row>
    <row r="749" spans="1:9" ht="24" customHeight="1">
      <c r="A749" s="6" t="s">
        <v>2329</v>
      </c>
      <c r="B749">
        <v>897</v>
      </c>
      <c r="C749">
        <v>30</v>
      </c>
      <c r="D749">
        <v>564515</v>
      </c>
      <c r="E749">
        <v>471581</v>
      </c>
      <c r="F749">
        <v>28.9</v>
      </c>
      <c r="G749">
        <v>9</v>
      </c>
      <c r="H749">
        <v>12</v>
      </c>
      <c r="I749">
        <v>14</v>
      </c>
    </row>
    <row r="750" spans="1:9" ht="24" customHeight="1">
      <c r="A750" s="6" t="s">
        <v>2330</v>
      </c>
      <c r="B750">
        <v>585</v>
      </c>
      <c r="C750">
        <v>93</v>
      </c>
      <c r="D750">
        <v>659023</v>
      </c>
      <c r="E750">
        <v>338798</v>
      </c>
      <c r="F750">
        <v>22.2</v>
      </c>
      <c r="G750">
        <v>4.7</v>
      </c>
      <c r="H750">
        <v>16.8</v>
      </c>
      <c r="I750">
        <v>15.2</v>
      </c>
    </row>
    <row r="751" spans="1:9" ht="24" customHeight="1">
      <c r="A751" s="6" t="s">
        <v>2331</v>
      </c>
      <c r="B751">
        <v>351</v>
      </c>
      <c r="C751">
        <v>0</v>
      </c>
      <c r="D751">
        <v>820176</v>
      </c>
      <c r="E751"/>
      <c r="F751">
        <v>23.6</v>
      </c>
      <c r="G751"/>
      <c r="H751">
        <v>21.8</v>
      </c>
      <c r="I751"/>
    </row>
    <row r="752" spans="1:9" ht="24" customHeight="1">
      <c r="A752" s="6" t="s">
        <v>2332</v>
      </c>
      <c r="B752">
        <v>324</v>
      </c>
      <c r="C752">
        <v>0</v>
      </c>
      <c r="D752">
        <v>829737</v>
      </c>
      <c r="E752"/>
      <c r="F752">
        <v>15.1</v>
      </c>
      <c r="G752"/>
      <c r="H752">
        <v>27.5</v>
      </c>
      <c r="I752"/>
    </row>
    <row r="753" spans="1:9" ht="24" customHeight="1">
      <c r="A753" s="6" t="s">
        <v>2333</v>
      </c>
      <c r="B753">
        <v>436</v>
      </c>
      <c r="C753">
        <v>110</v>
      </c>
      <c r="D753">
        <v>442024</v>
      </c>
      <c r="E753">
        <v>374176</v>
      </c>
      <c r="F753">
        <v>32.6</v>
      </c>
      <c r="G753">
        <v>22.1</v>
      </c>
      <c r="H753">
        <v>3.7</v>
      </c>
      <c r="I753">
        <v>3.2</v>
      </c>
    </row>
    <row r="754" spans="1:9" ht="24" customHeight="1">
      <c r="A754" s="6" t="s">
        <v>518</v>
      </c>
      <c r="B754">
        <v>752</v>
      </c>
      <c r="C754">
        <v>236</v>
      </c>
      <c r="D754">
        <v>768001</v>
      </c>
      <c r="E754">
        <v>520175</v>
      </c>
      <c r="F754">
        <v>22</v>
      </c>
      <c r="G754">
        <v>22</v>
      </c>
      <c r="H754">
        <v>35.4</v>
      </c>
      <c r="I754">
        <v>38.200000000000003</v>
      </c>
    </row>
    <row r="755" spans="1:9" ht="24" customHeight="1">
      <c r="A755" s="6" t="s">
        <v>2334</v>
      </c>
      <c r="B755">
        <v>1060</v>
      </c>
      <c r="C755">
        <v>52</v>
      </c>
      <c r="D755">
        <v>493087</v>
      </c>
      <c r="E755">
        <v>395810</v>
      </c>
      <c r="F755">
        <v>30.1</v>
      </c>
      <c r="G755">
        <v>19.8</v>
      </c>
      <c r="H755">
        <v>6.8</v>
      </c>
      <c r="I755">
        <v>8.4</v>
      </c>
    </row>
    <row r="756" spans="1:9" ht="24" customHeight="1">
      <c r="A756" s="6" t="s">
        <v>2335</v>
      </c>
      <c r="B756">
        <v>2109</v>
      </c>
      <c r="C756">
        <v>503</v>
      </c>
      <c r="D756">
        <v>453960</v>
      </c>
      <c r="E756">
        <v>353427</v>
      </c>
      <c r="F756">
        <v>16.8</v>
      </c>
      <c r="G756">
        <v>6.7</v>
      </c>
      <c r="H756">
        <v>11.3</v>
      </c>
      <c r="I756">
        <v>12.2</v>
      </c>
    </row>
    <row r="757" spans="1:9" ht="24" customHeight="1">
      <c r="A757" s="6" t="s">
        <v>2336</v>
      </c>
      <c r="B757">
        <v>157</v>
      </c>
      <c r="C757">
        <v>31</v>
      </c>
      <c r="D757">
        <v>307115</v>
      </c>
      <c r="E757">
        <v>225189</v>
      </c>
      <c r="F757">
        <v>24.2</v>
      </c>
      <c r="G757">
        <v>0</v>
      </c>
      <c r="H757">
        <v>0</v>
      </c>
      <c r="I757">
        <v>0</v>
      </c>
    </row>
    <row r="758" spans="1:9" ht="24" customHeight="1">
      <c r="A758" s="6" t="s">
        <v>2337</v>
      </c>
      <c r="B758">
        <v>155</v>
      </c>
      <c r="C758">
        <v>38</v>
      </c>
      <c r="D758">
        <v>321751</v>
      </c>
      <c r="E758">
        <v>245128</v>
      </c>
      <c r="F758">
        <v>19.8</v>
      </c>
      <c r="G758">
        <v>11.2</v>
      </c>
      <c r="H758">
        <v>1.6</v>
      </c>
      <c r="I758">
        <v>1</v>
      </c>
    </row>
    <row r="759" spans="1:9" ht="24" customHeight="1">
      <c r="A759" s="6" t="s">
        <v>2338</v>
      </c>
      <c r="B759">
        <v>469</v>
      </c>
      <c r="C759">
        <v>22</v>
      </c>
      <c r="D759">
        <v>515232</v>
      </c>
      <c r="E759">
        <v>236170</v>
      </c>
      <c r="F759">
        <v>21.6</v>
      </c>
      <c r="G759">
        <v>0</v>
      </c>
      <c r="H759">
        <v>11.6</v>
      </c>
      <c r="I759">
        <v>12</v>
      </c>
    </row>
    <row r="760" spans="1:9" ht="24" customHeight="1">
      <c r="A760" s="6" t="s">
        <v>2339</v>
      </c>
      <c r="B760">
        <v>193</v>
      </c>
      <c r="C760">
        <v>30</v>
      </c>
      <c r="D760">
        <v>532571</v>
      </c>
      <c r="E760">
        <v>374051</v>
      </c>
      <c r="F760">
        <v>13.1</v>
      </c>
      <c r="G760">
        <v>5.3</v>
      </c>
      <c r="H760">
        <v>16.7</v>
      </c>
      <c r="I760">
        <v>17.7</v>
      </c>
    </row>
    <row r="761" spans="1:9" ht="24" customHeight="1">
      <c r="A761" s="6" t="s">
        <v>2340</v>
      </c>
      <c r="B761">
        <v>230</v>
      </c>
      <c r="C761">
        <v>67</v>
      </c>
      <c r="D761">
        <v>497200</v>
      </c>
      <c r="E761">
        <v>581430</v>
      </c>
      <c r="F761">
        <v>14.8</v>
      </c>
      <c r="G761">
        <v>7.3</v>
      </c>
      <c r="H761">
        <v>21.1</v>
      </c>
      <c r="I761">
        <v>23</v>
      </c>
    </row>
    <row r="762" spans="1:9" ht="24" customHeight="1">
      <c r="A762" s="6" t="s">
        <v>2341</v>
      </c>
      <c r="B762">
        <v>112</v>
      </c>
      <c r="C762">
        <v>69</v>
      </c>
      <c r="D762">
        <v>598002</v>
      </c>
      <c r="E762">
        <v>555979</v>
      </c>
      <c r="F762">
        <v>9.4</v>
      </c>
      <c r="G762">
        <v>11.6</v>
      </c>
      <c r="H762">
        <v>27.1</v>
      </c>
      <c r="I762">
        <v>26.6</v>
      </c>
    </row>
    <row r="763" spans="1:9" ht="24" customHeight="1">
      <c r="A763" s="6" t="s">
        <v>2342</v>
      </c>
      <c r="B763">
        <v>242</v>
      </c>
      <c r="C763">
        <v>52</v>
      </c>
      <c r="D763">
        <v>367258</v>
      </c>
      <c r="E763">
        <v>347137</v>
      </c>
      <c r="F763">
        <v>17.5</v>
      </c>
      <c r="G763">
        <v>19.899999999999999</v>
      </c>
      <c r="H763">
        <v>3.5</v>
      </c>
      <c r="I763">
        <v>3</v>
      </c>
    </row>
    <row r="764" spans="1:9" ht="24" customHeight="1">
      <c r="A764" s="6" t="s">
        <v>2343</v>
      </c>
      <c r="B764">
        <v>99</v>
      </c>
      <c r="C764">
        <v>17</v>
      </c>
      <c r="D764">
        <v>514280</v>
      </c>
      <c r="E764">
        <v>254571</v>
      </c>
      <c r="F764">
        <v>6.8</v>
      </c>
      <c r="G764">
        <v>16.5</v>
      </c>
      <c r="H764">
        <v>32.9</v>
      </c>
      <c r="I764">
        <v>36.200000000000003</v>
      </c>
    </row>
    <row r="765" spans="1:9" ht="24" customHeight="1">
      <c r="A765" s="6" t="s">
        <v>2344</v>
      </c>
      <c r="B765">
        <v>451</v>
      </c>
      <c r="C765">
        <v>190</v>
      </c>
      <c r="D765">
        <v>428938</v>
      </c>
      <c r="E765">
        <v>255090</v>
      </c>
      <c r="F765">
        <v>14.6</v>
      </c>
      <c r="G765">
        <v>0.9</v>
      </c>
      <c r="H765">
        <v>6.4</v>
      </c>
      <c r="I765">
        <v>6.4</v>
      </c>
    </row>
    <row r="766" spans="1:9" ht="24" customHeight="1">
      <c r="A766" s="6" t="s">
        <v>2345</v>
      </c>
      <c r="B766">
        <v>337</v>
      </c>
      <c r="C766">
        <v>15</v>
      </c>
      <c r="D766">
        <v>410633</v>
      </c>
      <c r="E766">
        <v>402162</v>
      </c>
      <c r="F766">
        <v>11.8</v>
      </c>
      <c r="G766">
        <v>7</v>
      </c>
      <c r="H766">
        <v>10.8</v>
      </c>
      <c r="I766">
        <v>16</v>
      </c>
    </row>
    <row r="767" spans="1:9" ht="24" customHeight="1">
      <c r="A767" s="6" t="s">
        <v>2346</v>
      </c>
      <c r="B767">
        <v>15</v>
      </c>
      <c r="C767">
        <v>0</v>
      </c>
      <c r="D767">
        <v>184322</v>
      </c>
      <c r="E767"/>
      <c r="F767">
        <v>2</v>
      </c>
      <c r="G767"/>
      <c r="H767">
        <v>0</v>
      </c>
      <c r="I767"/>
    </row>
    <row r="768" spans="1:9" ht="24" customHeight="1">
      <c r="A768" s="6" t="s">
        <v>2347</v>
      </c>
      <c r="B768">
        <v>44</v>
      </c>
      <c r="C768">
        <v>0</v>
      </c>
      <c r="D768">
        <v>288245</v>
      </c>
      <c r="E768"/>
      <c r="F768">
        <v>5.3</v>
      </c>
      <c r="G768"/>
      <c r="H768">
        <v>1.7</v>
      </c>
      <c r="I768"/>
    </row>
    <row r="769" spans="1:9" ht="24" customHeight="1">
      <c r="A769" s="6" t="s">
        <v>2348</v>
      </c>
      <c r="B769">
        <v>88</v>
      </c>
      <c r="C769">
        <v>0</v>
      </c>
      <c r="D769">
        <v>400898</v>
      </c>
      <c r="E769"/>
      <c r="F769">
        <v>11.3</v>
      </c>
      <c r="G769"/>
      <c r="H769">
        <v>10.7</v>
      </c>
      <c r="I769"/>
    </row>
    <row r="770" spans="1:9" ht="24" customHeight="1">
      <c r="A770" s="6" t="s">
        <v>2349</v>
      </c>
      <c r="B770">
        <v>59</v>
      </c>
      <c r="C770">
        <v>15</v>
      </c>
      <c r="D770">
        <v>562171</v>
      </c>
      <c r="E770">
        <v>402162</v>
      </c>
      <c r="F770">
        <v>17.8</v>
      </c>
      <c r="G770">
        <v>7</v>
      </c>
      <c r="H770">
        <v>16</v>
      </c>
      <c r="I770">
        <v>16</v>
      </c>
    </row>
    <row r="771" spans="1:9" ht="24" customHeight="1">
      <c r="A771" s="6" t="s">
        <v>2350</v>
      </c>
      <c r="B771">
        <v>29</v>
      </c>
      <c r="C771">
        <v>0</v>
      </c>
      <c r="D771">
        <v>506589</v>
      </c>
      <c r="E771"/>
      <c r="F771">
        <v>6.5</v>
      </c>
      <c r="G771"/>
      <c r="H771">
        <v>26.5</v>
      </c>
      <c r="I771"/>
    </row>
    <row r="772" spans="1:9" ht="24" customHeight="1">
      <c r="A772" s="6" t="s">
        <v>2351</v>
      </c>
      <c r="B772">
        <v>44</v>
      </c>
      <c r="C772">
        <v>0</v>
      </c>
      <c r="D772">
        <v>325836</v>
      </c>
      <c r="E772"/>
      <c r="F772">
        <v>17</v>
      </c>
      <c r="G772"/>
      <c r="H772">
        <v>3.3</v>
      </c>
      <c r="I772"/>
    </row>
    <row r="773" spans="1:9" ht="24" customHeight="1">
      <c r="A773" s="6" t="s">
        <v>2352</v>
      </c>
      <c r="B773">
        <v>15</v>
      </c>
      <c r="C773">
        <v>0</v>
      </c>
      <c r="D773">
        <v>685664</v>
      </c>
      <c r="E773"/>
      <c r="F773">
        <v>0</v>
      </c>
      <c r="G773"/>
      <c r="H773">
        <v>31</v>
      </c>
      <c r="I773"/>
    </row>
    <row r="774" spans="1:9" ht="24" customHeight="1">
      <c r="A774" s="6" t="s">
        <v>2353</v>
      </c>
      <c r="B774">
        <v>44</v>
      </c>
      <c r="C774">
        <v>0</v>
      </c>
      <c r="D774">
        <v>355027</v>
      </c>
      <c r="E774"/>
      <c r="F774">
        <v>16.7</v>
      </c>
      <c r="G774"/>
      <c r="H774">
        <v>7</v>
      </c>
      <c r="I774"/>
    </row>
    <row r="775" spans="1:9" ht="24" customHeight="1">
      <c r="A775" s="6" t="s">
        <v>2354</v>
      </c>
      <c r="B775">
        <v>2319</v>
      </c>
      <c r="C775">
        <v>333</v>
      </c>
      <c r="D775">
        <v>662533</v>
      </c>
      <c r="E775">
        <v>421752</v>
      </c>
      <c r="F775">
        <v>17.7</v>
      </c>
      <c r="G775">
        <v>11.7</v>
      </c>
      <c r="H775">
        <v>16.399999999999999</v>
      </c>
      <c r="I775">
        <v>5.5</v>
      </c>
    </row>
    <row r="776" spans="1:9" ht="24" customHeight="1">
      <c r="A776" s="6" t="s">
        <v>2355</v>
      </c>
      <c r="B776">
        <v>94</v>
      </c>
      <c r="C776">
        <v>0</v>
      </c>
      <c r="D776">
        <v>287061</v>
      </c>
      <c r="E776"/>
      <c r="F776">
        <v>6.5</v>
      </c>
      <c r="G776"/>
      <c r="H776">
        <v>0</v>
      </c>
      <c r="I776"/>
    </row>
    <row r="777" spans="1:9" ht="24" customHeight="1">
      <c r="A777" s="6" t="s">
        <v>2356</v>
      </c>
      <c r="B777">
        <v>109</v>
      </c>
      <c r="C777">
        <v>112</v>
      </c>
      <c r="D777">
        <v>434730</v>
      </c>
      <c r="E777">
        <v>354074</v>
      </c>
      <c r="F777">
        <v>20.399999999999999</v>
      </c>
      <c r="G777">
        <v>10.1</v>
      </c>
      <c r="H777">
        <v>1.4</v>
      </c>
      <c r="I777">
        <v>1.6</v>
      </c>
    </row>
    <row r="778" spans="1:9" ht="24" customHeight="1">
      <c r="A778" s="6" t="s">
        <v>2357</v>
      </c>
      <c r="B778">
        <v>421</v>
      </c>
      <c r="C778">
        <v>52</v>
      </c>
      <c r="D778">
        <v>628547</v>
      </c>
      <c r="E778">
        <v>582845</v>
      </c>
      <c r="F778">
        <v>16.5</v>
      </c>
      <c r="G778">
        <v>19.3</v>
      </c>
      <c r="H778">
        <v>12.3</v>
      </c>
      <c r="I778">
        <v>13.8</v>
      </c>
    </row>
    <row r="779" spans="1:9" ht="24" customHeight="1">
      <c r="A779" s="6" t="s">
        <v>2358</v>
      </c>
      <c r="B779">
        <v>174</v>
      </c>
      <c r="C779">
        <v>8</v>
      </c>
      <c r="D779">
        <v>760073</v>
      </c>
      <c r="E779">
        <v>431720</v>
      </c>
      <c r="F779">
        <v>25.7</v>
      </c>
      <c r="G779">
        <v>7</v>
      </c>
      <c r="H779">
        <v>17.399999999999999</v>
      </c>
      <c r="I779">
        <v>15</v>
      </c>
    </row>
    <row r="780" spans="1:9" ht="24" customHeight="1">
      <c r="A780" s="6" t="s">
        <v>2359</v>
      </c>
      <c r="B780">
        <v>272</v>
      </c>
      <c r="C780">
        <v>8</v>
      </c>
      <c r="D780">
        <v>741975</v>
      </c>
      <c r="E780">
        <v>807931</v>
      </c>
      <c r="F780">
        <v>28.4</v>
      </c>
      <c r="G780">
        <v>46</v>
      </c>
      <c r="H780">
        <v>21.7</v>
      </c>
      <c r="I780">
        <v>22</v>
      </c>
    </row>
    <row r="781" spans="1:9" ht="24" customHeight="1">
      <c r="A781" s="6" t="s">
        <v>2360</v>
      </c>
      <c r="B781">
        <v>260</v>
      </c>
      <c r="C781">
        <v>0</v>
      </c>
      <c r="D781">
        <v>813832</v>
      </c>
      <c r="E781"/>
      <c r="F781">
        <v>12.1</v>
      </c>
      <c r="G781"/>
      <c r="H781">
        <v>27</v>
      </c>
      <c r="I781"/>
    </row>
    <row r="782" spans="1:9" ht="24" customHeight="1">
      <c r="A782" s="6" t="s">
        <v>2361</v>
      </c>
      <c r="B782">
        <v>160</v>
      </c>
      <c r="C782">
        <v>96</v>
      </c>
      <c r="D782">
        <v>653911</v>
      </c>
      <c r="E782">
        <v>389660</v>
      </c>
      <c r="F782">
        <v>16</v>
      </c>
      <c r="G782">
        <v>3.5</v>
      </c>
      <c r="H782">
        <v>3.8</v>
      </c>
      <c r="I782">
        <v>3.5</v>
      </c>
    </row>
    <row r="783" spans="1:9" ht="24" customHeight="1">
      <c r="A783" s="6" t="s">
        <v>2362</v>
      </c>
      <c r="B783">
        <v>361</v>
      </c>
      <c r="C783">
        <v>0</v>
      </c>
      <c r="D783">
        <v>785960</v>
      </c>
      <c r="E783"/>
      <c r="F783">
        <v>10.7</v>
      </c>
      <c r="G783"/>
      <c r="H783">
        <v>35.9</v>
      </c>
      <c r="I783"/>
    </row>
    <row r="784" spans="1:9" ht="24" customHeight="1">
      <c r="A784" s="6" t="s">
        <v>2363</v>
      </c>
      <c r="B784">
        <v>469</v>
      </c>
      <c r="C784">
        <v>56</v>
      </c>
      <c r="D784">
        <v>562931</v>
      </c>
      <c r="E784">
        <v>402563</v>
      </c>
      <c r="F784">
        <v>20.5</v>
      </c>
      <c r="G784">
        <v>17.399999999999999</v>
      </c>
      <c r="H784">
        <v>6.8</v>
      </c>
      <c r="I784">
        <v>5</v>
      </c>
    </row>
    <row r="785" spans="1:9" ht="24" customHeight="1">
      <c r="A785" s="6" t="s">
        <v>519</v>
      </c>
      <c r="B785">
        <v>230130</v>
      </c>
      <c r="C785">
        <v>67880</v>
      </c>
      <c r="D785">
        <v>434303</v>
      </c>
      <c r="E785">
        <v>297941</v>
      </c>
      <c r="F785">
        <v>14.2</v>
      </c>
      <c r="G785">
        <v>9</v>
      </c>
      <c r="H785">
        <v>14.7</v>
      </c>
      <c r="I785">
        <v>11.6</v>
      </c>
    </row>
    <row r="786" spans="1:9" ht="24" customHeight="1">
      <c r="A786" s="6" t="s">
        <v>520</v>
      </c>
      <c r="B786">
        <v>39355</v>
      </c>
      <c r="C786">
        <v>6705</v>
      </c>
      <c r="D786">
        <v>550718</v>
      </c>
      <c r="E786">
        <v>420243</v>
      </c>
      <c r="F786">
        <v>12</v>
      </c>
      <c r="G786">
        <v>10.7</v>
      </c>
      <c r="H786">
        <v>16.8</v>
      </c>
      <c r="I786">
        <v>12.1</v>
      </c>
    </row>
    <row r="787" spans="1:9" ht="24" customHeight="1">
      <c r="A787" s="6" t="s">
        <v>521</v>
      </c>
      <c r="B787">
        <v>1729</v>
      </c>
      <c r="C787">
        <v>221</v>
      </c>
      <c r="D787">
        <v>292386</v>
      </c>
      <c r="E787">
        <v>231555</v>
      </c>
      <c r="F787">
        <v>8.9</v>
      </c>
      <c r="G787">
        <v>6.2</v>
      </c>
      <c r="H787">
        <v>0</v>
      </c>
      <c r="I787">
        <v>0</v>
      </c>
    </row>
    <row r="788" spans="1:9" ht="24" customHeight="1">
      <c r="A788" s="6" t="s">
        <v>2364</v>
      </c>
      <c r="B788">
        <v>2601</v>
      </c>
      <c r="C788">
        <v>768</v>
      </c>
      <c r="D788">
        <v>353109</v>
      </c>
      <c r="E788">
        <v>328556</v>
      </c>
      <c r="F788">
        <v>15.7</v>
      </c>
      <c r="G788">
        <v>14.3</v>
      </c>
      <c r="H788">
        <v>1.7</v>
      </c>
      <c r="I788">
        <v>1.5</v>
      </c>
    </row>
    <row r="789" spans="1:9" ht="24" customHeight="1">
      <c r="A789" s="6" t="s">
        <v>2365</v>
      </c>
      <c r="B789">
        <v>4909</v>
      </c>
      <c r="C789">
        <v>1533</v>
      </c>
      <c r="D789">
        <v>533619</v>
      </c>
      <c r="E789">
        <v>470366</v>
      </c>
      <c r="F789">
        <v>13.6</v>
      </c>
      <c r="G789">
        <v>11.6</v>
      </c>
      <c r="H789">
        <v>11.9</v>
      </c>
      <c r="I789">
        <v>11.8</v>
      </c>
    </row>
    <row r="790" spans="1:9" ht="24" customHeight="1">
      <c r="A790" s="6" t="s">
        <v>2366</v>
      </c>
      <c r="B790">
        <v>6989</v>
      </c>
      <c r="C790">
        <v>807</v>
      </c>
      <c r="D790">
        <v>590887</v>
      </c>
      <c r="E790">
        <v>406720</v>
      </c>
      <c r="F790">
        <v>13.1</v>
      </c>
      <c r="G790">
        <v>7.4</v>
      </c>
      <c r="H790">
        <v>16.899999999999999</v>
      </c>
      <c r="I790">
        <v>17.2</v>
      </c>
    </row>
    <row r="791" spans="1:9" ht="24" customHeight="1">
      <c r="A791" s="6" t="s">
        <v>2367</v>
      </c>
      <c r="B791">
        <v>3871</v>
      </c>
      <c r="C791">
        <v>640</v>
      </c>
      <c r="D791">
        <v>650987</v>
      </c>
      <c r="E791">
        <v>438109</v>
      </c>
      <c r="F791">
        <v>10.9</v>
      </c>
      <c r="G791">
        <v>4.5999999999999996</v>
      </c>
      <c r="H791">
        <v>21.8</v>
      </c>
      <c r="I791">
        <v>21.7</v>
      </c>
    </row>
    <row r="792" spans="1:9" ht="24" customHeight="1">
      <c r="A792" s="6" t="s">
        <v>2368</v>
      </c>
      <c r="B792">
        <v>3028</v>
      </c>
      <c r="C792">
        <v>362</v>
      </c>
      <c r="D792">
        <v>691976</v>
      </c>
      <c r="E792">
        <v>482869</v>
      </c>
      <c r="F792">
        <v>9.1999999999999993</v>
      </c>
      <c r="G792">
        <v>9.8000000000000007</v>
      </c>
      <c r="H792">
        <v>27.2</v>
      </c>
      <c r="I792">
        <v>26.4</v>
      </c>
    </row>
    <row r="793" spans="1:9" ht="24" customHeight="1">
      <c r="A793" s="6" t="s">
        <v>2369</v>
      </c>
      <c r="B793">
        <v>2709</v>
      </c>
      <c r="C793">
        <v>801</v>
      </c>
      <c r="D793">
        <v>418609</v>
      </c>
      <c r="E793">
        <v>377577</v>
      </c>
      <c r="F793">
        <v>18.3</v>
      </c>
      <c r="G793">
        <v>7</v>
      </c>
      <c r="H793">
        <v>3.5</v>
      </c>
      <c r="I793">
        <v>3.7</v>
      </c>
    </row>
    <row r="794" spans="1:9" ht="24" customHeight="1">
      <c r="A794" s="6" t="s">
        <v>522</v>
      </c>
      <c r="B794">
        <v>7774</v>
      </c>
      <c r="C794">
        <v>523</v>
      </c>
      <c r="D794">
        <v>682376</v>
      </c>
      <c r="E794">
        <v>581571</v>
      </c>
      <c r="F794">
        <v>8.9</v>
      </c>
      <c r="G794">
        <v>11.7</v>
      </c>
      <c r="H794">
        <v>34.200000000000003</v>
      </c>
      <c r="I794">
        <v>32.9</v>
      </c>
    </row>
    <row r="795" spans="1:9" ht="24" customHeight="1">
      <c r="A795" s="6" t="s">
        <v>2370</v>
      </c>
      <c r="B795">
        <v>5820</v>
      </c>
      <c r="C795">
        <v>1444</v>
      </c>
      <c r="D795">
        <v>426735</v>
      </c>
      <c r="E795">
        <v>360348</v>
      </c>
      <c r="F795">
        <v>12.2</v>
      </c>
      <c r="G795">
        <v>12.7</v>
      </c>
      <c r="H795">
        <v>6.7</v>
      </c>
      <c r="I795">
        <v>6.3</v>
      </c>
    </row>
    <row r="796" spans="1:9" ht="24" customHeight="1">
      <c r="A796" s="6" t="s">
        <v>2371</v>
      </c>
      <c r="B796">
        <v>83841</v>
      </c>
      <c r="C796">
        <v>32993</v>
      </c>
      <c r="D796">
        <v>381386</v>
      </c>
      <c r="E796">
        <v>260648</v>
      </c>
      <c r="F796">
        <v>12.3</v>
      </c>
      <c r="G796">
        <v>7</v>
      </c>
      <c r="H796">
        <v>13.4</v>
      </c>
      <c r="I796">
        <v>11</v>
      </c>
    </row>
    <row r="797" spans="1:9" ht="24" customHeight="1">
      <c r="A797" s="6" t="s">
        <v>2372</v>
      </c>
      <c r="B797">
        <v>3516</v>
      </c>
      <c r="C797">
        <v>2551</v>
      </c>
      <c r="D797">
        <v>250387</v>
      </c>
      <c r="E797">
        <v>205950</v>
      </c>
      <c r="F797">
        <v>10.7</v>
      </c>
      <c r="G797">
        <v>7</v>
      </c>
      <c r="H797">
        <v>0</v>
      </c>
      <c r="I797">
        <v>0</v>
      </c>
    </row>
    <row r="798" spans="1:9" ht="24" customHeight="1">
      <c r="A798" s="6" t="s">
        <v>2373</v>
      </c>
      <c r="B798">
        <v>8367</v>
      </c>
      <c r="C798">
        <v>3321</v>
      </c>
      <c r="D798">
        <v>296028</v>
      </c>
      <c r="E798">
        <v>242391</v>
      </c>
      <c r="F798">
        <v>14.9</v>
      </c>
      <c r="G798">
        <v>8.6</v>
      </c>
      <c r="H798">
        <v>1.5</v>
      </c>
      <c r="I798">
        <v>1.3</v>
      </c>
    </row>
    <row r="799" spans="1:9" ht="24" customHeight="1">
      <c r="A799" s="6" t="s">
        <v>2374</v>
      </c>
      <c r="B799">
        <v>11258</v>
      </c>
      <c r="C799">
        <v>5924</v>
      </c>
      <c r="D799">
        <v>369369</v>
      </c>
      <c r="E799">
        <v>257623</v>
      </c>
      <c r="F799">
        <v>12.2</v>
      </c>
      <c r="G799">
        <v>5.5</v>
      </c>
      <c r="H799">
        <v>11.9</v>
      </c>
      <c r="I799">
        <v>11.7</v>
      </c>
    </row>
    <row r="800" spans="1:9" ht="24" customHeight="1">
      <c r="A800" s="6" t="s">
        <v>2375</v>
      </c>
      <c r="B800">
        <v>12676</v>
      </c>
      <c r="C800">
        <v>2772</v>
      </c>
      <c r="D800">
        <v>419546</v>
      </c>
      <c r="E800">
        <v>257665</v>
      </c>
      <c r="F800">
        <v>10.4</v>
      </c>
      <c r="G800">
        <v>4.5999999999999996</v>
      </c>
      <c r="H800">
        <v>17.100000000000001</v>
      </c>
      <c r="I800">
        <v>16.7</v>
      </c>
    </row>
    <row r="801" spans="1:9" ht="24" customHeight="1">
      <c r="A801" s="6" t="s">
        <v>2376</v>
      </c>
      <c r="B801">
        <v>12208</v>
      </c>
      <c r="C801">
        <v>2341</v>
      </c>
      <c r="D801">
        <v>466344</v>
      </c>
      <c r="E801">
        <v>288810</v>
      </c>
      <c r="F801">
        <v>12.8</v>
      </c>
      <c r="G801">
        <v>3</v>
      </c>
      <c r="H801">
        <v>22.2</v>
      </c>
      <c r="I801">
        <v>21.6</v>
      </c>
    </row>
    <row r="802" spans="1:9" ht="24" customHeight="1">
      <c r="A802" s="6" t="s">
        <v>2377</v>
      </c>
      <c r="B802">
        <v>6792</v>
      </c>
      <c r="C802">
        <v>2520</v>
      </c>
      <c r="D802">
        <v>467743</v>
      </c>
      <c r="E802">
        <v>330276</v>
      </c>
      <c r="F802">
        <v>11.7</v>
      </c>
      <c r="G802">
        <v>11.7</v>
      </c>
      <c r="H802">
        <v>26.7</v>
      </c>
      <c r="I802">
        <v>27.1</v>
      </c>
    </row>
    <row r="803" spans="1:9" ht="24" customHeight="1">
      <c r="A803" s="6" t="s">
        <v>2378</v>
      </c>
      <c r="B803">
        <v>9001</v>
      </c>
      <c r="C803">
        <v>3672</v>
      </c>
      <c r="D803">
        <v>333244</v>
      </c>
      <c r="E803">
        <v>225556</v>
      </c>
      <c r="F803">
        <v>15.6</v>
      </c>
      <c r="G803">
        <v>9.4</v>
      </c>
      <c r="H803">
        <v>3.4</v>
      </c>
      <c r="I803">
        <v>3.5</v>
      </c>
    </row>
    <row r="804" spans="1:9" ht="24" customHeight="1">
      <c r="A804" s="6" t="s">
        <v>2379</v>
      </c>
      <c r="B804">
        <v>5112</v>
      </c>
      <c r="C804">
        <v>1776</v>
      </c>
      <c r="D804">
        <v>437582</v>
      </c>
      <c r="E804">
        <v>293767</v>
      </c>
      <c r="F804">
        <v>5.7</v>
      </c>
      <c r="G804">
        <v>6.6</v>
      </c>
      <c r="H804">
        <v>34.299999999999997</v>
      </c>
      <c r="I804">
        <v>36.6</v>
      </c>
    </row>
    <row r="805" spans="1:9" ht="24" customHeight="1">
      <c r="A805" s="6" t="s">
        <v>2380</v>
      </c>
      <c r="B805">
        <v>15431</v>
      </c>
      <c r="C805">
        <v>9261</v>
      </c>
      <c r="D805">
        <v>331447</v>
      </c>
      <c r="E805">
        <v>257737</v>
      </c>
      <c r="F805">
        <v>12.5</v>
      </c>
      <c r="G805">
        <v>6</v>
      </c>
      <c r="H805">
        <v>6.8</v>
      </c>
      <c r="I805">
        <v>6.4</v>
      </c>
    </row>
    <row r="806" spans="1:9" ht="24" customHeight="1">
      <c r="A806" s="6" t="s">
        <v>2381</v>
      </c>
      <c r="B806">
        <v>56763</v>
      </c>
      <c r="C806">
        <v>16535</v>
      </c>
      <c r="D806">
        <v>406390</v>
      </c>
      <c r="E806">
        <v>294771</v>
      </c>
      <c r="F806">
        <v>15.7</v>
      </c>
      <c r="G806">
        <v>10.4</v>
      </c>
      <c r="H806">
        <v>14.8</v>
      </c>
      <c r="I806">
        <v>12.2</v>
      </c>
    </row>
    <row r="807" spans="1:9" ht="24" customHeight="1">
      <c r="A807" s="6" t="s">
        <v>2382</v>
      </c>
      <c r="B807">
        <v>3508</v>
      </c>
      <c r="C807">
        <v>1211</v>
      </c>
      <c r="D807">
        <v>249932</v>
      </c>
      <c r="E807">
        <v>214980</v>
      </c>
      <c r="F807">
        <v>8.6</v>
      </c>
      <c r="G807">
        <v>6.8</v>
      </c>
      <c r="H807">
        <v>0</v>
      </c>
      <c r="I807">
        <v>0</v>
      </c>
    </row>
    <row r="808" spans="1:9" ht="24" customHeight="1">
      <c r="A808" s="6" t="s">
        <v>2383</v>
      </c>
      <c r="B808">
        <v>4003</v>
      </c>
      <c r="C808">
        <v>1783</v>
      </c>
      <c r="D808">
        <v>303911</v>
      </c>
      <c r="E808">
        <v>258501</v>
      </c>
      <c r="F808">
        <v>13.5</v>
      </c>
      <c r="G808">
        <v>13.3</v>
      </c>
      <c r="H808">
        <v>1.5</v>
      </c>
      <c r="I808">
        <v>1.6</v>
      </c>
    </row>
    <row r="809" spans="1:9" ht="24" customHeight="1">
      <c r="A809" s="6" t="s">
        <v>2384</v>
      </c>
      <c r="B809">
        <v>7379</v>
      </c>
      <c r="C809">
        <v>2279</v>
      </c>
      <c r="D809">
        <v>399805</v>
      </c>
      <c r="E809">
        <v>269496</v>
      </c>
      <c r="F809">
        <v>16.2</v>
      </c>
      <c r="G809">
        <v>11.5</v>
      </c>
      <c r="H809">
        <v>11.8</v>
      </c>
      <c r="I809">
        <v>11.8</v>
      </c>
    </row>
    <row r="810" spans="1:9" ht="24" customHeight="1">
      <c r="A810" s="6" t="s">
        <v>2385</v>
      </c>
      <c r="B810">
        <v>10365</v>
      </c>
      <c r="C810">
        <v>2324</v>
      </c>
      <c r="D810">
        <v>415713</v>
      </c>
      <c r="E810">
        <v>324298</v>
      </c>
      <c r="F810">
        <v>17.2</v>
      </c>
      <c r="G810">
        <v>5.6</v>
      </c>
      <c r="H810">
        <v>16.899999999999999</v>
      </c>
      <c r="I810">
        <v>16.899999999999999</v>
      </c>
    </row>
    <row r="811" spans="1:9" ht="24" customHeight="1">
      <c r="A811" s="6" t="s">
        <v>2386</v>
      </c>
      <c r="B811">
        <v>5227</v>
      </c>
      <c r="C811">
        <v>1627</v>
      </c>
      <c r="D811">
        <v>466528</v>
      </c>
      <c r="E811">
        <v>315964</v>
      </c>
      <c r="F811">
        <v>10</v>
      </c>
      <c r="G811">
        <v>15.8</v>
      </c>
      <c r="H811">
        <v>21.6</v>
      </c>
      <c r="I811">
        <v>22.2</v>
      </c>
    </row>
    <row r="812" spans="1:9" ht="24" customHeight="1">
      <c r="A812" s="6" t="s">
        <v>2387</v>
      </c>
      <c r="B812">
        <v>5628</v>
      </c>
      <c r="C812">
        <v>795</v>
      </c>
      <c r="D812">
        <v>485975</v>
      </c>
      <c r="E812">
        <v>366566</v>
      </c>
      <c r="F812">
        <v>11.7</v>
      </c>
      <c r="G812">
        <v>8</v>
      </c>
      <c r="H812">
        <v>26.9</v>
      </c>
      <c r="I812">
        <v>26.9</v>
      </c>
    </row>
    <row r="813" spans="1:9" ht="24" customHeight="1">
      <c r="A813" s="6" t="s">
        <v>2388</v>
      </c>
      <c r="B813">
        <v>4115</v>
      </c>
      <c r="C813">
        <v>2019</v>
      </c>
      <c r="D813">
        <v>334485</v>
      </c>
      <c r="E813">
        <v>271488</v>
      </c>
      <c r="F813">
        <v>23.9</v>
      </c>
      <c r="G813">
        <v>10.8</v>
      </c>
      <c r="H813">
        <v>3.5</v>
      </c>
      <c r="I813">
        <v>3.7</v>
      </c>
    </row>
    <row r="814" spans="1:9" ht="24" customHeight="1">
      <c r="A814" s="6" t="s">
        <v>2389</v>
      </c>
      <c r="B814">
        <v>6461</v>
      </c>
      <c r="C814">
        <v>1428</v>
      </c>
      <c r="D814">
        <v>516818</v>
      </c>
      <c r="E814">
        <v>376000</v>
      </c>
      <c r="F814">
        <v>12</v>
      </c>
      <c r="G814">
        <v>7.4</v>
      </c>
      <c r="H814">
        <v>34.5</v>
      </c>
      <c r="I814">
        <v>34.299999999999997</v>
      </c>
    </row>
    <row r="815" spans="1:9" ht="24" customHeight="1">
      <c r="A815" s="6" t="s">
        <v>2390</v>
      </c>
      <c r="B815">
        <v>10158</v>
      </c>
      <c r="C815">
        <v>3433</v>
      </c>
      <c r="D815">
        <v>379560</v>
      </c>
      <c r="E815">
        <v>283520</v>
      </c>
      <c r="F815">
        <v>21</v>
      </c>
      <c r="G815">
        <v>11</v>
      </c>
      <c r="H815">
        <v>7.1</v>
      </c>
      <c r="I815">
        <v>6.6</v>
      </c>
    </row>
    <row r="816" spans="1:9" ht="24" customHeight="1">
      <c r="A816" s="6" t="s">
        <v>2391</v>
      </c>
      <c r="B816">
        <v>50171</v>
      </c>
      <c r="C816">
        <v>11647</v>
      </c>
      <c r="D816">
        <v>462996</v>
      </c>
      <c r="E816">
        <v>337682</v>
      </c>
      <c r="F816">
        <v>17.2</v>
      </c>
      <c r="G816">
        <v>11.7</v>
      </c>
      <c r="H816">
        <v>15.3</v>
      </c>
      <c r="I816">
        <v>12.3</v>
      </c>
    </row>
    <row r="817" spans="1:9" ht="24" customHeight="1">
      <c r="A817" s="6" t="s">
        <v>2392</v>
      </c>
      <c r="B817">
        <v>1749</v>
      </c>
      <c r="C817">
        <v>583</v>
      </c>
      <c r="D817">
        <v>259034</v>
      </c>
      <c r="E817">
        <v>236588</v>
      </c>
      <c r="F817">
        <v>14.1</v>
      </c>
      <c r="G817">
        <v>4.7</v>
      </c>
      <c r="H817">
        <v>0</v>
      </c>
      <c r="I817">
        <v>0</v>
      </c>
    </row>
    <row r="818" spans="1:9" ht="24" customHeight="1">
      <c r="A818" s="6" t="s">
        <v>2393</v>
      </c>
      <c r="B818">
        <v>3842</v>
      </c>
      <c r="C818">
        <v>1531</v>
      </c>
      <c r="D818">
        <v>333573</v>
      </c>
      <c r="E818">
        <v>274066</v>
      </c>
      <c r="F818">
        <v>15</v>
      </c>
      <c r="G818">
        <v>12</v>
      </c>
      <c r="H818">
        <v>1.5</v>
      </c>
      <c r="I818">
        <v>1.7</v>
      </c>
    </row>
    <row r="819" spans="1:9" ht="24" customHeight="1">
      <c r="A819" s="6" t="s">
        <v>2394</v>
      </c>
      <c r="B819">
        <v>4609</v>
      </c>
      <c r="C819">
        <v>1122</v>
      </c>
      <c r="D819">
        <v>466927</v>
      </c>
      <c r="E819">
        <v>342113</v>
      </c>
      <c r="F819">
        <v>25</v>
      </c>
      <c r="G819">
        <v>9.9</v>
      </c>
      <c r="H819">
        <v>11.8</v>
      </c>
      <c r="I819">
        <v>11.5</v>
      </c>
    </row>
    <row r="820" spans="1:9" ht="24" customHeight="1">
      <c r="A820" s="6" t="s">
        <v>2395</v>
      </c>
      <c r="B820">
        <v>9129</v>
      </c>
      <c r="C820">
        <v>2128</v>
      </c>
      <c r="D820">
        <v>482705</v>
      </c>
      <c r="E820">
        <v>352287</v>
      </c>
      <c r="F820">
        <v>20.7</v>
      </c>
      <c r="G820">
        <v>11.8</v>
      </c>
      <c r="H820">
        <v>16.8</v>
      </c>
      <c r="I820">
        <v>17.2</v>
      </c>
    </row>
    <row r="821" spans="1:9" ht="24" customHeight="1">
      <c r="A821" s="6" t="s">
        <v>2396</v>
      </c>
      <c r="B821">
        <v>2710</v>
      </c>
      <c r="C821">
        <v>592</v>
      </c>
      <c r="D821">
        <v>529427</v>
      </c>
      <c r="E821">
        <v>346459</v>
      </c>
      <c r="F821">
        <v>16.2</v>
      </c>
      <c r="G821">
        <v>13.6</v>
      </c>
      <c r="H821">
        <v>21.8</v>
      </c>
      <c r="I821">
        <v>21</v>
      </c>
    </row>
    <row r="822" spans="1:9" ht="24" customHeight="1">
      <c r="A822" s="6" t="s">
        <v>2397</v>
      </c>
      <c r="B822">
        <v>4186</v>
      </c>
      <c r="C822">
        <v>987</v>
      </c>
      <c r="D822">
        <v>572706</v>
      </c>
      <c r="E822">
        <v>401316</v>
      </c>
      <c r="F822">
        <v>13.8</v>
      </c>
      <c r="G822">
        <v>10.8</v>
      </c>
      <c r="H822">
        <v>27.1</v>
      </c>
      <c r="I822">
        <v>26.9</v>
      </c>
    </row>
    <row r="823" spans="1:9" ht="24" customHeight="1">
      <c r="A823" s="6" t="s">
        <v>2398</v>
      </c>
      <c r="B823">
        <v>6755</v>
      </c>
      <c r="C823">
        <v>2160</v>
      </c>
      <c r="D823">
        <v>422055</v>
      </c>
      <c r="E823">
        <v>318611</v>
      </c>
      <c r="F823">
        <v>19.100000000000001</v>
      </c>
      <c r="G823">
        <v>14.9</v>
      </c>
      <c r="H823">
        <v>3.7</v>
      </c>
      <c r="I823">
        <v>3.7</v>
      </c>
    </row>
    <row r="824" spans="1:9" ht="24" customHeight="1">
      <c r="A824" s="6" t="s">
        <v>2399</v>
      </c>
      <c r="B824">
        <v>8871</v>
      </c>
      <c r="C824">
        <v>1078</v>
      </c>
      <c r="D824">
        <v>566616</v>
      </c>
      <c r="E824">
        <v>409785</v>
      </c>
      <c r="F824">
        <v>9.9</v>
      </c>
      <c r="G824">
        <v>9.5</v>
      </c>
      <c r="H824">
        <v>34.1</v>
      </c>
      <c r="I824">
        <v>34</v>
      </c>
    </row>
    <row r="825" spans="1:9" ht="24" customHeight="1">
      <c r="A825" s="6" t="s">
        <v>2400</v>
      </c>
      <c r="B825">
        <v>8358</v>
      </c>
      <c r="C825">
        <v>1735</v>
      </c>
      <c r="D825">
        <v>388159</v>
      </c>
      <c r="E825">
        <v>329980</v>
      </c>
      <c r="F825">
        <v>19.2</v>
      </c>
      <c r="G825">
        <v>10.5</v>
      </c>
      <c r="H825">
        <v>6.7</v>
      </c>
      <c r="I825">
        <v>6.6</v>
      </c>
    </row>
    <row r="826" spans="1:9" ht="24" customHeight="1">
      <c r="A826" s="6" t="s">
        <v>523</v>
      </c>
      <c r="B826">
        <v>70831</v>
      </c>
      <c r="C826">
        <v>17453</v>
      </c>
      <c r="D826">
        <v>496762</v>
      </c>
      <c r="E826">
        <v>332575</v>
      </c>
      <c r="F826">
        <v>16.8</v>
      </c>
      <c r="G826">
        <v>9.1</v>
      </c>
      <c r="H826">
        <v>15.2</v>
      </c>
      <c r="I826">
        <v>12.6</v>
      </c>
    </row>
    <row r="827" spans="1:9" ht="24" customHeight="1">
      <c r="A827" s="6" t="s">
        <v>524</v>
      </c>
      <c r="B827">
        <v>33649</v>
      </c>
      <c r="C827">
        <v>4425</v>
      </c>
      <c r="D827">
        <v>588833</v>
      </c>
      <c r="E827">
        <v>436232</v>
      </c>
      <c r="F827">
        <v>19.7</v>
      </c>
      <c r="G827">
        <v>13.9</v>
      </c>
      <c r="H827">
        <v>16.2</v>
      </c>
      <c r="I827">
        <v>13.8</v>
      </c>
    </row>
    <row r="828" spans="1:9" ht="24" customHeight="1">
      <c r="A828" s="6" t="s">
        <v>525</v>
      </c>
      <c r="B828">
        <v>1258</v>
      </c>
      <c r="C828">
        <v>151</v>
      </c>
      <c r="D828">
        <v>285623</v>
      </c>
      <c r="E828">
        <v>242633</v>
      </c>
      <c r="F828">
        <v>12.8</v>
      </c>
      <c r="G828">
        <v>6.2</v>
      </c>
      <c r="H828">
        <v>0</v>
      </c>
      <c r="I828">
        <v>0</v>
      </c>
    </row>
    <row r="829" spans="1:9" ht="24" customHeight="1">
      <c r="A829" s="6" t="s">
        <v>2401</v>
      </c>
      <c r="B829">
        <v>1852</v>
      </c>
      <c r="C829">
        <v>441</v>
      </c>
      <c r="D829">
        <v>379730</v>
      </c>
      <c r="E829">
        <v>318770</v>
      </c>
      <c r="F829">
        <v>24</v>
      </c>
      <c r="G829">
        <v>12.7</v>
      </c>
      <c r="H829">
        <v>1.4</v>
      </c>
      <c r="I829">
        <v>1.3</v>
      </c>
    </row>
    <row r="830" spans="1:9" ht="24" customHeight="1">
      <c r="A830" s="6" t="s">
        <v>2402</v>
      </c>
      <c r="B830">
        <v>6041</v>
      </c>
      <c r="C830">
        <v>965</v>
      </c>
      <c r="D830">
        <v>561720</v>
      </c>
      <c r="E830">
        <v>455174</v>
      </c>
      <c r="F830">
        <v>21.8</v>
      </c>
      <c r="G830">
        <v>10.8</v>
      </c>
      <c r="H830">
        <v>12.5</v>
      </c>
      <c r="I830">
        <v>12.4</v>
      </c>
    </row>
    <row r="831" spans="1:9" ht="24" customHeight="1">
      <c r="A831" s="6" t="s">
        <v>2403</v>
      </c>
      <c r="B831">
        <v>7552</v>
      </c>
      <c r="C831">
        <v>509</v>
      </c>
      <c r="D831">
        <v>636047</v>
      </c>
      <c r="E831">
        <v>455173</v>
      </c>
      <c r="F831">
        <v>19.100000000000001</v>
      </c>
      <c r="G831">
        <v>11</v>
      </c>
      <c r="H831">
        <v>16.600000000000001</v>
      </c>
      <c r="I831">
        <v>16.100000000000001</v>
      </c>
    </row>
    <row r="832" spans="1:9" ht="24" customHeight="1">
      <c r="A832" s="6" t="s">
        <v>2404</v>
      </c>
      <c r="B832">
        <v>2561</v>
      </c>
      <c r="C832">
        <v>198</v>
      </c>
      <c r="D832">
        <v>754245</v>
      </c>
      <c r="E832">
        <v>424935</v>
      </c>
      <c r="F832">
        <v>14.5</v>
      </c>
      <c r="G832">
        <v>7.9</v>
      </c>
      <c r="H832">
        <v>21.5</v>
      </c>
      <c r="I832">
        <v>22.7</v>
      </c>
    </row>
    <row r="833" spans="1:9" ht="24" customHeight="1">
      <c r="A833" s="6" t="s">
        <v>2405</v>
      </c>
      <c r="B833">
        <v>2199</v>
      </c>
      <c r="C833">
        <v>315</v>
      </c>
      <c r="D833">
        <v>713926</v>
      </c>
      <c r="E833">
        <v>474510</v>
      </c>
      <c r="F833">
        <v>18.2</v>
      </c>
      <c r="G833">
        <v>13.1</v>
      </c>
      <c r="H833">
        <v>26.8</v>
      </c>
      <c r="I833">
        <v>26.9</v>
      </c>
    </row>
    <row r="834" spans="1:9" ht="24" customHeight="1">
      <c r="A834" s="6" t="s">
        <v>2406</v>
      </c>
      <c r="B834">
        <v>2854</v>
      </c>
      <c r="C834">
        <v>491</v>
      </c>
      <c r="D834">
        <v>433208</v>
      </c>
      <c r="E834">
        <v>420329</v>
      </c>
      <c r="F834">
        <v>25.4</v>
      </c>
      <c r="G834">
        <v>23.2</v>
      </c>
      <c r="H834">
        <v>3.6</v>
      </c>
      <c r="I834">
        <v>3.5</v>
      </c>
    </row>
    <row r="835" spans="1:9" ht="24" customHeight="1">
      <c r="A835" s="6" t="s">
        <v>526</v>
      </c>
      <c r="B835">
        <v>5681</v>
      </c>
      <c r="C835">
        <v>718</v>
      </c>
      <c r="D835">
        <v>707057</v>
      </c>
      <c r="E835">
        <v>506203</v>
      </c>
      <c r="F835">
        <v>14.5</v>
      </c>
      <c r="G835">
        <v>14.5</v>
      </c>
      <c r="H835">
        <v>33.700000000000003</v>
      </c>
      <c r="I835">
        <v>33.4</v>
      </c>
    </row>
    <row r="836" spans="1:9" ht="24" customHeight="1">
      <c r="A836" s="6" t="s">
        <v>2407</v>
      </c>
      <c r="B836">
        <v>3733</v>
      </c>
      <c r="C836">
        <v>924</v>
      </c>
      <c r="D836">
        <v>491669</v>
      </c>
      <c r="E836">
        <v>405980</v>
      </c>
      <c r="F836">
        <v>25.6</v>
      </c>
      <c r="G836">
        <v>12.8</v>
      </c>
      <c r="H836">
        <v>6.8</v>
      </c>
      <c r="I836">
        <v>6.5</v>
      </c>
    </row>
    <row r="837" spans="1:9" ht="24" customHeight="1">
      <c r="A837" s="6" t="s">
        <v>2408</v>
      </c>
      <c r="B837">
        <v>14257</v>
      </c>
      <c r="C837">
        <v>6091</v>
      </c>
      <c r="D837">
        <v>369551</v>
      </c>
      <c r="E837">
        <v>284983</v>
      </c>
      <c r="F837">
        <v>13</v>
      </c>
      <c r="G837">
        <v>7</v>
      </c>
      <c r="H837">
        <v>12.7</v>
      </c>
      <c r="I837">
        <v>11.4</v>
      </c>
    </row>
    <row r="838" spans="1:9" ht="24" customHeight="1">
      <c r="A838" s="6" t="s">
        <v>2409</v>
      </c>
      <c r="B838">
        <v>595</v>
      </c>
      <c r="C838">
        <v>296</v>
      </c>
      <c r="D838">
        <v>239535</v>
      </c>
      <c r="E838">
        <v>197781</v>
      </c>
      <c r="F838">
        <v>12.5</v>
      </c>
      <c r="G838">
        <v>1.2</v>
      </c>
      <c r="H838">
        <v>0</v>
      </c>
      <c r="I838">
        <v>0</v>
      </c>
    </row>
    <row r="839" spans="1:9" ht="24" customHeight="1">
      <c r="A839" s="6" t="s">
        <v>2410</v>
      </c>
      <c r="B839">
        <v>1317</v>
      </c>
      <c r="C839">
        <v>645</v>
      </c>
      <c r="D839">
        <v>302434</v>
      </c>
      <c r="E839">
        <v>226837</v>
      </c>
      <c r="F839">
        <v>11.8</v>
      </c>
      <c r="G839">
        <v>10.199999999999999</v>
      </c>
      <c r="H839">
        <v>1.4</v>
      </c>
      <c r="I839">
        <v>1.4</v>
      </c>
    </row>
    <row r="840" spans="1:9" ht="24" customHeight="1">
      <c r="A840" s="6" t="s">
        <v>2411</v>
      </c>
      <c r="B840">
        <v>2022</v>
      </c>
      <c r="C840">
        <v>1011</v>
      </c>
      <c r="D840">
        <v>366787</v>
      </c>
      <c r="E840">
        <v>291186</v>
      </c>
      <c r="F840">
        <v>10.7</v>
      </c>
      <c r="G840">
        <v>5</v>
      </c>
      <c r="H840">
        <v>11.6</v>
      </c>
      <c r="I840">
        <v>11.8</v>
      </c>
    </row>
    <row r="841" spans="1:9" ht="24" customHeight="1">
      <c r="A841" s="6" t="s">
        <v>2412</v>
      </c>
      <c r="B841">
        <v>2635</v>
      </c>
      <c r="C841">
        <v>1017</v>
      </c>
      <c r="D841">
        <v>409710</v>
      </c>
      <c r="E841">
        <v>358015</v>
      </c>
      <c r="F841">
        <v>13.2</v>
      </c>
      <c r="G841">
        <v>3.8</v>
      </c>
      <c r="H841">
        <v>17</v>
      </c>
      <c r="I841">
        <v>17.2</v>
      </c>
    </row>
    <row r="842" spans="1:9" ht="24" customHeight="1">
      <c r="A842" s="6" t="s">
        <v>2413</v>
      </c>
      <c r="B842">
        <v>1153</v>
      </c>
      <c r="C842">
        <v>540</v>
      </c>
      <c r="D842">
        <v>422414</v>
      </c>
      <c r="E842">
        <v>287674</v>
      </c>
      <c r="F842">
        <v>17.899999999999999</v>
      </c>
      <c r="G842">
        <v>4.0999999999999996</v>
      </c>
      <c r="H842">
        <v>21.6</v>
      </c>
      <c r="I842">
        <v>21.8</v>
      </c>
    </row>
    <row r="843" spans="1:9" ht="24" customHeight="1">
      <c r="A843" s="6" t="s">
        <v>2414</v>
      </c>
      <c r="B843">
        <v>764</v>
      </c>
      <c r="C843">
        <v>242</v>
      </c>
      <c r="D843">
        <v>455994</v>
      </c>
      <c r="E843">
        <v>329518</v>
      </c>
      <c r="F843">
        <v>13.3</v>
      </c>
      <c r="G843">
        <v>2</v>
      </c>
      <c r="H843">
        <v>26.9</v>
      </c>
      <c r="I843">
        <v>27</v>
      </c>
    </row>
    <row r="844" spans="1:9" ht="24" customHeight="1">
      <c r="A844" s="6" t="s">
        <v>2415</v>
      </c>
      <c r="B844">
        <v>1417</v>
      </c>
      <c r="C844">
        <v>705</v>
      </c>
      <c r="D844">
        <v>324141</v>
      </c>
      <c r="E844">
        <v>235252</v>
      </c>
      <c r="F844">
        <v>14.9</v>
      </c>
      <c r="G844">
        <v>6.3</v>
      </c>
      <c r="H844">
        <v>3.5</v>
      </c>
      <c r="I844">
        <v>3.5</v>
      </c>
    </row>
    <row r="845" spans="1:9" ht="24" customHeight="1">
      <c r="A845" s="6" t="s">
        <v>2416</v>
      </c>
      <c r="B845">
        <v>1239</v>
      </c>
      <c r="C845">
        <v>420</v>
      </c>
      <c r="D845">
        <v>410466</v>
      </c>
      <c r="E845">
        <v>253665</v>
      </c>
      <c r="F845">
        <v>6.1</v>
      </c>
      <c r="G845">
        <v>5.2</v>
      </c>
      <c r="H845">
        <v>35.6</v>
      </c>
      <c r="I845">
        <v>38.799999999999997</v>
      </c>
    </row>
    <row r="846" spans="1:9" ht="24" customHeight="1">
      <c r="A846" s="6" t="s">
        <v>2417</v>
      </c>
      <c r="B846">
        <v>3247</v>
      </c>
      <c r="C846">
        <v>1576</v>
      </c>
      <c r="D846">
        <v>346323</v>
      </c>
      <c r="E846">
        <v>274279</v>
      </c>
      <c r="F846">
        <v>14.4</v>
      </c>
      <c r="G846">
        <v>11.4</v>
      </c>
      <c r="H846">
        <v>6.8</v>
      </c>
      <c r="I846">
        <v>6.8</v>
      </c>
    </row>
    <row r="847" spans="1:9" ht="24" customHeight="1">
      <c r="A847" s="6" t="s">
        <v>2418</v>
      </c>
      <c r="B847">
        <v>9989</v>
      </c>
      <c r="C847">
        <v>4639</v>
      </c>
      <c r="D847">
        <v>401058</v>
      </c>
      <c r="E847">
        <v>284067</v>
      </c>
      <c r="F847">
        <v>13.1</v>
      </c>
      <c r="G847">
        <v>7.4</v>
      </c>
      <c r="H847">
        <v>14.2</v>
      </c>
      <c r="I847">
        <v>11.5</v>
      </c>
    </row>
    <row r="848" spans="1:9" ht="24" customHeight="1">
      <c r="A848" s="6" t="s">
        <v>2419</v>
      </c>
      <c r="B848">
        <v>468</v>
      </c>
      <c r="C848">
        <v>199</v>
      </c>
      <c r="D848">
        <v>248077</v>
      </c>
      <c r="E848">
        <v>224675</v>
      </c>
      <c r="F848">
        <v>6.8</v>
      </c>
      <c r="G848">
        <v>20.8</v>
      </c>
      <c r="H848">
        <v>0</v>
      </c>
      <c r="I848">
        <v>0</v>
      </c>
    </row>
    <row r="849" spans="1:9" ht="24" customHeight="1">
      <c r="A849" s="6" t="s">
        <v>2420</v>
      </c>
      <c r="B849">
        <v>757</v>
      </c>
      <c r="C849">
        <v>477</v>
      </c>
      <c r="D849">
        <v>320057</v>
      </c>
      <c r="E849">
        <v>230835</v>
      </c>
      <c r="F849">
        <v>12.2</v>
      </c>
      <c r="G849">
        <v>5.4</v>
      </c>
      <c r="H849">
        <v>1.4</v>
      </c>
      <c r="I849">
        <v>1.5</v>
      </c>
    </row>
    <row r="850" spans="1:9" ht="24" customHeight="1">
      <c r="A850" s="6" t="s">
        <v>2421</v>
      </c>
      <c r="B850">
        <v>1417</v>
      </c>
      <c r="C850">
        <v>686</v>
      </c>
      <c r="D850">
        <v>397070</v>
      </c>
      <c r="E850">
        <v>290919</v>
      </c>
      <c r="F850">
        <v>15.2</v>
      </c>
      <c r="G850">
        <v>12.1</v>
      </c>
      <c r="H850">
        <v>12.1</v>
      </c>
      <c r="I850">
        <v>11.5</v>
      </c>
    </row>
    <row r="851" spans="1:9" ht="24" customHeight="1">
      <c r="A851" s="6" t="s">
        <v>2422</v>
      </c>
      <c r="B851">
        <v>1628</v>
      </c>
      <c r="C851">
        <v>649</v>
      </c>
      <c r="D851">
        <v>426415</v>
      </c>
      <c r="E851">
        <v>319174</v>
      </c>
      <c r="F851">
        <v>14.3</v>
      </c>
      <c r="G851">
        <v>6.7</v>
      </c>
      <c r="H851">
        <v>16.899999999999999</v>
      </c>
      <c r="I851">
        <v>16.600000000000001</v>
      </c>
    </row>
    <row r="852" spans="1:9" ht="24" customHeight="1">
      <c r="A852" s="6" t="s">
        <v>2423</v>
      </c>
      <c r="B852">
        <v>977</v>
      </c>
      <c r="C852">
        <v>464</v>
      </c>
      <c r="D852">
        <v>496587</v>
      </c>
      <c r="E852">
        <v>320283</v>
      </c>
      <c r="F852">
        <v>14.3</v>
      </c>
      <c r="G852">
        <v>7.9</v>
      </c>
      <c r="H852">
        <v>21.9</v>
      </c>
      <c r="I852">
        <v>22</v>
      </c>
    </row>
    <row r="853" spans="1:9" ht="24" customHeight="1">
      <c r="A853" s="6" t="s">
        <v>2424</v>
      </c>
      <c r="B853">
        <v>695</v>
      </c>
      <c r="C853">
        <v>174</v>
      </c>
      <c r="D853">
        <v>506428</v>
      </c>
      <c r="E853">
        <v>319576</v>
      </c>
      <c r="F853">
        <v>8.4</v>
      </c>
      <c r="G853">
        <v>5.2</v>
      </c>
      <c r="H853">
        <v>26.9</v>
      </c>
      <c r="I853">
        <v>26.7</v>
      </c>
    </row>
    <row r="854" spans="1:9" ht="24" customHeight="1">
      <c r="A854" s="6" t="s">
        <v>2425</v>
      </c>
      <c r="B854">
        <v>973</v>
      </c>
      <c r="C854">
        <v>506</v>
      </c>
      <c r="D854">
        <v>315551</v>
      </c>
      <c r="E854">
        <v>268890</v>
      </c>
      <c r="F854">
        <v>14.2</v>
      </c>
      <c r="G854">
        <v>6.8</v>
      </c>
      <c r="H854">
        <v>3.5</v>
      </c>
      <c r="I854">
        <v>3.6</v>
      </c>
    </row>
    <row r="855" spans="1:9" ht="24" customHeight="1">
      <c r="A855" s="6" t="s">
        <v>2426</v>
      </c>
      <c r="B855">
        <v>1146</v>
      </c>
      <c r="C855">
        <v>276</v>
      </c>
      <c r="D855">
        <v>508548</v>
      </c>
      <c r="E855">
        <v>334544</v>
      </c>
      <c r="F855">
        <v>7</v>
      </c>
      <c r="G855">
        <v>7.8</v>
      </c>
      <c r="H855">
        <v>34.4</v>
      </c>
      <c r="I855">
        <v>33.1</v>
      </c>
    </row>
    <row r="856" spans="1:9" ht="24" customHeight="1">
      <c r="A856" s="6" t="s">
        <v>2427</v>
      </c>
      <c r="B856">
        <v>1937</v>
      </c>
      <c r="C856">
        <v>1232</v>
      </c>
      <c r="D856">
        <v>344628</v>
      </c>
      <c r="E856">
        <v>268075</v>
      </c>
      <c r="F856">
        <v>16.5</v>
      </c>
      <c r="G856">
        <v>4</v>
      </c>
      <c r="H856">
        <v>6.7</v>
      </c>
      <c r="I856">
        <v>6.9</v>
      </c>
    </row>
    <row r="857" spans="1:9" ht="24" customHeight="1">
      <c r="A857" s="6" t="s">
        <v>2428</v>
      </c>
      <c r="B857">
        <v>12937</v>
      </c>
      <c r="C857">
        <v>2299</v>
      </c>
      <c r="D857">
        <v>471371</v>
      </c>
      <c r="E857">
        <v>357058</v>
      </c>
      <c r="F857">
        <v>16.399999999999999</v>
      </c>
      <c r="G857">
        <v>8.9</v>
      </c>
      <c r="H857">
        <v>16.399999999999999</v>
      </c>
      <c r="I857">
        <v>15.2</v>
      </c>
    </row>
    <row r="858" spans="1:9" ht="24" customHeight="1">
      <c r="A858" s="6" t="s">
        <v>2429</v>
      </c>
      <c r="B858">
        <v>558</v>
      </c>
      <c r="C858">
        <v>53</v>
      </c>
      <c r="D858">
        <v>234211</v>
      </c>
      <c r="E858">
        <v>221335</v>
      </c>
      <c r="F858">
        <v>12</v>
      </c>
      <c r="G858">
        <v>7.3</v>
      </c>
      <c r="H858">
        <v>0</v>
      </c>
      <c r="I858">
        <v>0</v>
      </c>
    </row>
    <row r="859" spans="1:9" ht="24" customHeight="1">
      <c r="A859" s="6" t="s">
        <v>2430</v>
      </c>
      <c r="B859">
        <v>716</v>
      </c>
      <c r="C859">
        <v>237</v>
      </c>
      <c r="D859">
        <v>321384</v>
      </c>
      <c r="E859">
        <v>297750</v>
      </c>
      <c r="F859">
        <v>19.7</v>
      </c>
      <c r="G859">
        <v>11.3</v>
      </c>
      <c r="H859">
        <v>1.4</v>
      </c>
      <c r="I859">
        <v>1.3</v>
      </c>
    </row>
    <row r="860" spans="1:9" ht="24" customHeight="1">
      <c r="A860" s="6" t="s">
        <v>2431</v>
      </c>
      <c r="B860">
        <v>1824</v>
      </c>
      <c r="C860">
        <v>318</v>
      </c>
      <c r="D860">
        <v>440901</v>
      </c>
      <c r="E860">
        <v>340776</v>
      </c>
      <c r="F860">
        <v>19.899999999999999</v>
      </c>
      <c r="G860">
        <v>9.6999999999999993</v>
      </c>
      <c r="H860">
        <v>12.2</v>
      </c>
      <c r="I860">
        <v>11.8</v>
      </c>
    </row>
    <row r="861" spans="1:9" ht="24" customHeight="1">
      <c r="A861" s="6" t="s">
        <v>2432</v>
      </c>
      <c r="B861">
        <v>1671</v>
      </c>
      <c r="C861">
        <v>231</v>
      </c>
      <c r="D861">
        <v>493780</v>
      </c>
      <c r="E861">
        <v>367126</v>
      </c>
      <c r="F861">
        <v>16.3</v>
      </c>
      <c r="G861">
        <v>8.6999999999999993</v>
      </c>
      <c r="H861">
        <v>16.7</v>
      </c>
      <c r="I861">
        <v>16.3</v>
      </c>
    </row>
    <row r="862" spans="1:9" ht="24" customHeight="1">
      <c r="A862" s="6" t="s">
        <v>2433</v>
      </c>
      <c r="B862">
        <v>1006</v>
      </c>
      <c r="C862">
        <v>120</v>
      </c>
      <c r="D862">
        <v>557659</v>
      </c>
      <c r="E862">
        <v>416735</v>
      </c>
      <c r="F862">
        <v>15.2</v>
      </c>
      <c r="G862">
        <v>8.6999999999999993</v>
      </c>
      <c r="H862">
        <v>21.8</v>
      </c>
      <c r="I862">
        <v>21.3</v>
      </c>
    </row>
    <row r="863" spans="1:9" ht="24" customHeight="1">
      <c r="A863" s="6" t="s">
        <v>2434</v>
      </c>
      <c r="B863">
        <v>1226</v>
      </c>
      <c r="C863">
        <v>290</v>
      </c>
      <c r="D863">
        <v>595411</v>
      </c>
      <c r="E863">
        <v>410748</v>
      </c>
      <c r="F863">
        <v>15.6</v>
      </c>
      <c r="G863">
        <v>9.6999999999999993</v>
      </c>
      <c r="H863">
        <v>26.8</v>
      </c>
      <c r="I863">
        <v>26.6</v>
      </c>
    </row>
    <row r="864" spans="1:9" ht="24" customHeight="1">
      <c r="A864" s="6" t="s">
        <v>2435</v>
      </c>
      <c r="B864">
        <v>1091</v>
      </c>
      <c r="C864">
        <v>224</v>
      </c>
      <c r="D864">
        <v>370817</v>
      </c>
      <c r="E864">
        <v>322808</v>
      </c>
      <c r="F864">
        <v>20.9</v>
      </c>
      <c r="G864">
        <v>9.4</v>
      </c>
      <c r="H864">
        <v>3.6</v>
      </c>
      <c r="I864">
        <v>3.6</v>
      </c>
    </row>
    <row r="865" spans="1:9" ht="24" customHeight="1">
      <c r="A865" s="6" t="s">
        <v>2436</v>
      </c>
      <c r="B865">
        <v>2563</v>
      </c>
      <c r="C865">
        <v>377</v>
      </c>
      <c r="D865">
        <v>591445</v>
      </c>
      <c r="E865">
        <v>443405</v>
      </c>
      <c r="F865">
        <v>10.8</v>
      </c>
      <c r="G865">
        <v>6.6</v>
      </c>
      <c r="H865">
        <v>33.9</v>
      </c>
      <c r="I865">
        <v>34.799999999999997</v>
      </c>
    </row>
    <row r="866" spans="1:9" ht="24" customHeight="1">
      <c r="A866" s="6" t="s">
        <v>2437</v>
      </c>
      <c r="B866">
        <v>2287</v>
      </c>
      <c r="C866">
        <v>500</v>
      </c>
      <c r="D866">
        <v>392606</v>
      </c>
      <c r="E866">
        <v>299663</v>
      </c>
      <c r="F866">
        <v>19</v>
      </c>
      <c r="G866">
        <v>8.1</v>
      </c>
      <c r="H866">
        <v>6.9</v>
      </c>
      <c r="I866">
        <v>6.8</v>
      </c>
    </row>
    <row r="867" spans="1:9" ht="24" customHeight="1">
      <c r="A867" s="6" t="s">
        <v>527</v>
      </c>
      <c r="B867">
        <v>5837</v>
      </c>
      <c r="C867">
        <v>4374</v>
      </c>
      <c r="D867">
        <v>345194</v>
      </c>
      <c r="E867">
        <v>253065</v>
      </c>
      <c r="F867">
        <v>4.5999999999999996</v>
      </c>
      <c r="G867">
        <v>2.8</v>
      </c>
      <c r="H867">
        <v>13.2</v>
      </c>
      <c r="I867">
        <v>12.5</v>
      </c>
    </row>
    <row r="868" spans="1:9" ht="24" customHeight="1">
      <c r="A868" s="6" t="s">
        <v>528</v>
      </c>
      <c r="B868">
        <v>47</v>
      </c>
      <c r="C868">
        <v>33</v>
      </c>
      <c r="D868">
        <v>268601</v>
      </c>
      <c r="E868">
        <v>249429</v>
      </c>
      <c r="F868">
        <v>1</v>
      </c>
      <c r="G868">
        <v>0.7</v>
      </c>
      <c r="H868">
        <v>18</v>
      </c>
      <c r="I868">
        <v>15.1</v>
      </c>
    </row>
    <row r="869" spans="1:9" ht="24" customHeight="1">
      <c r="A869" s="6" t="s">
        <v>2438</v>
      </c>
      <c r="B869">
        <v>4</v>
      </c>
      <c r="C869">
        <v>0</v>
      </c>
      <c r="D869">
        <v>233844</v>
      </c>
      <c r="E869"/>
      <c r="F869">
        <v>0</v>
      </c>
      <c r="G869"/>
      <c r="H869">
        <v>11.3</v>
      </c>
      <c r="I869"/>
    </row>
    <row r="870" spans="1:9" ht="24" customHeight="1">
      <c r="A870" s="6" t="s">
        <v>2439</v>
      </c>
      <c r="B870">
        <v>15</v>
      </c>
      <c r="C870">
        <v>13</v>
      </c>
      <c r="D870">
        <v>262221</v>
      </c>
      <c r="E870">
        <v>256472</v>
      </c>
      <c r="F870">
        <v>0.8</v>
      </c>
      <c r="G870">
        <v>0.9</v>
      </c>
      <c r="H870">
        <v>15</v>
      </c>
      <c r="I870">
        <v>15.4</v>
      </c>
    </row>
    <row r="871" spans="1:9" ht="24" customHeight="1">
      <c r="A871" s="6" t="s">
        <v>2440</v>
      </c>
      <c r="B871">
        <v>8</v>
      </c>
      <c r="C871">
        <v>7</v>
      </c>
      <c r="D871">
        <v>284923</v>
      </c>
      <c r="E871">
        <v>269084</v>
      </c>
      <c r="F871">
        <v>1.8</v>
      </c>
      <c r="G871">
        <v>0</v>
      </c>
      <c r="H871">
        <v>21.2</v>
      </c>
      <c r="I871">
        <v>20.399999999999999</v>
      </c>
    </row>
    <row r="872" spans="1:9" ht="24" customHeight="1">
      <c r="A872" s="6" t="s">
        <v>2441</v>
      </c>
      <c r="B872">
        <v>5</v>
      </c>
      <c r="C872">
        <v>0</v>
      </c>
      <c r="D872">
        <v>267387</v>
      </c>
      <c r="E872"/>
      <c r="F872">
        <v>2.5</v>
      </c>
      <c r="G872"/>
      <c r="H872">
        <v>25.3</v>
      </c>
      <c r="I872"/>
    </row>
    <row r="873" spans="1:9" ht="24" customHeight="1">
      <c r="A873" s="6" t="s">
        <v>2442</v>
      </c>
      <c r="B873">
        <v>1</v>
      </c>
      <c r="C873">
        <v>3</v>
      </c>
      <c r="D873">
        <v>236006</v>
      </c>
      <c r="E873">
        <v>243957</v>
      </c>
      <c r="F873">
        <v>5</v>
      </c>
      <c r="G873">
        <v>4</v>
      </c>
      <c r="H873">
        <v>4</v>
      </c>
      <c r="I873">
        <v>3</v>
      </c>
    </row>
    <row r="874" spans="1:9" ht="24" customHeight="1">
      <c r="A874" s="6" t="s">
        <v>529</v>
      </c>
      <c r="B874">
        <v>7</v>
      </c>
      <c r="C874">
        <v>3</v>
      </c>
      <c r="D874">
        <v>317435</v>
      </c>
      <c r="E874">
        <v>324661</v>
      </c>
      <c r="F874">
        <v>0</v>
      </c>
      <c r="G874">
        <v>0</v>
      </c>
      <c r="H874">
        <v>33.200000000000003</v>
      </c>
      <c r="I874">
        <v>34.5</v>
      </c>
    </row>
    <row r="875" spans="1:9" ht="24" customHeight="1">
      <c r="A875" s="6" t="s">
        <v>2443</v>
      </c>
      <c r="B875">
        <v>7</v>
      </c>
      <c r="C875">
        <v>8</v>
      </c>
      <c r="D875">
        <v>242562</v>
      </c>
      <c r="E875">
        <v>198058</v>
      </c>
      <c r="F875">
        <v>0</v>
      </c>
      <c r="G875">
        <v>0</v>
      </c>
      <c r="H875">
        <v>6.6</v>
      </c>
      <c r="I875">
        <v>7.8</v>
      </c>
    </row>
    <row r="876" spans="1:9" ht="24" customHeight="1">
      <c r="A876" s="6" t="s">
        <v>2444</v>
      </c>
      <c r="B876">
        <v>3633</v>
      </c>
      <c r="C876">
        <v>2971</v>
      </c>
      <c r="D876">
        <v>324485</v>
      </c>
      <c r="E876">
        <v>236651</v>
      </c>
      <c r="F876">
        <v>2.1</v>
      </c>
      <c r="G876">
        <v>1.4</v>
      </c>
      <c r="H876">
        <v>13.2</v>
      </c>
      <c r="I876">
        <v>12</v>
      </c>
    </row>
    <row r="877" spans="1:9" ht="24" customHeight="1">
      <c r="A877" s="6" t="s">
        <v>2445</v>
      </c>
      <c r="B877">
        <v>231</v>
      </c>
      <c r="C877">
        <v>206</v>
      </c>
      <c r="D877">
        <v>210173</v>
      </c>
      <c r="E877">
        <v>215710</v>
      </c>
      <c r="F877">
        <v>1</v>
      </c>
      <c r="G877">
        <v>2.1</v>
      </c>
      <c r="H877">
        <v>0</v>
      </c>
      <c r="I877">
        <v>0</v>
      </c>
    </row>
    <row r="878" spans="1:9" ht="24" customHeight="1">
      <c r="A878" s="6" t="s">
        <v>2446</v>
      </c>
      <c r="B878">
        <v>219</v>
      </c>
      <c r="C878">
        <v>122</v>
      </c>
      <c r="D878">
        <v>255641</v>
      </c>
      <c r="E878">
        <v>195140</v>
      </c>
      <c r="F878">
        <v>2.2000000000000002</v>
      </c>
      <c r="G878">
        <v>2.2999999999999998</v>
      </c>
      <c r="H878">
        <v>1.1000000000000001</v>
      </c>
      <c r="I878">
        <v>1.5</v>
      </c>
    </row>
    <row r="879" spans="1:9" ht="24" customHeight="1">
      <c r="A879" s="6" t="s">
        <v>2447</v>
      </c>
      <c r="B879">
        <v>662</v>
      </c>
      <c r="C879">
        <v>600</v>
      </c>
      <c r="D879">
        <v>348110</v>
      </c>
      <c r="E879">
        <v>246784</v>
      </c>
      <c r="F879">
        <v>1.9</v>
      </c>
      <c r="G879">
        <v>0.7</v>
      </c>
      <c r="H879">
        <v>12.1</v>
      </c>
      <c r="I879">
        <v>12.2</v>
      </c>
    </row>
    <row r="880" spans="1:9" ht="24" customHeight="1">
      <c r="A880" s="6" t="s">
        <v>2448</v>
      </c>
      <c r="B880">
        <v>282</v>
      </c>
      <c r="C880">
        <v>211</v>
      </c>
      <c r="D880">
        <v>373968</v>
      </c>
      <c r="E880">
        <v>256120</v>
      </c>
      <c r="F880">
        <v>7.3</v>
      </c>
      <c r="G880">
        <v>2.2000000000000002</v>
      </c>
      <c r="H880">
        <v>17.3</v>
      </c>
      <c r="I880">
        <v>16.899999999999999</v>
      </c>
    </row>
    <row r="881" spans="1:9" ht="24" customHeight="1">
      <c r="A881" s="6" t="s">
        <v>2449</v>
      </c>
      <c r="B881">
        <v>378</v>
      </c>
      <c r="C881">
        <v>249</v>
      </c>
      <c r="D881">
        <v>431479</v>
      </c>
      <c r="E881">
        <v>265855</v>
      </c>
      <c r="F881">
        <v>1.2</v>
      </c>
      <c r="G881">
        <v>2.6</v>
      </c>
      <c r="H881">
        <v>22.2</v>
      </c>
      <c r="I881">
        <v>21.7</v>
      </c>
    </row>
    <row r="882" spans="1:9" ht="24" customHeight="1">
      <c r="A882" s="6" t="s">
        <v>2450</v>
      </c>
      <c r="B882">
        <v>120</v>
      </c>
      <c r="C882">
        <v>180</v>
      </c>
      <c r="D882">
        <v>447891</v>
      </c>
      <c r="E882">
        <v>256810</v>
      </c>
      <c r="F882">
        <v>2.2999999999999998</v>
      </c>
      <c r="G882">
        <v>1.3</v>
      </c>
      <c r="H882">
        <v>27.6</v>
      </c>
      <c r="I882">
        <v>25.9</v>
      </c>
    </row>
    <row r="883" spans="1:9" ht="24" customHeight="1">
      <c r="A883" s="6" t="s">
        <v>2451</v>
      </c>
      <c r="B883">
        <v>179</v>
      </c>
      <c r="C883">
        <v>649</v>
      </c>
      <c r="D883">
        <v>302683</v>
      </c>
      <c r="E883">
        <v>236698</v>
      </c>
      <c r="F883">
        <v>3.2</v>
      </c>
      <c r="G883">
        <v>0.8</v>
      </c>
      <c r="H883">
        <v>3.6</v>
      </c>
      <c r="I883">
        <v>3.4</v>
      </c>
    </row>
    <row r="884" spans="1:9" ht="24" customHeight="1">
      <c r="A884" s="6" t="s">
        <v>2452</v>
      </c>
      <c r="B884">
        <v>423</v>
      </c>
      <c r="C884">
        <v>283</v>
      </c>
      <c r="D884">
        <v>297077</v>
      </c>
      <c r="E884">
        <v>205815</v>
      </c>
      <c r="F884">
        <v>0.8</v>
      </c>
      <c r="G884">
        <v>1.5</v>
      </c>
      <c r="H884">
        <v>33</v>
      </c>
      <c r="I884">
        <v>32.4</v>
      </c>
    </row>
    <row r="885" spans="1:9" ht="24" customHeight="1">
      <c r="A885" s="6" t="s">
        <v>2453</v>
      </c>
      <c r="B885">
        <v>1153</v>
      </c>
      <c r="C885">
        <v>520</v>
      </c>
      <c r="D885">
        <v>299239</v>
      </c>
      <c r="E885">
        <v>224302</v>
      </c>
      <c r="F885">
        <v>1.7</v>
      </c>
      <c r="G885">
        <v>1.5</v>
      </c>
      <c r="H885">
        <v>7.7</v>
      </c>
      <c r="I885">
        <v>7.1</v>
      </c>
    </row>
    <row r="886" spans="1:9" ht="24" customHeight="1">
      <c r="A886" s="6" t="s">
        <v>2454</v>
      </c>
      <c r="B886">
        <v>2038</v>
      </c>
      <c r="C886">
        <v>1247</v>
      </c>
      <c r="D886">
        <v>378639</v>
      </c>
      <c r="E886">
        <v>283643</v>
      </c>
      <c r="F886">
        <v>7.6</v>
      </c>
      <c r="G886">
        <v>4.2</v>
      </c>
      <c r="H886">
        <v>13</v>
      </c>
      <c r="I886">
        <v>14</v>
      </c>
    </row>
    <row r="887" spans="1:9" ht="24" customHeight="1">
      <c r="A887" s="6" t="s">
        <v>2455</v>
      </c>
      <c r="B887">
        <v>71</v>
      </c>
      <c r="C887">
        <v>37</v>
      </c>
      <c r="D887">
        <v>273107</v>
      </c>
      <c r="E887">
        <v>187848</v>
      </c>
      <c r="F887">
        <v>6.1</v>
      </c>
      <c r="G887">
        <v>11.9</v>
      </c>
      <c r="H887">
        <v>0</v>
      </c>
      <c r="I887">
        <v>0</v>
      </c>
    </row>
    <row r="888" spans="1:9" ht="24" customHeight="1">
      <c r="A888" s="6" t="s">
        <v>2456</v>
      </c>
      <c r="B888">
        <v>62</v>
      </c>
      <c r="C888">
        <v>54</v>
      </c>
      <c r="D888">
        <v>285215</v>
      </c>
      <c r="E888">
        <v>237195</v>
      </c>
      <c r="F888">
        <v>15.4</v>
      </c>
      <c r="G888">
        <v>6.4</v>
      </c>
      <c r="H888">
        <v>1.7</v>
      </c>
      <c r="I888">
        <v>1.3</v>
      </c>
    </row>
    <row r="889" spans="1:9" ht="24" customHeight="1">
      <c r="A889" s="6" t="s">
        <v>2457</v>
      </c>
      <c r="B889">
        <v>416</v>
      </c>
      <c r="C889">
        <v>108</v>
      </c>
      <c r="D889">
        <v>385355</v>
      </c>
      <c r="E889">
        <v>265147</v>
      </c>
      <c r="F889">
        <v>9</v>
      </c>
      <c r="G889">
        <v>2.9</v>
      </c>
      <c r="H889">
        <v>12.4</v>
      </c>
      <c r="I889">
        <v>11.9</v>
      </c>
    </row>
    <row r="890" spans="1:9" ht="24" customHeight="1">
      <c r="A890" s="6" t="s">
        <v>2458</v>
      </c>
      <c r="B890">
        <v>603</v>
      </c>
      <c r="C890">
        <v>153</v>
      </c>
      <c r="D890">
        <v>411385</v>
      </c>
      <c r="E890">
        <v>303813</v>
      </c>
      <c r="F890">
        <v>3.2</v>
      </c>
      <c r="G890">
        <v>8.8000000000000007</v>
      </c>
      <c r="H890">
        <v>15.6</v>
      </c>
      <c r="I890">
        <v>16.8</v>
      </c>
    </row>
    <row r="891" spans="1:9" ht="24" customHeight="1">
      <c r="A891" s="6" t="s">
        <v>2459</v>
      </c>
      <c r="B891">
        <v>81</v>
      </c>
      <c r="C891">
        <v>262</v>
      </c>
      <c r="D891">
        <v>421841</v>
      </c>
      <c r="E891">
        <v>334901</v>
      </c>
      <c r="F891">
        <v>6.4</v>
      </c>
      <c r="G891">
        <v>1.6</v>
      </c>
      <c r="H891">
        <v>21.9</v>
      </c>
      <c r="I891">
        <v>21.1</v>
      </c>
    </row>
    <row r="892" spans="1:9" ht="24" customHeight="1">
      <c r="A892" s="6" t="s">
        <v>2460</v>
      </c>
      <c r="B892">
        <v>91</v>
      </c>
      <c r="C892">
        <v>174</v>
      </c>
      <c r="D892">
        <v>420611</v>
      </c>
      <c r="E892">
        <v>248006</v>
      </c>
      <c r="F892">
        <v>3.1</v>
      </c>
      <c r="G892">
        <v>0.6</v>
      </c>
      <c r="H892">
        <v>26.8</v>
      </c>
      <c r="I892">
        <v>27.6</v>
      </c>
    </row>
    <row r="893" spans="1:9" ht="24" customHeight="1">
      <c r="A893" s="6" t="s">
        <v>2461</v>
      </c>
      <c r="B893">
        <v>264</v>
      </c>
      <c r="C893">
        <v>102</v>
      </c>
      <c r="D893">
        <v>291427</v>
      </c>
      <c r="E893">
        <v>286466</v>
      </c>
      <c r="F893">
        <v>8.6999999999999993</v>
      </c>
      <c r="G893">
        <v>7.8</v>
      </c>
      <c r="H893">
        <v>3.8</v>
      </c>
      <c r="I893">
        <v>3.6</v>
      </c>
    </row>
    <row r="894" spans="1:9" ht="24" customHeight="1">
      <c r="A894" s="6" t="s">
        <v>2462</v>
      </c>
      <c r="B894">
        <v>130</v>
      </c>
      <c r="C894">
        <v>27</v>
      </c>
      <c r="D894">
        <v>487118</v>
      </c>
      <c r="E894">
        <v>385820</v>
      </c>
      <c r="F894">
        <v>4.3</v>
      </c>
      <c r="G894">
        <v>12.2</v>
      </c>
      <c r="H894">
        <v>33.9</v>
      </c>
      <c r="I894">
        <v>32.6</v>
      </c>
    </row>
    <row r="895" spans="1:9" ht="24" customHeight="1">
      <c r="A895" s="6" t="s">
        <v>2463</v>
      </c>
      <c r="B895">
        <v>320</v>
      </c>
      <c r="C895">
        <v>333</v>
      </c>
      <c r="D895">
        <v>354837</v>
      </c>
      <c r="E895">
        <v>267148</v>
      </c>
      <c r="F895">
        <v>14.8</v>
      </c>
      <c r="G895">
        <v>3.3</v>
      </c>
      <c r="H895">
        <v>6.9</v>
      </c>
      <c r="I895">
        <v>6.2</v>
      </c>
    </row>
    <row r="896" spans="1:9" ht="24" customHeight="1">
      <c r="A896" s="6" t="s">
        <v>2464</v>
      </c>
      <c r="B896">
        <v>120</v>
      </c>
      <c r="C896">
        <v>123</v>
      </c>
      <c r="D896">
        <v>434177</v>
      </c>
      <c r="E896">
        <v>340818</v>
      </c>
      <c r="F896">
        <v>31.6</v>
      </c>
      <c r="G896">
        <v>23.6</v>
      </c>
      <c r="H896">
        <v>11.7</v>
      </c>
      <c r="I896">
        <v>9.1999999999999993</v>
      </c>
    </row>
    <row r="897" spans="1:9" ht="24" customHeight="1">
      <c r="A897" s="6" t="s">
        <v>2465</v>
      </c>
      <c r="B897">
        <v>5</v>
      </c>
      <c r="C897">
        <v>10</v>
      </c>
      <c r="D897">
        <v>245290</v>
      </c>
      <c r="E897">
        <v>218154</v>
      </c>
      <c r="F897">
        <v>44</v>
      </c>
      <c r="G897">
        <v>24.5</v>
      </c>
      <c r="H897">
        <v>0</v>
      </c>
      <c r="I897">
        <v>0</v>
      </c>
    </row>
    <row r="898" spans="1:9" ht="24" customHeight="1">
      <c r="A898" s="6" t="s">
        <v>2466</v>
      </c>
      <c r="B898">
        <v>11</v>
      </c>
      <c r="C898">
        <v>15</v>
      </c>
      <c r="D898">
        <v>363449</v>
      </c>
      <c r="E898">
        <v>276641</v>
      </c>
      <c r="F898">
        <v>25.4</v>
      </c>
      <c r="G898">
        <v>25.3</v>
      </c>
      <c r="H898">
        <v>1.5</v>
      </c>
      <c r="I898">
        <v>1.3</v>
      </c>
    </row>
    <row r="899" spans="1:9" ht="24" customHeight="1">
      <c r="A899" s="6" t="s">
        <v>2467</v>
      </c>
      <c r="B899">
        <v>25</v>
      </c>
      <c r="C899">
        <v>25</v>
      </c>
      <c r="D899">
        <v>442758</v>
      </c>
      <c r="E899">
        <v>292539</v>
      </c>
      <c r="F899">
        <v>41.6</v>
      </c>
      <c r="G899">
        <v>13</v>
      </c>
      <c r="H899">
        <v>11</v>
      </c>
      <c r="I899">
        <v>11.4</v>
      </c>
    </row>
    <row r="900" spans="1:9" ht="24" customHeight="1">
      <c r="A900" s="6" t="s">
        <v>2468</v>
      </c>
      <c r="B900">
        <v>25</v>
      </c>
      <c r="C900">
        <v>46</v>
      </c>
      <c r="D900">
        <v>482081</v>
      </c>
      <c r="E900">
        <v>358031</v>
      </c>
      <c r="F900">
        <v>20</v>
      </c>
      <c r="G900">
        <v>18.5</v>
      </c>
      <c r="H900">
        <v>16</v>
      </c>
      <c r="I900">
        <v>16.399999999999999</v>
      </c>
    </row>
    <row r="901" spans="1:9" ht="24" customHeight="1">
      <c r="A901" s="6" t="s">
        <v>2469</v>
      </c>
      <c r="B901">
        <v>10</v>
      </c>
      <c r="C901">
        <v>5</v>
      </c>
      <c r="D901">
        <v>581106</v>
      </c>
      <c r="E901">
        <v>376649</v>
      </c>
      <c r="F901">
        <v>36.5</v>
      </c>
      <c r="G901">
        <v>8</v>
      </c>
      <c r="H901">
        <v>21</v>
      </c>
      <c r="I901">
        <v>22</v>
      </c>
    </row>
    <row r="902" spans="1:9" ht="24" customHeight="1">
      <c r="A902" s="6" t="s">
        <v>2470</v>
      </c>
      <c r="B902">
        <v>2</v>
      </c>
      <c r="C902">
        <v>2</v>
      </c>
      <c r="D902">
        <v>350516</v>
      </c>
      <c r="E902">
        <v>233954</v>
      </c>
      <c r="F902">
        <v>16</v>
      </c>
      <c r="G902">
        <v>0</v>
      </c>
      <c r="H902">
        <v>28</v>
      </c>
      <c r="I902">
        <v>29</v>
      </c>
    </row>
    <row r="903" spans="1:9" ht="24" customHeight="1">
      <c r="A903" s="6" t="s">
        <v>2471</v>
      </c>
      <c r="B903">
        <v>7</v>
      </c>
      <c r="C903">
        <v>15</v>
      </c>
      <c r="D903">
        <v>358081</v>
      </c>
      <c r="E903">
        <v>301479</v>
      </c>
      <c r="F903">
        <v>29.2</v>
      </c>
      <c r="G903">
        <v>16.3</v>
      </c>
      <c r="H903">
        <v>3</v>
      </c>
      <c r="I903">
        <v>3.3</v>
      </c>
    </row>
    <row r="904" spans="1:9" ht="24" customHeight="1">
      <c r="A904" s="6" t="s">
        <v>2472</v>
      </c>
      <c r="B904">
        <v>6</v>
      </c>
      <c r="C904">
        <v>0</v>
      </c>
      <c r="D904">
        <v>343590</v>
      </c>
      <c r="E904"/>
      <c r="F904">
        <v>5.3</v>
      </c>
      <c r="G904"/>
      <c r="H904">
        <v>35.299999999999997</v>
      </c>
      <c r="I904"/>
    </row>
    <row r="905" spans="1:9" ht="24" customHeight="1">
      <c r="A905" s="6" t="s">
        <v>2473</v>
      </c>
      <c r="B905">
        <v>30</v>
      </c>
      <c r="C905">
        <v>40</v>
      </c>
      <c r="D905">
        <v>437488</v>
      </c>
      <c r="E905">
        <v>299249</v>
      </c>
      <c r="F905">
        <v>38.299999999999997</v>
      </c>
      <c r="G905">
        <v>20.5</v>
      </c>
      <c r="H905">
        <v>7.7</v>
      </c>
      <c r="I905">
        <v>6.4</v>
      </c>
    </row>
    <row r="906" spans="1:9" ht="24" customHeight="1">
      <c r="A906" s="6" t="s">
        <v>530</v>
      </c>
      <c r="B906">
        <v>145708</v>
      </c>
      <c r="C906">
        <v>28279</v>
      </c>
      <c r="D906">
        <v>458580</v>
      </c>
      <c r="E906">
        <v>338521</v>
      </c>
      <c r="F906">
        <v>13.8</v>
      </c>
      <c r="G906">
        <v>7.3</v>
      </c>
      <c r="H906">
        <v>15</v>
      </c>
      <c r="I906">
        <v>13.4</v>
      </c>
    </row>
    <row r="907" spans="1:9" ht="24" customHeight="1">
      <c r="A907" s="6" t="s">
        <v>531</v>
      </c>
      <c r="B907">
        <v>35596</v>
      </c>
      <c r="C907">
        <v>5345</v>
      </c>
      <c r="D907">
        <v>595999</v>
      </c>
      <c r="E907">
        <v>444921</v>
      </c>
      <c r="F907">
        <v>19.2</v>
      </c>
      <c r="G907">
        <v>10.6</v>
      </c>
      <c r="H907">
        <v>17.100000000000001</v>
      </c>
      <c r="I907">
        <v>14.2</v>
      </c>
    </row>
    <row r="908" spans="1:9" ht="24" customHeight="1">
      <c r="A908" s="6" t="s">
        <v>532</v>
      </c>
      <c r="B908">
        <v>1331</v>
      </c>
      <c r="C908">
        <v>342</v>
      </c>
      <c r="D908">
        <v>329064</v>
      </c>
      <c r="E908">
        <v>302388</v>
      </c>
      <c r="F908">
        <v>21.6</v>
      </c>
      <c r="G908">
        <v>8</v>
      </c>
      <c r="H908">
        <v>0</v>
      </c>
      <c r="I908">
        <v>0</v>
      </c>
    </row>
    <row r="909" spans="1:9" ht="24" customHeight="1">
      <c r="A909" s="6" t="s">
        <v>2474</v>
      </c>
      <c r="B909">
        <v>2951</v>
      </c>
      <c r="C909">
        <v>726</v>
      </c>
      <c r="D909">
        <v>397705</v>
      </c>
      <c r="E909">
        <v>330448</v>
      </c>
      <c r="F909">
        <v>23.2</v>
      </c>
      <c r="G909">
        <v>18.600000000000001</v>
      </c>
      <c r="H909">
        <v>1.4</v>
      </c>
      <c r="I909">
        <v>1.4</v>
      </c>
    </row>
    <row r="910" spans="1:9" ht="24" customHeight="1">
      <c r="A910" s="6" t="s">
        <v>2475</v>
      </c>
      <c r="B910">
        <v>4837</v>
      </c>
      <c r="C910">
        <v>717</v>
      </c>
      <c r="D910">
        <v>539592</v>
      </c>
      <c r="E910">
        <v>448777</v>
      </c>
      <c r="F910">
        <v>25.5</v>
      </c>
      <c r="G910">
        <v>11.1</v>
      </c>
      <c r="H910">
        <v>12.4</v>
      </c>
      <c r="I910">
        <v>12.3</v>
      </c>
    </row>
    <row r="911" spans="1:9" ht="24" customHeight="1">
      <c r="A911" s="6" t="s">
        <v>2476</v>
      </c>
      <c r="B911">
        <v>5319</v>
      </c>
      <c r="C911">
        <v>606</v>
      </c>
      <c r="D911">
        <v>612948</v>
      </c>
      <c r="E911">
        <v>411096</v>
      </c>
      <c r="F911">
        <v>24.3</v>
      </c>
      <c r="G911">
        <v>5.8</v>
      </c>
      <c r="H911">
        <v>16.5</v>
      </c>
      <c r="I911">
        <v>16.2</v>
      </c>
    </row>
    <row r="912" spans="1:9" ht="24" customHeight="1">
      <c r="A912" s="6" t="s">
        <v>2477</v>
      </c>
      <c r="B912">
        <v>2466</v>
      </c>
      <c r="C912">
        <v>359</v>
      </c>
      <c r="D912">
        <v>728035</v>
      </c>
      <c r="E912">
        <v>540275</v>
      </c>
      <c r="F912">
        <v>11.4</v>
      </c>
      <c r="G912">
        <v>4.9000000000000004</v>
      </c>
      <c r="H912">
        <v>22.1</v>
      </c>
      <c r="I912">
        <v>21.8</v>
      </c>
    </row>
    <row r="913" spans="1:9" ht="24" customHeight="1">
      <c r="A913" s="6" t="s">
        <v>2478</v>
      </c>
      <c r="B913">
        <v>3165</v>
      </c>
      <c r="C913">
        <v>567</v>
      </c>
      <c r="D913">
        <v>721123</v>
      </c>
      <c r="E913">
        <v>485310</v>
      </c>
      <c r="F913">
        <v>14</v>
      </c>
      <c r="G913">
        <v>7.6</v>
      </c>
      <c r="H913">
        <v>26.7</v>
      </c>
      <c r="I913">
        <v>26.7</v>
      </c>
    </row>
    <row r="914" spans="1:9" ht="24" customHeight="1">
      <c r="A914" s="6" t="s">
        <v>2479</v>
      </c>
      <c r="B914">
        <v>2720</v>
      </c>
      <c r="C914">
        <v>635</v>
      </c>
      <c r="D914">
        <v>456323</v>
      </c>
      <c r="E914">
        <v>417426</v>
      </c>
      <c r="F914">
        <v>23.2</v>
      </c>
      <c r="G914">
        <v>13.8</v>
      </c>
      <c r="H914">
        <v>3.5</v>
      </c>
      <c r="I914">
        <v>3.5</v>
      </c>
    </row>
    <row r="915" spans="1:9" ht="24" customHeight="1">
      <c r="A915" s="6" t="s">
        <v>533</v>
      </c>
      <c r="B915">
        <v>8100</v>
      </c>
      <c r="C915">
        <v>884</v>
      </c>
      <c r="D915">
        <v>748625</v>
      </c>
      <c r="E915">
        <v>576641</v>
      </c>
      <c r="F915">
        <v>9.8000000000000007</v>
      </c>
      <c r="G915">
        <v>7.4</v>
      </c>
      <c r="H915">
        <v>34.1</v>
      </c>
      <c r="I915">
        <v>34.4</v>
      </c>
    </row>
    <row r="916" spans="1:9" ht="24" customHeight="1">
      <c r="A916" s="6" t="s">
        <v>2480</v>
      </c>
      <c r="B916">
        <v>4764</v>
      </c>
      <c r="C916">
        <v>652</v>
      </c>
      <c r="D916">
        <v>499046</v>
      </c>
      <c r="E916">
        <v>414191</v>
      </c>
      <c r="F916">
        <v>25.4</v>
      </c>
      <c r="G916">
        <v>11.7</v>
      </c>
      <c r="H916">
        <v>6.7</v>
      </c>
      <c r="I916">
        <v>6.5</v>
      </c>
    </row>
    <row r="917" spans="1:9" ht="24" customHeight="1">
      <c r="A917" s="6" t="s">
        <v>2481</v>
      </c>
      <c r="B917">
        <v>63903</v>
      </c>
      <c r="C917">
        <v>14314</v>
      </c>
      <c r="D917">
        <v>383214</v>
      </c>
      <c r="E917">
        <v>288309</v>
      </c>
      <c r="F917">
        <v>11.8</v>
      </c>
      <c r="G917">
        <v>5.4</v>
      </c>
      <c r="H917">
        <v>13.7</v>
      </c>
      <c r="I917">
        <v>12.9</v>
      </c>
    </row>
    <row r="918" spans="1:9" ht="24" customHeight="1">
      <c r="A918" s="6" t="s">
        <v>2482</v>
      </c>
      <c r="B918">
        <v>3990</v>
      </c>
      <c r="C918">
        <v>916</v>
      </c>
      <c r="D918">
        <v>290986</v>
      </c>
      <c r="E918">
        <v>226087</v>
      </c>
      <c r="F918">
        <v>13</v>
      </c>
      <c r="G918">
        <v>3.2</v>
      </c>
      <c r="H918">
        <v>0</v>
      </c>
      <c r="I918">
        <v>0</v>
      </c>
    </row>
    <row r="919" spans="1:9" ht="24" customHeight="1">
      <c r="A919" s="6" t="s">
        <v>2483</v>
      </c>
      <c r="B919">
        <v>7199</v>
      </c>
      <c r="C919">
        <v>1575</v>
      </c>
      <c r="D919">
        <v>309228</v>
      </c>
      <c r="E919">
        <v>247516</v>
      </c>
      <c r="F919">
        <v>12.3</v>
      </c>
      <c r="G919">
        <v>5.9</v>
      </c>
      <c r="H919">
        <v>1.5</v>
      </c>
      <c r="I919">
        <v>1.4</v>
      </c>
    </row>
    <row r="920" spans="1:9" ht="24" customHeight="1">
      <c r="A920" s="6" t="s">
        <v>2484</v>
      </c>
      <c r="B920">
        <v>9197</v>
      </c>
      <c r="C920">
        <v>1998</v>
      </c>
      <c r="D920">
        <v>400847</v>
      </c>
      <c r="E920">
        <v>286126</v>
      </c>
      <c r="F920">
        <v>13.3</v>
      </c>
      <c r="G920">
        <v>6.1</v>
      </c>
      <c r="H920">
        <v>11.6</v>
      </c>
      <c r="I920">
        <v>11.3</v>
      </c>
    </row>
    <row r="921" spans="1:9" ht="24" customHeight="1">
      <c r="A921" s="6" t="s">
        <v>2485</v>
      </c>
      <c r="B921">
        <v>7104</v>
      </c>
      <c r="C921">
        <v>2673</v>
      </c>
      <c r="D921">
        <v>435618</v>
      </c>
      <c r="E921">
        <v>324387</v>
      </c>
      <c r="F921">
        <v>11.6</v>
      </c>
      <c r="G921">
        <v>7</v>
      </c>
      <c r="H921">
        <v>17</v>
      </c>
      <c r="I921">
        <v>16.600000000000001</v>
      </c>
    </row>
    <row r="922" spans="1:9" ht="24" customHeight="1">
      <c r="A922" s="6" t="s">
        <v>2486</v>
      </c>
      <c r="B922">
        <v>5779</v>
      </c>
      <c r="C922">
        <v>1466</v>
      </c>
      <c r="D922">
        <v>450202</v>
      </c>
      <c r="E922">
        <v>312410</v>
      </c>
      <c r="F922">
        <v>10.4</v>
      </c>
      <c r="G922">
        <v>2.5</v>
      </c>
      <c r="H922">
        <v>21.8</v>
      </c>
      <c r="I922">
        <v>21.3</v>
      </c>
    </row>
    <row r="923" spans="1:9" ht="24" customHeight="1">
      <c r="A923" s="6" t="s">
        <v>2487</v>
      </c>
      <c r="B923">
        <v>4439</v>
      </c>
      <c r="C923">
        <v>835</v>
      </c>
      <c r="D923">
        <v>440641</v>
      </c>
      <c r="E923">
        <v>301293</v>
      </c>
      <c r="F923">
        <v>11</v>
      </c>
      <c r="G923">
        <v>2.2999999999999998</v>
      </c>
      <c r="H923">
        <v>27.2</v>
      </c>
      <c r="I923">
        <v>26.5</v>
      </c>
    </row>
    <row r="924" spans="1:9" ht="24" customHeight="1">
      <c r="A924" s="6" t="s">
        <v>2488</v>
      </c>
      <c r="B924">
        <v>6347</v>
      </c>
      <c r="C924">
        <v>1117</v>
      </c>
      <c r="D924">
        <v>337357</v>
      </c>
      <c r="E924">
        <v>268761</v>
      </c>
      <c r="F924">
        <v>16.5</v>
      </c>
      <c r="G924">
        <v>9.1999999999999993</v>
      </c>
      <c r="H924">
        <v>3.5</v>
      </c>
      <c r="I924">
        <v>3.5</v>
      </c>
    </row>
    <row r="925" spans="1:9" ht="24" customHeight="1">
      <c r="A925" s="6" t="s">
        <v>2489</v>
      </c>
      <c r="B925">
        <v>7934</v>
      </c>
      <c r="C925">
        <v>1322</v>
      </c>
      <c r="D925">
        <v>413370</v>
      </c>
      <c r="E925">
        <v>284671</v>
      </c>
      <c r="F925">
        <v>7.1</v>
      </c>
      <c r="G925">
        <v>5.4</v>
      </c>
      <c r="H925">
        <v>35.700000000000003</v>
      </c>
      <c r="I925">
        <v>34.700000000000003</v>
      </c>
    </row>
    <row r="926" spans="1:9" ht="24" customHeight="1">
      <c r="A926" s="6" t="s">
        <v>2490</v>
      </c>
      <c r="B926">
        <v>12202</v>
      </c>
      <c r="C926">
        <v>2627</v>
      </c>
      <c r="D926">
        <v>358919</v>
      </c>
      <c r="E926">
        <v>283696</v>
      </c>
      <c r="F926">
        <v>11.4</v>
      </c>
      <c r="G926">
        <v>4.3</v>
      </c>
      <c r="H926">
        <v>7.1</v>
      </c>
      <c r="I926">
        <v>6.7</v>
      </c>
    </row>
    <row r="927" spans="1:9" ht="24" customHeight="1">
      <c r="A927" s="6" t="s">
        <v>2491</v>
      </c>
      <c r="B927">
        <v>29217</v>
      </c>
      <c r="C927">
        <v>6105</v>
      </c>
      <c r="D927">
        <v>435799</v>
      </c>
      <c r="E927">
        <v>338985</v>
      </c>
      <c r="F927">
        <v>11.3</v>
      </c>
      <c r="G927">
        <v>7.5</v>
      </c>
      <c r="H927">
        <v>14</v>
      </c>
      <c r="I927">
        <v>12.7</v>
      </c>
    </row>
    <row r="928" spans="1:9" ht="24" customHeight="1">
      <c r="A928" s="6" t="s">
        <v>2492</v>
      </c>
      <c r="B928">
        <v>1362</v>
      </c>
      <c r="C928">
        <v>260</v>
      </c>
      <c r="D928">
        <v>253923</v>
      </c>
      <c r="E928">
        <v>234252</v>
      </c>
      <c r="F928">
        <v>4.8</v>
      </c>
      <c r="G928">
        <v>4.7</v>
      </c>
      <c r="H928">
        <v>0</v>
      </c>
      <c r="I928">
        <v>0</v>
      </c>
    </row>
    <row r="929" spans="1:9" ht="24" customHeight="1">
      <c r="A929" s="6" t="s">
        <v>2493</v>
      </c>
      <c r="B929">
        <v>2462</v>
      </c>
      <c r="C929">
        <v>581</v>
      </c>
      <c r="D929">
        <v>327680</v>
      </c>
      <c r="E929">
        <v>281470</v>
      </c>
      <c r="F929">
        <v>8.1</v>
      </c>
      <c r="G929">
        <v>7.4</v>
      </c>
      <c r="H929">
        <v>1.5</v>
      </c>
      <c r="I929">
        <v>1.6</v>
      </c>
    </row>
    <row r="930" spans="1:9" ht="24" customHeight="1">
      <c r="A930" s="6" t="s">
        <v>2494</v>
      </c>
      <c r="B930">
        <v>5084</v>
      </c>
      <c r="C930">
        <v>642</v>
      </c>
      <c r="D930">
        <v>412979</v>
      </c>
      <c r="E930">
        <v>366694</v>
      </c>
      <c r="F930">
        <v>9</v>
      </c>
      <c r="G930">
        <v>3.6</v>
      </c>
      <c r="H930">
        <v>12.4</v>
      </c>
      <c r="I930">
        <v>12.9</v>
      </c>
    </row>
    <row r="931" spans="1:9" ht="24" customHeight="1">
      <c r="A931" s="6" t="s">
        <v>2495</v>
      </c>
      <c r="B931">
        <v>3733</v>
      </c>
      <c r="C931">
        <v>581</v>
      </c>
      <c r="D931">
        <v>463815</v>
      </c>
      <c r="E931">
        <v>386005</v>
      </c>
      <c r="F931">
        <v>17</v>
      </c>
      <c r="G931">
        <v>3.5</v>
      </c>
      <c r="H931">
        <v>16.600000000000001</v>
      </c>
      <c r="I931">
        <v>16.3</v>
      </c>
    </row>
    <row r="932" spans="1:9" ht="24" customHeight="1">
      <c r="A932" s="6" t="s">
        <v>2496</v>
      </c>
      <c r="B932">
        <v>3917</v>
      </c>
      <c r="C932">
        <v>201</v>
      </c>
      <c r="D932">
        <v>518692</v>
      </c>
      <c r="E932">
        <v>338667</v>
      </c>
      <c r="F932">
        <v>10.5</v>
      </c>
      <c r="G932">
        <v>6.3</v>
      </c>
      <c r="H932">
        <v>21.7</v>
      </c>
      <c r="I932">
        <v>23.1</v>
      </c>
    </row>
    <row r="933" spans="1:9" ht="24" customHeight="1">
      <c r="A933" s="6" t="s">
        <v>2497</v>
      </c>
      <c r="B933">
        <v>2237</v>
      </c>
      <c r="C933">
        <v>627</v>
      </c>
      <c r="D933">
        <v>562836</v>
      </c>
      <c r="E933">
        <v>426994</v>
      </c>
      <c r="F933">
        <v>10.7</v>
      </c>
      <c r="G933">
        <v>20</v>
      </c>
      <c r="H933">
        <v>27</v>
      </c>
      <c r="I933">
        <v>28</v>
      </c>
    </row>
    <row r="934" spans="1:9" ht="24" customHeight="1">
      <c r="A934" s="6" t="s">
        <v>2498</v>
      </c>
      <c r="B934">
        <v>3011</v>
      </c>
      <c r="C934">
        <v>868</v>
      </c>
      <c r="D934">
        <v>352714</v>
      </c>
      <c r="E934">
        <v>311833</v>
      </c>
      <c r="F934">
        <v>11.4</v>
      </c>
      <c r="G934">
        <v>15.1</v>
      </c>
      <c r="H934">
        <v>3.6</v>
      </c>
      <c r="I934">
        <v>3.8</v>
      </c>
    </row>
    <row r="935" spans="1:9" ht="24" customHeight="1">
      <c r="A935" s="6" t="s">
        <v>2499</v>
      </c>
      <c r="B935">
        <v>2670</v>
      </c>
      <c r="C935">
        <v>685</v>
      </c>
      <c r="D935">
        <v>560482</v>
      </c>
      <c r="E935">
        <v>442821</v>
      </c>
      <c r="F935">
        <v>8.3000000000000007</v>
      </c>
      <c r="G935">
        <v>7.2</v>
      </c>
      <c r="H935">
        <v>34.1</v>
      </c>
      <c r="I935">
        <v>34.5</v>
      </c>
    </row>
    <row r="936" spans="1:9" ht="24" customHeight="1">
      <c r="A936" s="6" t="s">
        <v>2500</v>
      </c>
      <c r="B936">
        <v>4822</v>
      </c>
      <c r="C936">
        <v>1698</v>
      </c>
      <c r="D936">
        <v>400591</v>
      </c>
      <c r="E936">
        <v>284771</v>
      </c>
      <c r="F936">
        <v>15.4</v>
      </c>
      <c r="G936">
        <v>2.5</v>
      </c>
      <c r="H936">
        <v>6.9</v>
      </c>
      <c r="I936">
        <v>6</v>
      </c>
    </row>
    <row r="937" spans="1:9" ht="24" customHeight="1">
      <c r="A937" s="6" t="s">
        <v>2501</v>
      </c>
      <c r="B937">
        <v>16992</v>
      </c>
      <c r="C937">
        <v>2515</v>
      </c>
      <c r="D937">
        <v>493312</v>
      </c>
      <c r="E937">
        <v>397064</v>
      </c>
      <c r="F937">
        <v>13.8</v>
      </c>
      <c r="G937">
        <v>10.6</v>
      </c>
      <c r="H937">
        <v>17.7</v>
      </c>
      <c r="I937">
        <v>15.9</v>
      </c>
    </row>
    <row r="938" spans="1:9" ht="24" customHeight="1">
      <c r="A938" s="6" t="s">
        <v>2502</v>
      </c>
      <c r="B938">
        <v>807</v>
      </c>
      <c r="C938">
        <v>123</v>
      </c>
      <c r="D938">
        <v>248094</v>
      </c>
      <c r="E938">
        <v>220772</v>
      </c>
      <c r="F938">
        <v>13.4</v>
      </c>
      <c r="G938">
        <v>6.3</v>
      </c>
      <c r="H938">
        <v>0</v>
      </c>
      <c r="I938">
        <v>0</v>
      </c>
    </row>
    <row r="939" spans="1:9" ht="24" customHeight="1">
      <c r="A939" s="6" t="s">
        <v>2503</v>
      </c>
      <c r="B939">
        <v>1787</v>
      </c>
      <c r="C939">
        <v>280</v>
      </c>
      <c r="D939">
        <v>342646</v>
      </c>
      <c r="E939">
        <v>310305</v>
      </c>
      <c r="F939">
        <v>13.7</v>
      </c>
      <c r="G939">
        <v>6.9</v>
      </c>
      <c r="H939">
        <v>1.3</v>
      </c>
      <c r="I939">
        <v>1.6</v>
      </c>
    </row>
    <row r="940" spans="1:9" ht="24" customHeight="1">
      <c r="A940" s="6" t="s">
        <v>2504</v>
      </c>
      <c r="B940">
        <v>1715</v>
      </c>
      <c r="C940">
        <v>355</v>
      </c>
      <c r="D940">
        <v>537717</v>
      </c>
      <c r="E940">
        <v>363933</v>
      </c>
      <c r="F940">
        <v>15.8</v>
      </c>
      <c r="G940">
        <v>6.7</v>
      </c>
      <c r="H940">
        <v>12</v>
      </c>
      <c r="I940">
        <v>11.8</v>
      </c>
    </row>
    <row r="941" spans="1:9" ht="24" customHeight="1">
      <c r="A941" s="6" t="s">
        <v>2505</v>
      </c>
      <c r="B941">
        <v>1899</v>
      </c>
      <c r="C941">
        <v>277</v>
      </c>
      <c r="D941">
        <v>548004</v>
      </c>
      <c r="E941">
        <v>491746</v>
      </c>
      <c r="F941">
        <v>14.8</v>
      </c>
      <c r="G941">
        <v>5.3</v>
      </c>
      <c r="H941">
        <v>16.899999999999999</v>
      </c>
      <c r="I941">
        <v>17.3</v>
      </c>
    </row>
    <row r="942" spans="1:9" ht="24" customHeight="1">
      <c r="A942" s="6" t="s">
        <v>2506</v>
      </c>
      <c r="B942">
        <v>1317</v>
      </c>
      <c r="C942">
        <v>341</v>
      </c>
      <c r="D942">
        <v>574876</v>
      </c>
      <c r="E942">
        <v>477991</v>
      </c>
      <c r="F942">
        <v>11.4</v>
      </c>
      <c r="G942">
        <v>13.5</v>
      </c>
      <c r="H942">
        <v>22</v>
      </c>
      <c r="I942">
        <v>22.6</v>
      </c>
    </row>
    <row r="943" spans="1:9" ht="24" customHeight="1">
      <c r="A943" s="6" t="s">
        <v>2507</v>
      </c>
      <c r="B943">
        <v>1891</v>
      </c>
      <c r="C943">
        <v>293</v>
      </c>
      <c r="D943">
        <v>558272</v>
      </c>
      <c r="E943">
        <v>407542</v>
      </c>
      <c r="F943">
        <v>15</v>
      </c>
      <c r="G943">
        <v>9.5</v>
      </c>
      <c r="H943">
        <v>26.9</v>
      </c>
      <c r="I943">
        <v>26.1</v>
      </c>
    </row>
    <row r="944" spans="1:9" ht="24" customHeight="1">
      <c r="A944" s="6" t="s">
        <v>2508</v>
      </c>
      <c r="B944">
        <v>1481</v>
      </c>
      <c r="C944">
        <v>222</v>
      </c>
      <c r="D944">
        <v>377555</v>
      </c>
      <c r="E944">
        <v>379266</v>
      </c>
      <c r="F944">
        <v>16.7</v>
      </c>
      <c r="G944">
        <v>14.4</v>
      </c>
      <c r="H944">
        <v>3.4</v>
      </c>
      <c r="I944">
        <v>3.6</v>
      </c>
    </row>
    <row r="945" spans="1:9" ht="24" customHeight="1">
      <c r="A945" s="6" t="s">
        <v>2509</v>
      </c>
      <c r="B945">
        <v>4044</v>
      </c>
      <c r="C945">
        <v>380</v>
      </c>
      <c r="D945">
        <v>577000</v>
      </c>
      <c r="E945">
        <v>423706</v>
      </c>
      <c r="F945">
        <v>9.8000000000000007</v>
      </c>
      <c r="G945">
        <v>16.3</v>
      </c>
      <c r="H945">
        <v>36.4</v>
      </c>
      <c r="I945">
        <v>35.1</v>
      </c>
    </row>
    <row r="946" spans="1:9" ht="24" customHeight="1">
      <c r="A946" s="6" t="s">
        <v>2510</v>
      </c>
      <c r="B946">
        <v>2076</v>
      </c>
      <c r="C946">
        <v>343</v>
      </c>
      <c r="D946">
        <v>442050</v>
      </c>
      <c r="E946">
        <v>360774</v>
      </c>
      <c r="F946">
        <v>17.899999999999999</v>
      </c>
      <c r="G946">
        <v>9.5</v>
      </c>
      <c r="H946">
        <v>6.5</v>
      </c>
      <c r="I946">
        <v>6.5</v>
      </c>
    </row>
    <row r="947" spans="1:9" ht="24" customHeight="1">
      <c r="A947" s="6" t="s">
        <v>534</v>
      </c>
      <c r="B947">
        <v>164885</v>
      </c>
      <c r="C947">
        <v>18224</v>
      </c>
      <c r="D947">
        <v>536493</v>
      </c>
      <c r="E947">
        <v>388829</v>
      </c>
      <c r="F947">
        <v>21.4</v>
      </c>
      <c r="G947">
        <v>11.2</v>
      </c>
      <c r="H947">
        <v>15.2</v>
      </c>
      <c r="I947">
        <v>13</v>
      </c>
    </row>
    <row r="948" spans="1:9" ht="24" customHeight="1">
      <c r="A948" s="6" t="s">
        <v>535</v>
      </c>
      <c r="B948">
        <v>61419</v>
      </c>
      <c r="C948">
        <v>5795</v>
      </c>
      <c r="D948">
        <v>654015</v>
      </c>
      <c r="E948">
        <v>496855</v>
      </c>
      <c r="F948">
        <v>21.8</v>
      </c>
      <c r="G948">
        <v>12.4</v>
      </c>
      <c r="H948">
        <v>17</v>
      </c>
      <c r="I948">
        <v>16.399999999999999</v>
      </c>
    </row>
    <row r="949" spans="1:9" ht="24" customHeight="1">
      <c r="A949" s="6" t="s">
        <v>536</v>
      </c>
      <c r="B949">
        <v>2151</v>
      </c>
      <c r="C949">
        <v>444</v>
      </c>
      <c r="D949">
        <v>242081</v>
      </c>
      <c r="E949">
        <v>230972</v>
      </c>
      <c r="F949">
        <v>6.1</v>
      </c>
      <c r="G949">
        <v>2.2999999999999998</v>
      </c>
      <c r="H949">
        <v>0</v>
      </c>
      <c r="I949">
        <v>0</v>
      </c>
    </row>
    <row r="950" spans="1:9" ht="24" customHeight="1">
      <c r="A950" s="6" t="s">
        <v>2511</v>
      </c>
      <c r="B950">
        <v>3700</v>
      </c>
      <c r="C950">
        <v>185</v>
      </c>
      <c r="D950">
        <v>371656</v>
      </c>
      <c r="E950">
        <v>381893</v>
      </c>
      <c r="F950">
        <v>26.7</v>
      </c>
      <c r="G950">
        <v>23.9</v>
      </c>
      <c r="H950">
        <v>1.5</v>
      </c>
      <c r="I950">
        <v>1.7</v>
      </c>
    </row>
    <row r="951" spans="1:9" ht="24" customHeight="1">
      <c r="A951" s="6" t="s">
        <v>2512</v>
      </c>
      <c r="B951">
        <v>8816</v>
      </c>
      <c r="C951">
        <v>719</v>
      </c>
      <c r="D951">
        <v>619880</v>
      </c>
      <c r="E951">
        <v>460924</v>
      </c>
      <c r="F951">
        <v>25</v>
      </c>
      <c r="G951">
        <v>11</v>
      </c>
      <c r="H951">
        <v>12.4</v>
      </c>
      <c r="I951">
        <v>12</v>
      </c>
    </row>
    <row r="952" spans="1:9" ht="24" customHeight="1">
      <c r="A952" s="6" t="s">
        <v>2513</v>
      </c>
      <c r="B952">
        <v>9095</v>
      </c>
      <c r="C952">
        <v>337</v>
      </c>
      <c r="D952">
        <v>714503</v>
      </c>
      <c r="E952">
        <v>572515</v>
      </c>
      <c r="F952">
        <v>21.6</v>
      </c>
      <c r="G952">
        <v>12.3</v>
      </c>
      <c r="H952">
        <v>16.5</v>
      </c>
      <c r="I952">
        <v>16.600000000000001</v>
      </c>
    </row>
    <row r="953" spans="1:9" ht="24" customHeight="1">
      <c r="A953" s="6" t="s">
        <v>2514</v>
      </c>
      <c r="B953">
        <v>3616</v>
      </c>
      <c r="C953">
        <v>115</v>
      </c>
      <c r="D953">
        <v>768210</v>
      </c>
      <c r="E953">
        <v>828777</v>
      </c>
      <c r="F953">
        <v>22.4</v>
      </c>
      <c r="G953">
        <v>2.2999999999999998</v>
      </c>
      <c r="H953">
        <v>22.2</v>
      </c>
      <c r="I953">
        <v>23.2</v>
      </c>
    </row>
    <row r="954" spans="1:9" ht="24" customHeight="1">
      <c r="A954" s="6" t="s">
        <v>2515</v>
      </c>
      <c r="B954">
        <v>4384</v>
      </c>
      <c r="C954">
        <v>393</v>
      </c>
      <c r="D954">
        <v>842344</v>
      </c>
      <c r="E954">
        <v>563307</v>
      </c>
      <c r="F954">
        <v>18.3</v>
      </c>
      <c r="G954">
        <v>9.1</v>
      </c>
      <c r="H954">
        <v>27</v>
      </c>
      <c r="I954">
        <v>26.6</v>
      </c>
    </row>
    <row r="955" spans="1:9" ht="24" customHeight="1">
      <c r="A955" s="6" t="s">
        <v>2516</v>
      </c>
      <c r="B955">
        <v>6051</v>
      </c>
      <c r="C955">
        <v>868</v>
      </c>
      <c r="D955">
        <v>495276</v>
      </c>
      <c r="E955">
        <v>435415</v>
      </c>
      <c r="F955">
        <v>28</v>
      </c>
      <c r="G955">
        <v>17.600000000000001</v>
      </c>
      <c r="H955">
        <v>3.4</v>
      </c>
      <c r="I955">
        <v>3.4</v>
      </c>
    </row>
    <row r="956" spans="1:9" ht="24" customHeight="1">
      <c r="A956" s="6" t="s">
        <v>537</v>
      </c>
      <c r="B956">
        <v>14362</v>
      </c>
      <c r="C956">
        <v>1648</v>
      </c>
      <c r="D956">
        <v>851724</v>
      </c>
      <c r="E956">
        <v>610599</v>
      </c>
      <c r="F956">
        <v>16</v>
      </c>
      <c r="G956">
        <v>9.8000000000000007</v>
      </c>
      <c r="H956">
        <v>34.799999999999997</v>
      </c>
      <c r="I956">
        <v>34.799999999999997</v>
      </c>
    </row>
    <row r="957" spans="1:9" ht="24" customHeight="1">
      <c r="A957" s="6" t="s">
        <v>2517</v>
      </c>
      <c r="B957">
        <v>9314</v>
      </c>
      <c r="C957">
        <v>1159</v>
      </c>
      <c r="D957">
        <v>498686</v>
      </c>
      <c r="E957">
        <v>439221</v>
      </c>
      <c r="F957">
        <v>27.2</v>
      </c>
      <c r="G957">
        <v>16.600000000000001</v>
      </c>
      <c r="H957">
        <v>6.5</v>
      </c>
      <c r="I957">
        <v>6.7</v>
      </c>
    </row>
    <row r="958" spans="1:9" ht="24" customHeight="1">
      <c r="A958" s="6" t="s">
        <v>2518</v>
      </c>
      <c r="B958">
        <v>29587</v>
      </c>
      <c r="C958">
        <v>4615</v>
      </c>
      <c r="D958">
        <v>408413</v>
      </c>
      <c r="E958">
        <v>305271</v>
      </c>
      <c r="F958">
        <v>18.399999999999999</v>
      </c>
      <c r="G958">
        <v>9.8000000000000007</v>
      </c>
      <c r="H958">
        <v>12.3</v>
      </c>
      <c r="I958">
        <v>11</v>
      </c>
    </row>
    <row r="959" spans="1:9" ht="24" customHeight="1">
      <c r="A959" s="6" t="s">
        <v>2519</v>
      </c>
      <c r="B959">
        <v>2278</v>
      </c>
      <c r="C959">
        <v>439</v>
      </c>
      <c r="D959">
        <v>275803</v>
      </c>
      <c r="E959">
        <v>209428</v>
      </c>
      <c r="F959">
        <v>15.4</v>
      </c>
      <c r="G959">
        <v>5.3</v>
      </c>
      <c r="H959">
        <v>0</v>
      </c>
      <c r="I959">
        <v>0</v>
      </c>
    </row>
    <row r="960" spans="1:9" ht="24" customHeight="1">
      <c r="A960" s="6" t="s">
        <v>2520</v>
      </c>
      <c r="B960">
        <v>3446</v>
      </c>
      <c r="C960">
        <v>695</v>
      </c>
      <c r="D960">
        <v>333680</v>
      </c>
      <c r="E960">
        <v>273153</v>
      </c>
      <c r="F960">
        <v>18.2</v>
      </c>
      <c r="G960">
        <v>11.5</v>
      </c>
      <c r="H960">
        <v>1.5</v>
      </c>
      <c r="I960">
        <v>1.4</v>
      </c>
    </row>
    <row r="961" spans="1:9" ht="24" customHeight="1">
      <c r="A961" s="6" t="s">
        <v>2521</v>
      </c>
      <c r="B961">
        <v>3025</v>
      </c>
      <c r="C961">
        <v>653</v>
      </c>
      <c r="D961">
        <v>423539</v>
      </c>
      <c r="E961">
        <v>322770</v>
      </c>
      <c r="F961">
        <v>18.5</v>
      </c>
      <c r="G961">
        <v>11.7</v>
      </c>
      <c r="H961">
        <v>11.9</v>
      </c>
      <c r="I961">
        <v>11.9</v>
      </c>
    </row>
    <row r="962" spans="1:9" ht="24" customHeight="1">
      <c r="A962" s="6" t="s">
        <v>2522</v>
      </c>
      <c r="B962">
        <v>4533</v>
      </c>
      <c r="C962">
        <v>522</v>
      </c>
      <c r="D962">
        <v>465958</v>
      </c>
      <c r="E962">
        <v>324975</v>
      </c>
      <c r="F962">
        <v>23.5</v>
      </c>
      <c r="G962">
        <v>8</v>
      </c>
      <c r="H962">
        <v>16.8</v>
      </c>
      <c r="I962">
        <v>17.2</v>
      </c>
    </row>
    <row r="963" spans="1:9" ht="24" customHeight="1">
      <c r="A963" s="6" t="s">
        <v>2523</v>
      </c>
      <c r="B963">
        <v>3088</v>
      </c>
      <c r="C963">
        <v>373</v>
      </c>
      <c r="D963">
        <v>475470</v>
      </c>
      <c r="E963">
        <v>364325</v>
      </c>
      <c r="F963">
        <v>15.6</v>
      </c>
      <c r="G963">
        <v>14.9</v>
      </c>
      <c r="H963">
        <v>22</v>
      </c>
      <c r="I963">
        <v>22.1</v>
      </c>
    </row>
    <row r="964" spans="1:9" ht="24" customHeight="1">
      <c r="A964" s="6" t="s">
        <v>2524</v>
      </c>
      <c r="B964">
        <v>1610</v>
      </c>
      <c r="C964">
        <v>221</v>
      </c>
      <c r="D964">
        <v>492270</v>
      </c>
      <c r="E964">
        <v>362322</v>
      </c>
      <c r="F964">
        <v>16.100000000000001</v>
      </c>
      <c r="G964">
        <v>15.5</v>
      </c>
      <c r="H964">
        <v>26.7</v>
      </c>
      <c r="I964">
        <v>27</v>
      </c>
    </row>
    <row r="965" spans="1:9" ht="24" customHeight="1">
      <c r="A965" s="6" t="s">
        <v>2525</v>
      </c>
      <c r="B965">
        <v>2808</v>
      </c>
      <c r="C965">
        <v>519</v>
      </c>
      <c r="D965">
        <v>358179</v>
      </c>
      <c r="E965">
        <v>278893</v>
      </c>
      <c r="F965">
        <v>17.399999999999999</v>
      </c>
      <c r="G965">
        <v>9.3000000000000007</v>
      </c>
      <c r="H965">
        <v>3.5</v>
      </c>
      <c r="I965">
        <v>3.6</v>
      </c>
    </row>
    <row r="966" spans="1:9" ht="24" customHeight="1">
      <c r="A966" s="6" t="s">
        <v>2526</v>
      </c>
      <c r="B966">
        <v>2306</v>
      </c>
      <c r="C966">
        <v>325</v>
      </c>
      <c r="D966">
        <v>482515</v>
      </c>
      <c r="E966">
        <v>331736</v>
      </c>
      <c r="F966">
        <v>11.8</v>
      </c>
      <c r="G966">
        <v>8.8000000000000007</v>
      </c>
      <c r="H966">
        <v>35</v>
      </c>
      <c r="I966">
        <v>37.200000000000003</v>
      </c>
    </row>
    <row r="967" spans="1:9" ht="24" customHeight="1">
      <c r="A967" s="6" t="s">
        <v>2527</v>
      </c>
      <c r="B967">
        <v>6535</v>
      </c>
      <c r="C967">
        <v>1014</v>
      </c>
      <c r="D967">
        <v>389374</v>
      </c>
      <c r="E967">
        <v>305088</v>
      </c>
      <c r="F967">
        <v>20.399999999999999</v>
      </c>
      <c r="G967">
        <v>6.5</v>
      </c>
      <c r="H967">
        <v>6.8</v>
      </c>
      <c r="I967">
        <v>6.9</v>
      </c>
    </row>
    <row r="968" spans="1:9" ht="24" customHeight="1">
      <c r="A968" s="6" t="s">
        <v>2528</v>
      </c>
      <c r="B968">
        <v>37227</v>
      </c>
      <c r="C968">
        <v>5147</v>
      </c>
      <c r="D968">
        <v>500823</v>
      </c>
      <c r="E968">
        <v>352497</v>
      </c>
      <c r="F968">
        <v>21</v>
      </c>
      <c r="G968">
        <v>9.6</v>
      </c>
      <c r="H968">
        <v>14</v>
      </c>
      <c r="I968">
        <v>11.1</v>
      </c>
    </row>
    <row r="969" spans="1:9" ht="24" customHeight="1">
      <c r="A969" s="6" t="s">
        <v>2529</v>
      </c>
      <c r="B969">
        <v>1573</v>
      </c>
      <c r="C969">
        <v>298</v>
      </c>
      <c r="D969">
        <v>262089</v>
      </c>
      <c r="E969">
        <v>194618</v>
      </c>
      <c r="F969">
        <v>18.2</v>
      </c>
      <c r="G969">
        <v>2</v>
      </c>
      <c r="H969">
        <v>0</v>
      </c>
      <c r="I969">
        <v>0</v>
      </c>
    </row>
    <row r="970" spans="1:9" ht="24" customHeight="1">
      <c r="A970" s="6" t="s">
        <v>2530</v>
      </c>
      <c r="B970">
        <v>3122</v>
      </c>
      <c r="C970">
        <v>683</v>
      </c>
      <c r="D970">
        <v>349142</v>
      </c>
      <c r="E970">
        <v>281252</v>
      </c>
      <c r="F970">
        <v>20.8</v>
      </c>
      <c r="G970">
        <v>16</v>
      </c>
      <c r="H970">
        <v>1.4</v>
      </c>
      <c r="I970">
        <v>1.3</v>
      </c>
    </row>
    <row r="971" spans="1:9" ht="24" customHeight="1">
      <c r="A971" s="6" t="s">
        <v>2531</v>
      </c>
      <c r="B971">
        <v>4609</v>
      </c>
      <c r="C971">
        <v>820</v>
      </c>
      <c r="D971">
        <v>506070</v>
      </c>
      <c r="E971">
        <v>397074</v>
      </c>
      <c r="F971">
        <v>27.6</v>
      </c>
      <c r="G971">
        <v>13.3</v>
      </c>
      <c r="H971">
        <v>12.5</v>
      </c>
      <c r="I971">
        <v>12.4</v>
      </c>
    </row>
    <row r="972" spans="1:9" ht="24" customHeight="1">
      <c r="A972" s="6" t="s">
        <v>2532</v>
      </c>
      <c r="B972">
        <v>5939</v>
      </c>
      <c r="C972">
        <v>725</v>
      </c>
      <c r="D972">
        <v>567863</v>
      </c>
      <c r="E972">
        <v>428966</v>
      </c>
      <c r="F972">
        <v>20.5</v>
      </c>
      <c r="G972">
        <v>13</v>
      </c>
      <c r="H972">
        <v>16.600000000000001</v>
      </c>
      <c r="I972">
        <v>17.7</v>
      </c>
    </row>
    <row r="973" spans="1:9" ht="24" customHeight="1">
      <c r="A973" s="6" t="s">
        <v>2533</v>
      </c>
      <c r="B973">
        <v>3483</v>
      </c>
      <c r="C973">
        <v>186</v>
      </c>
      <c r="D973">
        <v>616436</v>
      </c>
      <c r="E973">
        <v>380258</v>
      </c>
      <c r="F973">
        <v>11.6</v>
      </c>
      <c r="G973">
        <v>4.4000000000000004</v>
      </c>
      <c r="H973">
        <v>22</v>
      </c>
      <c r="I973">
        <v>21.6</v>
      </c>
    </row>
    <row r="974" spans="1:9" ht="24" customHeight="1">
      <c r="A974" s="6" t="s">
        <v>2534</v>
      </c>
      <c r="B974">
        <v>3209</v>
      </c>
      <c r="C974">
        <v>191</v>
      </c>
      <c r="D974">
        <v>577702</v>
      </c>
      <c r="E974">
        <v>386966</v>
      </c>
      <c r="F974">
        <v>16.399999999999999</v>
      </c>
      <c r="G974">
        <v>6.2</v>
      </c>
      <c r="H974">
        <v>27.1</v>
      </c>
      <c r="I974">
        <v>26.7</v>
      </c>
    </row>
    <row r="975" spans="1:9" ht="24" customHeight="1">
      <c r="A975" s="6" t="s">
        <v>2535</v>
      </c>
      <c r="B975">
        <v>2667</v>
      </c>
      <c r="C975">
        <v>816</v>
      </c>
      <c r="D975">
        <v>443726</v>
      </c>
      <c r="E975">
        <v>280770</v>
      </c>
      <c r="F975">
        <v>27.2</v>
      </c>
      <c r="G975">
        <v>3.9</v>
      </c>
      <c r="H975">
        <v>3.7</v>
      </c>
      <c r="I975">
        <v>3.6</v>
      </c>
    </row>
    <row r="976" spans="1:9" ht="24" customHeight="1">
      <c r="A976" s="6" t="s">
        <v>2536</v>
      </c>
      <c r="B976">
        <v>3714</v>
      </c>
      <c r="C976">
        <v>481</v>
      </c>
      <c r="D976">
        <v>643645</v>
      </c>
      <c r="E976">
        <v>469291</v>
      </c>
      <c r="F976">
        <v>16.100000000000001</v>
      </c>
      <c r="G976">
        <v>5.5</v>
      </c>
      <c r="H976">
        <v>34.799999999999997</v>
      </c>
      <c r="I976">
        <v>34.200000000000003</v>
      </c>
    </row>
    <row r="977" spans="1:9" ht="24" customHeight="1">
      <c r="A977" s="6" t="s">
        <v>2537</v>
      </c>
      <c r="B977">
        <v>8935</v>
      </c>
      <c r="C977">
        <v>1041</v>
      </c>
      <c r="D977">
        <v>433320</v>
      </c>
      <c r="E977">
        <v>335753</v>
      </c>
      <c r="F977">
        <v>23.8</v>
      </c>
      <c r="G977">
        <v>9.5</v>
      </c>
      <c r="H977">
        <v>6.4</v>
      </c>
      <c r="I977">
        <v>6.1</v>
      </c>
    </row>
    <row r="978" spans="1:9" ht="24" customHeight="1">
      <c r="A978" s="6" t="s">
        <v>2538</v>
      </c>
      <c r="B978">
        <v>36651</v>
      </c>
      <c r="C978">
        <v>2667</v>
      </c>
      <c r="D978">
        <v>479175</v>
      </c>
      <c r="E978">
        <v>368814</v>
      </c>
      <c r="F978">
        <v>23.3</v>
      </c>
      <c r="G978">
        <v>14.2</v>
      </c>
      <c r="H978">
        <v>15.6</v>
      </c>
      <c r="I978">
        <v>12.7</v>
      </c>
    </row>
    <row r="979" spans="1:9" ht="24" customHeight="1">
      <c r="A979" s="6" t="s">
        <v>2539</v>
      </c>
      <c r="B979">
        <v>1151</v>
      </c>
      <c r="C979">
        <v>173</v>
      </c>
      <c r="D979">
        <v>261454</v>
      </c>
      <c r="E979">
        <v>236878</v>
      </c>
      <c r="F979">
        <v>14.3</v>
      </c>
      <c r="G979">
        <v>8</v>
      </c>
      <c r="H979">
        <v>0</v>
      </c>
      <c r="I979">
        <v>0</v>
      </c>
    </row>
    <row r="980" spans="1:9" ht="24" customHeight="1">
      <c r="A980" s="6" t="s">
        <v>2540</v>
      </c>
      <c r="B980">
        <v>2227</v>
      </c>
      <c r="C980">
        <v>217</v>
      </c>
      <c r="D980">
        <v>344419</v>
      </c>
      <c r="E980">
        <v>325441</v>
      </c>
      <c r="F980">
        <v>22.2</v>
      </c>
      <c r="G980">
        <v>14.6</v>
      </c>
      <c r="H980">
        <v>1.5</v>
      </c>
      <c r="I980">
        <v>1.5</v>
      </c>
    </row>
    <row r="981" spans="1:9" ht="24" customHeight="1">
      <c r="A981" s="6" t="s">
        <v>2541</v>
      </c>
      <c r="B981">
        <v>6030</v>
      </c>
      <c r="C981">
        <v>385</v>
      </c>
      <c r="D981">
        <v>451968</v>
      </c>
      <c r="E981">
        <v>311443</v>
      </c>
      <c r="F981">
        <v>27.7</v>
      </c>
      <c r="G981">
        <v>6.5</v>
      </c>
      <c r="H981">
        <v>12.1</v>
      </c>
      <c r="I981">
        <v>11.8</v>
      </c>
    </row>
    <row r="982" spans="1:9" ht="24" customHeight="1">
      <c r="A982" s="6" t="s">
        <v>2542</v>
      </c>
      <c r="B982">
        <v>7123</v>
      </c>
      <c r="C982">
        <v>444</v>
      </c>
      <c r="D982">
        <v>491254</v>
      </c>
      <c r="E982">
        <v>398929</v>
      </c>
      <c r="F982">
        <v>23.5</v>
      </c>
      <c r="G982">
        <v>14.4</v>
      </c>
      <c r="H982">
        <v>16.8</v>
      </c>
      <c r="I982">
        <v>16.7</v>
      </c>
    </row>
    <row r="983" spans="1:9" ht="24" customHeight="1">
      <c r="A983" s="6" t="s">
        <v>2543</v>
      </c>
      <c r="B983">
        <v>3197</v>
      </c>
      <c r="C983">
        <v>185</v>
      </c>
      <c r="D983">
        <v>539398</v>
      </c>
      <c r="E983">
        <v>427330</v>
      </c>
      <c r="F983">
        <v>19.5</v>
      </c>
      <c r="G983">
        <v>10.8</v>
      </c>
      <c r="H983">
        <v>21.7</v>
      </c>
      <c r="I983">
        <v>21.2</v>
      </c>
    </row>
    <row r="984" spans="1:9" ht="24" customHeight="1">
      <c r="A984" s="6" t="s">
        <v>2544</v>
      </c>
      <c r="B984">
        <v>3381</v>
      </c>
      <c r="C984">
        <v>92</v>
      </c>
      <c r="D984">
        <v>569611</v>
      </c>
      <c r="E984">
        <v>448176</v>
      </c>
      <c r="F984">
        <v>19.7</v>
      </c>
      <c r="G984">
        <v>15.7</v>
      </c>
      <c r="H984">
        <v>26.9</v>
      </c>
      <c r="I984">
        <v>27</v>
      </c>
    </row>
    <row r="985" spans="1:9" ht="24" customHeight="1">
      <c r="A985" s="6" t="s">
        <v>2545</v>
      </c>
      <c r="B985">
        <v>2964</v>
      </c>
      <c r="C985">
        <v>346</v>
      </c>
      <c r="D985">
        <v>408040</v>
      </c>
      <c r="E985">
        <v>352413</v>
      </c>
      <c r="F985">
        <v>23.2</v>
      </c>
      <c r="G985">
        <v>25.7</v>
      </c>
      <c r="H985">
        <v>3.6</v>
      </c>
      <c r="I985">
        <v>3.4</v>
      </c>
    </row>
    <row r="986" spans="1:9" ht="24" customHeight="1">
      <c r="A986" s="6" t="s">
        <v>2546</v>
      </c>
      <c r="B986">
        <v>5009</v>
      </c>
      <c r="C986">
        <v>330</v>
      </c>
      <c r="D986">
        <v>619622</v>
      </c>
      <c r="E986">
        <v>450554</v>
      </c>
      <c r="F986">
        <v>20.9</v>
      </c>
      <c r="G986">
        <v>11.8</v>
      </c>
      <c r="H986">
        <v>33.5</v>
      </c>
      <c r="I986">
        <v>34.9</v>
      </c>
    </row>
    <row r="987" spans="1:9" ht="24" customHeight="1">
      <c r="A987" s="6" t="s">
        <v>2547</v>
      </c>
      <c r="B987">
        <v>5617</v>
      </c>
      <c r="C987">
        <v>556</v>
      </c>
      <c r="D987">
        <v>414054</v>
      </c>
      <c r="E987">
        <v>361442</v>
      </c>
      <c r="F987">
        <v>27.2</v>
      </c>
      <c r="G987">
        <v>16.5</v>
      </c>
      <c r="H987">
        <v>6.9</v>
      </c>
      <c r="I987">
        <v>6.4</v>
      </c>
    </row>
    <row r="988" spans="1:9" ht="24" customHeight="1">
      <c r="A988" s="6" t="s">
        <v>538</v>
      </c>
      <c r="B988">
        <v>84755</v>
      </c>
      <c r="C988">
        <v>15115</v>
      </c>
      <c r="D988">
        <v>519700</v>
      </c>
      <c r="E988">
        <v>359161</v>
      </c>
      <c r="F988">
        <v>14.9</v>
      </c>
      <c r="G988">
        <v>7.9</v>
      </c>
      <c r="H988">
        <v>16.5</v>
      </c>
      <c r="I988">
        <v>12.8</v>
      </c>
    </row>
    <row r="989" spans="1:9" ht="24" customHeight="1">
      <c r="A989" s="6" t="s">
        <v>539</v>
      </c>
      <c r="B989">
        <v>29374</v>
      </c>
      <c r="C989">
        <v>3226</v>
      </c>
      <c r="D989">
        <v>604596</v>
      </c>
      <c r="E989">
        <v>458011</v>
      </c>
      <c r="F989">
        <v>16.8</v>
      </c>
      <c r="G989">
        <v>12</v>
      </c>
      <c r="H989">
        <v>17.8</v>
      </c>
      <c r="I989">
        <v>14.3</v>
      </c>
    </row>
    <row r="990" spans="1:9" ht="24" customHeight="1">
      <c r="A990" s="6" t="s">
        <v>540</v>
      </c>
      <c r="B990">
        <v>768</v>
      </c>
      <c r="C990">
        <v>139</v>
      </c>
      <c r="D990">
        <v>274034</v>
      </c>
      <c r="E990">
        <v>274260</v>
      </c>
      <c r="F990">
        <v>6.9</v>
      </c>
      <c r="G990">
        <v>2.6</v>
      </c>
      <c r="H990">
        <v>0</v>
      </c>
      <c r="I990">
        <v>0</v>
      </c>
    </row>
    <row r="991" spans="1:9" ht="24" customHeight="1">
      <c r="A991" s="6" t="s">
        <v>2548</v>
      </c>
      <c r="B991">
        <v>2548</v>
      </c>
      <c r="C991">
        <v>297</v>
      </c>
      <c r="D991">
        <v>439487</v>
      </c>
      <c r="E991">
        <v>336041</v>
      </c>
      <c r="F991">
        <v>17.100000000000001</v>
      </c>
      <c r="G991">
        <v>15.4</v>
      </c>
      <c r="H991">
        <v>1.5</v>
      </c>
      <c r="I991">
        <v>1.6</v>
      </c>
    </row>
    <row r="992" spans="1:9" ht="24" customHeight="1">
      <c r="A992" s="6" t="s">
        <v>2549</v>
      </c>
      <c r="B992">
        <v>3152</v>
      </c>
      <c r="C992">
        <v>427</v>
      </c>
      <c r="D992">
        <v>572689</v>
      </c>
      <c r="E992">
        <v>455863</v>
      </c>
      <c r="F992">
        <v>19.2</v>
      </c>
      <c r="G992">
        <v>13.8</v>
      </c>
      <c r="H992">
        <v>12.2</v>
      </c>
      <c r="I992">
        <v>11.9</v>
      </c>
    </row>
    <row r="993" spans="1:9" ht="24" customHeight="1">
      <c r="A993" s="6" t="s">
        <v>2550</v>
      </c>
      <c r="B993">
        <v>4626</v>
      </c>
      <c r="C993">
        <v>231</v>
      </c>
      <c r="D993">
        <v>617720</v>
      </c>
      <c r="E993">
        <v>589817</v>
      </c>
      <c r="F993">
        <v>15.9</v>
      </c>
      <c r="G993">
        <v>12.1</v>
      </c>
      <c r="H993">
        <v>16.7</v>
      </c>
      <c r="I993">
        <v>16.5</v>
      </c>
    </row>
    <row r="994" spans="1:9" ht="24" customHeight="1">
      <c r="A994" s="6" t="s">
        <v>2551</v>
      </c>
      <c r="B994">
        <v>2425</v>
      </c>
      <c r="C994">
        <v>246</v>
      </c>
      <c r="D994">
        <v>673190</v>
      </c>
      <c r="E994">
        <v>478705</v>
      </c>
      <c r="F994">
        <v>11.7</v>
      </c>
      <c r="G994">
        <v>5.8</v>
      </c>
      <c r="H994">
        <v>22.1</v>
      </c>
      <c r="I994">
        <v>23</v>
      </c>
    </row>
    <row r="995" spans="1:9" ht="24" customHeight="1">
      <c r="A995" s="6" t="s">
        <v>2552</v>
      </c>
      <c r="B995">
        <v>3058</v>
      </c>
      <c r="C995">
        <v>251</v>
      </c>
      <c r="D995">
        <v>722099</v>
      </c>
      <c r="E995">
        <v>539618</v>
      </c>
      <c r="F995">
        <v>17.899999999999999</v>
      </c>
      <c r="G995">
        <v>7.9</v>
      </c>
      <c r="H995">
        <v>26.8</v>
      </c>
      <c r="I995">
        <v>26.8</v>
      </c>
    </row>
    <row r="996" spans="1:9" ht="24" customHeight="1">
      <c r="A996" s="6" t="s">
        <v>2553</v>
      </c>
      <c r="B996">
        <v>2250</v>
      </c>
      <c r="C996">
        <v>545</v>
      </c>
      <c r="D996">
        <v>463715</v>
      </c>
      <c r="E996">
        <v>396347</v>
      </c>
      <c r="F996">
        <v>19.600000000000001</v>
      </c>
      <c r="G996">
        <v>14.7</v>
      </c>
      <c r="H996">
        <v>3.5</v>
      </c>
      <c r="I996">
        <v>3.6</v>
      </c>
    </row>
    <row r="997" spans="1:9" ht="24" customHeight="1">
      <c r="A997" s="6" t="s">
        <v>541</v>
      </c>
      <c r="B997">
        <v>6954</v>
      </c>
      <c r="C997">
        <v>591</v>
      </c>
      <c r="D997">
        <v>739391</v>
      </c>
      <c r="E997">
        <v>543884</v>
      </c>
      <c r="F997">
        <v>16.2</v>
      </c>
      <c r="G997">
        <v>8.6999999999999993</v>
      </c>
      <c r="H997">
        <v>34.1</v>
      </c>
      <c r="I997">
        <v>33.799999999999997</v>
      </c>
    </row>
    <row r="998" spans="1:9" ht="24" customHeight="1">
      <c r="A998" s="6" t="s">
        <v>2554</v>
      </c>
      <c r="B998">
        <v>3669</v>
      </c>
      <c r="C998">
        <v>640</v>
      </c>
      <c r="D998">
        <v>485609</v>
      </c>
      <c r="E998">
        <v>423481</v>
      </c>
      <c r="F998">
        <v>19.7</v>
      </c>
      <c r="G998">
        <v>13.4</v>
      </c>
      <c r="H998">
        <v>6.7</v>
      </c>
      <c r="I998">
        <v>6.5</v>
      </c>
    </row>
    <row r="999" spans="1:9" ht="24" customHeight="1">
      <c r="A999" s="6" t="s">
        <v>2555</v>
      </c>
      <c r="B999">
        <v>17176</v>
      </c>
      <c r="C999">
        <v>5344</v>
      </c>
      <c r="D999">
        <v>396636</v>
      </c>
      <c r="E999">
        <v>291701</v>
      </c>
      <c r="F999">
        <v>11</v>
      </c>
      <c r="G999">
        <v>5.2</v>
      </c>
      <c r="H999">
        <v>14.6</v>
      </c>
      <c r="I999">
        <v>11.1</v>
      </c>
    </row>
    <row r="1000" spans="1:9" ht="24" customHeight="1">
      <c r="A1000" s="6" t="s">
        <v>2556</v>
      </c>
      <c r="B1000">
        <v>920</v>
      </c>
      <c r="C1000">
        <v>411</v>
      </c>
      <c r="D1000">
        <v>251988</v>
      </c>
      <c r="E1000">
        <v>213696</v>
      </c>
      <c r="F1000">
        <v>5.9</v>
      </c>
      <c r="G1000">
        <v>2</v>
      </c>
      <c r="H1000">
        <v>0</v>
      </c>
      <c r="I1000">
        <v>0</v>
      </c>
    </row>
    <row r="1001" spans="1:9" ht="24" customHeight="1">
      <c r="A1001" s="6" t="s">
        <v>2557</v>
      </c>
      <c r="B1001">
        <v>1779</v>
      </c>
      <c r="C1001">
        <v>562</v>
      </c>
      <c r="D1001">
        <v>331369</v>
      </c>
      <c r="E1001">
        <v>232258</v>
      </c>
      <c r="F1001">
        <v>8.9</v>
      </c>
      <c r="G1001">
        <v>6.2</v>
      </c>
      <c r="H1001">
        <v>1.5</v>
      </c>
      <c r="I1001">
        <v>1.4</v>
      </c>
    </row>
    <row r="1002" spans="1:9" ht="24" customHeight="1">
      <c r="A1002" s="6" t="s">
        <v>2558</v>
      </c>
      <c r="B1002">
        <v>2423</v>
      </c>
      <c r="C1002">
        <v>700</v>
      </c>
      <c r="D1002">
        <v>390755</v>
      </c>
      <c r="E1002">
        <v>288664</v>
      </c>
      <c r="F1002">
        <v>12.7</v>
      </c>
      <c r="G1002">
        <v>6.2</v>
      </c>
      <c r="H1002">
        <v>11.6</v>
      </c>
      <c r="I1002">
        <v>12.1</v>
      </c>
    </row>
    <row r="1003" spans="1:9" ht="24" customHeight="1">
      <c r="A1003" s="6" t="s">
        <v>2559</v>
      </c>
      <c r="B1003">
        <v>2577</v>
      </c>
      <c r="C1003">
        <v>963</v>
      </c>
      <c r="D1003">
        <v>408542</v>
      </c>
      <c r="E1003">
        <v>279228</v>
      </c>
      <c r="F1003">
        <v>12.7</v>
      </c>
      <c r="G1003">
        <v>3.5</v>
      </c>
      <c r="H1003">
        <v>16.8</v>
      </c>
      <c r="I1003">
        <v>16.899999999999999</v>
      </c>
    </row>
    <row r="1004" spans="1:9" ht="24" customHeight="1">
      <c r="A1004" s="6" t="s">
        <v>2560</v>
      </c>
      <c r="B1004">
        <v>1964</v>
      </c>
      <c r="C1004">
        <v>508</v>
      </c>
      <c r="D1004">
        <v>463810</v>
      </c>
      <c r="E1004">
        <v>368140</v>
      </c>
      <c r="F1004">
        <v>10.5</v>
      </c>
      <c r="G1004">
        <v>3</v>
      </c>
      <c r="H1004">
        <v>21.9</v>
      </c>
      <c r="I1004">
        <v>22.2</v>
      </c>
    </row>
    <row r="1005" spans="1:9" ht="24" customHeight="1">
      <c r="A1005" s="6" t="s">
        <v>2561</v>
      </c>
      <c r="B1005">
        <v>1130</v>
      </c>
      <c r="C1005">
        <v>136</v>
      </c>
      <c r="D1005">
        <v>441120</v>
      </c>
      <c r="E1005">
        <v>323819</v>
      </c>
      <c r="F1005">
        <v>8</v>
      </c>
      <c r="G1005">
        <v>3.9</v>
      </c>
      <c r="H1005">
        <v>26.8</v>
      </c>
      <c r="I1005">
        <v>27.1</v>
      </c>
    </row>
    <row r="1006" spans="1:9" ht="24" customHeight="1">
      <c r="A1006" s="6" t="s">
        <v>2562</v>
      </c>
      <c r="B1006">
        <v>1221</v>
      </c>
      <c r="C1006">
        <v>546</v>
      </c>
      <c r="D1006">
        <v>343427</v>
      </c>
      <c r="E1006">
        <v>270858</v>
      </c>
      <c r="F1006">
        <v>12.8</v>
      </c>
      <c r="G1006">
        <v>4.3</v>
      </c>
      <c r="H1006">
        <v>3.5</v>
      </c>
      <c r="I1006">
        <v>3.3</v>
      </c>
    </row>
    <row r="1007" spans="1:9" ht="24" customHeight="1">
      <c r="A1007" s="6" t="s">
        <v>2563</v>
      </c>
      <c r="B1007">
        <v>2212</v>
      </c>
      <c r="C1007">
        <v>269</v>
      </c>
      <c r="D1007">
        <v>500599</v>
      </c>
      <c r="E1007">
        <v>379308</v>
      </c>
      <c r="F1007">
        <v>6.5</v>
      </c>
      <c r="G1007">
        <v>0.8</v>
      </c>
      <c r="H1007">
        <v>35.6</v>
      </c>
      <c r="I1007">
        <v>34</v>
      </c>
    </row>
    <row r="1008" spans="1:9" ht="24" customHeight="1">
      <c r="A1008" s="6" t="s">
        <v>2564</v>
      </c>
      <c r="B1008">
        <v>3007</v>
      </c>
      <c r="C1008">
        <v>1382</v>
      </c>
      <c r="D1008">
        <v>353766</v>
      </c>
      <c r="E1008">
        <v>291109</v>
      </c>
      <c r="F1008">
        <v>14.6</v>
      </c>
      <c r="G1008">
        <v>8.1</v>
      </c>
      <c r="H1008">
        <v>6.9</v>
      </c>
      <c r="I1008">
        <v>6.5</v>
      </c>
    </row>
    <row r="1009" spans="1:9" ht="24" customHeight="1">
      <c r="A1009" s="6" t="s">
        <v>2565</v>
      </c>
      <c r="B1009">
        <v>18644</v>
      </c>
      <c r="C1009">
        <v>3483</v>
      </c>
      <c r="D1009">
        <v>497811</v>
      </c>
      <c r="E1009">
        <v>351328</v>
      </c>
      <c r="F1009">
        <v>13.4</v>
      </c>
      <c r="G1009">
        <v>7.1</v>
      </c>
      <c r="H1009">
        <v>16.3</v>
      </c>
      <c r="I1009">
        <v>11.9</v>
      </c>
    </row>
    <row r="1010" spans="1:9" ht="24" customHeight="1">
      <c r="A1010" s="6" t="s">
        <v>2566</v>
      </c>
      <c r="B1010">
        <v>617</v>
      </c>
      <c r="C1010">
        <v>178</v>
      </c>
      <c r="D1010">
        <v>268140</v>
      </c>
      <c r="E1010">
        <v>213692</v>
      </c>
      <c r="F1010">
        <v>5.9</v>
      </c>
      <c r="G1010">
        <v>6.7</v>
      </c>
      <c r="H1010">
        <v>0</v>
      </c>
      <c r="I1010">
        <v>0</v>
      </c>
    </row>
    <row r="1011" spans="1:9" ht="24" customHeight="1">
      <c r="A1011" s="6" t="s">
        <v>2567</v>
      </c>
      <c r="B1011">
        <v>1349</v>
      </c>
      <c r="C1011">
        <v>403</v>
      </c>
      <c r="D1011">
        <v>338627</v>
      </c>
      <c r="E1011">
        <v>281119</v>
      </c>
      <c r="F1011">
        <v>17.3</v>
      </c>
      <c r="G1011">
        <v>6.2</v>
      </c>
      <c r="H1011">
        <v>1.4</v>
      </c>
      <c r="I1011">
        <v>1.4</v>
      </c>
    </row>
    <row r="1012" spans="1:9" ht="24" customHeight="1">
      <c r="A1012" s="6" t="s">
        <v>2568</v>
      </c>
      <c r="B1012">
        <v>2149</v>
      </c>
      <c r="C1012">
        <v>495</v>
      </c>
      <c r="D1012">
        <v>476389</v>
      </c>
      <c r="E1012">
        <v>358732</v>
      </c>
      <c r="F1012">
        <v>15.8</v>
      </c>
      <c r="G1012">
        <v>8.1999999999999993</v>
      </c>
      <c r="H1012">
        <v>12.1</v>
      </c>
      <c r="I1012">
        <v>12</v>
      </c>
    </row>
    <row r="1013" spans="1:9" ht="24" customHeight="1">
      <c r="A1013" s="6" t="s">
        <v>2569</v>
      </c>
      <c r="B1013">
        <v>3126</v>
      </c>
      <c r="C1013">
        <v>654</v>
      </c>
      <c r="D1013">
        <v>517600</v>
      </c>
      <c r="E1013">
        <v>348641</v>
      </c>
      <c r="F1013">
        <v>15.6</v>
      </c>
      <c r="G1013">
        <v>8.3000000000000007</v>
      </c>
      <c r="H1013">
        <v>16.7</v>
      </c>
      <c r="I1013">
        <v>16.5</v>
      </c>
    </row>
    <row r="1014" spans="1:9" ht="24" customHeight="1">
      <c r="A1014" s="6" t="s">
        <v>2570</v>
      </c>
      <c r="B1014">
        <v>1381</v>
      </c>
      <c r="C1014">
        <v>197</v>
      </c>
      <c r="D1014">
        <v>511565</v>
      </c>
      <c r="E1014">
        <v>390124</v>
      </c>
      <c r="F1014">
        <v>13.4</v>
      </c>
      <c r="G1014">
        <v>3.5</v>
      </c>
      <c r="H1014">
        <v>21.8</v>
      </c>
      <c r="I1014">
        <v>22</v>
      </c>
    </row>
    <row r="1015" spans="1:9" ht="24" customHeight="1">
      <c r="A1015" s="6" t="s">
        <v>2571</v>
      </c>
      <c r="B1015">
        <v>2419</v>
      </c>
      <c r="C1015">
        <v>206</v>
      </c>
      <c r="D1015">
        <v>556435</v>
      </c>
      <c r="E1015">
        <v>369669</v>
      </c>
      <c r="F1015">
        <v>12.8</v>
      </c>
      <c r="G1015">
        <v>8.3000000000000007</v>
      </c>
      <c r="H1015">
        <v>26.8</v>
      </c>
      <c r="I1015">
        <v>25.9</v>
      </c>
    </row>
    <row r="1016" spans="1:9" ht="24" customHeight="1">
      <c r="A1016" s="6" t="s">
        <v>2572</v>
      </c>
      <c r="B1016">
        <v>1229</v>
      </c>
      <c r="C1016">
        <v>429</v>
      </c>
      <c r="D1016">
        <v>406918</v>
      </c>
      <c r="E1016">
        <v>340733</v>
      </c>
      <c r="F1016">
        <v>20.399999999999999</v>
      </c>
      <c r="G1016">
        <v>10</v>
      </c>
      <c r="H1016">
        <v>3.5</v>
      </c>
      <c r="I1016">
        <v>3.6</v>
      </c>
    </row>
    <row r="1017" spans="1:9" ht="24" customHeight="1">
      <c r="A1017" s="6" t="s">
        <v>2573</v>
      </c>
      <c r="B1017">
        <v>2977</v>
      </c>
      <c r="C1017">
        <v>256</v>
      </c>
      <c r="D1017">
        <v>693961</v>
      </c>
      <c r="E1017">
        <v>481639</v>
      </c>
      <c r="F1017">
        <v>7.5</v>
      </c>
      <c r="G1017">
        <v>5.9</v>
      </c>
      <c r="H1017">
        <v>34.4</v>
      </c>
      <c r="I1017">
        <v>34.1</v>
      </c>
    </row>
    <row r="1018" spans="1:9" ht="24" customHeight="1">
      <c r="A1018" s="6" t="s">
        <v>2574</v>
      </c>
      <c r="B1018">
        <v>3433</v>
      </c>
      <c r="C1018">
        <v>744</v>
      </c>
      <c r="D1018">
        <v>409933</v>
      </c>
      <c r="E1018">
        <v>358503</v>
      </c>
      <c r="F1018">
        <v>12.7</v>
      </c>
      <c r="G1018">
        <v>4.5999999999999996</v>
      </c>
      <c r="H1018">
        <v>6.5</v>
      </c>
      <c r="I1018">
        <v>6.8</v>
      </c>
    </row>
    <row r="1019" spans="1:9" ht="24" customHeight="1">
      <c r="A1019" s="6" t="s">
        <v>2575</v>
      </c>
      <c r="B1019">
        <v>19561</v>
      </c>
      <c r="C1019">
        <v>3063</v>
      </c>
      <c r="D1019">
        <v>521133</v>
      </c>
      <c r="E1019">
        <v>381644</v>
      </c>
      <c r="F1019">
        <v>17.2</v>
      </c>
      <c r="G1019">
        <v>9.4</v>
      </c>
      <c r="H1019">
        <v>16.600000000000001</v>
      </c>
      <c r="I1019">
        <v>15.3</v>
      </c>
    </row>
    <row r="1020" spans="1:9" ht="24" customHeight="1">
      <c r="A1020" s="6" t="s">
        <v>2576</v>
      </c>
      <c r="B1020">
        <v>977</v>
      </c>
      <c r="C1020">
        <v>239</v>
      </c>
      <c r="D1020">
        <v>278290</v>
      </c>
      <c r="E1020">
        <v>224148</v>
      </c>
      <c r="F1020">
        <v>8.3000000000000007</v>
      </c>
      <c r="G1020">
        <v>1.5</v>
      </c>
      <c r="H1020">
        <v>0</v>
      </c>
      <c r="I1020">
        <v>0</v>
      </c>
    </row>
    <row r="1021" spans="1:9" ht="24" customHeight="1">
      <c r="A1021" s="6" t="s">
        <v>2577</v>
      </c>
      <c r="B1021">
        <v>1616</v>
      </c>
      <c r="C1021">
        <v>372</v>
      </c>
      <c r="D1021">
        <v>366394</v>
      </c>
      <c r="E1021">
        <v>338861</v>
      </c>
      <c r="F1021">
        <v>17.399999999999999</v>
      </c>
      <c r="G1021">
        <v>19.8</v>
      </c>
      <c r="H1021">
        <v>1.4</v>
      </c>
      <c r="I1021">
        <v>1.4</v>
      </c>
    </row>
    <row r="1022" spans="1:9" ht="24" customHeight="1">
      <c r="A1022" s="6" t="s">
        <v>2578</v>
      </c>
      <c r="B1022">
        <v>2211</v>
      </c>
      <c r="C1022">
        <v>197</v>
      </c>
      <c r="D1022">
        <v>510138</v>
      </c>
      <c r="E1022">
        <v>384788</v>
      </c>
      <c r="F1022">
        <v>21.3</v>
      </c>
      <c r="G1022">
        <v>6.3</v>
      </c>
      <c r="H1022">
        <v>12.1</v>
      </c>
      <c r="I1022">
        <v>12.5</v>
      </c>
    </row>
    <row r="1023" spans="1:9" ht="24" customHeight="1">
      <c r="A1023" s="6" t="s">
        <v>2579</v>
      </c>
      <c r="B1023">
        <v>3169</v>
      </c>
      <c r="C1023">
        <v>297</v>
      </c>
      <c r="D1023">
        <v>557417</v>
      </c>
      <c r="E1023">
        <v>388061</v>
      </c>
      <c r="F1023">
        <v>22.3</v>
      </c>
      <c r="G1023">
        <v>7.3</v>
      </c>
      <c r="H1023">
        <v>16.7</v>
      </c>
      <c r="I1023">
        <v>16.5</v>
      </c>
    </row>
    <row r="1024" spans="1:9" ht="24" customHeight="1">
      <c r="A1024" s="6" t="s">
        <v>2580</v>
      </c>
      <c r="B1024">
        <v>1518</v>
      </c>
      <c r="C1024">
        <v>116</v>
      </c>
      <c r="D1024">
        <v>590995</v>
      </c>
      <c r="E1024">
        <v>493781</v>
      </c>
      <c r="F1024">
        <v>16.100000000000001</v>
      </c>
      <c r="G1024">
        <v>3.8</v>
      </c>
      <c r="H1024">
        <v>22</v>
      </c>
      <c r="I1024">
        <v>22.4</v>
      </c>
    </row>
    <row r="1025" spans="1:9" ht="24" customHeight="1">
      <c r="A1025" s="6" t="s">
        <v>2581</v>
      </c>
      <c r="B1025">
        <v>1874</v>
      </c>
      <c r="C1025">
        <v>282</v>
      </c>
      <c r="D1025">
        <v>618220</v>
      </c>
      <c r="E1025">
        <v>463012</v>
      </c>
      <c r="F1025">
        <v>11.1</v>
      </c>
      <c r="G1025">
        <v>9.9</v>
      </c>
      <c r="H1025">
        <v>26.9</v>
      </c>
      <c r="I1025">
        <v>26.9</v>
      </c>
    </row>
    <row r="1026" spans="1:9" ht="24" customHeight="1">
      <c r="A1026" s="6" t="s">
        <v>2582</v>
      </c>
      <c r="B1026">
        <v>1446</v>
      </c>
      <c r="C1026">
        <v>499</v>
      </c>
      <c r="D1026">
        <v>423885</v>
      </c>
      <c r="E1026">
        <v>335425</v>
      </c>
      <c r="F1026">
        <v>19</v>
      </c>
      <c r="G1026">
        <v>14</v>
      </c>
      <c r="H1026">
        <v>3.5</v>
      </c>
      <c r="I1026">
        <v>3.5</v>
      </c>
    </row>
    <row r="1027" spans="1:9" ht="24" customHeight="1">
      <c r="A1027" s="6" t="s">
        <v>2583</v>
      </c>
      <c r="B1027">
        <v>3877</v>
      </c>
      <c r="C1027">
        <v>727</v>
      </c>
      <c r="D1027">
        <v>635081</v>
      </c>
      <c r="E1027">
        <v>437813</v>
      </c>
      <c r="F1027">
        <v>12.7</v>
      </c>
      <c r="G1027">
        <v>3.9</v>
      </c>
      <c r="H1027">
        <v>34.6</v>
      </c>
      <c r="I1027">
        <v>35.1</v>
      </c>
    </row>
    <row r="1028" spans="1:9" ht="24" customHeight="1">
      <c r="A1028" s="6" t="s">
        <v>2584</v>
      </c>
      <c r="B1028">
        <v>2903</v>
      </c>
      <c r="C1028">
        <v>378</v>
      </c>
      <c r="D1028">
        <v>452320</v>
      </c>
      <c r="E1028">
        <v>357274</v>
      </c>
      <c r="F1028">
        <v>20.5</v>
      </c>
      <c r="G1028">
        <v>11.9</v>
      </c>
      <c r="H1028">
        <v>6.9</v>
      </c>
      <c r="I1028">
        <v>6.3</v>
      </c>
    </row>
    <row r="1029" spans="1:9" ht="24" customHeight="1">
      <c r="A1029" s="6" t="s">
        <v>542</v>
      </c>
      <c r="B1029">
        <v>313379</v>
      </c>
      <c r="C1029">
        <v>72793</v>
      </c>
      <c r="D1029">
        <v>438744</v>
      </c>
      <c r="E1029">
        <v>321500</v>
      </c>
      <c r="F1029">
        <v>13.6</v>
      </c>
      <c r="G1029">
        <v>6.9</v>
      </c>
      <c r="H1029">
        <v>14.1</v>
      </c>
      <c r="I1029">
        <v>11</v>
      </c>
    </row>
    <row r="1030" spans="1:9" ht="24" customHeight="1">
      <c r="A1030" s="6" t="s">
        <v>543</v>
      </c>
      <c r="B1030">
        <v>35681</v>
      </c>
      <c r="C1030">
        <v>7173</v>
      </c>
      <c r="D1030">
        <v>561110</v>
      </c>
      <c r="E1030">
        <v>423616</v>
      </c>
      <c r="F1030">
        <v>22.8</v>
      </c>
      <c r="G1030">
        <v>12.5</v>
      </c>
      <c r="H1030">
        <v>16.399999999999999</v>
      </c>
      <c r="I1030">
        <v>15.4</v>
      </c>
    </row>
    <row r="1031" spans="1:9" ht="24" customHeight="1">
      <c r="A1031" s="6" t="s">
        <v>544</v>
      </c>
      <c r="B1031">
        <v>1332</v>
      </c>
      <c r="C1031">
        <v>392</v>
      </c>
      <c r="D1031">
        <v>268072</v>
      </c>
      <c r="E1031">
        <v>221783</v>
      </c>
      <c r="F1031">
        <v>13.3</v>
      </c>
      <c r="G1031">
        <v>0.6</v>
      </c>
      <c r="H1031">
        <v>0</v>
      </c>
      <c r="I1031">
        <v>0</v>
      </c>
    </row>
    <row r="1032" spans="1:9" ht="24" customHeight="1">
      <c r="A1032" s="6" t="s">
        <v>2585</v>
      </c>
      <c r="B1032">
        <v>3416</v>
      </c>
      <c r="C1032">
        <v>468</v>
      </c>
      <c r="D1032">
        <v>374423</v>
      </c>
      <c r="E1032">
        <v>330352</v>
      </c>
      <c r="F1032">
        <v>27.3</v>
      </c>
      <c r="G1032">
        <v>8</v>
      </c>
      <c r="H1032">
        <v>1.5</v>
      </c>
      <c r="I1032">
        <v>1.5</v>
      </c>
    </row>
    <row r="1033" spans="1:9" ht="24" customHeight="1">
      <c r="A1033" s="6" t="s">
        <v>2586</v>
      </c>
      <c r="B1033">
        <v>5457</v>
      </c>
      <c r="C1033">
        <v>956</v>
      </c>
      <c r="D1033">
        <v>542016</v>
      </c>
      <c r="E1033">
        <v>422931</v>
      </c>
      <c r="F1033">
        <v>25.8</v>
      </c>
      <c r="G1033">
        <v>14.9</v>
      </c>
      <c r="H1033">
        <v>12.2</v>
      </c>
      <c r="I1033">
        <v>12.1</v>
      </c>
    </row>
    <row r="1034" spans="1:9" ht="24" customHeight="1">
      <c r="A1034" s="6" t="s">
        <v>2587</v>
      </c>
      <c r="B1034">
        <v>3304</v>
      </c>
      <c r="C1034">
        <v>869</v>
      </c>
      <c r="D1034">
        <v>596944</v>
      </c>
      <c r="E1034">
        <v>446548</v>
      </c>
      <c r="F1034">
        <v>18.8</v>
      </c>
      <c r="G1034">
        <v>7.1</v>
      </c>
      <c r="H1034">
        <v>16.8</v>
      </c>
      <c r="I1034">
        <v>16.600000000000001</v>
      </c>
    </row>
    <row r="1035" spans="1:9" ht="24" customHeight="1">
      <c r="A1035" s="6" t="s">
        <v>2588</v>
      </c>
      <c r="B1035">
        <v>2578</v>
      </c>
      <c r="C1035">
        <v>745</v>
      </c>
      <c r="D1035">
        <v>668255</v>
      </c>
      <c r="E1035">
        <v>438379</v>
      </c>
      <c r="F1035">
        <v>18.2</v>
      </c>
      <c r="G1035">
        <v>9.5</v>
      </c>
      <c r="H1035">
        <v>21.9</v>
      </c>
      <c r="I1035">
        <v>21.8</v>
      </c>
    </row>
    <row r="1036" spans="1:9" ht="24" customHeight="1">
      <c r="A1036" s="6" t="s">
        <v>2589</v>
      </c>
      <c r="B1036">
        <v>3386</v>
      </c>
      <c r="C1036">
        <v>651</v>
      </c>
      <c r="D1036">
        <v>736874</v>
      </c>
      <c r="E1036">
        <v>453935</v>
      </c>
      <c r="F1036">
        <v>16</v>
      </c>
      <c r="G1036">
        <v>12.1</v>
      </c>
      <c r="H1036">
        <v>27</v>
      </c>
      <c r="I1036">
        <v>26.6</v>
      </c>
    </row>
    <row r="1037" spans="1:9" ht="24" customHeight="1">
      <c r="A1037" s="6" t="s">
        <v>2590</v>
      </c>
      <c r="B1037">
        <v>2395</v>
      </c>
      <c r="C1037">
        <v>755</v>
      </c>
      <c r="D1037">
        <v>399407</v>
      </c>
      <c r="E1037">
        <v>381067</v>
      </c>
      <c r="F1037">
        <v>29.6</v>
      </c>
      <c r="G1037">
        <v>16.399999999999999</v>
      </c>
      <c r="H1037">
        <v>3.5</v>
      </c>
      <c r="I1037">
        <v>3.6</v>
      </c>
    </row>
    <row r="1038" spans="1:9" ht="24" customHeight="1">
      <c r="A1038" s="6" t="s">
        <v>545</v>
      </c>
      <c r="B1038">
        <v>7678</v>
      </c>
      <c r="C1038">
        <v>1199</v>
      </c>
      <c r="D1038">
        <v>693945</v>
      </c>
      <c r="E1038">
        <v>539956</v>
      </c>
      <c r="F1038">
        <v>18.8</v>
      </c>
      <c r="G1038">
        <v>13.2</v>
      </c>
      <c r="H1038">
        <v>33.9</v>
      </c>
      <c r="I1038">
        <v>34</v>
      </c>
    </row>
    <row r="1039" spans="1:9" ht="24" customHeight="1">
      <c r="A1039" s="6" t="s">
        <v>2591</v>
      </c>
      <c r="B1039">
        <v>6155</v>
      </c>
      <c r="C1039">
        <v>1242</v>
      </c>
      <c r="D1039">
        <v>480943</v>
      </c>
      <c r="E1039">
        <v>388120</v>
      </c>
      <c r="F1039">
        <v>29.7</v>
      </c>
      <c r="G1039">
        <v>17.600000000000001</v>
      </c>
      <c r="H1039">
        <v>7</v>
      </c>
      <c r="I1039">
        <v>6.7</v>
      </c>
    </row>
    <row r="1040" spans="1:9" ht="24" customHeight="1">
      <c r="A1040" s="6" t="s">
        <v>2592</v>
      </c>
      <c r="B1040">
        <v>164653</v>
      </c>
      <c r="C1040">
        <v>38698</v>
      </c>
      <c r="D1040">
        <v>389919</v>
      </c>
      <c r="E1040">
        <v>295358</v>
      </c>
      <c r="F1040">
        <v>10.8</v>
      </c>
      <c r="G1040">
        <v>4.5</v>
      </c>
      <c r="H1040">
        <v>12.8</v>
      </c>
      <c r="I1040">
        <v>10.7</v>
      </c>
    </row>
    <row r="1041" spans="1:9" ht="24" customHeight="1">
      <c r="A1041" s="6" t="s">
        <v>2593</v>
      </c>
      <c r="B1041">
        <v>9668</v>
      </c>
      <c r="C1041">
        <v>3628</v>
      </c>
      <c r="D1041">
        <v>249989</v>
      </c>
      <c r="E1041">
        <v>190079</v>
      </c>
      <c r="F1041">
        <v>7.6</v>
      </c>
      <c r="G1041">
        <v>1.7</v>
      </c>
      <c r="H1041">
        <v>0</v>
      </c>
      <c r="I1041">
        <v>0</v>
      </c>
    </row>
    <row r="1042" spans="1:9" ht="24" customHeight="1">
      <c r="A1042" s="6" t="s">
        <v>2594</v>
      </c>
      <c r="B1042">
        <v>15250</v>
      </c>
      <c r="C1042">
        <v>6087</v>
      </c>
      <c r="D1042">
        <v>327075</v>
      </c>
      <c r="E1042">
        <v>260896</v>
      </c>
      <c r="F1042">
        <v>12.2</v>
      </c>
      <c r="G1042">
        <v>5.4</v>
      </c>
      <c r="H1042">
        <v>1.5</v>
      </c>
      <c r="I1042">
        <v>1.5</v>
      </c>
    </row>
    <row r="1043" spans="1:9" ht="24" customHeight="1">
      <c r="A1043" s="6" t="s">
        <v>2595</v>
      </c>
      <c r="B1043">
        <v>22826</v>
      </c>
      <c r="C1043">
        <v>4705</v>
      </c>
      <c r="D1043">
        <v>397537</v>
      </c>
      <c r="E1043">
        <v>319218</v>
      </c>
      <c r="F1043">
        <v>10.8</v>
      </c>
      <c r="G1043">
        <v>3.4</v>
      </c>
      <c r="H1043">
        <v>11.8</v>
      </c>
      <c r="I1043">
        <v>11.4</v>
      </c>
    </row>
    <row r="1044" spans="1:9" ht="24" customHeight="1">
      <c r="A1044" s="6" t="s">
        <v>2596</v>
      </c>
      <c r="B1044">
        <v>19725</v>
      </c>
      <c r="C1044">
        <v>5549</v>
      </c>
      <c r="D1044">
        <v>409866</v>
      </c>
      <c r="E1044">
        <v>329044</v>
      </c>
      <c r="F1044">
        <v>13.3</v>
      </c>
      <c r="G1044">
        <v>4.7</v>
      </c>
      <c r="H1044">
        <v>16.899999999999999</v>
      </c>
      <c r="I1044">
        <v>16.899999999999999</v>
      </c>
    </row>
    <row r="1045" spans="1:9" ht="24" customHeight="1">
      <c r="A1045" s="6" t="s">
        <v>2597</v>
      </c>
      <c r="B1045">
        <v>16174</v>
      </c>
      <c r="C1045">
        <v>2504</v>
      </c>
      <c r="D1045">
        <v>452999</v>
      </c>
      <c r="E1045">
        <v>355027</v>
      </c>
      <c r="F1045">
        <v>13</v>
      </c>
      <c r="G1045">
        <v>3</v>
      </c>
      <c r="H1045">
        <v>21.6</v>
      </c>
      <c r="I1045">
        <v>21.5</v>
      </c>
    </row>
    <row r="1046" spans="1:9" ht="24" customHeight="1">
      <c r="A1046" s="6" t="s">
        <v>2598</v>
      </c>
      <c r="B1046">
        <v>10490</v>
      </c>
      <c r="C1046">
        <v>1891</v>
      </c>
      <c r="D1046">
        <v>451759</v>
      </c>
      <c r="E1046">
        <v>312239</v>
      </c>
      <c r="F1046">
        <v>7.3</v>
      </c>
      <c r="G1046">
        <v>4.9000000000000004</v>
      </c>
      <c r="H1046">
        <v>27.1</v>
      </c>
      <c r="I1046">
        <v>26.5</v>
      </c>
    </row>
    <row r="1047" spans="1:9" ht="24" customHeight="1">
      <c r="A1047" s="6" t="s">
        <v>2599</v>
      </c>
      <c r="B1047">
        <v>17311</v>
      </c>
      <c r="C1047">
        <v>5323</v>
      </c>
      <c r="D1047">
        <v>356640</v>
      </c>
      <c r="E1047">
        <v>269616</v>
      </c>
      <c r="F1047">
        <v>9.1999999999999993</v>
      </c>
      <c r="G1047">
        <v>6</v>
      </c>
      <c r="H1047">
        <v>3.5</v>
      </c>
      <c r="I1047">
        <v>3.5</v>
      </c>
    </row>
    <row r="1048" spans="1:9" ht="24" customHeight="1">
      <c r="A1048" s="6" t="s">
        <v>2600</v>
      </c>
      <c r="B1048">
        <v>15321</v>
      </c>
      <c r="C1048">
        <v>2924</v>
      </c>
      <c r="D1048">
        <v>432921</v>
      </c>
      <c r="E1048">
        <v>286535</v>
      </c>
      <c r="F1048">
        <v>6.6</v>
      </c>
      <c r="G1048">
        <v>2</v>
      </c>
      <c r="H1048">
        <v>36.299999999999997</v>
      </c>
      <c r="I1048">
        <v>32.1</v>
      </c>
    </row>
    <row r="1049" spans="1:9" ht="24" customHeight="1">
      <c r="A1049" s="6" t="s">
        <v>2601</v>
      </c>
      <c r="B1049">
        <v>39106</v>
      </c>
      <c r="C1049">
        <v>8306</v>
      </c>
      <c r="D1049">
        <v>384328</v>
      </c>
      <c r="E1049">
        <v>291159</v>
      </c>
      <c r="F1049">
        <v>12.1</v>
      </c>
      <c r="G1049">
        <v>4.7</v>
      </c>
      <c r="H1049">
        <v>6.7</v>
      </c>
      <c r="I1049">
        <v>6.7</v>
      </c>
    </row>
    <row r="1050" spans="1:9" ht="24" customHeight="1">
      <c r="A1050" s="6" t="s">
        <v>2602</v>
      </c>
      <c r="B1050">
        <v>70216</v>
      </c>
      <c r="C1050">
        <v>16248</v>
      </c>
      <c r="D1050">
        <v>445782</v>
      </c>
      <c r="E1050">
        <v>323212</v>
      </c>
      <c r="F1050">
        <v>12.6</v>
      </c>
      <c r="G1050">
        <v>7.9</v>
      </c>
      <c r="H1050">
        <v>15.1</v>
      </c>
      <c r="I1050">
        <v>10.3</v>
      </c>
    </row>
    <row r="1051" spans="1:9" ht="24" customHeight="1">
      <c r="A1051" s="6" t="s">
        <v>2603</v>
      </c>
      <c r="B1051">
        <v>2783</v>
      </c>
      <c r="C1051">
        <v>912</v>
      </c>
      <c r="D1051">
        <v>232976</v>
      </c>
      <c r="E1051">
        <v>229718</v>
      </c>
      <c r="F1051">
        <v>6.6</v>
      </c>
      <c r="G1051">
        <v>3</v>
      </c>
      <c r="H1051">
        <v>0</v>
      </c>
      <c r="I1051">
        <v>0</v>
      </c>
    </row>
    <row r="1052" spans="1:9" ht="24" customHeight="1">
      <c r="A1052" s="6" t="s">
        <v>2604</v>
      </c>
      <c r="B1052">
        <v>5277</v>
      </c>
      <c r="C1052">
        <v>2099</v>
      </c>
      <c r="D1052">
        <v>326305</v>
      </c>
      <c r="E1052">
        <v>283299</v>
      </c>
      <c r="F1052">
        <v>15.2</v>
      </c>
      <c r="G1052">
        <v>10.7</v>
      </c>
      <c r="H1052">
        <v>1.5</v>
      </c>
      <c r="I1052">
        <v>1.4</v>
      </c>
    </row>
    <row r="1053" spans="1:9" ht="24" customHeight="1">
      <c r="A1053" s="6" t="s">
        <v>2605</v>
      </c>
      <c r="B1053">
        <v>9412</v>
      </c>
      <c r="C1053">
        <v>2216</v>
      </c>
      <c r="D1053">
        <v>438852</v>
      </c>
      <c r="E1053">
        <v>357704</v>
      </c>
      <c r="F1053">
        <v>15.7</v>
      </c>
      <c r="G1053">
        <v>9.1</v>
      </c>
      <c r="H1053">
        <v>12.2</v>
      </c>
      <c r="I1053">
        <v>11.4</v>
      </c>
    </row>
    <row r="1054" spans="1:9" ht="24" customHeight="1">
      <c r="A1054" s="6" t="s">
        <v>2606</v>
      </c>
      <c r="B1054">
        <v>9646</v>
      </c>
      <c r="C1054">
        <v>1895</v>
      </c>
      <c r="D1054">
        <v>488500</v>
      </c>
      <c r="E1054">
        <v>348428</v>
      </c>
      <c r="F1054">
        <v>12.9</v>
      </c>
      <c r="G1054">
        <v>4</v>
      </c>
      <c r="H1054">
        <v>16.600000000000001</v>
      </c>
      <c r="I1054">
        <v>17</v>
      </c>
    </row>
    <row r="1055" spans="1:9" ht="24" customHeight="1">
      <c r="A1055" s="6" t="s">
        <v>2607</v>
      </c>
      <c r="B1055">
        <v>7042</v>
      </c>
      <c r="C1055">
        <v>1345</v>
      </c>
      <c r="D1055">
        <v>497906</v>
      </c>
      <c r="E1055">
        <v>393292</v>
      </c>
      <c r="F1055">
        <v>10.5</v>
      </c>
      <c r="G1055">
        <v>6</v>
      </c>
      <c r="H1055">
        <v>21.8</v>
      </c>
      <c r="I1055">
        <v>22.6</v>
      </c>
    </row>
    <row r="1056" spans="1:9" ht="24" customHeight="1">
      <c r="A1056" s="6" t="s">
        <v>2608</v>
      </c>
      <c r="B1056">
        <v>5737</v>
      </c>
      <c r="C1056">
        <v>1155</v>
      </c>
      <c r="D1056">
        <v>556531</v>
      </c>
      <c r="E1056">
        <v>404622</v>
      </c>
      <c r="F1056">
        <v>10.4</v>
      </c>
      <c r="G1056">
        <v>7</v>
      </c>
      <c r="H1056">
        <v>26.8</v>
      </c>
      <c r="I1056">
        <v>27</v>
      </c>
    </row>
    <row r="1057" spans="1:9" ht="24" customHeight="1">
      <c r="A1057" s="6" t="s">
        <v>2609</v>
      </c>
      <c r="B1057">
        <v>5794</v>
      </c>
      <c r="C1057">
        <v>3432</v>
      </c>
      <c r="D1057">
        <v>371462</v>
      </c>
      <c r="E1057">
        <v>283715</v>
      </c>
      <c r="F1057">
        <v>13.8</v>
      </c>
      <c r="G1057">
        <v>5.2</v>
      </c>
      <c r="H1057">
        <v>3.5</v>
      </c>
      <c r="I1057">
        <v>3.8</v>
      </c>
    </row>
    <row r="1058" spans="1:9" ht="24" customHeight="1">
      <c r="A1058" s="6" t="s">
        <v>2610</v>
      </c>
      <c r="B1058">
        <v>9815</v>
      </c>
      <c r="C1058">
        <v>508</v>
      </c>
      <c r="D1058">
        <v>566231</v>
      </c>
      <c r="E1058">
        <v>363981</v>
      </c>
      <c r="F1058">
        <v>7.5</v>
      </c>
      <c r="G1058">
        <v>8</v>
      </c>
      <c r="H1058">
        <v>35.4</v>
      </c>
      <c r="I1058">
        <v>34.1</v>
      </c>
    </row>
    <row r="1059" spans="1:9" ht="24" customHeight="1">
      <c r="A1059" s="6" t="s">
        <v>2611</v>
      </c>
      <c r="B1059">
        <v>14763</v>
      </c>
      <c r="C1059">
        <v>3587</v>
      </c>
      <c r="D1059">
        <v>386029</v>
      </c>
      <c r="E1059">
        <v>304572</v>
      </c>
      <c r="F1059">
        <v>15.6</v>
      </c>
      <c r="G1059">
        <v>11.1</v>
      </c>
      <c r="H1059">
        <v>6.8</v>
      </c>
      <c r="I1059">
        <v>6.8</v>
      </c>
    </row>
    <row r="1060" spans="1:9" ht="24" customHeight="1">
      <c r="A1060" s="6" t="s">
        <v>2612</v>
      </c>
      <c r="B1060">
        <v>42829</v>
      </c>
      <c r="C1060">
        <v>10673</v>
      </c>
      <c r="D1060">
        <v>512969</v>
      </c>
      <c r="E1060">
        <v>345052</v>
      </c>
      <c r="F1060">
        <v>18</v>
      </c>
      <c r="G1060">
        <v>10.5</v>
      </c>
      <c r="H1060">
        <v>15.2</v>
      </c>
      <c r="I1060">
        <v>10.5</v>
      </c>
    </row>
    <row r="1061" spans="1:9" ht="24" customHeight="1">
      <c r="A1061" s="6" t="s">
        <v>2613</v>
      </c>
      <c r="B1061">
        <v>1997</v>
      </c>
      <c r="C1061">
        <v>552</v>
      </c>
      <c r="D1061">
        <v>449475</v>
      </c>
      <c r="E1061">
        <v>236182</v>
      </c>
      <c r="F1061">
        <v>3.5</v>
      </c>
      <c r="G1061">
        <v>2.6</v>
      </c>
      <c r="H1061">
        <v>0</v>
      </c>
      <c r="I1061">
        <v>0</v>
      </c>
    </row>
    <row r="1062" spans="1:9" ht="24" customHeight="1">
      <c r="A1062" s="6" t="s">
        <v>2614</v>
      </c>
      <c r="B1062">
        <v>4493</v>
      </c>
      <c r="C1062">
        <v>1010</v>
      </c>
      <c r="D1062">
        <v>464897</v>
      </c>
      <c r="E1062">
        <v>297127</v>
      </c>
      <c r="F1062">
        <v>18.100000000000001</v>
      </c>
      <c r="G1062">
        <v>16.5</v>
      </c>
      <c r="H1062">
        <v>1.5</v>
      </c>
      <c r="I1062">
        <v>1.4</v>
      </c>
    </row>
    <row r="1063" spans="1:9" ht="24" customHeight="1">
      <c r="A1063" s="6" t="s">
        <v>2615</v>
      </c>
      <c r="B1063">
        <v>4473</v>
      </c>
      <c r="C1063">
        <v>692</v>
      </c>
      <c r="D1063">
        <v>506523</v>
      </c>
      <c r="E1063">
        <v>405837</v>
      </c>
      <c r="F1063">
        <v>21.6</v>
      </c>
      <c r="G1063">
        <v>12.9</v>
      </c>
      <c r="H1063">
        <v>12.2</v>
      </c>
      <c r="I1063">
        <v>12.3</v>
      </c>
    </row>
    <row r="1064" spans="1:9" ht="24" customHeight="1">
      <c r="A1064" s="6" t="s">
        <v>2616</v>
      </c>
      <c r="B1064">
        <v>6426</v>
      </c>
      <c r="C1064">
        <v>1114</v>
      </c>
      <c r="D1064">
        <v>529383</v>
      </c>
      <c r="E1064">
        <v>360531</v>
      </c>
      <c r="F1064">
        <v>22.3</v>
      </c>
      <c r="G1064">
        <v>7.1</v>
      </c>
      <c r="H1064">
        <v>16.600000000000001</v>
      </c>
      <c r="I1064">
        <v>16.5</v>
      </c>
    </row>
    <row r="1065" spans="1:9" ht="24" customHeight="1">
      <c r="A1065" s="6" t="s">
        <v>2617</v>
      </c>
      <c r="B1065">
        <v>2858</v>
      </c>
      <c r="C1065">
        <v>253</v>
      </c>
      <c r="D1065">
        <v>542659</v>
      </c>
      <c r="E1065">
        <v>317972</v>
      </c>
      <c r="F1065">
        <v>19.5</v>
      </c>
      <c r="G1065">
        <v>4.3</v>
      </c>
      <c r="H1065">
        <v>21.9</v>
      </c>
      <c r="I1065">
        <v>22</v>
      </c>
    </row>
    <row r="1066" spans="1:9" ht="24" customHeight="1">
      <c r="A1066" s="6" t="s">
        <v>2618</v>
      </c>
      <c r="B1066">
        <v>3511</v>
      </c>
      <c r="C1066">
        <v>575</v>
      </c>
      <c r="D1066">
        <v>590773</v>
      </c>
      <c r="E1066">
        <v>371446</v>
      </c>
      <c r="F1066">
        <v>15.7</v>
      </c>
      <c r="G1066">
        <v>2.5</v>
      </c>
      <c r="H1066">
        <v>26.7</v>
      </c>
      <c r="I1066">
        <v>27</v>
      </c>
    </row>
    <row r="1067" spans="1:9" ht="24" customHeight="1">
      <c r="A1067" s="6" t="s">
        <v>2619</v>
      </c>
      <c r="B1067">
        <v>3800</v>
      </c>
      <c r="C1067">
        <v>1116</v>
      </c>
      <c r="D1067">
        <v>455990</v>
      </c>
      <c r="E1067">
        <v>343020</v>
      </c>
      <c r="F1067">
        <v>22</v>
      </c>
      <c r="G1067">
        <v>19</v>
      </c>
      <c r="H1067">
        <v>3.5</v>
      </c>
      <c r="I1067">
        <v>3.5</v>
      </c>
    </row>
    <row r="1068" spans="1:9" ht="24" customHeight="1">
      <c r="A1068" s="6" t="s">
        <v>2620</v>
      </c>
      <c r="B1068">
        <v>7653</v>
      </c>
      <c r="C1068">
        <v>929</v>
      </c>
      <c r="D1068">
        <v>599765</v>
      </c>
      <c r="E1068">
        <v>403527</v>
      </c>
      <c r="F1068">
        <v>13.1</v>
      </c>
      <c r="G1068">
        <v>9.5</v>
      </c>
      <c r="H1068">
        <v>34.299999999999997</v>
      </c>
      <c r="I1068">
        <v>33.6</v>
      </c>
    </row>
    <row r="1069" spans="1:9" ht="24" customHeight="1">
      <c r="A1069" s="6" t="s">
        <v>2621</v>
      </c>
      <c r="B1069">
        <v>7644</v>
      </c>
      <c r="C1069">
        <v>4443</v>
      </c>
      <c r="D1069">
        <v>441799</v>
      </c>
      <c r="E1069">
        <v>342039</v>
      </c>
      <c r="F1069">
        <v>19.600000000000001</v>
      </c>
      <c r="G1069">
        <v>10.1</v>
      </c>
      <c r="H1069">
        <v>6.7</v>
      </c>
      <c r="I1069">
        <v>6.3</v>
      </c>
    </row>
    <row r="1070" spans="1:9" ht="24" customHeight="1">
      <c r="A1070" s="6" t="s">
        <v>546</v>
      </c>
      <c r="B1070">
        <v>211167</v>
      </c>
      <c r="C1070">
        <v>41543</v>
      </c>
      <c r="D1070">
        <v>530192</v>
      </c>
      <c r="E1070">
        <v>380168</v>
      </c>
      <c r="F1070">
        <v>15.2</v>
      </c>
      <c r="G1070">
        <v>9.8000000000000007</v>
      </c>
      <c r="H1070">
        <v>15.5</v>
      </c>
      <c r="I1070">
        <v>12.9</v>
      </c>
    </row>
    <row r="1071" spans="1:9" ht="24" customHeight="1">
      <c r="A1071" s="6" t="s">
        <v>547</v>
      </c>
      <c r="B1071">
        <v>73383</v>
      </c>
      <c r="C1071">
        <v>13381</v>
      </c>
      <c r="D1071">
        <v>663154</v>
      </c>
      <c r="E1071">
        <v>494212</v>
      </c>
      <c r="F1071">
        <v>15.1</v>
      </c>
      <c r="G1071">
        <v>9.1999999999999993</v>
      </c>
      <c r="H1071">
        <v>17.2</v>
      </c>
      <c r="I1071">
        <v>15.8</v>
      </c>
    </row>
    <row r="1072" spans="1:9" ht="24" customHeight="1">
      <c r="A1072" s="6" t="s">
        <v>548</v>
      </c>
      <c r="B1072">
        <v>2851</v>
      </c>
      <c r="C1072">
        <v>413</v>
      </c>
      <c r="D1072">
        <v>287015</v>
      </c>
      <c r="E1072">
        <v>219536</v>
      </c>
      <c r="F1072">
        <v>9.1</v>
      </c>
      <c r="G1072">
        <v>2</v>
      </c>
      <c r="H1072">
        <v>0</v>
      </c>
      <c r="I1072">
        <v>0</v>
      </c>
    </row>
    <row r="1073" spans="1:9" ht="24" customHeight="1">
      <c r="A1073" s="6" t="s">
        <v>2622</v>
      </c>
      <c r="B1073">
        <v>4256</v>
      </c>
      <c r="C1073">
        <v>865</v>
      </c>
      <c r="D1073">
        <v>418492</v>
      </c>
      <c r="E1073">
        <v>345064</v>
      </c>
      <c r="F1073">
        <v>19.7</v>
      </c>
      <c r="G1073">
        <v>12.1</v>
      </c>
      <c r="H1073">
        <v>1.4</v>
      </c>
      <c r="I1073">
        <v>1.3</v>
      </c>
    </row>
    <row r="1074" spans="1:9" ht="24" customHeight="1">
      <c r="A1074" s="6" t="s">
        <v>2623</v>
      </c>
      <c r="B1074">
        <v>10239</v>
      </c>
      <c r="C1074">
        <v>2039</v>
      </c>
      <c r="D1074">
        <v>615660</v>
      </c>
      <c r="E1074">
        <v>448600</v>
      </c>
      <c r="F1074">
        <v>17.3</v>
      </c>
      <c r="G1074">
        <v>6.3</v>
      </c>
      <c r="H1074">
        <v>12.4</v>
      </c>
      <c r="I1074">
        <v>11.9</v>
      </c>
    </row>
    <row r="1075" spans="1:9" ht="24" customHeight="1">
      <c r="A1075" s="6" t="s">
        <v>2624</v>
      </c>
      <c r="B1075">
        <v>11663</v>
      </c>
      <c r="C1075">
        <v>1971</v>
      </c>
      <c r="D1075">
        <v>687897</v>
      </c>
      <c r="E1075">
        <v>494179</v>
      </c>
      <c r="F1075">
        <v>16.899999999999999</v>
      </c>
      <c r="G1075">
        <v>5.5</v>
      </c>
      <c r="H1075">
        <v>16.399999999999999</v>
      </c>
      <c r="I1075">
        <v>17.3</v>
      </c>
    </row>
    <row r="1076" spans="1:9" ht="24" customHeight="1">
      <c r="A1076" s="6" t="s">
        <v>2625</v>
      </c>
      <c r="B1076">
        <v>5494</v>
      </c>
      <c r="C1076">
        <v>1064</v>
      </c>
      <c r="D1076">
        <v>855116</v>
      </c>
      <c r="E1076">
        <v>652324</v>
      </c>
      <c r="F1076">
        <v>10.7</v>
      </c>
      <c r="G1076">
        <v>6.4</v>
      </c>
      <c r="H1076">
        <v>22.1</v>
      </c>
      <c r="I1076">
        <v>22.4</v>
      </c>
    </row>
    <row r="1077" spans="1:9" ht="24" customHeight="1">
      <c r="A1077" s="6" t="s">
        <v>2626</v>
      </c>
      <c r="B1077">
        <v>6692</v>
      </c>
      <c r="C1077">
        <v>1498</v>
      </c>
      <c r="D1077">
        <v>840304</v>
      </c>
      <c r="E1077">
        <v>557841</v>
      </c>
      <c r="F1077">
        <v>13.3</v>
      </c>
      <c r="G1077">
        <v>6.2</v>
      </c>
      <c r="H1077">
        <v>27</v>
      </c>
      <c r="I1077">
        <v>27.1</v>
      </c>
    </row>
    <row r="1078" spans="1:9" ht="24" customHeight="1">
      <c r="A1078" s="6" t="s">
        <v>2627</v>
      </c>
      <c r="B1078">
        <v>6588</v>
      </c>
      <c r="C1078">
        <v>931</v>
      </c>
      <c r="D1078">
        <v>512996</v>
      </c>
      <c r="E1078">
        <v>413217</v>
      </c>
      <c r="F1078">
        <v>18.600000000000001</v>
      </c>
      <c r="G1078">
        <v>14</v>
      </c>
      <c r="H1078">
        <v>3.7</v>
      </c>
      <c r="I1078">
        <v>3.8</v>
      </c>
    </row>
    <row r="1079" spans="1:9" ht="24" customHeight="1">
      <c r="A1079" s="6" t="s">
        <v>549</v>
      </c>
      <c r="B1079">
        <v>16095</v>
      </c>
      <c r="C1079">
        <v>2121</v>
      </c>
      <c r="D1079">
        <v>809933</v>
      </c>
      <c r="E1079">
        <v>618187</v>
      </c>
      <c r="F1079">
        <v>9.1</v>
      </c>
      <c r="G1079">
        <v>9.1</v>
      </c>
      <c r="H1079">
        <v>34.1</v>
      </c>
      <c r="I1079">
        <v>33.6</v>
      </c>
    </row>
    <row r="1080" spans="1:9" ht="24" customHeight="1">
      <c r="A1080" s="6" t="s">
        <v>2628</v>
      </c>
      <c r="B1080">
        <v>9641</v>
      </c>
      <c r="C1080">
        <v>2873</v>
      </c>
      <c r="D1080">
        <v>526474</v>
      </c>
      <c r="E1080">
        <v>435936</v>
      </c>
      <c r="F1080">
        <v>21.3</v>
      </c>
      <c r="G1080">
        <v>14.1</v>
      </c>
      <c r="H1080">
        <v>6.7</v>
      </c>
      <c r="I1080">
        <v>6.6</v>
      </c>
    </row>
    <row r="1081" spans="1:9" ht="24" customHeight="1">
      <c r="A1081" s="6" t="s">
        <v>2629</v>
      </c>
      <c r="B1081">
        <v>51683</v>
      </c>
      <c r="C1081">
        <v>10387</v>
      </c>
      <c r="D1081">
        <v>409317</v>
      </c>
      <c r="E1081">
        <v>285644</v>
      </c>
      <c r="F1081">
        <v>14.2</v>
      </c>
      <c r="G1081">
        <v>7</v>
      </c>
      <c r="H1081">
        <v>12.8</v>
      </c>
      <c r="I1081">
        <v>10.199999999999999</v>
      </c>
    </row>
    <row r="1082" spans="1:9" ht="24" customHeight="1">
      <c r="A1082" s="6" t="s">
        <v>2630</v>
      </c>
      <c r="B1082">
        <v>2402</v>
      </c>
      <c r="C1082">
        <v>737</v>
      </c>
      <c r="D1082">
        <v>282636</v>
      </c>
      <c r="E1082">
        <v>188086</v>
      </c>
      <c r="F1082">
        <v>12.7</v>
      </c>
      <c r="G1082">
        <v>7.2</v>
      </c>
      <c r="H1082">
        <v>0</v>
      </c>
      <c r="I1082">
        <v>0</v>
      </c>
    </row>
    <row r="1083" spans="1:9" ht="24" customHeight="1">
      <c r="A1083" s="6" t="s">
        <v>2631</v>
      </c>
      <c r="B1083">
        <v>4631</v>
      </c>
      <c r="C1083">
        <v>1637</v>
      </c>
      <c r="D1083">
        <v>320145</v>
      </c>
      <c r="E1083">
        <v>219667</v>
      </c>
      <c r="F1083">
        <v>15.7</v>
      </c>
      <c r="G1083">
        <v>4.5999999999999996</v>
      </c>
      <c r="H1083">
        <v>1.5</v>
      </c>
      <c r="I1083">
        <v>1.5</v>
      </c>
    </row>
    <row r="1084" spans="1:9" ht="24" customHeight="1">
      <c r="A1084" s="6" t="s">
        <v>2632</v>
      </c>
      <c r="B1084">
        <v>8494</v>
      </c>
      <c r="C1084">
        <v>1666</v>
      </c>
      <c r="D1084">
        <v>429994</v>
      </c>
      <c r="E1084">
        <v>273158</v>
      </c>
      <c r="F1084">
        <v>15.2</v>
      </c>
      <c r="G1084">
        <v>6.1</v>
      </c>
      <c r="H1084">
        <v>11.6</v>
      </c>
      <c r="I1084">
        <v>11.5</v>
      </c>
    </row>
    <row r="1085" spans="1:9" ht="24" customHeight="1">
      <c r="A1085" s="6" t="s">
        <v>2633</v>
      </c>
      <c r="B1085">
        <v>7546</v>
      </c>
      <c r="C1085">
        <v>1302</v>
      </c>
      <c r="D1085">
        <v>463300</v>
      </c>
      <c r="E1085">
        <v>302349</v>
      </c>
      <c r="F1085">
        <v>12.4</v>
      </c>
      <c r="G1085">
        <v>3</v>
      </c>
      <c r="H1085">
        <v>16.600000000000001</v>
      </c>
      <c r="I1085">
        <v>16.600000000000001</v>
      </c>
    </row>
    <row r="1086" spans="1:9" ht="24" customHeight="1">
      <c r="A1086" s="6" t="s">
        <v>2634</v>
      </c>
      <c r="B1086">
        <v>5005</v>
      </c>
      <c r="C1086">
        <v>711</v>
      </c>
      <c r="D1086">
        <v>458932</v>
      </c>
      <c r="E1086">
        <v>350907</v>
      </c>
      <c r="F1086">
        <v>13</v>
      </c>
      <c r="G1086">
        <v>5.5</v>
      </c>
      <c r="H1086">
        <v>21.7</v>
      </c>
      <c r="I1086">
        <v>21.2</v>
      </c>
    </row>
    <row r="1087" spans="1:9" ht="24" customHeight="1">
      <c r="A1087" s="6" t="s">
        <v>2635</v>
      </c>
      <c r="B1087">
        <v>3365</v>
      </c>
      <c r="C1087">
        <v>707</v>
      </c>
      <c r="D1087">
        <v>505548</v>
      </c>
      <c r="E1087">
        <v>346354</v>
      </c>
      <c r="F1087">
        <v>11.9</v>
      </c>
      <c r="G1087">
        <v>3</v>
      </c>
      <c r="H1087">
        <v>27.1</v>
      </c>
      <c r="I1087">
        <v>26.8</v>
      </c>
    </row>
    <row r="1088" spans="1:9" ht="24" customHeight="1">
      <c r="A1088" s="6" t="s">
        <v>2636</v>
      </c>
      <c r="B1088">
        <v>5688</v>
      </c>
      <c r="C1088">
        <v>1404</v>
      </c>
      <c r="D1088">
        <v>345806</v>
      </c>
      <c r="E1088">
        <v>272928</v>
      </c>
      <c r="F1088">
        <v>12.9</v>
      </c>
      <c r="G1088">
        <v>10.1</v>
      </c>
      <c r="H1088">
        <v>3.6</v>
      </c>
      <c r="I1088">
        <v>3.4</v>
      </c>
    </row>
    <row r="1089" spans="1:9" ht="24" customHeight="1">
      <c r="A1089" s="6" t="s">
        <v>2637</v>
      </c>
      <c r="B1089">
        <v>4061</v>
      </c>
      <c r="C1089">
        <v>515</v>
      </c>
      <c r="D1089">
        <v>454362</v>
      </c>
      <c r="E1089">
        <v>297438</v>
      </c>
      <c r="F1089">
        <v>10.7</v>
      </c>
      <c r="G1089">
        <v>6.9</v>
      </c>
      <c r="H1089">
        <v>35</v>
      </c>
      <c r="I1089">
        <v>35.700000000000003</v>
      </c>
    </row>
    <row r="1090" spans="1:9" ht="24" customHeight="1">
      <c r="A1090" s="6" t="s">
        <v>2638</v>
      </c>
      <c r="B1090">
        <v>10691</v>
      </c>
      <c r="C1090">
        <v>2914</v>
      </c>
      <c r="D1090">
        <v>382469</v>
      </c>
      <c r="E1090">
        <v>274498</v>
      </c>
      <c r="F1090">
        <v>17.7</v>
      </c>
      <c r="G1090">
        <v>7.9</v>
      </c>
      <c r="H1090">
        <v>7</v>
      </c>
      <c r="I1090">
        <v>6.6</v>
      </c>
    </row>
    <row r="1091" spans="1:9" ht="24" customHeight="1">
      <c r="A1091" s="6" t="s">
        <v>2639</v>
      </c>
      <c r="B1091">
        <v>46480</v>
      </c>
      <c r="C1091">
        <v>11856</v>
      </c>
      <c r="D1091">
        <v>439022</v>
      </c>
      <c r="E1091">
        <v>325646</v>
      </c>
      <c r="F1091">
        <v>15.6</v>
      </c>
      <c r="G1091">
        <v>13.6</v>
      </c>
      <c r="H1091">
        <v>15.5</v>
      </c>
      <c r="I1091">
        <v>11.8</v>
      </c>
    </row>
    <row r="1092" spans="1:9" ht="24" customHeight="1">
      <c r="A1092" s="6" t="s">
        <v>2640</v>
      </c>
      <c r="B1092">
        <v>2654</v>
      </c>
      <c r="C1092">
        <v>839</v>
      </c>
      <c r="D1092">
        <v>256916</v>
      </c>
      <c r="E1092">
        <v>222234</v>
      </c>
      <c r="F1092">
        <v>10.9</v>
      </c>
      <c r="G1092">
        <v>16.399999999999999</v>
      </c>
      <c r="H1092">
        <v>0</v>
      </c>
      <c r="I1092">
        <v>0</v>
      </c>
    </row>
    <row r="1093" spans="1:9" ht="24" customHeight="1">
      <c r="A1093" s="6" t="s">
        <v>2641</v>
      </c>
      <c r="B1093">
        <v>3638</v>
      </c>
      <c r="C1093">
        <v>1195</v>
      </c>
      <c r="D1093">
        <v>331990</v>
      </c>
      <c r="E1093">
        <v>266574</v>
      </c>
      <c r="F1093">
        <v>15.7</v>
      </c>
      <c r="G1093">
        <v>15.5</v>
      </c>
      <c r="H1093">
        <v>1.5</v>
      </c>
      <c r="I1093">
        <v>1.5</v>
      </c>
    </row>
    <row r="1094" spans="1:9" ht="24" customHeight="1">
      <c r="A1094" s="6" t="s">
        <v>2642</v>
      </c>
      <c r="B1094">
        <v>6106</v>
      </c>
      <c r="C1094">
        <v>2056</v>
      </c>
      <c r="D1094">
        <v>437712</v>
      </c>
      <c r="E1094">
        <v>359531</v>
      </c>
      <c r="F1094">
        <v>16.899999999999999</v>
      </c>
      <c r="G1094">
        <v>12.2</v>
      </c>
      <c r="H1094">
        <v>12</v>
      </c>
      <c r="I1094">
        <v>11.8</v>
      </c>
    </row>
    <row r="1095" spans="1:9" ht="24" customHeight="1">
      <c r="A1095" s="6" t="s">
        <v>2643</v>
      </c>
      <c r="B1095">
        <v>7496</v>
      </c>
      <c r="C1095">
        <v>1676</v>
      </c>
      <c r="D1095">
        <v>449638</v>
      </c>
      <c r="E1095">
        <v>329448</v>
      </c>
      <c r="F1095">
        <v>17.3</v>
      </c>
      <c r="G1095">
        <v>7.5</v>
      </c>
      <c r="H1095">
        <v>16.5</v>
      </c>
      <c r="I1095">
        <v>16.7</v>
      </c>
    </row>
    <row r="1096" spans="1:9" ht="24" customHeight="1">
      <c r="A1096" s="6" t="s">
        <v>2644</v>
      </c>
      <c r="B1096">
        <v>3998</v>
      </c>
      <c r="C1096">
        <v>1270</v>
      </c>
      <c r="D1096">
        <v>494999</v>
      </c>
      <c r="E1096">
        <v>355356</v>
      </c>
      <c r="F1096">
        <v>15.4</v>
      </c>
      <c r="G1096">
        <v>11.6</v>
      </c>
      <c r="H1096">
        <v>22</v>
      </c>
      <c r="I1096">
        <v>22.3</v>
      </c>
    </row>
    <row r="1097" spans="1:9" ht="24" customHeight="1">
      <c r="A1097" s="6" t="s">
        <v>2645</v>
      </c>
      <c r="B1097">
        <v>4372</v>
      </c>
      <c r="C1097">
        <v>799</v>
      </c>
      <c r="D1097">
        <v>537228</v>
      </c>
      <c r="E1097">
        <v>354689</v>
      </c>
      <c r="F1097">
        <v>10.3</v>
      </c>
      <c r="G1097">
        <v>12.9</v>
      </c>
      <c r="H1097">
        <v>27.3</v>
      </c>
      <c r="I1097">
        <v>26.4</v>
      </c>
    </row>
    <row r="1098" spans="1:9" ht="24" customHeight="1">
      <c r="A1098" s="6" t="s">
        <v>2646</v>
      </c>
      <c r="B1098">
        <v>3755</v>
      </c>
      <c r="C1098">
        <v>980</v>
      </c>
      <c r="D1098">
        <v>378786</v>
      </c>
      <c r="E1098">
        <v>291590</v>
      </c>
      <c r="F1098">
        <v>23.4</v>
      </c>
      <c r="G1098">
        <v>15.2</v>
      </c>
      <c r="H1098">
        <v>3.5</v>
      </c>
      <c r="I1098">
        <v>3.3</v>
      </c>
    </row>
    <row r="1099" spans="1:9" ht="24" customHeight="1">
      <c r="A1099" s="6" t="s">
        <v>2647</v>
      </c>
      <c r="B1099">
        <v>7304</v>
      </c>
      <c r="C1099">
        <v>464</v>
      </c>
      <c r="D1099">
        <v>550957</v>
      </c>
      <c r="E1099">
        <v>412167</v>
      </c>
      <c r="F1099">
        <v>12.8</v>
      </c>
      <c r="G1099">
        <v>11</v>
      </c>
      <c r="H1099">
        <v>34.200000000000003</v>
      </c>
      <c r="I1099">
        <v>33.9</v>
      </c>
    </row>
    <row r="1100" spans="1:9" ht="24" customHeight="1">
      <c r="A1100" s="6" t="s">
        <v>2648</v>
      </c>
      <c r="B1100">
        <v>7161</v>
      </c>
      <c r="C1100">
        <v>2658</v>
      </c>
      <c r="D1100">
        <v>376955</v>
      </c>
      <c r="E1100">
        <v>326532</v>
      </c>
      <c r="F1100">
        <v>16.600000000000001</v>
      </c>
      <c r="G1100">
        <v>17.399999999999999</v>
      </c>
      <c r="H1100">
        <v>6.7</v>
      </c>
      <c r="I1100">
        <v>7</v>
      </c>
    </row>
    <row r="1101" spans="1:9" ht="24" customHeight="1">
      <c r="A1101" s="6" t="s">
        <v>2649</v>
      </c>
      <c r="B1101">
        <v>39621</v>
      </c>
      <c r="C1101">
        <v>5919</v>
      </c>
      <c r="D1101">
        <v>548561</v>
      </c>
      <c r="E1101">
        <v>397428</v>
      </c>
      <c r="F1101">
        <v>16.2</v>
      </c>
      <c r="G1101">
        <v>8.6</v>
      </c>
      <c r="H1101">
        <v>15.7</v>
      </c>
      <c r="I1101">
        <v>13.4</v>
      </c>
    </row>
    <row r="1102" spans="1:9" ht="24" customHeight="1">
      <c r="A1102" s="6" t="s">
        <v>2650</v>
      </c>
      <c r="B1102">
        <v>2256</v>
      </c>
      <c r="C1102">
        <v>341</v>
      </c>
      <c r="D1102">
        <v>321418</v>
      </c>
      <c r="E1102">
        <v>234693</v>
      </c>
      <c r="F1102">
        <v>13.7</v>
      </c>
      <c r="G1102">
        <v>5.4</v>
      </c>
      <c r="H1102">
        <v>0</v>
      </c>
      <c r="I1102">
        <v>0</v>
      </c>
    </row>
    <row r="1103" spans="1:9" ht="24" customHeight="1">
      <c r="A1103" s="6" t="s">
        <v>2651</v>
      </c>
      <c r="B1103">
        <v>3267</v>
      </c>
      <c r="C1103">
        <v>681</v>
      </c>
      <c r="D1103">
        <v>369046</v>
      </c>
      <c r="E1103">
        <v>302988</v>
      </c>
      <c r="F1103">
        <v>20.6</v>
      </c>
      <c r="G1103">
        <v>9.9</v>
      </c>
      <c r="H1103">
        <v>1.4</v>
      </c>
      <c r="I1103">
        <v>1.3</v>
      </c>
    </row>
    <row r="1104" spans="1:9" ht="24" customHeight="1">
      <c r="A1104" s="6" t="s">
        <v>2652</v>
      </c>
      <c r="B1104">
        <v>4789</v>
      </c>
      <c r="C1104">
        <v>660</v>
      </c>
      <c r="D1104">
        <v>523766</v>
      </c>
      <c r="E1104">
        <v>364283</v>
      </c>
      <c r="F1104">
        <v>20</v>
      </c>
      <c r="G1104">
        <v>4.9000000000000004</v>
      </c>
      <c r="H1104">
        <v>12</v>
      </c>
      <c r="I1104">
        <v>12</v>
      </c>
    </row>
    <row r="1105" spans="1:9" ht="24" customHeight="1">
      <c r="A1105" s="6" t="s">
        <v>2653</v>
      </c>
      <c r="B1105">
        <v>5392</v>
      </c>
      <c r="C1105">
        <v>798</v>
      </c>
      <c r="D1105">
        <v>571269</v>
      </c>
      <c r="E1105">
        <v>427849</v>
      </c>
      <c r="F1105">
        <v>15.4</v>
      </c>
      <c r="G1105">
        <v>10.1</v>
      </c>
      <c r="H1105">
        <v>16.600000000000001</v>
      </c>
      <c r="I1105">
        <v>16.8</v>
      </c>
    </row>
    <row r="1106" spans="1:9" ht="24" customHeight="1">
      <c r="A1106" s="6" t="s">
        <v>2654</v>
      </c>
      <c r="B1106">
        <v>2525</v>
      </c>
      <c r="C1106">
        <v>563</v>
      </c>
      <c r="D1106">
        <v>637347</v>
      </c>
      <c r="E1106">
        <v>462914</v>
      </c>
      <c r="F1106">
        <v>15.9</v>
      </c>
      <c r="G1106">
        <v>14.5</v>
      </c>
      <c r="H1106">
        <v>22.1</v>
      </c>
      <c r="I1106">
        <v>22</v>
      </c>
    </row>
    <row r="1107" spans="1:9" ht="24" customHeight="1">
      <c r="A1107" s="6" t="s">
        <v>2655</v>
      </c>
      <c r="B1107">
        <v>3408</v>
      </c>
      <c r="C1107">
        <v>534</v>
      </c>
      <c r="D1107">
        <v>676496</v>
      </c>
      <c r="E1107">
        <v>473110</v>
      </c>
      <c r="F1107">
        <v>10.9</v>
      </c>
      <c r="G1107">
        <v>5.6</v>
      </c>
      <c r="H1107">
        <v>27.1</v>
      </c>
      <c r="I1107">
        <v>27.1</v>
      </c>
    </row>
    <row r="1108" spans="1:9" ht="24" customHeight="1">
      <c r="A1108" s="6" t="s">
        <v>2656</v>
      </c>
      <c r="B1108">
        <v>4175</v>
      </c>
      <c r="C1108">
        <v>631</v>
      </c>
      <c r="D1108">
        <v>452300</v>
      </c>
      <c r="E1108">
        <v>406042</v>
      </c>
      <c r="F1108">
        <v>21.2</v>
      </c>
      <c r="G1108">
        <v>15.4</v>
      </c>
      <c r="H1108">
        <v>3.6</v>
      </c>
      <c r="I1108">
        <v>3.6</v>
      </c>
    </row>
    <row r="1109" spans="1:9" ht="24" customHeight="1">
      <c r="A1109" s="6" t="s">
        <v>2657</v>
      </c>
      <c r="B1109">
        <v>7870</v>
      </c>
      <c r="C1109">
        <v>692</v>
      </c>
      <c r="D1109">
        <v>683155</v>
      </c>
      <c r="E1109">
        <v>500085</v>
      </c>
      <c r="F1109">
        <v>9.4</v>
      </c>
      <c r="G1109">
        <v>5.3</v>
      </c>
      <c r="H1109">
        <v>34</v>
      </c>
      <c r="I1109">
        <v>33.299999999999997</v>
      </c>
    </row>
    <row r="1110" spans="1:9" ht="24" customHeight="1">
      <c r="A1110" s="6" t="s">
        <v>2658</v>
      </c>
      <c r="B1110">
        <v>5993</v>
      </c>
      <c r="C1110">
        <v>1215</v>
      </c>
      <c r="D1110">
        <v>510876</v>
      </c>
      <c r="E1110">
        <v>359339</v>
      </c>
      <c r="F1110">
        <v>20.9</v>
      </c>
      <c r="G1110">
        <v>5.9</v>
      </c>
      <c r="H1110">
        <v>6.5</v>
      </c>
      <c r="I1110">
        <v>6.3</v>
      </c>
    </row>
    <row r="1111" spans="1:9" ht="24" customHeight="1">
      <c r="A1111" s="6" t="s">
        <v>550</v>
      </c>
      <c r="B1111">
        <v>373508</v>
      </c>
      <c r="C1111">
        <v>68752</v>
      </c>
      <c r="D1111">
        <v>509719</v>
      </c>
      <c r="E1111">
        <v>370985</v>
      </c>
      <c r="F1111">
        <v>15.7</v>
      </c>
      <c r="G1111">
        <v>8.9</v>
      </c>
      <c r="H1111">
        <v>15.4</v>
      </c>
      <c r="I1111">
        <v>11.6</v>
      </c>
    </row>
    <row r="1112" spans="1:9" ht="24" customHeight="1">
      <c r="A1112" s="6" t="s">
        <v>551</v>
      </c>
      <c r="B1112">
        <v>82084</v>
      </c>
      <c r="C1112">
        <v>11582</v>
      </c>
      <c r="D1112">
        <v>686302</v>
      </c>
      <c r="E1112">
        <v>491575</v>
      </c>
      <c r="F1112">
        <v>16.600000000000001</v>
      </c>
      <c r="G1112">
        <v>12.5</v>
      </c>
      <c r="H1112">
        <v>17</v>
      </c>
      <c r="I1112">
        <v>13.8</v>
      </c>
    </row>
    <row r="1113" spans="1:9" ht="24" customHeight="1">
      <c r="A1113" s="6" t="s">
        <v>552</v>
      </c>
      <c r="B1113">
        <v>3170</v>
      </c>
      <c r="C1113">
        <v>968</v>
      </c>
      <c r="D1113">
        <v>374527</v>
      </c>
      <c r="E1113">
        <v>294740</v>
      </c>
      <c r="F1113">
        <v>13.6</v>
      </c>
      <c r="G1113">
        <v>18.3</v>
      </c>
      <c r="H1113">
        <v>0</v>
      </c>
      <c r="I1113">
        <v>0</v>
      </c>
    </row>
    <row r="1114" spans="1:9" ht="24" customHeight="1">
      <c r="A1114" s="6" t="s">
        <v>2659</v>
      </c>
      <c r="B1114">
        <v>6818</v>
      </c>
      <c r="C1114">
        <v>1725</v>
      </c>
      <c r="D1114">
        <v>448187</v>
      </c>
      <c r="E1114">
        <v>380135</v>
      </c>
      <c r="F1114">
        <v>22.6</v>
      </c>
      <c r="G1114">
        <v>16.3</v>
      </c>
      <c r="H1114">
        <v>1.5</v>
      </c>
      <c r="I1114">
        <v>1.3</v>
      </c>
    </row>
    <row r="1115" spans="1:9" ht="24" customHeight="1">
      <c r="A1115" s="6" t="s">
        <v>2660</v>
      </c>
      <c r="B1115">
        <v>10034</v>
      </c>
      <c r="C1115">
        <v>1606</v>
      </c>
      <c r="D1115">
        <v>670037</v>
      </c>
      <c r="E1115">
        <v>507326</v>
      </c>
      <c r="F1115">
        <v>18.600000000000001</v>
      </c>
      <c r="G1115">
        <v>8</v>
      </c>
      <c r="H1115">
        <v>12</v>
      </c>
      <c r="I1115">
        <v>12.3</v>
      </c>
    </row>
    <row r="1116" spans="1:9" ht="24" customHeight="1">
      <c r="A1116" s="6" t="s">
        <v>2661</v>
      </c>
      <c r="B1116">
        <v>14087</v>
      </c>
      <c r="C1116">
        <v>945</v>
      </c>
      <c r="D1116">
        <v>693118</v>
      </c>
      <c r="E1116">
        <v>553848</v>
      </c>
      <c r="F1116">
        <v>16.600000000000001</v>
      </c>
      <c r="G1116">
        <v>10.3</v>
      </c>
      <c r="H1116">
        <v>16.5</v>
      </c>
      <c r="I1116">
        <v>16.3</v>
      </c>
    </row>
    <row r="1117" spans="1:9" ht="24" customHeight="1">
      <c r="A1117" s="6" t="s">
        <v>2662</v>
      </c>
      <c r="B1117">
        <v>5488</v>
      </c>
      <c r="C1117">
        <v>678</v>
      </c>
      <c r="D1117">
        <v>772305</v>
      </c>
      <c r="E1117">
        <v>711802</v>
      </c>
      <c r="F1117">
        <v>18.100000000000001</v>
      </c>
      <c r="G1117">
        <v>12.9</v>
      </c>
      <c r="H1117">
        <v>22.1</v>
      </c>
      <c r="I1117">
        <v>21.6</v>
      </c>
    </row>
    <row r="1118" spans="1:9" ht="24" customHeight="1">
      <c r="A1118" s="6" t="s">
        <v>2663</v>
      </c>
      <c r="B1118">
        <v>8675</v>
      </c>
      <c r="C1118">
        <v>1028</v>
      </c>
      <c r="D1118">
        <v>869043</v>
      </c>
      <c r="E1118">
        <v>617656</v>
      </c>
      <c r="F1118">
        <v>16.899999999999999</v>
      </c>
      <c r="G1118">
        <v>20.100000000000001</v>
      </c>
      <c r="H1118">
        <v>26.9</v>
      </c>
      <c r="I1118">
        <v>26.3</v>
      </c>
    </row>
    <row r="1119" spans="1:9" ht="24" customHeight="1">
      <c r="A1119" s="6" t="s">
        <v>2664</v>
      </c>
      <c r="B1119">
        <v>6109</v>
      </c>
      <c r="C1119">
        <v>1178</v>
      </c>
      <c r="D1119">
        <v>569743</v>
      </c>
      <c r="E1119">
        <v>455272</v>
      </c>
      <c r="F1119">
        <v>18.8</v>
      </c>
      <c r="G1119">
        <v>10.1</v>
      </c>
      <c r="H1119">
        <v>3.6</v>
      </c>
      <c r="I1119">
        <v>3.6</v>
      </c>
    </row>
    <row r="1120" spans="1:9" ht="24" customHeight="1">
      <c r="A1120" s="6" t="s">
        <v>553</v>
      </c>
      <c r="B1120">
        <v>16576</v>
      </c>
      <c r="C1120">
        <v>1963</v>
      </c>
      <c r="D1120">
        <v>830136</v>
      </c>
      <c r="E1120">
        <v>566219</v>
      </c>
      <c r="F1120">
        <v>9.3000000000000007</v>
      </c>
      <c r="G1120">
        <v>8.5</v>
      </c>
      <c r="H1120">
        <v>34.6</v>
      </c>
      <c r="I1120">
        <v>35.5</v>
      </c>
    </row>
    <row r="1121" spans="1:9" ht="24" customHeight="1">
      <c r="A1121" s="6" t="s">
        <v>2665</v>
      </c>
      <c r="B1121">
        <v>11161</v>
      </c>
      <c r="C1121">
        <v>1926</v>
      </c>
      <c r="D1121">
        <v>591711</v>
      </c>
      <c r="E1121">
        <v>433469</v>
      </c>
      <c r="F1121">
        <v>20.8</v>
      </c>
      <c r="G1121">
        <v>10.199999999999999</v>
      </c>
      <c r="H1121">
        <v>7.2</v>
      </c>
      <c r="I1121">
        <v>6.6</v>
      </c>
    </row>
    <row r="1122" spans="1:9" ht="24" customHeight="1">
      <c r="A1122" s="6" t="s">
        <v>2666</v>
      </c>
      <c r="B1122">
        <v>153985</v>
      </c>
      <c r="C1122">
        <v>27765</v>
      </c>
      <c r="D1122">
        <v>422086</v>
      </c>
      <c r="E1122">
        <v>302337</v>
      </c>
      <c r="F1122">
        <v>14</v>
      </c>
      <c r="G1122">
        <v>7.6</v>
      </c>
      <c r="H1122">
        <v>14</v>
      </c>
      <c r="I1122">
        <v>9.9</v>
      </c>
    </row>
    <row r="1123" spans="1:9" ht="24" customHeight="1">
      <c r="A1123" s="6" t="s">
        <v>2667</v>
      </c>
      <c r="B1123">
        <v>10135</v>
      </c>
      <c r="C1123">
        <v>2939</v>
      </c>
      <c r="D1123">
        <v>271978</v>
      </c>
      <c r="E1123">
        <v>217987</v>
      </c>
      <c r="F1123">
        <v>11.7</v>
      </c>
      <c r="G1123">
        <v>5</v>
      </c>
      <c r="H1123">
        <v>0</v>
      </c>
      <c r="I1123">
        <v>0</v>
      </c>
    </row>
    <row r="1124" spans="1:9" ht="24" customHeight="1">
      <c r="A1124" s="6" t="s">
        <v>2668</v>
      </c>
      <c r="B1124">
        <v>14707</v>
      </c>
      <c r="C1124">
        <v>3441</v>
      </c>
      <c r="D1124">
        <v>334055</v>
      </c>
      <c r="E1124">
        <v>251587</v>
      </c>
      <c r="F1124">
        <v>14.6</v>
      </c>
      <c r="G1124">
        <v>5.2</v>
      </c>
      <c r="H1124">
        <v>1.4</v>
      </c>
      <c r="I1124">
        <v>1.4</v>
      </c>
    </row>
    <row r="1125" spans="1:9" ht="24" customHeight="1">
      <c r="A1125" s="6" t="s">
        <v>2669</v>
      </c>
      <c r="B1125">
        <v>16452</v>
      </c>
      <c r="C1125">
        <v>3542</v>
      </c>
      <c r="D1125">
        <v>435592</v>
      </c>
      <c r="E1125">
        <v>340998</v>
      </c>
      <c r="F1125">
        <v>15.8</v>
      </c>
      <c r="G1125">
        <v>12</v>
      </c>
      <c r="H1125">
        <v>11.9</v>
      </c>
      <c r="I1125">
        <v>11.4</v>
      </c>
    </row>
    <row r="1126" spans="1:9" ht="24" customHeight="1">
      <c r="A1126" s="6" t="s">
        <v>2670</v>
      </c>
      <c r="B1126">
        <v>19493</v>
      </c>
      <c r="C1126">
        <v>3318</v>
      </c>
      <c r="D1126">
        <v>454528</v>
      </c>
      <c r="E1126">
        <v>340393</v>
      </c>
      <c r="F1126">
        <v>15.1</v>
      </c>
      <c r="G1126">
        <v>8.6</v>
      </c>
      <c r="H1126">
        <v>17</v>
      </c>
      <c r="I1126">
        <v>17.3</v>
      </c>
    </row>
    <row r="1127" spans="1:9" ht="24" customHeight="1">
      <c r="A1127" s="6" t="s">
        <v>2671</v>
      </c>
      <c r="B1127">
        <v>20067</v>
      </c>
      <c r="C1127">
        <v>1398</v>
      </c>
      <c r="D1127">
        <v>518463</v>
      </c>
      <c r="E1127">
        <v>335811</v>
      </c>
      <c r="F1127">
        <v>13.1</v>
      </c>
      <c r="G1127">
        <v>5.8</v>
      </c>
      <c r="H1127">
        <v>21.6</v>
      </c>
      <c r="I1127">
        <v>21.2</v>
      </c>
    </row>
    <row r="1128" spans="1:9" ht="24" customHeight="1">
      <c r="A1128" s="6" t="s">
        <v>2672</v>
      </c>
      <c r="B1128">
        <v>12745</v>
      </c>
      <c r="C1128">
        <v>829</v>
      </c>
      <c r="D1128">
        <v>508759</v>
      </c>
      <c r="E1128">
        <v>326756</v>
      </c>
      <c r="F1128">
        <v>14.7</v>
      </c>
      <c r="G1128">
        <v>1.4</v>
      </c>
      <c r="H1128">
        <v>26.9</v>
      </c>
      <c r="I1128">
        <v>27</v>
      </c>
    </row>
    <row r="1129" spans="1:9" ht="24" customHeight="1">
      <c r="A1129" s="6" t="s">
        <v>2673</v>
      </c>
      <c r="B1129">
        <v>13134</v>
      </c>
      <c r="C1129">
        <v>4138</v>
      </c>
      <c r="D1129">
        <v>356504</v>
      </c>
      <c r="E1129">
        <v>289654</v>
      </c>
      <c r="F1129">
        <v>16.100000000000001</v>
      </c>
      <c r="G1129">
        <v>7.6</v>
      </c>
      <c r="H1129">
        <v>3.5</v>
      </c>
      <c r="I1129">
        <v>3.6</v>
      </c>
    </row>
    <row r="1130" spans="1:9" ht="24" customHeight="1">
      <c r="A1130" s="6" t="s">
        <v>2674</v>
      </c>
      <c r="B1130">
        <v>15930</v>
      </c>
      <c r="C1130">
        <v>1998</v>
      </c>
      <c r="D1130">
        <v>468105</v>
      </c>
      <c r="E1130">
        <v>306359</v>
      </c>
      <c r="F1130">
        <v>7.7</v>
      </c>
      <c r="G1130">
        <v>3.6</v>
      </c>
      <c r="H1130">
        <v>36</v>
      </c>
      <c r="I1130">
        <v>33.700000000000003</v>
      </c>
    </row>
    <row r="1131" spans="1:9" ht="24" customHeight="1">
      <c r="A1131" s="6" t="s">
        <v>2675</v>
      </c>
      <c r="B1131">
        <v>31789</v>
      </c>
      <c r="C1131">
        <v>7067</v>
      </c>
      <c r="D1131">
        <v>388584</v>
      </c>
      <c r="E1131">
        <v>304214</v>
      </c>
      <c r="F1131">
        <v>15.3</v>
      </c>
      <c r="G1131">
        <v>8.3000000000000007</v>
      </c>
      <c r="H1131">
        <v>6.9</v>
      </c>
      <c r="I1131">
        <v>6.4</v>
      </c>
    </row>
    <row r="1132" spans="1:9" ht="24" customHeight="1">
      <c r="A1132" s="6" t="s">
        <v>2676</v>
      </c>
      <c r="B1132">
        <v>72710</v>
      </c>
      <c r="C1132">
        <v>16045</v>
      </c>
      <c r="D1132">
        <v>479932</v>
      </c>
      <c r="E1132">
        <v>382277</v>
      </c>
      <c r="F1132">
        <v>16.399999999999999</v>
      </c>
      <c r="G1132">
        <v>8.3000000000000007</v>
      </c>
      <c r="H1132">
        <v>15.7</v>
      </c>
      <c r="I1132">
        <v>13.1</v>
      </c>
    </row>
    <row r="1133" spans="1:9" ht="24" customHeight="1">
      <c r="A1133" s="6" t="s">
        <v>2677</v>
      </c>
      <c r="B1133">
        <v>3636</v>
      </c>
      <c r="C1133">
        <v>728</v>
      </c>
      <c r="D1133">
        <v>251303</v>
      </c>
      <c r="E1133">
        <v>228551</v>
      </c>
      <c r="F1133">
        <v>7.5</v>
      </c>
      <c r="G1133">
        <v>3.5</v>
      </c>
      <c r="H1133">
        <v>0</v>
      </c>
      <c r="I1133">
        <v>0</v>
      </c>
    </row>
    <row r="1134" spans="1:9" ht="24" customHeight="1">
      <c r="A1134" s="6" t="s">
        <v>2678</v>
      </c>
      <c r="B1134">
        <v>4796</v>
      </c>
      <c r="C1134">
        <v>1323</v>
      </c>
      <c r="D1134">
        <v>333257</v>
      </c>
      <c r="E1134">
        <v>283332</v>
      </c>
      <c r="F1134">
        <v>18.899999999999999</v>
      </c>
      <c r="G1134">
        <v>6.8</v>
      </c>
      <c r="H1134">
        <v>1.5</v>
      </c>
      <c r="I1134">
        <v>1.3</v>
      </c>
    </row>
    <row r="1135" spans="1:9" ht="24" customHeight="1">
      <c r="A1135" s="6" t="s">
        <v>2679</v>
      </c>
      <c r="B1135">
        <v>9963</v>
      </c>
      <c r="C1135">
        <v>2169</v>
      </c>
      <c r="D1135">
        <v>452479</v>
      </c>
      <c r="E1135">
        <v>396861</v>
      </c>
      <c r="F1135">
        <v>16.8</v>
      </c>
      <c r="G1135">
        <v>8</v>
      </c>
      <c r="H1135">
        <v>11.9</v>
      </c>
      <c r="I1135">
        <v>11.6</v>
      </c>
    </row>
    <row r="1136" spans="1:9" ht="24" customHeight="1">
      <c r="A1136" s="6" t="s">
        <v>2680</v>
      </c>
      <c r="B1136">
        <v>12461</v>
      </c>
      <c r="C1136">
        <v>2113</v>
      </c>
      <c r="D1136">
        <v>518026</v>
      </c>
      <c r="E1136">
        <v>393708</v>
      </c>
      <c r="F1136">
        <v>20.100000000000001</v>
      </c>
      <c r="G1136">
        <v>10.199999999999999</v>
      </c>
      <c r="H1136">
        <v>17</v>
      </c>
      <c r="I1136">
        <v>16.7</v>
      </c>
    </row>
    <row r="1137" spans="1:9" ht="24" customHeight="1">
      <c r="A1137" s="6" t="s">
        <v>2681</v>
      </c>
      <c r="B1137">
        <v>8249</v>
      </c>
      <c r="C1137">
        <v>1322</v>
      </c>
      <c r="D1137">
        <v>562722</v>
      </c>
      <c r="E1137">
        <v>444190</v>
      </c>
      <c r="F1137">
        <v>14.3</v>
      </c>
      <c r="G1137">
        <v>4.7</v>
      </c>
      <c r="H1137">
        <v>22.2</v>
      </c>
      <c r="I1137">
        <v>22.3</v>
      </c>
    </row>
    <row r="1138" spans="1:9" ht="24" customHeight="1">
      <c r="A1138" s="6" t="s">
        <v>2682</v>
      </c>
      <c r="B1138">
        <v>7010</v>
      </c>
      <c r="C1138">
        <v>1054</v>
      </c>
      <c r="D1138">
        <v>522169</v>
      </c>
      <c r="E1138">
        <v>444169</v>
      </c>
      <c r="F1138">
        <v>17.7</v>
      </c>
      <c r="G1138">
        <v>6.2</v>
      </c>
      <c r="H1138">
        <v>26.6</v>
      </c>
      <c r="I1138">
        <v>25.8</v>
      </c>
    </row>
    <row r="1139" spans="1:9" ht="24" customHeight="1">
      <c r="A1139" s="6" t="s">
        <v>2683</v>
      </c>
      <c r="B1139">
        <v>4721</v>
      </c>
      <c r="C1139">
        <v>1539</v>
      </c>
      <c r="D1139">
        <v>402548</v>
      </c>
      <c r="E1139">
        <v>283921</v>
      </c>
      <c r="F1139">
        <v>17.399999999999999</v>
      </c>
      <c r="G1139">
        <v>8.8000000000000007</v>
      </c>
      <c r="H1139">
        <v>3.5</v>
      </c>
      <c r="I1139">
        <v>3.5</v>
      </c>
    </row>
    <row r="1140" spans="1:9" ht="24" customHeight="1">
      <c r="A1140" s="6" t="s">
        <v>2684</v>
      </c>
      <c r="B1140">
        <v>9707</v>
      </c>
      <c r="C1140">
        <v>1942</v>
      </c>
      <c r="D1140">
        <v>596828</v>
      </c>
      <c r="E1140">
        <v>509455</v>
      </c>
      <c r="F1140">
        <v>10.7</v>
      </c>
      <c r="G1140">
        <v>8.6999999999999993</v>
      </c>
      <c r="H1140">
        <v>34.4</v>
      </c>
      <c r="I1140">
        <v>33.1</v>
      </c>
    </row>
    <row r="1141" spans="1:9" ht="24" customHeight="1">
      <c r="A1141" s="6" t="s">
        <v>2685</v>
      </c>
      <c r="B1141">
        <v>12448</v>
      </c>
      <c r="C1141">
        <v>4300</v>
      </c>
      <c r="D1141">
        <v>441213</v>
      </c>
      <c r="E1141">
        <v>366450</v>
      </c>
      <c r="F1141">
        <v>18.5</v>
      </c>
      <c r="G1141">
        <v>9.1</v>
      </c>
      <c r="H1141">
        <v>6.9</v>
      </c>
      <c r="I1141">
        <v>6.7</v>
      </c>
    </row>
    <row r="1142" spans="1:9" ht="24" customHeight="1">
      <c r="A1142" s="6" t="s">
        <v>2686</v>
      </c>
      <c r="B1142">
        <v>64730</v>
      </c>
      <c r="C1142">
        <v>13360</v>
      </c>
      <c r="D1142">
        <v>527721</v>
      </c>
      <c r="E1142">
        <v>395552</v>
      </c>
      <c r="F1142">
        <v>17.600000000000001</v>
      </c>
      <c r="G1142">
        <v>9.5</v>
      </c>
      <c r="H1142">
        <v>16.399999999999999</v>
      </c>
      <c r="I1142">
        <v>11.3</v>
      </c>
    </row>
    <row r="1143" spans="1:9" ht="24" customHeight="1">
      <c r="A1143" s="6" t="s">
        <v>2687</v>
      </c>
      <c r="B1143">
        <v>4638</v>
      </c>
      <c r="C1143">
        <v>1566</v>
      </c>
      <c r="D1143">
        <v>254470</v>
      </c>
      <c r="E1143">
        <v>279422</v>
      </c>
      <c r="F1143">
        <v>7.2</v>
      </c>
      <c r="G1143">
        <v>7.5</v>
      </c>
      <c r="H1143">
        <v>0</v>
      </c>
      <c r="I1143">
        <v>0</v>
      </c>
    </row>
    <row r="1144" spans="1:9" ht="24" customHeight="1">
      <c r="A1144" s="6" t="s">
        <v>2688</v>
      </c>
      <c r="B1144">
        <v>4476</v>
      </c>
      <c r="C1144">
        <v>1659</v>
      </c>
      <c r="D1144">
        <v>369045</v>
      </c>
      <c r="E1144">
        <v>302707</v>
      </c>
      <c r="F1144">
        <v>20.8</v>
      </c>
      <c r="G1144">
        <v>7.1</v>
      </c>
      <c r="H1144">
        <v>1.4</v>
      </c>
      <c r="I1144">
        <v>1.4</v>
      </c>
    </row>
    <row r="1145" spans="1:9" ht="24" customHeight="1">
      <c r="A1145" s="6" t="s">
        <v>2689</v>
      </c>
      <c r="B1145">
        <v>6694</v>
      </c>
      <c r="C1145">
        <v>1175</v>
      </c>
      <c r="D1145">
        <v>512646</v>
      </c>
      <c r="E1145">
        <v>445758</v>
      </c>
      <c r="F1145">
        <v>17.2</v>
      </c>
      <c r="G1145">
        <v>8.1999999999999993</v>
      </c>
      <c r="H1145">
        <v>12</v>
      </c>
      <c r="I1145">
        <v>11.9</v>
      </c>
    </row>
    <row r="1146" spans="1:9" ht="24" customHeight="1">
      <c r="A1146" s="6" t="s">
        <v>2690</v>
      </c>
      <c r="B1146">
        <v>10272</v>
      </c>
      <c r="C1146">
        <v>1884</v>
      </c>
      <c r="D1146">
        <v>606497</v>
      </c>
      <c r="E1146">
        <v>433287</v>
      </c>
      <c r="F1146">
        <v>19.8</v>
      </c>
      <c r="G1146">
        <v>10</v>
      </c>
      <c r="H1146">
        <v>16.899999999999999</v>
      </c>
      <c r="I1146">
        <v>16.5</v>
      </c>
    </row>
    <row r="1147" spans="1:9" ht="24" customHeight="1">
      <c r="A1147" s="6" t="s">
        <v>2691</v>
      </c>
      <c r="B1147">
        <v>5478</v>
      </c>
      <c r="C1147">
        <v>1198</v>
      </c>
      <c r="D1147">
        <v>678493</v>
      </c>
      <c r="E1147">
        <v>543288</v>
      </c>
      <c r="F1147">
        <v>25.8</v>
      </c>
      <c r="G1147">
        <v>7.4</v>
      </c>
      <c r="H1147">
        <v>21.9</v>
      </c>
      <c r="I1147">
        <v>22.4</v>
      </c>
    </row>
    <row r="1148" spans="1:9" ht="24" customHeight="1">
      <c r="A1148" s="6" t="s">
        <v>2692</v>
      </c>
      <c r="B1148">
        <v>5700</v>
      </c>
      <c r="C1148">
        <v>581</v>
      </c>
      <c r="D1148">
        <v>614351</v>
      </c>
      <c r="E1148">
        <v>465440</v>
      </c>
      <c r="F1148">
        <v>12.3</v>
      </c>
      <c r="G1148">
        <v>6.5</v>
      </c>
      <c r="H1148">
        <v>26.7</v>
      </c>
      <c r="I1148">
        <v>26.6</v>
      </c>
    </row>
    <row r="1149" spans="1:9" ht="24" customHeight="1">
      <c r="A1149" s="6" t="s">
        <v>2693</v>
      </c>
      <c r="B1149">
        <v>3941</v>
      </c>
      <c r="C1149">
        <v>1561</v>
      </c>
      <c r="D1149">
        <v>387806</v>
      </c>
      <c r="E1149">
        <v>347122</v>
      </c>
      <c r="F1149">
        <v>18.600000000000001</v>
      </c>
      <c r="G1149">
        <v>12.5</v>
      </c>
      <c r="H1149">
        <v>3.4</v>
      </c>
      <c r="I1149">
        <v>3.6</v>
      </c>
    </row>
    <row r="1150" spans="1:9" ht="24" customHeight="1">
      <c r="A1150" s="6" t="s">
        <v>2694</v>
      </c>
      <c r="B1150">
        <v>12383</v>
      </c>
      <c r="C1150">
        <v>1171</v>
      </c>
      <c r="D1150">
        <v>615959</v>
      </c>
      <c r="E1150">
        <v>475511</v>
      </c>
      <c r="F1150">
        <v>12.6</v>
      </c>
      <c r="G1150">
        <v>12.1</v>
      </c>
      <c r="H1150">
        <v>35.700000000000003</v>
      </c>
      <c r="I1150">
        <v>34.200000000000003</v>
      </c>
    </row>
    <row r="1151" spans="1:9" ht="24" customHeight="1">
      <c r="A1151" s="6" t="s">
        <v>2695</v>
      </c>
      <c r="B1151">
        <v>11198</v>
      </c>
      <c r="C1151">
        <v>2792</v>
      </c>
      <c r="D1151">
        <v>473385</v>
      </c>
      <c r="E1151">
        <v>382647</v>
      </c>
      <c r="F1151">
        <v>22.7</v>
      </c>
      <c r="G1151">
        <v>10.4</v>
      </c>
      <c r="H1151">
        <v>6.8</v>
      </c>
      <c r="I1151">
        <v>6.9</v>
      </c>
    </row>
    <row r="1152" spans="1:9" ht="24" customHeight="1">
      <c r="A1152" s="6" t="s">
        <v>554</v>
      </c>
      <c r="B1152">
        <v>126050</v>
      </c>
      <c r="C1152">
        <v>38407</v>
      </c>
      <c r="D1152">
        <v>537732</v>
      </c>
      <c r="E1152">
        <v>381835</v>
      </c>
      <c r="F1152">
        <v>13.2</v>
      </c>
      <c r="G1152">
        <v>9</v>
      </c>
      <c r="H1152">
        <v>15.9</v>
      </c>
      <c r="I1152">
        <v>13.5</v>
      </c>
    </row>
    <row r="1153" spans="1:9" ht="24" customHeight="1">
      <c r="A1153" s="6" t="s">
        <v>555</v>
      </c>
      <c r="B1153">
        <v>47493</v>
      </c>
      <c r="C1153">
        <v>12792</v>
      </c>
      <c r="D1153">
        <v>639761</v>
      </c>
      <c r="E1153">
        <v>461934</v>
      </c>
      <c r="F1153">
        <v>13.4</v>
      </c>
      <c r="G1153">
        <v>10.3</v>
      </c>
      <c r="H1153">
        <v>18.600000000000001</v>
      </c>
      <c r="I1153">
        <v>16.2</v>
      </c>
    </row>
    <row r="1154" spans="1:9" ht="24" customHeight="1">
      <c r="A1154" s="6" t="s">
        <v>556</v>
      </c>
      <c r="B1154">
        <v>1478</v>
      </c>
      <c r="C1154">
        <v>743</v>
      </c>
      <c r="D1154">
        <v>295711</v>
      </c>
      <c r="E1154">
        <v>258551</v>
      </c>
      <c r="F1154">
        <v>5.6</v>
      </c>
      <c r="G1154">
        <v>4.9000000000000004</v>
      </c>
      <c r="H1154">
        <v>0</v>
      </c>
      <c r="I1154">
        <v>0</v>
      </c>
    </row>
    <row r="1155" spans="1:9" ht="24" customHeight="1">
      <c r="A1155" s="6" t="s">
        <v>2696</v>
      </c>
      <c r="B1155">
        <v>2880</v>
      </c>
      <c r="C1155">
        <v>1473</v>
      </c>
      <c r="D1155">
        <v>405073</v>
      </c>
      <c r="E1155">
        <v>352899</v>
      </c>
      <c r="F1155">
        <v>20.399999999999999</v>
      </c>
      <c r="G1155">
        <v>16.899999999999999</v>
      </c>
      <c r="H1155">
        <v>1.4</v>
      </c>
      <c r="I1155">
        <v>1.4</v>
      </c>
    </row>
    <row r="1156" spans="1:9" ht="24" customHeight="1">
      <c r="A1156" s="6" t="s">
        <v>2697</v>
      </c>
      <c r="B1156">
        <v>6209</v>
      </c>
      <c r="C1156">
        <v>2099</v>
      </c>
      <c r="D1156">
        <v>590011</v>
      </c>
      <c r="E1156">
        <v>474390</v>
      </c>
      <c r="F1156">
        <v>15.4</v>
      </c>
      <c r="G1156">
        <v>8.1999999999999993</v>
      </c>
      <c r="H1156">
        <v>12.4</v>
      </c>
      <c r="I1156">
        <v>12.4</v>
      </c>
    </row>
    <row r="1157" spans="1:9" ht="24" customHeight="1">
      <c r="A1157" s="6" t="s">
        <v>2698</v>
      </c>
      <c r="B1157">
        <v>6922</v>
      </c>
      <c r="C1157">
        <v>1457</v>
      </c>
      <c r="D1157">
        <v>666513</v>
      </c>
      <c r="E1157">
        <v>466579</v>
      </c>
      <c r="F1157">
        <v>15.7</v>
      </c>
      <c r="G1157">
        <v>7.5</v>
      </c>
      <c r="H1157">
        <v>16.600000000000001</v>
      </c>
      <c r="I1157">
        <v>16.600000000000001</v>
      </c>
    </row>
    <row r="1158" spans="1:9" ht="24" customHeight="1">
      <c r="A1158" s="6" t="s">
        <v>2699</v>
      </c>
      <c r="B1158">
        <v>4281</v>
      </c>
      <c r="C1158">
        <v>893</v>
      </c>
      <c r="D1158">
        <v>760810</v>
      </c>
      <c r="E1158">
        <v>549520</v>
      </c>
      <c r="F1158">
        <v>11.5</v>
      </c>
      <c r="G1158">
        <v>8.1999999999999993</v>
      </c>
      <c r="H1158">
        <v>22.1</v>
      </c>
      <c r="I1158">
        <v>22.5</v>
      </c>
    </row>
    <row r="1159" spans="1:9" ht="24" customHeight="1">
      <c r="A1159" s="6" t="s">
        <v>2700</v>
      </c>
      <c r="B1159">
        <v>3967</v>
      </c>
      <c r="C1159">
        <v>742</v>
      </c>
      <c r="D1159">
        <v>737925</v>
      </c>
      <c r="E1159">
        <v>572865</v>
      </c>
      <c r="F1159">
        <v>9.4</v>
      </c>
      <c r="G1159">
        <v>2.2999999999999998</v>
      </c>
      <c r="H1159">
        <v>26.8</v>
      </c>
      <c r="I1159">
        <v>26.8</v>
      </c>
    </row>
    <row r="1160" spans="1:9" ht="24" customHeight="1">
      <c r="A1160" s="6" t="s">
        <v>2701</v>
      </c>
      <c r="B1160">
        <v>3423</v>
      </c>
      <c r="C1160">
        <v>1225</v>
      </c>
      <c r="D1160">
        <v>468224</v>
      </c>
      <c r="E1160">
        <v>395999</v>
      </c>
      <c r="F1160">
        <v>19.600000000000001</v>
      </c>
      <c r="G1160">
        <v>16.600000000000001</v>
      </c>
      <c r="H1160">
        <v>3.5</v>
      </c>
      <c r="I1160">
        <v>3.5</v>
      </c>
    </row>
    <row r="1161" spans="1:9" ht="24" customHeight="1">
      <c r="A1161" s="6" t="s">
        <v>557</v>
      </c>
      <c r="B1161">
        <v>12926</v>
      </c>
      <c r="C1161">
        <v>3106</v>
      </c>
      <c r="D1161">
        <v>751959</v>
      </c>
      <c r="E1161">
        <v>504676</v>
      </c>
      <c r="F1161">
        <v>8</v>
      </c>
      <c r="G1161">
        <v>8.4</v>
      </c>
      <c r="H1161">
        <v>33.700000000000003</v>
      </c>
      <c r="I1161">
        <v>34.5</v>
      </c>
    </row>
    <row r="1162" spans="1:9" ht="24" customHeight="1">
      <c r="A1162" s="6" t="s">
        <v>2702</v>
      </c>
      <c r="B1162">
        <v>5431</v>
      </c>
      <c r="C1162">
        <v>1629</v>
      </c>
      <c r="D1162">
        <v>553166</v>
      </c>
      <c r="E1162">
        <v>475727</v>
      </c>
      <c r="F1162">
        <v>19.8</v>
      </c>
      <c r="G1162">
        <v>11.8</v>
      </c>
      <c r="H1162">
        <v>6.9</v>
      </c>
      <c r="I1162">
        <v>6.8</v>
      </c>
    </row>
    <row r="1163" spans="1:9" ht="24" customHeight="1">
      <c r="A1163" s="6" t="s">
        <v>2703</v>
      </c>
      <c r="B1163">
        <v>26411</v>
      </c>
      <c r="C1163">
        <v>8690</v>
      </c>
      <c r="D1163">
        <v>385356</v>
      </c>
      <c r="E1163">
        <v>277051</v>
      </c>
      <c r="F1163">
        <v>11.7</v>
      </c>
      <c r="G1163">
        <v>5</v>
      </c>
      <c r="H1163">
        <v>11.9</v>
      </c>
      <c r="I1163">
        <v>11</v>
      </c>
    </row>
    <row r="1164" spans="1:9" ht="24" customHeight="1">
      <c r="A1164" s="6" t="s">
        <v>2704</v>
      </c>
      <c r="B1164">
        <v>1481</v>
      </c>
      <c r="C1164">
        <v>782</v>
      </c>
      <c r="D1164">
        <v>277420</v>
      </c>
      <c r="E1164">
        <v>185647</v>
      </c>
      <c r="F1164">
        <v>10.8</v>
      </c>
      <c r="G1164">
        <v>2.4</v>
      </c>
      <c r="H1164">
        <v>0</v>
      </c>
      <c r="I1164">
        <v>0</v>
      </c>
    </row>
    <row r="1165" spans="1:9" ht="24" customHeight="1">
      <c r="A1165" s="6" t="s">
        <v>2705</v>
      </c>
      <c r="B1165">
        <v>2820</v>
      </c>
      <c r="C1165">
        <v>1075</v>
      </c>
      <c r="D1165">
        <v>327920</v>
      </c>
      <c r="E1165">
        <v>252523</v>
      </c>
      <c r="F1165">
        <v>14.1</v>
      </c>
      <c r="G1165">
        <v>5.7</v>
      </c>
      <c r="H1165">
        <v>1.4</v>
      </c>
      <c r="I1165">
        <v>1.5</v>
      </c>
    </row>
    <row r="1166" spans="1:9" ht="24" customHeight="1">
      <c r="A1166" s="6" t="s">
        <v>2706</v>
      </c>
      <c r="B1166">
        <v>4243</v>
      </c>
      <c r="C1166">
        <v>1396</v>
      </c>
      <c r="D1166">
        <v>399103</v>
      </c>
      <c r="E1166">
        <v>276200</v>
      </c>
      <c r="F1166">
        <v>10.1</v>
      </c>
      <c r="G1166">
        <v>5.6</v>
      </c>
      <c r="H1166">
        <v>12</v>
      </c>
      <c r="I1166">
        <v>11.9</v>
      </c>
    </row>
    <row r="1167" spans="1:9" ht="24" customHeight="1">
      <c r="A1167" s="6" t="s">
        <v>2707</v>
      </c>
      <c r="B1167">
        <v>3704</v>
      </c>
      <c r="C1167">
        <v>1503</v>
      </c>
      <c r="D1167">
        <v>387753</v>
      </c>
      <c r="E1167">
        <v>299339</v>
      </c>
      <c r="F1167">
        <v>7.6</v>
      </c>
      <c r="G1167">
        <v>5.0999999999999996</v>
      </c>
      <c r="H1167">
        <v>16.8</v>
      </c>
      <c r="I1167">
        <v>16.5</v>
      </c>
    </row>
    <row r="1168" spans="1:9" ht="24" customHeight="1">
      <c r="A1168" s="6" t="s">
        <v>2708</v>
      </c>
      <c r="B1168">
        <v>1840</v>
      </c>
      <c r="C1168">
        <v>639</v>
      </c>
      <c r="D1168">
        <v>447463</v>
      </c>
      <c r="E1168">
        <v>280407</v>
      </c>
      <c r="F1168">
        <v>14.9</v>
      </c>
      <c r="G1168">
        <v>2.6</v>
      </c>
      <c r="H1168">
        <v>22</v>
      </c>
      <c r="I1168">
        <v>21.3</v>
      </c>
    </row>
    <row r="1169" spans="1:9" ht="24" customHeight="1">
      <c r="A1169" s="6" t="s">
        <v>2709</v>
      </c>
      <c r="B1169">
        <v>1467</v>
      </c>
      <c r="C1169">
        <v>348</v>
      </c>
      <c r="D1169">
        <v>463614</v>
      </c>
      <c r="E1169">
        <v>288905</v>
      </c>
      <c r="F1169">
        <v>11.1</v>
      </c>
      <c r="G1169">
        <v>5</v>
      </c>
      <c r="H1169">
        <v>26.9</v>
      </c>
      <c r="I1169">
        <v>26.6</v>
      </c>
    </row>
    <row r="1170" spans="1:9" ht="24" customHeight="1">
      <c r="A1170" s="6" t="s">
        <v>2710</v>
      </c>
      <c r="B1170">
        <v>2576</v>
      </c>
      <c r="C1170">
        <v>869</v>
      </c>
      <c r="D1170">
        <v>337679</v>
      </c>
      <c r="E1170">
        <v>290658</v>
      </c>
      <c r="F1170">
        <v>13.1</v>
      </c>
      <c r="G1170">
        <v>4.7</v>
      </c>
      <c r="H1170">
        <v>3.4</v>
      </c>
      <c r="I1170">
        <v>3.6</v>
      </c>
    </row>
    <row r="1171" spans="1:9" ht="24" customHeight="1">
      <c r="A1171" s="6" t="s">
        <v>2711</v>
      </c>
      <c r="B1171">
        <v>1925</v>
      </c>
      <c r="C1171">
        <v>487</v>
      </c>
      <c r="D1171">
        <v>456105</v>
      </c>
      <c r="E1171">
        <v>292177</v>
      </c>
      <c r="F1171">
        <v>6.9</v>
      </c>
      <c r="G1171">
        <v>1.5</v>
      </c>
      <c r="H1171">
        <v>34.5</v>
      </c>
      <c r="I1171">
        <v>36.299999999999997</v>
      </c>
    </row>
    <row r="1172" spans="1:9" ht="24" customHeight="1">
      <c r="A1172" s="6" t="s">
        <v>2712</v>
      </c>
      <c r="B1172">
        <v>6400</v>
      </c>
      <c r="C1172">
        <v>2212</v>
      </c>
      <c r="D1172">
        <v>385251</v>
      </c>
      <c r="E1172">
        <v>269686</v>
      </c>
      <c r="F1172">
        <v>14.3</v>
      </c>
      <c r="G1172">
        <v>6.5</v>
      </c>
      <c r="H1172">
        <v>6.7</v>
      </c>
      <c r="I1172">
        <v>6.3</v>
      </c>
    </row>
    <row r="1173" spans="1:9" ht="24" customHeight="1">
      <c r="A1173" s="6" t="s">
        <v>2713</v>
      </c>
      <c r="B1173">
        <v>26538</v>
      </c>
      <c r="C1173">
        <v>8697</v>
      </c>
      <c r="D1173">
        <v>499159</v>
      </c>
      <c r="E1173">
        <v>342437</v>
      </c>
      <c r="F1173">
        <v>13.5</v>
      </c>
      <c r="G1173">
        <v>9</v>
      </c>
      <c r="H1173">
        <v>14.5</v>
      </c>
      <c r="I1173">
        <v>12.3</v>
      </c>
    </row>
    <row r="1174" spans="1:9" ht="24" customHeight="1">
      <c r="A1174" s="6" t="s">
        <v>2714</v>
      </c>
      <c r="B1174">
        <v>1133</v>
      </c>
      <c r="C1174">
        <v>556</v>
      </c>
      <c r="D1174">
        <v>293894</v>
      </c>
      <c r="E1174">
        <v>232670</v>
      </c>
      <c r="F1174">
        <v>6.6</v>
      </c>
      <c r="G1174">
        <v>3.3</v>
      </c>
      <c r="H1174">
        <v>0</v>
      </c>
      <c r="I1174">
        <v>0</v>
      </c>
    </row>
    <row r="1175" spans="1:9" ht="24" customHeight="1">
      <c r="A1175" s="6" t="s">
        <v>2715</v>
      </c>
      <c r="B1175">
        <v>1909</v>
      </c>
      <c r="C1175">
        <v>794</v>
      </c>
      <c r="D1175">
        <v>344539</v>
      </c>
      <c r="E1175">
        <v>279614</v>
      </c>
      <c r="F1175">
        <v>14.3</v>
      </c>
      <c r="G1175">
        <v>9.6999999999999993</v>
      </c>
      <c r="H1175">
        <v>1.4</v>
      </c>
      <c r="I1175">
        <v>1.4</v>
      </c>
    </row>
    <row r="1176" spans="1:9" ht="24" customHeight="1">
      <c r="A1176" s="6" t="s">
        <v>2716</v>
      </c>
      <c r="B1176">
        <v>4576</v>
      </c>
      <c r="C1176">
        <v>1459</v>
      </c>
      <c r="D1176">
        <v>498423</v>
      </c>
      <c r="E1176">
        <v>366402</v>
      </c>
      <c r="F1176">
        <v>13.4</v>
      </c>
      <c r="G1176">
        <v>9.5</v>
      </c>
      <c r="H1176">
        <v>11.9</v>
      </c>
      <c r="I1176">
        <v>12.2</v>
      </c>
    </row>
    <row r="1177" spans="1:9" ht="24" customHeight="1">
      <c r="A1177" s="6" t="s">
        <v>2717</v>
      </c>
      <c r="B1177">
        <v>4827</v>
      </c>
      <c r="C1177">
        <v>1348</v>
      </c>
      <c r="D1177">
        <v>533860</v>
      </c>
      <c r="E1177">
        <v>369748</v>
      </c>
      <c r="F1177">
        <v>12.8</v>
      </c>
      <c r="G1177">
        <v>7.5</v>
      </c>
      <c r="H1177">
        <v>16.899999999999999</v>
      </c>
      <c r="I1177">
        <v>16.600000000000001</v>
      </c>
    </row>
    <row r="1178" spans="1:9" ht="24" customHeight="1">
      <c r="A1178" s="6" t="s">
        <v>2718</v>
      </c>
      <c r="B1178">
        <v>2123</v>
      </c>
      <c r="C1178">
        <v>494</v>
      </c>
      <c r="D1178">
        <v>610738</v>
      </c>
      <c r="E1178">
        <v>355748</v>
      </c>
      <c r="F1178">
        <v>10</v>
      </c>
      <c r="G1178">
        <v>8.1999999999999993</v>
      </c>
      <c r="H1178">
        <v>21.9</v>
      </c>
      <c r="I1178">
        <v>21.5</v>
      </c>
    </row>
    <row r="1179" spans="1:9" ht="24" customHeight="1">
      <c r="A1179" s="6" t="s">
        <v>2719</v>
      </c>
      <c r="B1179">
        <v>2353</v>
      </c>
      <c r="C1179">
        <v>598</v>
      </c>
      <c r="D1179">
        <v>624239</v>
      </c>
      <c r="E1179">
        <v>388868</v>
      </c>
      <c r="F1179">
        <v>9.1999999999999993</v>
      </c>
      <c r="G1179">
        <v>2</v>
      </c>
      <c r="H1179">
        <v>27.1</v>
      </c>
      <c r="I1179">
        <v>26.6</v>
      </c>
    </row>
    <row r="1180" spans="1:9" ht="24" customHeight="1">
      <c r="A1180" s="6" t="s">
        <v>2720</v>
      </c>
      <c r="B1180">
        <v>1858</v>
      </c>
      <c r="C1180">
        <v>1155</v>
      </c>
      <c r="D1180">
        <v>394599</v>
      </c>
      <c r="E1180">
        <v>341961</v>
      </c>
      <c r="F1180">
        <v>23</v>
      </c>
      <c r="G1180">
        <v>10</v>
      </c>
      <c r="H1180">
        <v>3.6</v>
      </c>
      <c r="I1180">
        <v>3.5</v>
      </c>
    </row>
    <row r="1181" spans="1:9" ht="24" customHeight="1">
      <c r="A1181" s="6" t="s">
        <v>2721</v>
      </c>
      <c r="B1181">
        <v>2832</v>
      </c>
      <c r="C1181">
        <v>769</v>
      </c>
      <c r="D1181">
        <v>605467</v>
      </c>
      <c r="E1181">
        <v>411858</v>
      </c>
      <c r="F1181">
        <v>8.1999999999999993</v>
      </c>
      <c r="G1181">
        <v>5.4</v>
      </c>
      <c r="H1181">
        <v>33.700000000000003</v>
      </c>
      <c r="I1181">
        <v>33.4</v>
      </c>
    </row>
    <row r="1182" spans="1:9" ht="24" customHeight="1">
      <c r="A1182" s="6" t="s">
        <v>2722</v>
      </c>
      <c r="B1182">
        <v>4952</v>
      </c>
      <c r="C1182">
        <v>1611</v>
      </c>
      <c r="D1182">
        <v>441809</v>
      </c>
      <c r="E1182">
        <v>308904</v>
      </c>
      <c r="F1182">
        <v>18.5</v>
      </c>
      <c r="G1182">
        <v>14.7</v>
      </c>
      <c r="H1182">
        <v>6.7</v>
      </c>
      <c r="I1182">
        <v>6.8</v>
      </c>
    </row>
    <row r="1183" spans="1:9" ht="24" customHeight="1">
      <c r="A1183" s="6" t="s">
        <v>2723</v>
      </c>
      <c r="B1183">
        <v>25607</v>
      </c>
      <c r="C1183">
        <v>8228</v>
      </c>
      <c r="D1183">
        <v>545641</v>
      </c>
      <c r="E1183">
        <v>409616</v>
      </c>
      <c r="F1183">
        <v>14.1</v>
      </c>
      <c r="G1183">
        <v>11.4</v>
      </c>
      <c r="H1183">
        <v>16.3</v>
      </c>
      <c r="I1183">
        <v>13.3</v>
      </c>
    </row>
    <row r="1184" spans="1:9" ht="24" customHeight="1">
      <c r="A1184" s="6" t="s">
        <v>2724</v>
      </c>
      <c r="B1184">
        <v>720</v>
      </c>
      <c r="C1184">
        <v>436</v>
      </c>
      <c r="D1184">
        <v>240450</v>
      </c>
      <c r="E1184">
        <v>255379</v>
      </c>
      <c r="F1184">
        <v>4.4000000000000004</v>
      </c>
      <c r="G1184">
        <v>1.5</v>
      </c>
      <c r="H1184">
        <v>0</v>
      </c>
      <c r="I1184">
        <v>0</v>
      </c>
    </row>
    <row r="1185" spans="1:9" ht="24" customHeight="1">
      <c r="A1185" s="6" t="s">
        <v>2725</v>
      </c>
      <c r="B1185">
        <v>2455</v>
      </c>
      <c r="C1185">
        <v>844</v>
      </c>
      <c r="D1185">
        <v>346546</v>
      </c>
      <c r="E1185">
        <v>328543</v>
      </c>
      <c r="F1185">
        <v>14</v>
      </c>
      <c r="G1185">
        <v>14.8</v>
      </c>
      <c r="H1185">
        <v>1.5</v>
      </c>
      <c r="I1185">
        <v>1.4</v>
      </c>
    </row>
    <row r="1186" spans="1:9" ht="24" customHeight="1">
      <c r="A1186" s="6" t="s">
        <v>2726</v>
      </c>
      <c r="B1186">
        <v>3132</v>
      </c>
      <c r="C1186">
        <v>1193</v>
      </c>
      <c r="D1186">
        <v>506889</v>
      </c>
      <c r="E1186">
        <v>380890</v>
      </c>
      <c r="F1186">
        <v>15.9</v>
      </c>
      <c r="G1186">
        <v>7</v>
      </c>
      <c r="H1186">
        <v>12.1</v>
      </c>
      <c r="I1186">
        <v>11.5</v>
      </c>
    </row>
    <row r="1187" spans="1:9" ht="24" customHeight="1">
      <c r="A1187" s="6" t="s">
        <v>2727</v>
      </c>
      <c r="B1187">
        <v>3822</v>
      </c>
      <c r="C1187">
        <v>964</v>
      </c>
      <c r="D1187">
        <v>590646</v>
      </c>
      <c r="E1187">
        <v>427742</v>
      </c>
      <c r="F1187">
        <v>17.399999999999999</v>
      </c>
      <c r="G1187">
        <v>9</v>
      </c>
      <c r="H1187">
        <v>16.8</v>
      </c>
      <c r="I1187">
        <v>16.2</v>
      </c>
    </row>
    <row r="1188" spans="1:9" ht="24" customHeight="1">
      <c r="A1188" s="6" t="s">
        <v>2728</v>
      </c>
      <c r="B1188">
        <v>2736</v>
      </c>
      <c r="C1188">
        <v>443</v>
      </c>
      <c r="D1188">
        <v>712208</v>
      </c>
      <c r="E1188">
        <v>499249</v>
      </c>
      <c r="F1188">
        <v>10.6</v>
      </c>
      <c r="G1188">
        <v>20.100000000000001</v>
      </c>
      <c r="H1188">
        <v>21.9</v>
      </c>
      <c r="I1188">
        <v>21.4</v>
      </c>
    </row>
    <row r="1189" spans="1:9" ht="24" customHeight="1">
      <c r="A1189" s="6" t="s">
        <v>2729</v>
      </c>
      <c r="B1189">
        <v>2465</v>
      </c>
      <c r="C1189">
        <v>669</v>
      </c>
      <c r="D1189">
        <v>661519</v>
      </c>
      <c r="E1189">
        <v>550157</v>
      </c>
      <c r="F1189">
        <v>9.5</v>
      </c>
      <c r="G1189">
        <v>19.2</v>
      </c>
      <c r="H1189">
        <v>27</v>
      </c>
      <c r="I1189">
        <v>26.9</v>
      </c>
    </row>
    <row r="1190" spans="1:9" ht="24" customHeight="1">
      <c r="A1190" s="6" t="s">
        <v>2730</v>
      </c>
      <c r="B1190">
        <v>2060</v>
      </c>
      <c r="C1190">
        <v>1063</v>
      </c>
      <c r="D1190">
        <v>421539</v>
      </c>
      <c r="E1190">
        <v>363487</v>
      </c>
      <c r="F1190">
        <v>22.3</v>
      </c>
      <c r="G1190">
        <v>11.6</v>
      </c>
      <c r="H1190">
        <v>3.6</v>
      </c>
      <c r="I1190">
        <v>3.4</v>
      </c>
    </row>
    <row r="1191" spans="1:9" ht="24" customHeight="1">
      <c r="A1191" s="6" t="s">
        <v>2731</v>
      </c>
      <c r="B1191">
        <v>4425</v>
      </c>
      <c r="C1191">
        <v>1136</v>
      </c>
      <c r="D1191">
        <v>654341</v>
      </c>
      <c r="E1191">
        <v>507458</v>
      </c>
      <c r="F1191">
        <v>7.8</v>
      </c>
      <c r="G1191">
        <v>8.1999999999999993</v>
      </c>
      <c r="H1191">
        <v>34.700000000000003</v>
      </c>
      <c r="I1191">
        <v>35</v>
      </c>
    </row>
    <row r="1192" spans="1:9" ht="24" customHeight="1">
      <c r="A1192" s="6" t="s">
        <v>2732</v>
      </c>
      <c r="B1192">
        <v>3793</v>
      </c>
      <c r="C1192">
        <v>1699</v>
      </c>
      <c r="D1192">
        <v>464162</v>
      </c>
      <c r="E1192">
        <v>372320</v>
      </c>
      <c r="F1192">
        <v>19.5</v>
      </c>
      <c r="G1192">
        <v>12.2</v>
      </c>
      <c r="H1192">
        <v>6.7</v>
      </c>
      <c r="I1192">
        <v>6.4</v>
      </c>
    </row>
    <row r="1193" spans="1:9" ht="24" customHeight="1">
      <c r="A1193" s="6" t="s">
        <v>558</v>
      </c>
      <c r="B1193">
        <v>226065</v>
      </c>
      <c r="C1193">
        <v>66599</v>
      </c>
      <c r="D1193">
        <v>532583</v>
      </c>
      <c r="E1193">
        <v>358394</v>
      </c>
      <c r="F1193">
        <v>13.6</v>
      </c>
      <c r="G1193">
        <v>8.8000000000000007</v>
      </c>
      <c r="H1193">
        <v>17</v>
      </c>
      <c r="I1193">
        <v>15.2</v>
      </c>
    </row>
    <row r="1194" spans="1:9" ht="24" customHeight="1">
      <c r="A1194" s="6" t="s">
        <v>559</v>
      </c>
      <c r="B1194">
        <v>114642</v>
      </c>
      <c r="C1194">
        <v>22834</v>
      </c>
      <c r="D1194">
        <v>636176</v>
      </c>
      <c r="E1194">
        <v>442812</v>
      </c>
      <c r="F1194">
        <v>14.8</v>
      </c>
      <c r="G1194">
        <v>9.5</v>
      </c>
      <c r="H1194">
        <v>17.899999999999999</v>
      </c>
      <c r="I1194">
        <v>17.8</v>
      </c>
    </row>
    <row r="1195" spans="1:9" ht="24" customHeight="1">
      <c r="A1195" s="6" t="s">
        <v>560</v>
      </c>
      <c r="B1195">
        <v>5019</v>
      </c>
      <c r="C1195">
        <v>1676</v>
      </c>
      <c r="D1195">
        <v>301545</v>
      </c>
      <c r="E1195">
        <v>277812</v>
      </c>
      <c r="F1195">
        <v>8.1999999999999993</v>
      </c>
      <c r="G1195">
        <v>6.5</v>
      </c>
      <c r="H1195">
        <v>0</v>
      </c>
      <c r="I1195">
        <v>0</v>
      </c>
    </row>
    <row r="1196" spans="1:9" ht="24" customHeight="1">
      <c r="A1196" s="6" t="s">
        <v>2733</v>
      </c>
      <c r="B1196">
        <v>10019</v>
      </c>
      <c r="C1196">
        <v>2167</v>
      </c>
      <c r="D1196">
        <v>411682</v>
      </c>
      <c r="E1196">
        <v>326850</v>
      </c>
      <c r="F1196">
        <v>17.8</v>
      </c>
      <c r="G1196">
        <v>11.4</v>
      </c>
      <c r="H1196">
        <v>1.4</v>
      </c>
      <c r="I1196">
        <v>1.3</v>
      </c>
    </row>
    <row r="1197" spans="1:9" ht="24" customHeight="1">
      <c r="A1197" s="6" t="s">
        <v>2734</v>
      </c>
      <c r="B1197">
        <v>10118</v>
      </c>
      <c r="C1197">
        <v>2153</v>
      </c>
      <c r="D1197">
        <v>605610</v>
      </c>
      <c r="E1197">
        <v>436118</v>
      </c>
      <c r="F1197">
        <v>15.6</v>
      </c>
      <c r="G1197">
        <v>5.6</v>
      </c>
      <c r="H1197">
        <v>12.2</v>
      </c>
      <c r="I1197">
        <v>12.1</v>
      </c>
    </row>
    <row r="1198" spans="1:9" ht="24" customHeight="1">
      <c r="A1198" s="6" t="s">
        <v>2735</v>
      </c>
      <c r="B1198">
        <v>16236</v>
      </c>
      <c r="C1198">
        <v>3094</v>
      </c>
      <c r="D1198">
        <v>689556</v>
      </c>
      <c r="E1198">
        <v>480821</v>
      </c>
      <c r="F1198">
        <v>16.2</v>
      </c>
      <c r="G1198">
        <v>4.9000000000000004</v>
      </c>
      <c r="H1198">
        <v>16.600000000000001</v>
      </c>
      <c r="I1198">
        <v>16.600000000000001</v>
      </c>
    </row>
    <row r="1199" spans="1:9" ht="24" customHeight="1">
      <c r="A1199" s="6" t="s">
        <v>2736</v>
      </c>
      <c r="B1199">
        <v>11052</v>
      </c>
      <c r="C1199">
        <v>1637</v>
      </c>
      <c r="D1199">
        <v>745252</v>
      </c>
      <c r="E1199">
        <v>440667</v>
      </c>
      <c r="F1199">
        <v>14.1</v>
      </c>
      <c r="G1199">
        <v>13.5</v>
      </c>
      <c r="H1199">
        <v>22.2</v>
      </c>
      <c r="I1199">
        <v>22.2</v>
      </c>
    </row>
    <row r="1200" spans="1:9" ht="24" customHeight="1">
      <c r="A1200" s="6" t="s">
        <v>2737</v>
      </c>
      <c r="B1200">
        <v>10005</v>
      </c>
      <c r="C1200">
        <v>2414</v>
      </c>
      <c r="D1200">
        <v>754316</v>
      </c>
      <c r="E1200">
        <v>509011</v>
      </c>
      <c r="F1200">
        <v>11.6</v>
      </c>
      <c r="G1200">
        <v>6</v>
      </c>
      <c r="H1200">
        <v>26.8</v>
      </c>
      <c r="I1200">
        <v>26.9</v>
      </c>
    </row>
    <row r="1201" spans="1:9" ht="24" customHeight="1">
      <c r="A1201" s="6" t="s">
        <v>2738</v>
      </c>
      <c r="B1201">
        <v>8424</v>
      </c>
      <c r="C1201">
        <v>1976</v>
      </c>
      <c r="D1201">
        <v>468642</v>
      </c>
      <c r="E1201">
        <v>365599</v>
      </c>
      <c r="F1201">
        <v>19.399999999999999</v>
      </c>
      <c r="G1201">
        <v>11.9</v>
      </c>
      <c r="H1201">
        <v>3.5</v>
      </c>
      <c r="I1201">
        <v>3.5</v>
      </c>
    </row>
    <row r="1202" spans="1:9" ht="24" customHeight="1">
      <c r="A1202" s="6" t="s">
        <v>561</v>
      </c>
      <c r="B1202">
        <v>29515</v>
      </c>
      <c r="C1202">
        <v>6450</v>
      </c>
      <c r="D1202">
        <v>755886</v>
      </c>
      <c r="E1202">
        <v>499009</v>
      </c>
      <c r="F1202">
        <v>12.4</v>
      </c>
      <c r="G1202">
        <v>10.4</v>
      </c>
      <c r="H1202">
        <v>34.4</v>
      </c>
      <c r="I1202">
        <v>34.799999999999997</v>
      </c>
    </row>
    <row r="1203" spans="1:9" ht="24" customHeight="1">
      <c r="A1203" s="6" t="s">
        <v>2739</v>
      </c>
      <c r="B1203">
        <v>14657</v>
      </c>
      <c r="C1203">
        <v>2710</v>
      </c>
      <c r="D1203">
        <v>554409</v>
      </c>
      <c r="E1203">
        <v>422458</v>
      </c>
      <c r="F1203">
        <v>17.5</v>
      </c>
      <c r="G1203">
        <v>11</v>
      </c>
      <c r="H1203">
        <v>6.5</v>
      </c>
      <c r="I1203">
        <v>6.3</v>
      </c>
    </row>
    <row r="1204" spans="1:9" ht="24" customHeight="1">
      <c r="A1204" s="6" t="s">
        <v>2740</v>
      </c>
      <c r="B1204">
        <v>25845</v>
      </c>
      <c r="C1204">
        <v>13769</v>
      </c>
      <c r="D1204">
        <v>364558</v>
      </c>
      <c r="E1204">
        <v>249544</v>
      </c>
      <c r="F1204">
        <v>11.7</v>
      </c>
      <c r="G1204">
        <v>4.8</v>
      </c>
      <c r="H1204">
        <v>16.2</v>
      </c>
      <c r="I1204">
        <v>13.1</v>
      </c>
    </row>
    <row r="1205" spans="1:9" ht="24" customHeight="1">
      <c r="A1205" s="6" t="s">
        <v>2741</v>
      </c>
      <c r="B1205">
        <v>1184</v>
      </c>
      <c r="C1205">
        <v>847</v>
      </c>
      <c r="D1205">
        <v>237333</v>
      </c>
      <c r="E1205">
        <v>189782</v>
      </c>
      <c r="F1205">
        <v>11.7</v>
      </c>
      <c r="G1205">
        <v>1.9</v>
      </c>
      <c r="H1205">
        <v>0</v>
      </c>
      <c r="I1205">
        <v>0</v>
      </c>
    </row>
    <row r="1206" spans="1:9" ht="24" customHeight="1">
      <c r="A1206" s="6" t="s">
        <v>2742</v>
      </c>
      <c r="B1206">
        <v>1893</v>
      </c>
      <c r="C1206">
        <v>1270</v>
      </c>
      <c r="D1206">
        <v>293708</v>
      </c>
      <c r="E1206">
        <v>229499</v>
      </c>
      <c r="F1206">
        <v>13.6</v>
      </c>
      <c r="G1206">
        <v>3.2</v>
      </c>
      <c r="H1206">
        <v>1.5</v>
      </c>
      <c r="I1206">
        <v>1.4</v>
      </c>
    </row>
    <row r="1207" spans="1:9" ht="24" customHeight="1">
      <c r="A1207" s="6" t="s">
        <v>2743</v>
      </c>
      <c r="B1207">
        <v>2455</v>
      </c>
      <c r="C1207">
        <v>2024</v>
      </c>
      <c r="D1207">
        <v>376127</v>
      </c>
      <c r="E1207">
        <v>244376</v>
      </c>
      <c r="F1207">
        <v>15.1</v>
      </c>
      <c r="G1207">
        <v>2.9</v>
      </c>
      <c r="H1207">
        <v>11.8</v>
      </c>
      <c r="I1207">
        <v>12.2</v>
      </c>
    </row>
    <row r="1208" spans="1:9" ht="24" customHeight="1">
      <c r="A1208" s="6" t="s">
        <v>2744</v>
      </c>
      <c r="B1208">
        <v>4318</v>
      </c>
      <c r="C1208">
        <v>1922</v>
      </c>
      <c r="D1208">
        <v>361833</v>
      </c>
      <c r="E1208">
        <v>259088</v>
      </c>
      <c r="F1208">
        <v>13.3</v>
      </c>
      <c r="G1208">
        <v>5.7</v>
      </c>
      <c r="H1208">
        <v>17</v>
      </c>
      <c r="I1208">
        <v>17</v>
      </c>
    </row>
    <row r="1209" spans="1:9" ht="24" customHeight="1">
      <c r="A1209" s="6" t="s">
        <v>2745</v>
      </c>
      <c r="B1209">
        <v>3132</v>
      </c>
      <c r="C1209">
        <v>1739</v>
      </c>
      <c r="D1209">
        <v>381651</v>
      </c>
      <c r="E1209">
        <v>262470</v>
      </c>
      <c r="F1209">
        <v>10.6</v>
      </c>
      <c r="G1209">
        <v>5.0999999999999996</v>
      </c>
      <c r="H1209">
        <v>21.8</v>
      </c>
      <c r="I1209">
        <v>22.1</v>
      </c>
    </row>
    <row r="1210" spans="1:9" ht="24" customHeight="1">
      <c r="A1210" s="6" t="s">
        <v>2746</v>
      </c>
      <c r="B1210">
        <v>3177</v>
      </c>
      <c r="C1210">
        <v>1023</v>
      </c>
      <c r="D1210">
        <v>410618</v>
      </c>
      <c r="E1210">
        <v>239536</v>
      </c>
      <c r="F1210">
        <v>8.6999999999999993</v>
      </c>
      <c r="G1210">
        <v>3.6</v>
      </c>
      <c r="H1210">
        <v>27</v>
      </c>
      <c r="I1210">
        <v>26.7</v>
      </c>
    </row>
    <row r="1211" spans="1:9" ht="24" customHeight="1">
      <c r="A1211" s="6" t="s">
        <v>2747</v>
      </c>
      <c r="B1211">
        <v>2281</v>
      </c>
      <c r="C1211">
        <v>1466</v>
      </c>
      <c r="D1211">
        <v>302154</v>
      </c>
      <c r="E1211">
        <v>243349</v>
      </c>
      <c r="F1211">
        <v>10.4</v>
      </c>
      <c r="G1211">
        <v>4.8</v>
      </c>
      <c r="H1211">
        <v>3.5</v>
      </c>
      <c r="I1211">
        <v>3.5</v>
      </c>
    </row>
    <row r="1212" spans="1:9" ht="24" customHeight="1">
      <c r="A1212" s="6" t="s">
        <v>2748</v>
      </c>
      <c r="B1212">
        <v>3586</v>
      </c>
      <c r="C1212">
        <v>1000</v>
      </c>
      <c r="D1212">
        <v>441267</v>
      </c>
      <c r="E1212">
        <v>284311</v>
      </c>
      <c r="F1212">
        <v>7.3</v>
      </c>
      <c r="G1212">
        <v>3.9</v>
      </c>
      <c r="H1212">
        <v>35.200000000000003</v>
      </c>
      <c r="I1212">
        <v>35.1</v>
      </c>
    </row>
    <row r="1213" spans="1:9" ht="24" customHeight="1">
      <c r="A1213" s="6" t="s">
        <v>2749</v>
      </c>
      <c r="B1213">
        <v>4047</v>
      </c>
      <c r="C1213">
        <v>3031</v>
      </c>
      <c r="D1213">
        <v>338521</v>
      </c>
      <c r="E1213">
        <v>243126</v>
      </c>
      <c r="F1213">
        <v>14.3</v>
      </c>
      <c r="G1213">
        <v>7.3</v>
      </c>
      <c r="H1213">
        <v>6.8</v>
      </c>
      <c r="I1213">
        <v>6.9</v>
      </c>
    </row>
    <row r="1214" spans="1:9" ht="24" customHeight="1">
      <c r="A1214" s="6" t="s">
        <v>2750</v>
      </c>
      <c r="B1214">
        <v>44407</v>
      </c>
      <c r="C1214">
        <v>17274</v>
      </c>
      <c r="D1214">
        <v>430471</v>
      </c>
      <c r="E1214">
        <v>326419</v>
      </c>
      <c r="F1214">
        <v>11.8</v>
      </c>
      <c r="G1214">
        <v>9.8000000000000007</v>
      </c>
      <c r="H1214">
        <v>14.5</v>
      </c>
      <c r="I1214">
        <v>12.7</v>
      </c>
    </row>
    <row r="1215" spans="1:9" ht="24" customHeight="1">
      <c r="A1215" s="6" t="s">
        <v>2751</v>
      </c>
      <c r="B1215">
        <v>1795</v>
      </c>
      <c r="C1215">
        <v>461</v>
      </c>
      <c r="D1215">
        <v>288891</v>
      </c>
      <c r="E1215">
        <v>209498</v>
      </c>
      <c r="F1215">
        <v>12.9</v>
      </c>
      <c r="G1215">
        <v>5.3</v>
      </c>
      <c r="H1215">
        <v>0</v>
      </c>
      <c r="I1215">
        <v>0</v>
      </c>
    </row>
    <row r="1216" spans="1:9" ht="24" customHeight="1">
      <c r="A1216" s="6" t="s">
        <v>2752</v>
      </c>
      <c r="B1216">
        <v>6053</v>
      </c>
      <c r="C1216">
        <v>2098</v>
      </c>
      <c r="D1216">
        <v>397416</v>
      </c>
      <c r="E1216">
        <v>389258</v>
      </c>
      <c r="F1216">
        <v>10.9</v>
      </c>
      <c r="G1216">
        <v>21.2</v>
      </c>
      <c r="H1216">
        <v>1.4</v>
      </c>
      <c r="I1216">
        <v>1.7</v>
      </c>
    </row>
    <row r="1217" spans="1:9" ht="24" customHeight="1">
      <c r="A1217" s="6" t="s">
        <v>2753</v>
      </c>
      <c r="B1217">
        <v>4834</v>
      </c>
      <c r="C1217">
        <v>2087</v>
      </c>
      <c r="D1217">
        <v>431935</v>
      </c>
      <c r="E1217">
        <v>287898</v>
      </c>
      <c r="F1217">
        <v>13.5</v>
      </c>
      <c r="G1217">
        <v>7</v>
      </c>
      <c r="H1217">
        <v>11.7</v>
      </c>
      <c r="I1217">
        <v>12.4</v>
      </c>
    </row>
    <row r="1218" spans="1:9" ht="24" customHeight="1">
      <c r="A1218" s="6" t="s">
        <v>2754</v>
      </c>
      <c r="B1218">
        <v>6121</v>
      </c>
      <c r="C1218">
        <v>2590</v>
      </c>
      <c r="D1218">
        <v>425223</v>
      </c>
      <c r="E1218">
        <v>312349</v>
      </c>
      <c r="F1218">
        <v>13.8</v>
      </c>
      <c r="G1218">
        <v>6.3</v>
      </c>
      <c r="H1218">
        <v>17</v>
      </c>
      <c r="I1218">
        <v>16.8</v>
      </c>
    </row>
    <row r="1219" spans="1:9" ht="24" customHeight="1">
      <c r="A1219" s="6" t="s">
        <v>2755</v>
      </c>
      <c r="B1219">
        <v>3365</v>
      </c>
      <c r="C1219">
        <v>910</v>
      </c>
      <c r="D1219">
        <v>465348</v>
      </c>
      <c r="E1219">
        <v>305850</v>
      </c>
      <c r="F1219">
        <v>13.9</v>
      </c>
      <c r="G1219">
        <v>12.4</v>
      </c>
      <c r="H1219">
        <v>22.2</v>
      </c>
      <c r="I1219">
        <v>22.2</v>
      </c>
    </row>
    <row r="1220" spans="1:9" ht="24" customHeight="1">
      <c r="A1220" s="6" t="s">
        <v>2756</v>
      </c>
      <c r="B1220">
        <v>3861</v>
      </c>
      <c r="C1220">
        <v>1331</v>
      </c>
      <c r="D1220">
        <v>545066</v>
      </c>
      <c r="E1220">
        <v>432171</v>
      </c>
      <c r="F1220">
        <v>8.4</v>
      </c>
      <c r="G1220">
        <v>8.5</v>
      </c>
      <c r="H1220">
        <v>27.3</v>
      </c>
      <c r="I1220">
        <v>27.5</v>
      </c>
    </row>
    <row r="1221" spans="1:9" ht="24" customHeight="1">
      <c r="A1221" s="6" t="s">
        <v>2757</v>
      </c>
      <c r="B1221">
        <v>5196</v>
      </c>
      <c r="C1221">
        <v>2210</v>
      </c>
      <c r="D1221">
        <v>359020</v>
      </c>
      <c r="E1221">
        <v>274931</v>
      </c>
      <c r="F1221">
        <v>12.1</v>
      </c>
      <c r="G1221">
        <v>6.5</v>
      </c>
      <c r="H1221">
        <v>3.4</v>
      </c>
      <c r="I1221">
        <v>3.8</v>
      </c>
    </row>
    <row r="1222" spans="1:9" ht="24" customHeight="1">
      <c r="A1222" s="6" t="s">
        <v>2758</v>
      </c>
      <c r="B1222">
        <v>6776</v>
      </c>
      <c r="C1222">
        <v>1696</v>
      </c>
      <c r="D1222">
        <v>534409</v>
      </c>
      <c r="E1222">
        <v>394597</v>
      </c>
      <c r="F1222">
        <v>7.4</v>
      </c>
      <c r="G1222">
        <v>6.5</v>
      </c>
      <c r="H1222">
        <v>34.700000000000003</v>
      </c>
      <c r="I1222">
        <v>33</v>
      </c>
    </row>
    <row r="1223" spans="1:9" ht="24" customHeight="1">
      <c r="A1223" s="6" t="s">
        <v>2759</v>
      </c>
      <c r="B1223">
        <v>6473</v>
      </c>
      <c r="C1223">
        <v>4038</v>
      </c>
      <c r="D1223">
        <v>364993</v>
      </c>
      <c r="E1223">
        <v>300927</v>
      </c>
      <c r="F1223">
        <v>14.5</v>
      </c>
      <c r="G1223">
        <v>11</v>
      </c>
      <c r="H1223">
        <v>6.4</v>
      </c>
      <c r="I1223">
        <v>6.5</v>
      </c>
    </row>
    <row r="1224" spans="1:9" ht="24" customHeight="1">
      <c r="A1224" s="6" t="s">
        <v>2760</v>
      </c>
      <c r="B1224">
        <v>41171</v>
      </c>
      <c r="C1224">
        <v>12722</v>
      </c>
      <c r="D1224">
        <v>459737</v>
      </c>
      <c r="E1224">
        <v>368100</v>
      </c>
      <c r="F1224">
        <v>13.5</v>
      </c>
      <c r="G1224">
        <v>10.4</v>
      </c>
      <c r="H1224">
        <v>17.7</v>
      </c>
      <c r="I1224">
        <v>16.2</v>
      </c>
    </row>
    <row r="1225" spans="1:9" ht="24" customHeight="1">
      <c r="A1225" s="6" t="s">
        <v>2761</v>
      </c>
      <c r="B1225">
        <v>1465</v>
      </c>
      <c r="C1225">
        <v>718</v>
      </c>
      <c r="D1225">
        <v>262110</v>
      </c>
      <c r="E1225">
        <v>229887</v>
      </c>
      <c r="F1225">
        <v>11.6</v>
      </c>
      <c r="G1225">
        <v>4.5</v>
      </c>
      <c r="H1225">
        <v>0</v>
      </c>
      <c r="I1225">
        <v>0</v>
      </c>
    </row>
    <row r="1226" spans="1:9" ht="24" customHeight="1">
      <c r="A1226" s="6" t="s">
        <v>2762</v>
      </c>
      <c r="B1226">
        <v>3475</v>
      </c>
      <c r="C1226">
        <v>634</v>
      </c>
      <c r="D1226">
        <v>336501</v>
      </c>
      <c r="E1226">
        <v>276457</v>
      </c>
      <c r="F1226">
        <v>14.7</v>
      </c>
      <c r="G1226">
        <v>5.4</v>
      </c>
      <c r="H1226">
        <v>1.5</v>
      </c>
      <c r="I1226">
        <v>1.2</v>
      </c>
    </row>
    <row r="1227" spans="1:9" ht="24" customHeight="1">
      <c r="A1227" s="6" t="s">
        <v>2763</v>
      </c>
      <c r="B1227">
        <v>4731</v>
      </c>
      <c r="C1227">
        <v>2937</v>
      </c>
      <c r="D1227">
        <v>438934</v>
      </c>
      <c r="E1227">
        <v>400673</v>
      </c>
      <c r="F1227">
        <v>15.8</v>
      </c>
      <c r="G1227">
        <v>15</v>
      </c>
      <c r="H1227">
        <v>12.1</v>
      </c>
      <c r="I1227">
        <v>12.1</v>
      </c>
    </row>
    <row r="1228" spans="1:9" ht="24" customHeight="1">
      <c r="A1228" s="6" t="s">
        <v>2764</v>
      </c>
      <c r="B1228">
        <v>6174</v>
      </c>
      <c r="C1228">
        <v>2086</v>
      </c>
      <c r="D1228">
        <v>488091</v>
      </c>
      <c r="E1228">
        <v>376350</v>
      </c>
      <c r="F1228">
        <v>14.8</v>
      </c>
      <c r="G1228">
        <v>11.2</v>
      </c>
      <c r="H1228">
        <v>16.7</v>
      </c>
      <c r="I1228">
        <v>15.9</v>
      </c>
    </row>
    <row r="1229" spans="1:9" ht="24" customHeight="1">
      <c r="A1229" s="6" t="s">
        <v>2765</v>
      </c>
      <c r="B1229">
        <v>2891</v>
      </c>
      <c r="C1229">
        <v>898</v>
      </c>
      <c r="D1229">
        <v>518111</v>
      </c>
      <c r="E1229">
        <v>405613</v>
      </c>
      <c r="F1229">
        <v>10.4</v>
      </c>
      <c r="G1229">
        <v>8.1</v>
      </c>
      <c r="H1229">
        <v>21.8</v>
      </c>
      <c r="I1229">
        <v>22.3</v>
      </c>
    </row>
    <row r="1230" spans="1:9" ht="24" customHeight="1">
      <c r="A1230" s="6" t="s">
        <v>2766</v>
      </c>
      <c r="B1230">
        <v>3674</v>
      </c>
      <c r="C1230">
        <v>889</v>
      </c>
      <c r="D1230">
        <v>520482</v>
      </c>
      <c r="E1230">
        <v>371360</v>
      </c>
      <c r="F1230">
        <v>11.7</v>
      </c>
      <c r="G1230">
        <v>7.8</v>
      </c>
      <c r="H1230">
        <v>26.8</v>
      </c>
      <c r="I1230">
        <v>26.4</v>
      </c>
    </row>
    <row r="1231" spans="1:9" ht="24" customHeight="1">
      <c r="A1231" s="6" t="s">
        <v>2767</v>
      </c>
      <c r="B1231">
        <v>2844</v>
      </c>
      <c r="C1231">
        <v>651</v>
      </c>
      <c r="D1231">
        <v>372319</v>
      </c>
      <c r="E1231">
        <v>305445</v>
      </c>
      <c r="F1231">
        <v>19.3</v>
      </c>
      <c r="G1231">
        <v>13.2</v>
      </c>
      <c r="H1231">
        <v>3.4</v>
      </c>
      <c r="I1231">
        <v>3.5</v>
      </c>
    </row>
    <row r="1232" spans="1:9" ht="24" customHeight="1">
      <c r="A1232" s="6" t="s">
        <v>2768</v>
      </c>
      <c r="B1232">
        <v>10352</v>
      </c>
      <c r="C1232">
        <v>2489</v>
      </c>
      <c r="D1232">
        <v>537688</v>
      </c>
      <c r="E1232">
        <v>399906</v>
      </c>
      <c r="F1232">
        <v>9.9</v>
      </c>
      <c r="G1232">
        <v>6.5</v>
      </c>
      <c r="H1232">
        <v>34.4</v>
      </c>
      <c r="I1232">
        <v>33.799999999999997</v>
      </c>
    </row>
    <row r="1233" spans="1:9" ht="24" customHeight="1">
      <c r="A1233" s="6" t="s">
        <v>2769</v>
      </c>
      <c r="B1233">
        <v>5607</v>
      </c>
      <c r="C1233">
        <v>1628</v>
      </c>
      <c r="D1233">
        <v>402979</v>
      </c>
      <c r="E1233">
        <v>345402</v>
      </c>
      <c r="F1233">
        <v>16</v>
      </c>
      <c r="G1233">
        <v>12.1</v>
      </c>
      <c r="H1233">
        <v>6.6</v>
      </c>
      <c r="I1233">
        <v>6.8</v>
      </c>
    </row>
    <row r="1234" spans="1:9" ht="24" customHeight="1">
      <c r="A1234" s="6" t="s">
        <v>562</v>
      </c>
      <c r="B1234">
        <v>276506</v>
      </c>
      <c r="C1234">
        <v>83406</v>
      </c>
      <c r="D1234">
        <v>552931</v>
      </c>
      <c r="E1234">
        <v>360940</v>
      </c>
      <c r="F1234">
        <v>13.9</v>
      </c>
      <c r="G1234">
        <v>8.8000000000000007</v>
      </c>
      <c r="H1234">
        <v>16.399999999999999</v>
      </c>
      <c r="I1234">
        <v>14.4</v>
      </c>
    </row>
    <row r="1235" spans="1:9" ht="24" customHeight="1">
      <c r="A1235" s="6" t="s">
        <v>563</v>
      </c>
      <c r="B1235">
        <v>127249</v>
      </c>
      <c r="C1235">
        <v>31069</v>
      </c>
      <c r="D1235">
        <v>663114</v>
      </c>
      <c r="E1235">
        <v>455496</v>
      </c>
      <c r="F1235">
        <v>15.5</v>
      </c>
      <c r="G1235">
        <v>10.7</v>
      </c>
      <c r="H1235">
        <v>17.899999999999999</v>
      </c>
      <c r="I1235">
        <v>17</v>
      </c>
    </row>
    <row r="1236" spans="1:9" ht="24" customHeight="1">
      <c r="A1236" s="6" t="s">
        <v>564</v>
      </c>
      <c r="B1236">
        <v>4693</v>
      </c>
      <c r="C1236">
        <v>2551</v>
      </c>
      <c r="D1236">
        <v>326289</v>
      </c>
      <c r="E1236">
        <v>276998</v>
      </c>
      <c r="F1236">
        <v>6.2</v>
      </c>
      <c r="G1236">
        <v>7.1</v>
      </c>
      <c r="H1236">
        <v>0</v>
      </c>
      <c r="I1236">
        <v>0</v>
      </c>
    </row>
    <row r="1237" spans="1:9" ht="24" customHeight="1">
      <c r="A1237" s="6" t="s">
        <v>2770</v>
      </c>
      <c r="B1237">
        <v>8352</v>
      </c>
      <c r="C1237">
        <v>2671</v>
      </c>
      <c r="D1237">
        <v>410689</v>
      </c>
      <c r="E1237">
        <v>387497</v>
      </c>
      <c r="F1237">
        <v>22.9</v>
      </c>
      <c r="G1237">
        <v>19.399999999999999</v>
      </c>
      <c r="H1237">
        <v>1.4</v>
      </c>
      <c r="I1237">
        <v>1.6</v>
      </c>
    </row>
    <row r="1238" spans="1:9" ht="24" customHeight="1">
      <c r="A1238" s="6" t="s">
        <v>2771</v>
      </c>
      <c r="B1238">
        <v>16628</v>
      </c>
      <c r="C1238">
        <v>3276</v>
      </c>
      <c r="D1238">
        <v>635127</v>
      </c>
      <c r="E1238">
        <v>510836</v>
      </c>
      <c r="F1238">
        <v>19.5</v>
      </c>
      <c r="G1238">
        <v>9.6999999999999993</v>
      </c>
      <c r="H1238">
        <v>12.2</v>
      </c>
      <c r="I1238">
        <v>12.2</v>
      </c>
    </row>
    <row r="1239" spans="1:9" ht="24" customHeight="1">
      <c r="A1239" s="6" t="s">
        <v>2772</v>
      </c>
      <c r="B1239">
        <v>17120</v>
      </c>
      <c r="C1239">
        <v>2524</v>
      </c>
      <c r="D1239">
        <v>680462</v>
      </c>
      <c r="E1239">
        <v>441846</v>
      </c>
      <c r="F1239">
        <v>13.7</v>
      </c>
      <c r="G1239">
        <v>5.3</v>
      </c>
      <c r="H1239">
        <v>16.600000000000001</v>
      </c>
      <c r="I1239">
        <v>16.7</v>
      </c>
    </row>
    <row r="1240" spans="1:9" ht="24" customHeight="1">
      <c r="A1240" s="6" t="s">
        <v>2773</v>
      </c>
      <c r="B1240">
        <v>9397</v>
      </c>
      <c r="C1240">
        <v>1391</v>
      </c>
      <c r="D1240">
        <v>809319</v>
      </c>
      <c r="E1240">
        <v>466709</v>
      </c>
      <c r="F1240">
        <v>9.4</v>
      </c>
      <c r="G1240">
        <v>9.1</v>
      </c>
      <c r="H1240">
        <v>22.2</v>
      </c>
      <c r="I1240">
        <v>21.8</v>
      </c>
    </row>
    <row r="1241" spans="1:9" ht="24" customHeight="1">
      <c r="A1241" s="6" t="s">
        <v>2774</v>
      </c>
      <c r="B1241">
        <v>9336</v>
      </c>
      <c r="C1241">
        <v>2150</v>
      </c>
      <c r="D1241">
        <v>793127</v>
      </c>
      <c r="E1241">
        <v>496776</v>
      </c>
      <c r="F1241">
        <v>14.3</v>
      </c>
      <c r="G1241">
        <v>7.4</v>
      </c>
      <c r="H1241">
        <v>26.8</v>
      </c>
      <c r="I1241">
        <v>27.1</v>
      </c>
    </row>
    <row r="1242" spans="1:9" ht="24" customHeight="1">
      <c r="A1242" s="6" t="s">
        <v>2775</v>
      </c>
      <c r="B1242">
        <v>9019</v>
      </c>
      <c r="C1242">
        <v>4138</v>
      </c>
      <c r="D1242">
        <v>464856</v>
      </c>
      <c r="E1242">
        <v>419077</v>
      </c>
      <c r="F1242">
        <v>22.3</v>
      </c>
      <c r="G1242">
        <v>19.8</v>
      </c>
      <c r="H1242">
        <v>3.5</v>
      </c>
      <c r="I1242">
        <v>3.4</v>
      </c>
    </row>
    <row r="1243" spans="1:9" ht="24" customHeight="1">
      <c r="A1243" s="6" t="s">
        <v>565</v>
      </c>
      <c r="B1243">
        <v>34943</v>
      </c>
      <c r="C1243">
        <v>9591</v>
      </c>
      <c r="D1243">
        <v>795941</v>
      </c>
      <c r="E1243">
        <v>517990</v>
      </c>
      <c r="F1243">
        <v>11.5</v>
      </c>
      <c r="G1243">
        <v>8.6</v>
      </c>
      <c r="H1243">
        <v>33.700000000000003</v>
      </c>
      <c r="I1243">
        <v>33.9</v>
      </c>
    </row>
    <row r="1244" spans="1:9" ht="24" customHeight="1">
      <c r="A1244" s="6" t="s">
        <v>2776</v>
      </c>
      <c r="B1244">
        <v>18085</v>
      </c>
      <c r="C1244">
        <v>3165</v>
      </c>
      <c r="D1244">
        <v>572238</v>
      </c>
      <c r="E1244">
        <v>426842</v>
      </c>
      <c r="F1244">
        <v>20.399999999999999</v>
      </c>
      <c r="G1244">
        <v>8.3000000000000007</v>
      </c>
      <c r="H1244">
        <v>6.9</v>
      </c>
      <c r="I1244">
        <v>6.7</v>
      </c>
    </row>
    <row r="1245" spans="1:9" ht="24" customHeight="1">
      <c r="A1245" s="6" t="s">
        <v>2777</v>
      </c>
      <c r="B1245">
        <v>71383</v>
      </c>
      <c r="C1245">
        <v>23595</v>
      </c>
      <c r="D1245">
        <v>423294</v>
      </c>
      <c r="E1245">
        <v>278582</v>
      </c>
      <c r="F1245">
        <v>12</v>
      </c>
      <c r="G1245">
        <v>6.1</v>
      </c>
      <c r="H1245">
        <v>14.2</v>
      </c>
      <c r="I1245">
        <v>11.6</v>
      </c>
    </row>
    <row r="1246" spans="1:9" ht="24" customHeight="1">
      <c r="A1246" s="6" t="s">
        <v>2778</v>
      </c>
      <c r="B1246">
        <v>2662</v>
      </c>
      <c r="C1246">
        <v>1984</v>
      </c>
      <c r="D1246">
        <v>299561</v>
      </c>
      <c r="E1246">
        <v>225483</v>
      </c>
      <c r="F1246">
        <v>11.5</v>
      </c>
      <c r="G1246">
        <v>6.7</v>
      </c>
      <c r="H1246">
        <v>0</v>
      </c>
      <c r="I1246">
        <v>0</v>
      </c>
    </row>
    <row r="1247" spans="1:9" ht="24" customHeight="1">
      <c r="A1247" s="6" t="s">
        <v>2779</v>
      </c>
      <c r="B1247">
        <v>6565</v>
      </c>
      <c r="C1247">
        <v>3398</v>
      </c>
      <c r="D1247">
        <v>315997</v>
      </c>
      <c r="E1247">
        <v>235959</v>
      </c>
      <c r="F1247">
        <v>13.5</v>
      </c>
      <c r="G1247">
        <v>4.9000000000000004</v>
      </c>
      <c r="H1247">
        <v>1.4</v>
      </c>
      <c r="I1247">
        <v>1.7</v>
      </c>
    </row>
    <row r="1248" spans="1:9" ht="24" customHeight="1">
      <c r="A1248" s="6" t="s">
        <v>2780</v>
      </c>
      <c r="B1248">
        <v>10887</v>
      </c>
      <c r="C1248">
        <v>3592</v>
      </c>
      <c r="D1248">
        <v>421123</v>
      </c>
      <c r="E1248">
        <v>290444</v>
      </c>
      <c r="F1248">
        <v>11.2</v>
      </c>
      <c r="G1248">
        <v>4.9000000000000004</v>
      </c>
      <c r="H1248">
        <v>11.6</v>
      </c>
      <c r="I1248">
        <v>11.5</v>
      </c>
    </row>
    <row r="1249" spans="1:9" ht="24" customHeight="1">
      <c r="A1249" s="6" t="s">
        <v>2781</v>
      </c>
      <c r="B1249">
        <v>9782</v>
      </c>
      <c r="C1249">
        <v>3412</v>
      </c>
      <c r="D1249">
        <v>474719</v>
      </c>
      <c r="E1249">
        <v>220502</v>
      </c>
      <c r="F1249">
        <v>12.1</v>
      </c>
      <c r="G1249">
        <v>3.3</v>
      </c>
      <c r="H1249">
        <v>16.899999999999999</v>
      </c>
      <c r="I1249">
        <v>17</v>
      </c>
    </row>
    <row r="1250" spans="1:9" ht="24" customHeight="1">
      <c r="A1250" s="6" t="s">
        <v>2782</v>
      </c>
      <c r="B1250">
        <v>6149</v>
      </c>
      <c r="C1250">
        <v>2322</v>
      </c>
      <c r="D1250">
        <v>485122</v>
      </c>
      <c r="E1250">
        <v>311610</v>
      </c>
      <c r="F1250">
        <v>10.8</v>
      </c>
      <c r="G1250">
        <v>6.5</v>
      </c>
      <c r="H1250">
        <v>21.6</v>
      </c>
      <c r="I1250">
        <v>21.6</v>
      </c>
    </row>
    <row r="1251" spans="1:9" ht="24" customHeight="1">
      <c r="A1251" s="6" t="s">
        <v>2783</v>
      </c>
      <c r="B1251">
        <v>5589</v>
      </c>
      <c r="C1251">
        <v>1355</v>
      </c>
      <c r="D1251">
        <v>507357</v>
      </c>
      <c r="E1251">
        <v>326067</v>
      </c>
      <c r="F1251">
        <v>10.5</v>
      </c>
      <c r="G1251">
        <v>7.3</v>
      </c>
      <c r="H1251">
        <v>26.7</v>
      </c>
      <c r="I1251">
        <v>26.4</v>
      </c>
    </row>
    <row r="1252" spans="1:9" ht="24" customHeight="1">
      <c r="A1252" s="6" t="s">
        <v>2784</v>
      </c>
      <c r="B1252">
        <v>6922</v>
      </c>
      <c r="C1252">
        <v>4131</v>
      </c>
      <c r="D1252">
        <v>355925</v>
      </c>
      <c r="E1252">
        <v>266484</v>
      </c>
      <c r="F1252">
        <v>16.600000000000001</v>
      </c>
      <c r="G1252">
        <v>5</v>
      </c>
      <c r="H1252">
        <v>3.6</v>
      </c>
      <c r="I1252">
        <v>3.4</v>
      </c>
    </row>
    <row r="1253" spans="1:9" ht="24" customHeight="1">
      <c r="A1253" s="6" t="s">
        <v>2785</v>
      </c>
      <c r="B1253">
        <v>9096</v>
      </c>
      <c r="C1253">
        <v>2224</v>
      </c>
      <c r="D1253">
        <v>507216</v>
      </c>
      <c r="E1253">
        <v>272638</v>
      </c>
      <c r="F1253">
        <v>6.7</v>
      </c>
      <c r="G1253">
        <v>5.4</v>
      </c>
      <c r="H1253">
        <v>34.799999999999997</v>
      </c>
      <c r="I1253">
        <v>35</v>
      </c>
    </row>
    <row r="1254" spans="1:9" ht="24" customHeight="1">
      <c r="A1254" s="6" t="s">
        <v>2786</v>
      </c>
      <c r="B1254">
        <v>14645</v>
      </c>
      <c r="C1254">
        <v>4169</v>
      </c>
      <c r="D1254">
        <v>365407</v>
      </c>
      <c r="E1254">
        <v>252758</v>
      </c>
      <c r="F1254">
        <v>13.3</v>
      </c>
      <c r="G1254">
        <v>7.1</v>
      </c>
      <c r="H1254">
        <v>6.9</v>
      </c>
      <c r="I1254">
        <v>7.1</v>
      </c>
    </row>
    <row r="1255" spans="1:9" ht="24" customHeight="1">
      <c r="A1255" s="6" t="s">
        <v>2787</v>
      </c>
      <c r="B1255">
        <v>38856</v>
      </c>
      <c r="C1255">
        <v>14313</v>
      </c>
      <c r="D1255">
        <v>465771</v>
      </c>
      <c r="E1255">
        <v>318842</v>
      </c>
      <c r="F1255">
        <v>11.4</v>
      </c>
      <c r="G1255">
        <v>8.6</v>
      </c>
      <c r="H1255">
        <v>14.2</v>
      </c>
      <c r="I1255">
        <v>12.9</v>
      </c>
    </row>
    <row r="1256" spans="1:9" ht="24" customHeight="1">
      <c r="A1256" s="6" t="s">
        <v>2788</v>
      </c>
      <c r="B1256">
        <v>2027</v>
      </c>
      <c r="C1256">
        <v>899</v>
      </c>
      <c r="D1256">
        <v>255727</v>
      </c>
      <c r="E1256">
        <v>196539</v>
      </c>
      <c r="F1256">
        <v>7.5</v>
      </c>
      <c r="G1256">
        <v>5.0999999999999996</v>
      </c>
      <c r="H1256">
        <v>0</v>
      </c>
      <c r="I1256">
        <v>0</v>
      </c>
    </row>
    <row r="1257" spans="1:9" ht="24" customHeight="1">
      <c r="A1257" s="6" t="s">
        <v>2789</v>
      </c>
      <c r="B1257">
        <v>3995</v>
      </c>
      <c r="C1257">
        <v>1845</v>
      </c>
      <c r="D1257">
        <v>389681</v>
      </c>
      <c r="E1257">
        <v>279386</v>
      </c>
      <c r="F1257">
        <v>12.6</v>
      </c>
      <c r="G1257">
        <v>12.8</v>
      </c>
      <c r="H1257">
        <v>1.4</v>
      </c>
      <c r="I1257">
        <v>1.3</v>
      </c>
    </row>
    <row r="1258" spans="1:9" ht="24" customHeight="1">
      <c r="A1258" s="6" t="s">
        <v>2790</v>
      </c>
      <c r="B1258">
        <v>4621</v>
      </c>
      <c r="C1258">
        <v>1496</v>
      </c>
      <c r="D1258">
        <v>468720</v>
      </c>
      <c r="E1258">
        <v>306152</v>
      </c>
      <c r="F1258">
        <v>16.5</v>
      </c>
      <c r="G1258">
        <v>7.3</v>
      </c>
      <c r="H1258">
        <v>11.9</v>
      </c>
      <c r="I1258">
        <v>11.8</v>
      </c>
    </row>
    <row r="1259" spans="1:9" ht="24" customHeight="1">
      <c r="A1259" s="6" t="s">
        <v>2791</v>
      </c>
      <c r="B1259">
        <v>5602</v>
      </c>
      <c r="C1259">
        <v>1953</v>
      </c>
      <c r="D1259">
        <v>493704</v>
      </c>
      <c r="E1259">
        <v>341952</v>
      </c>
      <c r="F1259">
        <v>10.9</v>
      </c>
      <c r="G1259">
        <v>7.1</v>
      </c>
      <c r="H1259">
        <v>16.899999999999999</v>
      </c>
      <c r="I1259">
        <v>16.600000000000001</v>
      </c>
    </row>
    <row r="1260" spans="1:9" ht="24" customHeight="1">
      <c r="A1260" s="6" t="s">
        <v>2792</v>
      </c>
      <c r="B1260">
        <v>3463</v>
      </c>
      <c r="C1260">
        <v>789</v>
      </c>
      <c r="D1260">
        <v>544807</v>
      </c>
      <c r="E1260">
        <v>309743</v>
      </c>
      <c r="F1260">
        <v>6.8</v>
      </c>
      <c r="G1260">
        <v>6.7</v>
      </c>
      <c r="H1260">
        <v>22</v>
      </c>
      <c r="I1260">
        <v>22.3</v>
      </c>
    </row>
    <row r="1261" spans="1:9" ht="24" customHeight="1">
      <c r="A1261" s="6" t="s">
        <v>2793</v>
      </c>
      <c r="B1261">
        <v>2899</v>
      </c>
      <c r="C1261">
        <v>812</v>
      </c>
      <c r="D1261">
        <v>590376</v>
      </c>
      <c r="E1261">
        <v>419984</v>
      </c>
      <c r="F1261">
        <v>5.3</v>
      </c>
      <c r="G1261">
        <v>3.8</v>
      </c>
      <c r="H1261">
        <v>26.7</v>
      </c>
      <c r="I1261">
        <v>26.7</v>
      </c>
    </row>
    <row r="1262" spans="1:9" ht="24" customHeight="1">
      <c r="A1262" s="6" t="s">
        <v>2794</v>
      </c>
      <c r="B1262">
        <v>3315</v>
      </c>
      <c r="C1262">
        <v>1668</v>
      </c>
      <c r="D1262">
        <v>417687</v>
      </c>
      <c r="E1262">
        <v>270790</v>
      </c>
      <c r="F1262">
        <v>15.2</v>
      </c>
      <c r="G1262">
        <v>10.7</v>
      </c>
      <c r="H1262">
        <v>3.5</v>
      </c>
      <c r="I1262">
        <v>3.5</v>
      </c>
    </row>
    <row r="1263" spans="1:9" ht="24" customHeight="1">
      <c r="A1263" s="6" t="s">
        <v>2795</v>
      </c>
      <c r="B1263">
        <v>5213</v>
      </c>
      <c r="C1263">
        <v>1868</v>
      </c>
      <c r="D1263">
        <v>543629</v>
      </c>
      <c r="E1263">
        <v>396163</v>
      </c>
      <c r="F1263">
        <v>6.6</v>
      </c>
      <c r="G1263">
        <v>6</v>
      </c>
      <c r="H1263">
        <v>34.4</v>
      </c>
      <c r="I1263">
        <v>35.1</v>
      </c>
    </row>
    <row r="1264" spans="1:9" ht="24" customHeight="1">
      <c r="A1264" s="6" t="s">
        <v>2796</v>
      </c>
      <c r="B1264">
        <v>7820</v>
      </c>
      <c r="C1264">
        <v>3236</v>
      </c>
      <c r="D1264">
        <v>422889</v>
      </c>
      <c r="E1264">
        <v>319439</v>
      </c>
      <c r="F1264">
        <v>15</v>
      </c>
      <c r="G1264">
        <v>10.4</v>
      </c>
      <c r="H1264">
        <v>6.9</v>
      </c>
      <c r="I1264">
        <v>7</v>
      </c>
    </row>
    <row r="1265" spans="1:9" ht="24" customHeight="1">
      <c r="A1265" s="6" t="s">
        <v>2797</v>
      </c>
      <c r="B1265">
        <v>39018</v>
      </c>
      <c r="C1265">
        <v>14429</v>
      </c>
      <c r="D1265">
        <v>517562</v>
      </c>
      <c r="E1265">
        <v>333775</v>
      </c>
      <c r="F1265">
        <v>14.6</v>
      </c>
      <c r="G1265">
        <v>9.3000000000000007</v>
      </c>
      <c r="H1265">
        <v>17.8</v>
      </c>
      <c r="I1265">
        <v>14.8</v>
      </c>
    </row>
    <row r="1266" spans="1:9" ht="24" customHeight="1">
      <c r="A1266" s="6" t="s">
        <v>2798</v>
      </c>
      <c r="B1266">
        <v>1228</v>
      </c>
      <c r="C1266">
        <v>280</v>
      </c>
      <c r="D1266">
        <v>266012</v>
      </c>
      <c r="E1266">
        <v>217974</v>
      </c>
      <c r="F1266">
        <v>6.2</v>
      </c>
      <c r="G1266">
        <v>2.8</v>
      </c>
      <c r="H1266">
        <v>0</v>
      </c>
      <c r="I1266">
        <v>0</v>
      </c>
    </row>
    <row r="1267" spans="1:9" ht="24" customHeight="1">
      <c r="A1267" s="6" t="s">
        <v>2799</v>
      </c>
      <c r="B1267">
        <v>2061</v>
      </c>
      <c r="C1267">
        <v>705</v>
      </c>
      <c r="D1267">
        <v>366381</v>
      </c>
      <c r="E1267">
        <v>266353</v>
      </c>
      <c r="F1267">
        <v>13.1</v>
      </c>
      <c r="G1267">
        <v>9.8000000000000007</v>
      </c>
      <c r="H1267">
        <v>1.6</v>
      </c>
      <c r="I1267">
        <v>1.3</v>
      </c>
    </row>
    <row r="1268" spans="1:9" ht="24" customHeight="1">
      <c r="A1268" s="6" t="s">
        <v>2800</v>
      </c>
      <c r="B1268">
        <v>3607</v>
      </c>
      <c r="C1268">
        <v>906</v>
      </c>
      <c r="D1268">
        <v>495675</v>
      </c>
      <c r="E1268">
        <v>358536</v>
      </c>
      <c r="F1268">
        <v>21.4</v>
      </c>
      <c r="G1268">
        <v>13.9</v>
      </c>
      <c r="H1268">
        <v>11.9</v>
      </c>
      <c r="I1268">
        <v>12.1</v>
      </c>
    </row>
    <row r="1269" spans="1:9" ht="24" customHeight="1">
      <c r="A1269" s="6" t="s">
        <v>2801</v>
      </c>
      <c r="B1269">
        <v>5776</v>
      </c>
      <c r="C1269">
        <v>3359</v>
      </c>
      <c r="D1269">
        <v>554796</v>
      </c>
      <c r="E1269">
        <v>298404</v>
      </c>
      <c r="F1269">
        <v>13.5</v>
      </c>
      <c r="G1269">
        <v>6.9</v>
      </c>
      <c r="H1269">
        <v>16.899999999999999</v>
      </c>
      <c r="I1269">
        <v>16.7</v>
      </c>
    </row>
    <row r="1270" spans="1:9" ht="24" customHeight="1">
      <c r="A1270" s="6" t="s">
        <v>2802</v>
      </c>
      <c r="B1270">
        <v>4515</v>
      </c>
      <c r="C1270">
        <v>894</v>
      </c>
      <c r="D1270">
        <v>553342</v>
      </c>
      <c r="E1270">
        <v>408334</v>
      </c>
      <c r="F1270">
        <v>18.8</v>
      </c>
      <c r="G1270">
        <v>10.199999999999999</v>
      </c>
      <c r="H1270">
        <v>21.4</v>
      </c>
      <c r="I1270">
        <v>22.2</v>
      </c>
    </row>
    <row r="1271" spans="1:9" ht="24" customHeight="1">
      <c r="A1271" s="6" t="s">
        <v>2803</v>
      </c>
      <c r="B1271">
        <v>3872</v>
      </c>
      <c r="C1271">
        <v>1543</v>
      </c>
      <c r="D1271">
        <v>625084</v>
      </c>
      <c r="E1271">
        <v>439140</v>
      </c>
      <c r="F1271">
        <v>14.8</v>
      </c>
      <c r="G1271">
        <v>8.1999999999999993</v>
      </c>
      <c r="H1271">
        <v>26.9</v>
      </c>
      <c r="I1271">
        <v>26.8</v>
      </c>
    </row>
    <row r="1272" spans="1:9" ht="24" customHeight="1">
      <c r="A1272" s="6" t="s">
        <v>2804</v>
      </c>
      <c r="B1272">
        <v>3490</v>
      </c>
      <c r="C1272">
        <v>2240</v>
      </c>
      <c r="D1272">
        <v>404906</v>
      </c>
      <c r="E1272">
        <v>262362</v>
      </c>
      <c r="F1272">
        <v>18.3</v>
      </c>
      <c r="G1272">
        <v>6.7</v>
      </c>
      <c r="H1272">
        <v>3.4</v>
      </c>
      <c r="I1272">
        <v>3.8</v>
      </c>
    </row>
    <row r="1273" spans="1:9" ht="24" customHeight="1">
      <c r="A1273" s="6" t="s">
        <v>2805</v>
      </c>
      <c r="B1273">
        <v>8732</v>
      </c>
      <c r="C1273">
        <v>2039</v>
      </c>
      <c r="D1273">
        <v>634149</v>
      </c>
      <c r="E1273">
        <v>457301</v>
      </c>
      <c r="F1273">
        <v>7.7</v>
      </c>
      <c r="G1273">
        <v>9.6999999999999993</v>
      </c>
      <c r="H1273">
        <v>34.1</v>
      </c>
      <c r="I1273">
        <v>34.1</v>
      </c>
    </row>
    <row r="1274" spans="1:9" ht="24" customHeight="1">
      <c r="A1274" s="6" t="s">
        <v>2806</v>
      </c>
      <c r="B1274">
        <v>5778</v>
      </c>
      <c r="C1274">
        <v>3250</v>
      </c>
      <c r="D1274">
        <v>391335</v>
      </c>
      <c r="E1274">
        <v>265151</v>
      </c>
      <c r="F1274">
        <v>18.600000000000001</v>
      </c>
      <c r="G1274">
        <v>10.3</v>
      </c>
      <c r="H1274">
        <v>7.2</v>
      </c>
      <c r="I1274">
        <v>6.6</v>
      </c>
    </row>
    <row r="1275" spans="1:9" ht="24" customHeight="1">
      <c r="A1275" s="6" t="s">
        <v>566</v>
      </c>
      <c r="B1275">
        <v>87857</v>
      </c>
      <c r="C1275">
        <v>23550</v>
      </c>
      <c r="D1275">
        <v>577667</v>
      </c>
      <c r="E1275">
        <v>398705</v>
      </c>
      <c r="F1275">
        <v>14.3</v>
      </c>
      <c r="G1275">
        <v>9.1</v>
      </c>
      <c r="H1275">
        <v>18</v>
      </c>
      <c r="I1275">
        <v>16.2</v>
      </c>
    </row>
    <row r="1276" spans="1:9" ht="24" customHeight="1">
      <c r="A1276" s="6" t="s">
        <v>567</v>
      </c>
      <c r="B1276">
        <v>43090</v>
      </c>
      <c r="C1276">
        <v>10204</v>
      </c>
      <c r="D1276">
        <v>680115</v>
      </c>
      <c r="E1276">
        <v>508219</v>
      </c>
      <c r="F1276">
        <v>15.9</v>
      </c>
      <c r="G1276">
        <v>10.5</v>
      </c>
      <c r="H1276">
        <v>19.2</v>
      </c>
      <c r="I1276">
        <v>17.899999999999999</v>
      </c>
    </row>
    <row r="1277" spans="1:9" ht="24" customHeight="1">
      <c r="A1277" s="6" t="s">
        <v>568</v>
      </c>
      <c r="B1277">
        <v>1718</v>
      </c>
      <c r="C1277">
        <v>721</v>
      </c>
      <c r="D1277">
        <v>421456</v>
      </c>
      <c r="E1277">
        <v>326812</v>
      </c>
      <c r="F1277">
        <v>12.5</v>
      </c>
      <c r="G1277">
        <v>8.3000000000000007</v>
      </c>
      <c r="H1277">
        <v>0</v>
      </c>
      <c r="I1277">
        <v>0</v>
      </c>
    </row>
    <row r="1278" spans="1:9" ht="24" customHeight="1">
      <c r="A1278" s="6" t="s">
        <v>2807</v>
      </c>
      <c r="B1278">
        <v>2199</v>
      </c>
      <c r="C1278">
        <v>814</v>
      </c>
      <c r="D1278">
        <v>470593</v>
      </c>
      <c r="E1278">
        <v>520247</v>
      </c>
      <c r="F1278">
        <v>17.3</v>
      </c>
      <c r="G1278">
        <v>11.7</v>
      </c>
      <c r="H1278">
        <v>1.5</v>
      </c>
      <c r="I1278">
        <v>1.7</v>
      </c>
    </row>
    <row r="1279" spans="1:9" ht="24" customHeight="1">
      <c r="A1279" s="6" t="s">
        <v>2808</v>
      </c>
      <c r="B1279">
        <v>5125</v>
      </c>
      <c r="C1279">
        <v>1293</v>
      </c>
      <c r="D1279">
        <v>605565</v>
      </c>
      <c r="E1279">
        <v>428218</v>
      </c>
      <c r="F1279">
        <v>20.399999999999999</v>
      </c>
      <c r="G1279">
        <v>7.2</v>
      </c>
      <c r="H1279">
        <v>12.6</v>
      </c>
      <c r="I1279">
        <v>12.8</v>
      </c>
    </row>
    <row r="1280" spans="1:9" ht="24" customHeight="1">
      <c r="A1280" s="6" t="s">
        <v>2809</v>
      </c>
      <c r="B1280">
        <v>6331</v>
      </c>
      <c r="C1280">
        <v>1395</v>
      </c>
      <c r="D1280">
        <v>706584</v>
      </c>
      <c r="E1280">
        <v>500655</v>
      </c>
      <c r="F1280">
        <v>20.5</v>
      </c>
      <c r="G1280">
        <v>8.1999999999999993</v>
      </c>
      <c r="H1280">
        <v>16.7</v>
      </c>
      <c r="I1280">
        <v>16.8</v>
      </c>
    </row>
    <row r="1281" spans="1:9" ht="24" customHeight="1">
      <c r="A1281" s="6" t="s">
        <v>2810</v>
      </c>
      <c r="B1281">
        <v>3898</v>
      </c>
      <c r="C1281">
        <v>564</v>
      </c>
      <c r="D1281">
        <v>828033</v>
      </c>
      <c r="E1281">
        <v>469035</v>
      </c>
      <c r="F1281">
        <v>13.4</v>
      </c>
      <c r="G1281">
        <v>6.5</v>
      </c>
      <c r="H1281">
        <v>22</v>
      </c>
      <c r="I1281">
        <v>21.8</v>
      </c>
    </row>
    <row r="1282" spans="1:9" ht="24" customHeight="1">
      <c r="A1282" s="6" t="s">
        <v>2811</v>
      </c>
      <c r="B1282">
        <v>3853</v>
      </c>
      <c r="C1282">
        <v>762</v>
      </c>
      <c r="D1282">
        <v>789839</v>
      </c>
      <c r="E1282">
        <v>544998</v>
      </c>
      <c r="F1282">
        <v>10.8</v>
      </c>
      <c r="G1282">
        <v>16.399999999999999</v>
      </c>
      <c r="H1282">
        <v>26.6</v>
      </c>
      <c r="I1282">
        <v>27.1</v>
      </c>
    </row>
    <row r="1283" spans="1:9" ht="24" customHeight="1">
      <c r="A1283" s="6" t="s">
        <v>2812</v>
      </c>
      <c r="B1283">
        <v>2491</v>
      </c>
      <c r="C1283">
        <v>827</v>
      </c>
      <c r="D1283">
        <v>506943</v>
      </c>
      <c r="E1283">
        <v>518176</v>
      </c>
      <c r="F1283">
        <v>22.9</v>
      </c>
      <c r="G1283">
        <v>11.5</v>
      </c>
      <c r="H1283">
        <v>3.5</v>
      </c>
      <c r="I1283">
        <v>3.6</v>
      </c>
    </row>
    <row r="1284" spans="1:9" ht="24" customHeight="1">
      <c r="A1284" s="6" t="s">
        <v>569</v>
      </c>
      <c r="B1284">
        <v>12458</v>
      </c>
      <c r="C1284">
        <v>3017</v>
      </c>
      <c r="D1284">
        <v>764268</v>
      </c>
      <c r="E1284">
        <v>557171</v>
      </c>
      <c r="F1284">
        <v>11.2</v>
      </c>
      <c r="G1284">
        <v>12.4</v>
      </c>
      <c r="H1284">
        <v>33.9</v>
      </c>
      <c r="I1284">
        <v>34.4</v>
      </c>
    </row>
    <row r="1285" spans="1:9" ht="24" customHeight="1">
      <c r="A1285" s="6" t="s">
        <v>2813</v>
      </c>
      <c r="B1285">
        <v>5025</v>
      </c>
      <c r="C1285">
        <v>1272</v>
      </c>
      <c r="D1285">
        <v>581480</v>
      </c>
      <c r="E1285">
        <v>501726</v>
      </c>
      <c r="F1285">
        <v>20.399999999999999</v>
      </c>
      <c r="G1285">
        <v>7.2</v>
      </c>
      <c r="H1285">
        <v>6.8</v>
      </c>
      <c r="I1285">
        <v>7.1</v>
      </c>
    </row>
    <row r="1286" spans="1:9" ht="24" customHeight="1">
      <c r="A1286" s="6" t="s">
        <v>2814</v>
      </c>
      <c r="B1286">
        <v>8632</v>
      </c>
      <c r="C1286">
        <v>4110</v>
      </c>
      <c r="D1286">
        <v>406876</v>
      </c>
      <c r="E1286">
        <v>258089</v>
      </c>
      <c r="F1286">
        <v>9.8000000000000007</v>
      </c>
      <c r="G1286">
        <v>6.1</v>
      </c>
      <c r="H1286">
        <v>15.1</v>
      </c>
      <c r="I1286">
        <v>12.5</v>
      </c>
    </row>
    <row r="1287" spans="1:9" ht="24" customHeight="1">
      <c r="A1287" s="6" t="s">
        <v>2815</v>
      </c>
      <c r="B1287">
        <v>353</v>
      </c>
      <c r="C1287">
        <v>351</v>
      </c>
      <c r="D1287">
        <v>250600</v>
      </c>
      <c r="E1287">
        <v>212450</v>
      </c>
      <c r="F1287">
        <v>6.5</v>
      </c>
      <c r="G1287">
        <v>4.9000000000000004</v>
      </c>
      <c r="H1287">
        <v>0</v>
      </c>
      <c r="I1287">
        <v>0</v>
      </c>
    </row>
    <row r="1288" spans="1:9" ht="24" customHeight="1">
      <c r="A1288" s="6" t="s">
        <v>2816</v>
      </c>
      <c r="B1288">
        <v>887</v>
      </c>
      <c r="C1288">
        <v>526</v>
      </c>
      <c r="D1288">
        <v>344238</v>
      </c>
      <c r="E1288">
        <v>232319</v>
      </c>
      <c r="F1288">
        <v>11.4</v>
      </c>
      <c r="G1288">
        <v>3.8</v>
      </c>
      <c r="H1288">
        <v>1.6</v>
      </c>
      <c r="I1288">
        <v>1.3</v>
      </c>
    </row>
    <row r="1289" spans="1:9" ht="24" customHeight="1">
      <c r="A1289" s="6" t="s">
        <v>2817</v>
      </c>
      <c r="B1289">
        <v>1166</v>
      </c>
      <c r="C1289">
        <v>475</v>
      </c>
      <c r="D1289">
        <v>396991</v>
      </c>
      <c r="E1289">
        <v>279414</v>
      </c>
      <c r="F1289">
        <v>11.5</v>
      </c>
      <c r="G1289">
        <v>9.8000000000000007</v>
      </c>
      <c r="H1289">
        <v>12</v>
      </c>
      <c r="I1289">
        <v>11.7</v>
      </c>
    </row>
    <row r="1290" spans="1:9" ht="24" customHeight="1">
      <c r="A1290" s="6" t="s">
        <v>2818</v>
      </c>
      <c r="B1290">
        <v>1131</v>
      </c>
      <c r="C1290">
        <v>502</v>
      </c>
      <c r="D1290">
        <v>409887</v>
      </c>
      <c r="E1290">
        <v>271383</v>
      </c>
      <c r="F1290">
        <v>12.3</v>
      </c>
      <c r="G1290">
        <v>7.1</v>
      </c>
      <c r="H1290">
        <v>16.8</v>
      </c>
      <c r="I1290">
        <v>16.7</v>
      </c>
    </row>
    <row r="1291" spans="1:9" ht="24" customHeight="1">
      <c r="A1291" s="6" t="s">
        <v>2819</v>
      </c>
      <c r="B1291">
        <v>848</v>
      </c>
      <c r="C1291">
        <v>540</v>
      </c>
      <c r="D1291">
        <v>505402</v>
      </c>
      <c r="E1291">
        <v>293895</v>
      </c>
      <c r="F1291">
        <v>4.9000000000000004</v>
      </c>
      <c r="G1291">
        <v>7</v>
      </c>
      <c r="H1291">
        <v>21.7</v>
      </c>
      <c r="I1291">
        <v>22.2</v>
      </c>
    </row>
    <row r="1292" spans="1:9" ht="24" customHeight="1">
      <c r="A1292" s="6" t="s">
        <v>2820</v>
      </c>
      <c r="B1292">
        <v>913</v>
      </c>
      <c r="C1292">
        <v>222</v>
      </c>
      <c r="D1292">
        <v>458451</v>
      </c>
      <c r="E1292">
        <v>225505</v>
      </c>
      <c r="F1292">
        <v>8.4</v>
      </c>
      <c r="G1292">
        <v>7.2</v>
      </c>
      <c r="H1292">
        <v>26.2</v>
      </c>
      <c r="I1292">
        <v>26.8</v>
      </c>
    </row>
    <row r="1293" spans="1:9" ht="24" customHeight="1">
      <c r="A1293" s="6" t="s">
        <v>2821</v>
      </c>
      <c r="B1293">
        <v>781</v>
      </c>
      <c r="C1293">
        <v>315</v>
      </c>
      <c r="D1293">
        <v>367325</v>
      </c>
      <c r="E1293">
        <v>236543</v>
      </c>
      <c r="F1293">
        <v>12.2</v>
      </c>
      <c r="G1293">
        <v>6.2</v>
      </c>
      <c r="H1293">
        <v>3.6</v>
      </c>
      <c r="I1293">
        <v>3.6</v>
      </c>
    </row>
    <row r="1294" spans="1:9" ht="24" customHeight="1">
      <c r="A1294" s="6" t="s">
        <v>2822</v>
      </c>
      <c r="B1294">
        <v>1147</v>
      </c>
      <c r="C1294">
        <v>364</v>
      </c>
      <c r="D1294">
        <v>469985</v>
      </c>
      <c r="E1294">
        <v>261269</v>
      </c>
      <c r="F1294">
        <v>8.6999999999999993</v>
      </c>
      <c r="G1294">
        <v>2.6</v>
      </c>
      <c r="H1294">
        <v>35.700000000000003</v>
      </c>
      <c r="I1294">
        <v>34.299999999999997</v>
      </c>
    </row>
    <row r="1295" spans="1:9" ht="24" customHeight="1">
      <c r="A1295" s="6" t="s">
        <v>2823</v>
      </c>
      <c r="B1295">
        <v>1407</v>
      </c>
      <c r="C1295">
        <v>955</v>
      </c>
      <c r="D1295">
        <v>369039</v>
      </c>
      <c r="E1295">
        <v>255966</v>
      </c>
      <c r="F1295">
        <v>9.4</v>
      </c>
      <c r="G1295">
        <v>5</v>
      </c>
      <c r="H1295">
        <v>6.7</v>
      </c>
      <c r="I1295">
        <v>7</v>
      </c>
    </row>
    <row r="1296" spans="1:9" ht="24" customHeight="1">
      <c r="A1296" s="6" t="s">
        <v>2824</v>
      </c>
      <c r="B1296">
        <v>16062</v>
      </c>
      <c r="C1296">
        <v>4417</v>
      </c>
      <c r="D1296">
        <v>443616</v>
      </c>
      <c r="E1296">
        <v>312903</v>
      </c>
      <c r="F1296">
        <v>12.2</v>
      </c>
      <c r="G1296">
        <v>8.1</v>
      </c>
      <c r="H1296">
        <v>16</v>
      </c>
      <c r="I1296">
        <v>13.8</v>
      </c>
    </row>
    <row r="1297" spans="1:9" ht="24" customHeight="1">
      <c r="A1297" s="6" t="s">
        <v>2825</v>
      </c>
      <c r="B1297">
        <v>690</v>
      </c>
      <c r="C1297">
        <v>256</v>
      </c>
      <c r="D1297">
        <v>247541</v>
      </c>
      <c r="E1297">
        <v>200754</v>
      </c>
      <c r="F1297">
        <v>6.4</v>
      </c>
      <c r="G1297">
        <v>0.7</v>
      </c>
      <c r="H1297">
        <v>0</v>
      </c>
      <c r="I1297">
        <v>0</v>
      </c>
    </row>
    <row r="1298" spans="1:9" ht="24" customHeight="1">
      <c r="A1298" s="6" t="s">
        <v>2826</v>
      </c>
      <c r="B1298">
        <v>976</v>
      </c>
      <c r="C1298">
        <v>486</v>
      </c>
      <c r="D1298">
        <v>283897</v>
      </c>
      <c r="E1298">
        <v>246482</v>
      </c>
      <c r="F1298">
        <v>11.5</v>
      </c>
      <c r="G1298">
        <v>4.5999999999999996</v>
      </c>
      <c r="H1298">
        <v>1.4</v>
      </c>
      <c r="I1298">
        <v>1.5</v>
      </c>
    </row>
    <row r="1299" spans="1:9" ht="24" customHeight="1">
      <c r="A1299" s="6" t="s">
        <v>2827</v>
      </c>
      <c r="B1299">
        <v>2594</v>
      </c>
      <c r="C1299">
        <v>711</v>
      </c>
      <c r="D1299">
        <v>406573</v>
      </c>
      <c r="E1299">
        <v>322010</v>
      </c>
      <c r="F1299">
        <v>11.7</v>
      </c>
      <c r="G1299">
        <v>10.3</v>
      </c>
      <c r="H1299">
        <v>11.7</v>
      </c>
      <c r="I1299">
        <v>12.3</v>
      </c>
    </row>
    <row r="1300" spans="1:9" ht="24" customHeight="1">
      <c r="A1300" s="6" t="s">
        <v>2828</v>
      </c>
      <c r="B1300">
        <v>2852</v>
      </c>
      <c r="C1300">
        <v>671</v>
      </c>
      <c r="D1300">
        <v>456695</v>
      </c>
      <c r="E1300">
        <v>354385</v>
      </c>
      <c r="F1300">
        <v>12.6</v>
      </c>
      <c r="G1300">
        <v>7.4</v>
      </c>
      <c r="H1300">
        <v>16.7</v>
      </c>
      <c r="I1300">
        <v>16.600000000000001</v>
      </c>
    </row>
    <row r="1301" spans="1:9" ht="24" customHeight="1">
      <c r="A1301" s="6" t="s">
        <v>2829</v>
      </c>
      <c r="B1301">
        <v>1520</v>
      </c>
      <c r="C1301">
        <v>383</v>
      </c>
      <c r="D1301">
        <v>506762</v>
      </c>
      <c r="E1301">
        <v>322670</v>
      </c>
      <c r="F1301">
        <v>14.8</v>
      </c>
      <c r="G1301">
        <v>8.1999999999999993</v>
      </c>
      <c r="H1301">
        <v>21.7</v>
      </c>
      <c r="I1301">
        <v>21.6</v>
      </c>
    </row>
    <row r="1302" spans="1:9" ht="24" customHeight="1">
      <c r="A1302" s="6" t="s">
        <v>2830</v>
      </c>
      <c r="B1302">
        <v>1178</v>
      </c>
      <c r="C1302">
        <v>227</v>
      </c>
      <c r="D1302">
        <v>550813</v>
      </c>
      <c r="E1302">
        <v>310947</v>
      </c>
      <c r="F1302">
        <v>7.8</v>
      </c>
      <c r="G1302">
        <v>5.6</v>
      </c>
      <c r="H1302">
        <v>26.4</v>
      </c>
      <c r="I1302">
        <v>26.5</v>
      </c>
    </row>
    <row r="1303" spans="1:9" ht="24" customHeight="1">
      <c r="A1303" s="6" t="s">
        <v>2831</v>
      </c>
      <c r="B1303">
        <v>1089</v>
      </c>
      <c r="C1303">
        <v>294</v>
      </c>
      <c r="D1303">
        <v>360785</v>
      </c>
      <c r="E1303">
        <v>245584</v>
      </c>
      <c r="F1303">
        <v>13.3</v>
      </c>
      <c r="G1303">
        <v>5.8</v>
      </c>
      <c r="H1303">
        <v>3.5</v>
      </c>
      <c r="I1303">
        <v>3.5</v>
      </c>
    </row>
    <row r="1304" spans="1:9" ht="24" customHeight="1">
      <c r="A1304" s="6" t="s">
        <v>2832</v>
      </c>
      <c r="B1304">
        <v>2762</v>
      </c>
      <c r="C1304">
        <v>593</v>
      </c>
      <c r="D1304">
        <v>583827</v>
      </c>
      <c r="E1304">
        <v>412077</v>
      </c>
      <c r="F1304">
        <v>11.7</v>
      </c>
      <c r="G1304">
        <v>12.9</v>
      </c>
      <c r="H1304">
        <v>33.799999999999997</v>
      </c>
      <c r="I1304">
        <v>33.9</v>
      </c>
    </row>
    <row r="1305" spans="1:9" ht="24" customHeight="1">
      <c r="A1305" s="6" t="s">
        <v>2833</v>
      </c>
      <c r="B1305">
        <v>2452</v>
      </c>
      <c r="C1305">
        <v>956</v>
      </c>
      <c r="D1305">
        <v>371358</v>
      </c>
      <c r="E1305">
        <v>292472</v>
      </c>
      <c r="F1305">
        <v>14.3</v>
      </c>
      <c r="G1305">
        <v>7.8</v>
      </c>
      <c r="H1305">
        <v>7</v>
      </c>
      <c r="I1305">
        <v>7</v>
      </c>
    </row>
    <row r="1306" spans="1:9" ht="24" customHeight="1">
      <c r="A1306" s="6" t="s">
        <v>2834</v>
      </c>
      <c r="B1306">
        <v>20073</v>
      </c>
      <c r="C1306">
        <v>4819</v>
      </c>
      <c r="D1306">
        <v>538455</v>
      </c>
      <c r="E1306">
        <v>365364</v>
      </c>
      <c r="F1306">
        <v>14.4</v>
      </c>
      <c r="G1306">
        <v>9.9</v>
      </c>
      <c r="H1306">
        <v>18.100000000000001</v>
      </c>
      <c r="I1306">
        <v>17.899999999999999</v>
      </c>
    </row>
    <row r="1307" spans="1:9" ht="24" customHeight="1">
      <c r="A1307" s="6" t="s">
        <v>2835</v>
      </c>
      <c r="B1307">
        <v>796</v>
      </c>
      <c r="C1307">
        <v>290</v>
      </c>
      <c r="D1307">
        <v>268856</v>
      </c>
      <c r="E1307">
        <v>252328</v>
      </c>
      <c r="F1307">
        <v>5.2</v>
      </c>
      <c r="G1307">
        <v>8.4</v>
      </c>
      <c r="H1307">
        <v>0</v>
      </c>
      <c r="I1307">
        <v>0</v>
      </c>
    </row>
    <row r="1308" spans="1:9" ht="24" customHeight="1">
      <c r="A1308" s="6" t="s">
        <v>2836</v>
      </c>
      <c r="B1308">
        <v>1577</v>
      </c>
      <c r="C1308">
        <v>368</v>
      </c>
      <c r="D1308">
        <v>413966</v>
      </c>
      <c r="E1308">
        <v>294286</v>
      </c>
      <c r="F1308">
        <v>32.200000000000003</v>
      </c>
      <c r="G1308">
        <v>15.6</v>
      </c>
      <c r="H1308">
        <v>1.7</v>
      </c>
      <c r="I1308">
        <v>1.5</v>
      </c>
    </row>
    <row r="1309" spans="1:9" ht="24" customHeight="1">
      <c r="A1309" s="6" t="s">
        <v>2837</v>
      </c>
      <c r="B1309">
        <v>3250</v>
      </c>
      <c r="C1309">
        <v>1216</v>
      </c>
      <c r="D1309">
        <v>468719</v>
      </c>
      <c r="E1309">
        <v>339995</v>
      </c>
      <c r="F1309">
        <v>19.600000000000001</v>
      </c>
      <c r="G1309">
        <v>4.4000000000000004</v>
      </c>
      <c r="H1309">
        <v>12.5</v>
      </c>
      <c r="I1309">
        <v>12</v>
      </c>
    </row>
    <row r="1310" spans="1:9" ht="24" customHeight="1">
      <c r="A1310" s="6" t="s">
        <v>2838</v>
      </c>
      <c r="B1310">
        <v>2271</v>
      </c>
      <c r="C1310">
        <v>586</v>
      </c>
      <c r="D1310">
        <v>469052</v>
      </c>
      <c r="E1310">
        <v>368984</v>
      </c>
      <c r="F1310">
        <v>11.3</v>
      </c>
      <c r="G1310">
        <v>6.7</v>
      </c>
      <c r="H1310">
        <v>16.399999999999999</v>
      </c>
      <c r="I1310">
        <v>16.399999999999999</v>
      </c>
    </row>
    <row r="1311" spans="1:9" ht="24" customHeight="1">
      <c r="A1311" s="6" t="s">
        <v>2839</v>
      </c>
      <c r="B1311">
        <v>1209</v>
      </c>
      <c r="C1311">
        <v>221</v>
      </c>
      <c r="D1311">
        <v>595093</v>
      </c>
      <c r="E1311">
        <v>442887</v>
      </c>
      <c r="F1311">
        <v>10.8</v>
      </c>
      <c r="G1311">
        <v>12.7</v>
      </c>
      <c r="H1311">
        <v>22.4</v>
      </c>
      <c r="I1311">
        <v>21.2</v>
      </c>
    </row>
    <row r="1312" spans="1:9" ht="24" customHeight="1">
      <c r="A1312" s="6" t="s">
        <v>2840</v>
      </c>
      <c r="B1312">
        <v>1555</v>
      </c>
      <c r="C1312">
        <v>694</v>
      </c>
      <c r="D1312">
        <v>651777</v>
      </c>
      <c r="E1312">
        <v>413603</v>
      </c>
      <c r="F1312">
        <v>9.9</v>
      </c>
      <c r="G1312">
        <v>11.3</v>
      </c>
      <c r="H1312">
        <v>26.7</v>
      </c>
      <c r="I1312">
        <v>26.2</v>
      </c>
    </row>
    <row r="1313" spans="1:9" ht="24" customHeight="1">
      <c r="A1313" s="6" t="s">
        <v>2841</v>
      </c>
      <c r="B1313">
        <v>814</v>
      </c>
      <c r="C1313">
        <v>361</v>
      </c>
      <c r="D1313">
        <v>385367</v>
      </c>
      <c r="E1313">
        <v>340748</v>
      </c>
      <c r="F1313">
        <v>21</v>
      </c>
      <c r="G1313">
        <v>18.899999999999999</v>
      </c>
      <c r="H1313">
        <v>3.4</v>
      </c>
      <c r="I1313">
        <v>3.4</v>
      </c>
    </row>
    <row r="1314" spans="1:9" ht="24" customHeight="1">
      <c r="A1314" s="6" t="s">
        <v>2842</v>
      </c>
      <c r="B1314">
        <v>6020</v>
      </c>
      <c r="C1314">
        <v>1210</v>
      </c>
      <c r="D1314">
        <v>705801</v>
      </c>
      <c r="E1314">
        <v>422014</v>
      </c>
      <c r="F1314">
        <v>6.3</v>
      </c>
      <c r="G1314">
        <v>7.9</v>
      </c>
      <c r="H1314">
        <v>34.4</v>
      </c>
      <c r="I1314">
        <v>34.700000000000003</v>
      </c>
    </row>
    <row r="1315" spans="1:9" ht="24" customHeight="1">
      <c r="A1315" s="6" t="s">
        <v>2843</v>
      </c>
      <c r="B1315">
        <v>3030</v>
      </c>
      <c r="C1315">
        <v>570</v>
      </c>
      <c r="D1315">
        <v>440899</v>
      </c>
      <c r="E1315">
        <v>348586</v>
      </c>
      <c r="F1315">
        <v>20.399999999999999</v>
      </c>
      <c r="G1315">
        <v>7.2</v>
      </c>
      <c r="H1315">
        <v>6.4</v>
      </c>
      <c r="I1315">
        <v>7</v>
      </c>
    </row>
    <row r="1316" spans="1:9" ht="24" customHeight="1">
      <c r="A1316" s="6" t="s">
        <v>570</v>
      </c>
      <c r="B1316">
        <v>607789</v>
      </c>
      <c r="C1316">
        <v>107510</v>
      </c>
      <c r="D1316">
        <v>522956</v>
      </c>
      <c r="E1316">
        <v>359920</v>
      </c>
      <c r="F1316">
        <v>19.2</v>
      </c>
      <c r="G1316">
        <v>8.5</v>
      </c>
      <c r="H1316">
        <v>16.5</v>
      </c>
      <c r="I1316">
        <v>11.7</v>
      </c>
    </row>
    <row r="1317" spans="1:9" ht="24" customHeight="1">
      <c r="A1317" s="6" t="s">
        <v>571</v>
      </c>
      <c r="B1317">
        <v>296839</v>
      </c>
      <c r="C1317">
        <v>39859</v>
      </c>
      <c r="D1317">
        <v>613637</v>
      </c>
      <c r="E1317">
        <v>453146</v>
      </c>
      <c r="F1317">
        <v>20.9</v>
      </c>
      <c r="G1317">
        <v>13.1</v>
      </c>
      <c r="H1317">
        <v>18.5</v>
      </c>
      <c r="I1317">
        <v>13.7</v>
      </c>
    </row>
    <row r="1318" spans="1:9" ht="24" customHeight="1">
      <c r="A1318" s="6" t="s">
        <v>572</v>
      </c>
      <c r="B1318">
        <v>8460</v>
      </c>
      <c r="C1318">
        <v>2857</v>
      </c>
      <c r="D1318">
        <v>303053</v>
      </c>
      <c r="E1318">
        <v>268633</v>
      </c>
      <c r="F1318">
        <v>15.7</v>
      </c>
      <c r="G1318">
        <v>15.6</v>
      </c>
      <c r="H1318">
        <v>0</v>
      </c>
      <c r="I1318">
        <v>0</v>
      </c>
    </row>
    <row r="1319" spans="1:9" ht="24" customHeight="1">
      <c r="A1319" s="6" t="s">
        <v>2844</v>
      </c>
      <c r="B1319">
        <v>15711</v>
      </c>
      <c r="C1319">
        <v>2924</v>
      </c>
      <c r="D1319">
        <v>362227</v>
      </c>
      <c r="E1319">
        <v>370163</v>
      </c>
      <c r="F1319">
        <v>22.3</v>
      </c>
      <c r="G1319">
        <v>16.100000000000001</v>
      </c>
      <c r="H1319">
        <v>1.4</v>
      </c>
      <c r="I1319">
        <v>1.5</v>
      </c>
    </row>
    <row r="1320" spans="1:9" ht="24" customHeight="1">
      <c r="A1320" s="6" t="s">
        <v>2845</v>
      </c>
      <c r="B1320">
        <v>31865</v>
      </c>
      <c r="C1320">
        <v>4028</v>
      </c>
      <c r="D1320">
        <v>567528</v>
      </c>
      <c r="E1320">
        <v>426136</v>
      </c>
      <c r="F1320">
        <v>25.3</v>
      </c>
      <c r="G1320">
        <v>5.8</v>
      </c>
      <c r="H1320">
        <v>12.3</v>
      </c>
      <c r="I1320">
        <v>11.9</v>
      </c>
    </row>
    <row r="1321" spans="1:9" ht="24" customHeight="1">
      <c r="A1321" s="6" t="s">
        <v>2846</v>
      </c>
      <c r="B1321">
        <v>50616</v>
      </c>
      <c r="C1321">
        <v>6248</v>
      </c>
      <c r="D1321">
        <v>625969</v>
      </c>
      <c r="E1321">
        <v>545746</v>
      </c>
      <c r="F1321">
        <v>21.9</v>
      </c>
      <c r="G1321">
        <v>15.6</v>
      </c>
      <c r="H1321">
        <v>16.7</v>
      </c>
      <c r="I1321">
        <v>16.8</v>
      </c>
    </row>
    <row r="1322" spans="1:9" ht="24" customHeight="1">
      <c r="A1322" s="6" t="s">
        <v>2847</v>
      </c>
      <c r="B1322">
        <v>22942</v>
      </c>
      <c r="C1322">
        <v>3020</v>
      </c>
      <c r="D1322">
        <v>722739</v>
      </c>
      <c r="E1322">
        <v>520473</v>
      </c>
      <c r="F1322">
        <v>19.8</v>
      </c>
      <c r="G1322">
        <v>13</v>
      </c>
      <c r="H1322">
        <v>22.1</v>
      </c>
      <c r="I1322">
        <v>22.6</v>
      </c>
    </row>
    <row r="1323" spans="1:9" ht="24" customHeight="1">
      <c r="A1323" s="6" t="s">
        <v>2848</v>
      </c>
      <c r="B1323">
        <v>22755</v>
      </c>
      <c r="C1323">
        <v>2467</v>
      </c>
      <c r="D1323">
        <v>744387</v>
      </c>
      <c r="E1323">
        <v>503131</v>
      </c>
      <c r="F1323">
        <v>18.600000000000001</v>
      </c>
      <c r="G1323">
        <v>8.8000000000000007</v>
      </c>
      <c r="H1323">
        <v>26.7</v>
      </c>
      <c r="I1323">
        <v>26</v>
      </c>
    </row>
    <row r="1324" spans="1:9" ht="24" customHeight="1">
      <c r="A1324" s="6" t="s">
        <v>2849</v>
      </c>
      <c r="B1324">
        <v>23540</v>
      </c>
      <c r="C1324">
        <v>3871</v>
      </c>
      <c r="D1324">
        <v>439545</v>
      </c>
      <c r="E1324">
        <v>407122</v>
      </c>
      <c r="F1324">
        <v>28.2</v>
      </c>
      <c r="G1324">
        <v>14.5</v>
      </c>
      <c r="H1324">
        <v>3.6</v>
      </c>
      <c r="I1324">
        <v>3.5</v>
      </c>
    </row>
    <row r="1325" spans="1:9" ht="24" customHeight="1">
      <c r="A1325" s="6" t="s">
        <v>573</v>
      </c>
      <c r="B1325">
        <v>79298</v>
      </c>
      <c r="C1325">
        <v>5725</v>
      </c>
      <c r="D1325">
        <v>753662</v>
      </c>
      <c r="E1325">
        <v>528810</v>
      </c>
      <c r="F1325">
        <v>15.5</v>
      </c>
      <c r="G1325">
        <v>9.5</v>
      </c>
      <c r="H1325">
        <v>34.6</v>
      </c>
      <c r="I1325">
        <v>34.4</v>
      </c>
    </row>
    <row r="1326" spans="1:9" ht="24" customHeight="1">
      <c r="A1326" s="6" t="s">
        <v>2850</v>
      </c>
      <c r="B1326">
        <v>42551</v>
      </c>
      <c r="C1326">
        <v>9878</v>
      </c>
      <c r="D1326">
        <v>488597</v>
      </c>
      <c r="E1326">
        <v>409033</v>
      </c>
      <c r="F1326">
        <v>24.4</v>
      </c>
      <c r="G1326">
        <v>14.2</v>
      </c>
      <c r="H1326">
        <v>7</v>
      </c>
      <c r="I1326">
        <v>6.8</v>
      </c>
    </row>
    <row r="1327" spans="1:9" ht="24" customHeight="1">
      <c r="A1327" s="6" t="s">
        <v>2851</v>
      </c>
      <c r="B1327">
        <v>90192</v>
      </c>
      <c r="C1327">
        <v>15653</v>
      </c>
      <c r="D1327">
        <v>392695</v>
      </c>
      <c r="E1327">
        <v>261359</v>
      </c>
      <c r="F1327">
        <v>15.1</v>
      </c>
      <c r="G1327">
        <v>4.5</v>
      </c>
      <c r="H1327">
        <v>14.5</v>
      </c>
      <c r="I1327">
        <v>10.1</v>
      </c>
    </row>
    <row r="1328" spans="1:9" ht="24" customHeight="1">
      <c r="A1328" s="6" t="s">
        <v>2852</v>
      </c>
      <c r="B1328">
        <v>4701</v>
      </c>
      <c r="C1328">
        <v>1598</v>
      </c>
      <c r="D1328">
        <v>278716</v>
      </c>
      <c r="E1328">
        <v>198383</v>
      </c>
      <c r="F1328">
        <v>8.8000000000000007</v>
      </c>
      <c r="G1328">
        <v>4.5999999999999996</v>
      </c>
      <c r="H1328">
        <v>0</v>
      </c>
      <c r="I1328">
        <v>0</v>
      </c>
    </row>
    <row r="1329" spans="1:9" ht="24" customHeight="1">
      <c r="A1329" s="6" t="s">
        <v>2853</v>
      </c>
      <c r="B1329">
        <v>6953</v>
      </c>
      <c r="C1329">
        <v>1919</v>
      </c>
      <c r="D1329">
        <v>304568</v>
      </c>
      <c r="E1329">
        <v>225326</v>
      </c>
      <c r="F1329">
        <v>15.7</v>
      </c>
      <c r="G1329">
        <v>6</v>
      </c>
      <c r="H1329">
        <v>1.4</v>
      </c>
      <c r="I1329">
        <v>1.5</v>
      </c>
    </row>
    <row r="1330" spans="1:9" ht="24" customHeight="1">
      <c r="A1330" s="6" t="s">
        <v>2854</v>
      </c>
      <c r="B1330">
        <v>12461</v>
      </c>
      <c r="C1330">
        <v>2275</v>
      </c>
      <c r="D1330">
        <v>380334</v>
      </c>
      <c r="E1330">
        <v>287116</v>
      </c>
      <c r="F1330">
        <v>18.5</v>
      </c>
      <c r="G1330">
        <v>9.5</v>
      </c>
      <c r="H1330">
        <v>11.8</v>
      </c>
      <c r="I1330">
        <v>11.7</v>
      </c>
    </row>
    <row r="1331" spans="1:9" ht="24" customHeight="1">
      <c r="A1331" s="6" t="s">
        <v>2855</v>
      </c>
      <c r="B1331">
        <v>16726</v>
      </c>
      <c r="C1331">
        <v>2485</v>
      </c>
      <c r="D1331">
        <v>432897</v>
      </c>
      <c r="E1331">
        <v>295631</v>
      </c>
      <c r="F1331">
        <v>13.8</v>
      </c>
      <c r="G1331">
        <v>2.8</v>
      </c>
      <c r="H1331">
        <v>17.100000000000001</v>
      </c>
      <c r="I1331">
        <v>17</v>
      </c>
    </row>
    <row r="1332" spans="1:9" ht="24" customHeight="1">
      <c r="A1332" s="6" t="s">
        <v>2856</v>
      </c>
      <c r="B1332">
        <v>7900</v>
      </c>
      <c r="C1332">
        <v>1315</v>
      </c>
      <c r="D1332">
        <v>437805</v>
      </c>
      <c r="E1332">
        <v>290667</v>
      </c>
      <c r="F1332">
        <v>14.8</v>
      </c>
      <c r="G1332">
        <v>6.6</v>
      </c>
      <c r="H1332">
        <v>21.6</v>
      </c>
      <c r="I1332">
        <v>21.3</v>
      </c>
    </row>
    <row r="1333" spans="1:9" ht="24" customHeight="1">
      <c r="A1333" s="6" t="s">
        <v>2857</v>
      </c>
      <c r="B1333">
        <v>7771</v>
      </c>
      <c r="C1333">
        <v>585</v>
      </c>
      <c r="D1333">
        <v>472870</v>
      </c>
      <c r="E1333">
        <v>261369</v>
      </c>
      <c r="F1333">
        <v>14.6</v>
      </c>
      <c r="G1333">
        <v>3</v>
      </c>
      <c r="H1333">
        <v>26.9</v>
      </c>
      <c r="I1333">
        <v>26.2</v>
      </c>
    </row>
    <row r="1334" spans="1:9" ht="24" customHeight="1">
      <c r="A1334" s="6" t="s">
        <v>2858</v>
      </c>
      <c r="B1334">
        <v>6670</v>
      </c>
      <c r="C1334">
        <v>1968</v>
      </c>
      <c r="D1334">
        <v>327566</v>
      </c>
      <c r="E1334">
        <v>231468</v>
      </c>
      <c r="F1334">
        <v>14.9</v>
      </c>
      <c r="G1334">
        <v>1.8</v>
      </c>
      <c r="H1334">
        <v>3.5</v>
      </c>
      <c r="I1334">
        <v>3.6</v>
      </c>
    </row>
    <row r="1335" spans="1:9" ht="24" customHeight="1">
      <c r="A1335" s="6" t="s">
        <v>2859</v>
      </c>
      <c r="B1335">
        <v>9190</v>
      </c>
      <c r="C1335">
        <v>493</v>
      </c>
      <c r="D1335">
        <v>470984</v>
      </c>
      <c r="E1335">
        <v>214030</v>
      </c>
      <c r="F1335">
        <v>13.9</v>
      </c>
      <c r="G1335">
        <v>1.7</v>
      </c>
      <c r="H1335">
        <v>36.9</v>
      </c>
      <c r="I1335">
        <v>37.4</v>
      </c>
    </row>
    <row r="1336" spans="1:9" ht="24" customHeight="1">
      <c r="A1336" s="6" t="s">
        <v>2860</v>
      </c>
      <c r="B1336">
        <v>18648</v>
      </c>
      <c r="C1336">
        <v>4274</v>
      </c>
      <c r="D1336">
        <v>348601</v>
      </c>
      <c r="E1336">
        <v>252692</v>
      </c>
      <c r="F1336">
        <v>16.100000000000001</v>
      </c>
      <c r="G1336">
        <v>2.8</v>
      </c>
      <c r="H1336">
        <v>7.1</v>
      </c>
      <c r="I1336">
        <v>7</v>
      </c>
    </row>
    <row r="1337" spans="1:9" ht="24" customHeight="1">
      <c r="A1337" s="6" t="s">
        <v>2861</v>
      </c>
      <c r="B1337">
        <v>85110</v>
      </c>
      <c r="C1337">
        <v>32918</v>
      </c>
      <c r="D1337">
        <v>392400</v>
      </c>
      <c r="E1337">
        <v>297376</v>
      </c>
      <c r="F1337">
        <v>16</v>
      </c>
      <c r="G1337">
        <v>3.9</v>
      </c>
      <c r="H1337">
        <v>12.2</v>
      </c>
      <c r="I1337">
        <v>9.1</v>
      </c>
    </row>
    <row r="1338" spans="1:9" ht="24" customHeight="1">
      <c r="A1338" s="6" t="s">
        <v>2862</v>
      </c>
      <c r="B1338">
        <v>8149</v>
      </c>
      <c r="C1338">
        <v>944</v>
      </c>
      <c r="D1338">
        <v>230859</v>
      </c>
      <c r="E1338">
        <v>220905</v>
      </c>
      <c r="F1338">
        <v>3.6</v>
      </c>
      <c r="G1338">
        <v>5.2</v>
      </c>
      <c r="H1338">
        <v>0</v>
      </c>
      <c r="I1338">
        <v>0</v>
      </c>
    </row>
    <row r="1339" spans="1:9" ht="24" customHeight="1">
      <c r="A1339" s="6" t="s">
        <v>2863</v>
      </c>
      <c r="B1339">
        <v>7404</v>
      </c>
      <c r="C1339">
        <v>10673</v>
      </c>
      <c r="D1339">
        <v>314126</v>
      </c>
      <c r="E1339">
        <v>236080</v>
      </c>
      <c r="F1339">
        <v>20.6</v>
      </c>
      <c r="G1339">
        <v>1.1000000000000001</v>
      </c>
      <c r="H1339">
        <v>1.7</v>
      </c>
      <c r="I1339">
        <v>1.7</v>
      </c>
    </row>
    <row r="1340" spans="1:9" ht="24" customHeight="1">
      <c r="A1340" s="6" t="s">
        <v>2864</v>
      </c>
      <c r="B1340">
        <v>14173</v>
      </c>
      <c r="C1340">
        <v>3863</v>
      </c>
      <c r="D1340">
        <v>387010</v>
      </c>
      <c r="E1340">
        <v>332025</v>
      </c>
      <c r="F1340">
        <v>14.3</v>
      </c>
      <c r="G1340">
        <v>3</v>
      </c>
      <c r="H1340">
        <v>11.7</v>
      </c>
      <c r="I1340">
        <v>12.7</v>
      </c>
    </row>
    <row r="1341" spans="1:9" ht="24" customHeight="1">
      <c r="A1341" s="6" t="s">
        <v>2865</v>
      </c>
      <c r="B1341">
        <v>13992</v>
      </c>
      <c r="C1341">
        <v>3559</v>
      </c>
      <c r="D1341">
        <v>454014</v>
      </c>
      <c r="E1341">
        <v>381177</v>
      </c>
      <c r="F1341">
        <v>20.100000000000001</v>
      </c>
      <c r="G1341">
        <v>4.4000000000000004</v>
      </c>
      <c r="H1341">
        <v>16.8</v>
      </c>
      <c r="I1341">
        <v>16.100000000000001</v>
      </c>
    </row>
    <row r="1342" spans="1:9" ht="24" customHeight="1">
      <c r="A1342" s="6" t="s">
        <v>2866</v>
      </c>
      <c r="B1342">
        <v>6764</v>
      </c>
      <c r="C1342">
        <v>3695</v>
      </c>
      <c r="D1342">
        <v>461561</v>
      </c>
      <c r="E1342">
        <v>310643</v>
      </c>
      <c r="F1342">
        <v>10.9</v>
      </c>
      <c r="G1342">
        <v>2.6</v>
      </c>
      <c r="H1342">
        <v>21.2</v>
      </c>
      <c r="I1342">
        <v>22.7</v>
      </c>
    </row>
    <row r="1343" spans="1:9" ht="24" customHeight="1">
      <c r="A1343" s="6" t="s">
        <v>2867</v>
      </c>
      <c r="B1343">
        <v>4362</v>
      </c>
      <c r="C1343">
        <v>572</v>
      </c>
      <c r="D1343">
        <v>490454</v>
      </c>
      <c r="E1343">
        <v>328124</v>
      </c>
      <c r="F1343">
        <v>12.3</v>
      </c>
      <c r="G1343">
        <v>5.2</v>
      </c>
      <c r="H1343">
        <v>27</v>
      </c>
      <c r="I1343">
        <v>27.3</v>
      </c>
    </row>
    <row r="1344" spans="1:9" ht="24" customHeight="1">
      <c r="A1344" s="6" t="s">
        <v>2868</v>
      </c>
      <c r="B1344">
        <v>4930</v>
      </c>
      <c r="C1344">
        <v>4127</v>
      </c>
      <c r="D1344">
        <v>327609</v>
      </c>
      <c r="E1344">
        <v>272333</v>
      </c>
      <c r="F1344">
        <v>21.7</v>
      </c>
      <c r="G1344">
        <v>9.1999999999999993</v>
      </c>
      <c r="H1344">
        <v>3.5</v>
      </c>
      <c r="I1344">
        <v>3.3</v>
      </c>
    </row>
    <row r="1345" spans="1:9" ht="24" customHeight="1">
      <c r="A1345" s="6" t="s">
        <v>2869</v>
      </c>
      <c r="B1345">
        <v>6137</v>
      </c>
      <c r="C1345">
        <v>819</v>
      </c>
      <c r="D1345">
        <v>555508</v>
      </c>
      <c r="E1345">
        <v>408646</v>
      </c>
      <c r="F1345">
        <v>11.9</v>
      </c>
      <c r="G1345">
        <v>12.5</v>
      </c>
      <c r="H1345">
        <v>35.200000000000003</v>
      </c>
      <c r="I1345">
        <v>33.299999999999997</v>
      </c>
    </row>
    <row r="1346" spans="1:9" ht="24" customHeight="1">
      <c r="A1346" s="6" t="s">
        <v>2870</v>
      </c>
      <c r="B1346">
        <v>19308</v>
      </c>
      <c r="C1346">
        <v>7363</v>
      </c>
      <c r="D1346">
        <v>367287</v>
      </c>
      <c r="E1346">
        <v>282399</v>
      </c>
      <c r="F1346">
        <v>20.399999999999999</v>
      </c>
      <c r="G1346">
        <v>3.4</v>
      </c>
      <c r="H1346">
        <v>6.7</v>
      </c>
      <c r="I1346">
        <v>5.9</v>
      </c>
    </row>
    <row r="1347" spans="1:9" ht="24" customHeight="1">
      <c r="A1347" s="6" t="s">
        <v>2871</v>
      </c>
      <c r="B1347">
        <v>135648</v>
      </c>
      <c r="C1347">
        <v>19081</v>
      </c>
      <c r="D1347">
        <v>493044</v>
      </c>
      <c r="E1347">
        <v>353928</v>
      </c>
      <c r="F1347">
        <v>20.3</v>
      </c>
      <c r="G1347">
        <v>10.3</v>
      </c>
      <c r="H1347">
        <v>16.2</v>
      </c>
      <c r="I1347">
        <v>13.2</v>
      </c>
    </row>
    <row r="1348" spans="1:9" ht="24" customHeight="1">
      <c r="A1348" s="6" t="s">
        <v>2872</v>
      </c>
      <c r="B1348">
        <v>5076</v>
      </c>
      <c r="C1348">
        <v>1534</v>
      </c>
      <c r="D1348">
        <v>250350</v>
      </c>
      <c r="E1348">
        <v>202650</v>
      </c>
      <c r="F1348">
        <v>13.7</v>
      </c>
      <c r="G1348">
        <v>3.8</v>
      </c>
      <c r="H1348">
        <v>0</v>
      </c>
      <c r="I1348">
        <v>0</v>
      </c>
    </row>
    <row r="1349" spans="1:9" ht="24" customHeight="1">
      <c r="A1349" s="6" t="s">
        <v>2873</v>
      </c>
      <c r="B1349">
        <v>6954</v>
      </c>
      <c r="C1349">
        <v>2435</v>
      </c>
      <c r="D1349">
        <v>312708</v>
      </c>
      <c r="E1349">
        <v>289693</v>
      </c>
      <c r="F1349">
        <v>16.100000000000001</v>
      </c>
      <c r="G1349">
        <v>8.4</v>
      </c>
      <c r="H1349">
        <v>1.5</v>
      </c>
      <c r="I1349">
        <v>1.3</v>
      </c>
    </row>
    <row r="1350" spans="1:9" ht="24" customHeight="1">
      <c r="A1350" s="6" t="s">
        <v>2874</v>
      </c>
      <c r="B1350">
        <v>11511</v>
      </c>
      <c r="C1350">
        <v>2138</v>
      </c>
      <c r="D1350">
        <v>470224</v>
      </c>
      <c r="E1350">
        <v>369815</v>
      </c>
      <c r="F1350">
        <v>25.8</v>
      </c>
      <c r="G1350">
        <v>13.2</v>
      </c>
      <c r="H1350">
        <v>12.1</v>
      </c>
      <c r="I1350">
        <v>12.2</v>
      </c>
    </row>
    <row r="1351" spans="1:9" ht="24" customHeight="1">
      <c r="A1351" s="6" t="s">
        <v>2875</v>
      </c>
      <c r="B1351">
        <v>41108</v>
      </c>
      <c r="C1351">
        <v>3896</v>
      </c>
      <c r="D1351">
        <v>547651</v>
      </c>
      <c r="E1351">
        <v>377051</v>
      </c>
      <c r="F1351">
        <v>22.6</v>
      </c>
      <c r="G1351">
        <v>9.6999999999999993</v>
      </c>
      <c r="H1351">
        <v>17.3</v>
      </c>
      <c r="I1351">
        <v>16.7</v>
      </c>
    </row>
    <row r="1352" spans="1:9" ht="24" customHeight="1">
      <c r="A1352" s="6" t="s">
        <v>2876</v>
      </c>
      <c r="B1352">
        <v>12460</v>
      </c>
      <c r="C1352">
        <v>961</v>
      </c>
      <c r="D1352">
        <v>557412</v>
      </c>
      <c r="E1352">
        <v>363005</v>
      </c>
      <c r="F1352">
        <v>17.2</v>
      </c>
      <c r="G1352">
        <v>5.3</v>
      </c>
      <c r="H1352">
        <v>22</v>
      </c>
      <c r="I1352">
        <v>21.7</v>
      </c>
    </row>
    <row r="1353" spans="1:9" ht="24" customHeight="1">
      <c r="A1353" s="6" t="s">
        <v>2877</v>
      </c>
      <c r="B1353">
        <v>10912</v>
      </c>
      <c r="C1353">
        <v>1190</v>
      </c>
      <c r="D1353">
        <v>559018</v>
      </c>
      <c r="E1353">
        <v>446299</v>
      </c>
      <c r="F1353">
        <v>17.5</v>
      </c>
      <c r="G1353">
        <v>4.5999999999999996</v>
      </c>
      <c r="H1353">
        <v>27.1</v>
      </c>
      <c r="I1353">
        <v>26.8</v>
      </c>
    </row>
    <row r="1354" spans="1:9" ht="24" customHeight="1">
      <c r="A1354" s="6" t="s">
        <v>2878</v>
      </c>
      <c r="B1354">
        <v>9230</v>
      </c>
      <c r="C1354">
        <v>2146</v>
      </c>
      <c r="D1354">
        <v>368508</v>
      </c>
      <c r="E1354">
        <v>317484</v>
      </c>
      <c r="F1354">
        <v>22.1</v>
      </c>
      <c r="G1354">
        <v>10.7</v>
      </c>
      <c r="H1354">
        <v>3.6</v>
      </c>
      <c r="I1354">
        <v>3.4</v>
      </c>
    </row>
    <row r="1355" spans="1:9" ht="24" customHeight="1">
      <c r="A1355" s="6" t="s">
        <v>2879</v>
      </c>
      <c r="B1355">
        <v>17061</v>
      </c>
      <c r="C1355">
        <v>2922</v>
      </c>
      <c r="D1355">
        <v>591873</v>
      </c>
      <c r="E1355">
        <v>406455</v>
      </c>
      <c r="F1355">
        <v>12.6</v>
      </c>
      <c r="G1355">
        <v>11.5</v>
      </c>
      <c r="H1355">
        <v>34.799999999999997</v>
      </c>
      <c r="I1355">
        <v>32.4</v>
      </c>
    </row>
    <row r="1356" spans="1:9" ht="24" customHeight="1">
      <c r="A1356" s="6" t="s">
        <v>2880</v>
      </c>
      <c r="B1356">
        <v>21381</v>
      </c>
      <c r="C1356">
        <v>2875</v>
      </c>
      <c r="D1356">
        <v>419974</v>
      </c>
      <c r="E1356">
        <v>344259</v>
      </c>
      <c r="F1356">
        <v>24.3</v>
      </c>
      <c r="G1356">
        <v>14.5</v>
      </c>
      <c r="H1356">
        <v>6.7</v>
      </c>
      <c r="I1356">
        <v>6.1</v>
      </c>
    </row>
    <row r="1357" spans="1:9" ht="24" customHeight="1">
      <c r="A1357" s="6" t="s">
        <v>574</v>
      </c>
      <c r="B1357">
        <v>76349</v>
      </c>
      <c r="C1357">
        <v>30605</v>
      </c>
      <c r="D1357">
        <v>486482</v>
      </c>
      <c r="E1357">
        <v>344439</v>
      </c>
      <c r="F1357">
        <v>12</v>
      </c>
      <c r="G1357">
        <v>8.3000000000000007</v>
      </c>
      <c r="H1357">
        <v>15.4</v>
      </c>
      <c r="I1357">
        <v>11.8</v>
      </c>
    </row>
    <row r="1358" spans="1:9" ht="24" customHeight="1">
      <c r="A1358" s="6" t="s">
        <v>575</v>
      </c>
      <c r="B1358">
        <v>15687</v>
      </c>
      <c r="C1358">
        <v>4231</v>
      </c>
      <c r="D1358">
        <v>646084</v>
      </c>
      <c r="E1358">
        <v>493300</v>
      </c>
      <c r="F1358">
        <v>18</v>
      </c>
      <c r="G1358">
        <v>15.5</v>
      </c>
      <c r="H1358">
        <v>16.7</v>
      </c>
      <c r="I1358">
        <v>13.9</v>
      </c>
    </row>
    <row r="1359" spans="1:9" ht="24" customHeight="1">
      <c r="A1359" s="6" t="s">
        <v>576</v>
      </c>
      <c r="B1359">
        <v>529</v>
      </c>
      <c r="C1359">
        <v>245</v>
      </c>
      <c r="D1359">
        <v>309136</v>
      </c>
      <c r="E1359">
        <v>294057</v>
      </c>
      <c r="F1359">
        <v>11.8</v>
      </c>
      <c r="G1359">
        <v>13.1</v>
      </c>
      <c r="H1359">
        <v>0</v>
      </c>
      <c r="I1359">
        <v>0</v>
      </c>
    </row>
    <row r="1360" spans="1:9" ht="24" customHeight="1">
      <c r="A1360" s="6" t="s">
        <v>2881</v>
      </c>
      <c r="B1360">
        <v>1060</v>
      </c>
      <c r="C1360">
        <v>386</v>
      </c>
      <c r="D1360">
        <v>403332</v>
      </c>
      <c r="E1360">
        <v>397083</v>
      </c>
      <c r="F1360">
        <v>35.799999999999997</v>
      </c>
      <c r="G1360">
        <v>29.8</v>
      </c>
      <c r="H1360">
        <v>1.3</v>
      </c>
      <c r="I1360">
        <v>1.4</v>
      </c>
    </row>
    <row r="1361" spans="1:9" ht="24" customHeight="1">
      <c r="A1361" s="6" t="s">
        <v>2882</v>
      </c>
      <c r="B1361">
        <v>2530</v>
      </c>
      <c r="C1361">
        <v>605</v>
      </c>
      <c r="D1361">
        <v>574750</v>
      </c>
      <c r="E1361">
        <v>434495</v>
      </c>
      <c r="F1361">
        <v>23</v>
      </c>
      <c r="G1361">
        <v>12.4</v>
      </c>
      <c r="H1361">
        <v>12.3</v>
      </c>
      <c r="I1361">
        <v>12.5</v>
      </c>
    </row>
    <row r="1362" spans="1:9" ht="24" customHeight="1">
      <c r="A1362" s="6" t="s">
        <v>2883</v>
      </c>
      <c r="B1362">
        <v>2088</v>
      </c>
      <c r="C1362">
        <v>524</v>
      </c>
      <c r="D1362">
        <v>705511</v>
      </c>
      <c r="E1362">
        <v>509870</v>
      </c>
      <c r="F1362">
        <v>17.3</v>
      </c>
      <c r="G1362">
        <v>8.1999999999999993</v>
      </c>
      <c r="H1362">
        <v>16.5</v>
      </c>
      <c r="I1362">
        <v>17.100000000000001</v>
      </c>
    </row>
    <row r="1363" spans="1:9" ht="24" customHeight="1">
      <c r="A1363" s="6" t="s">
        <v>2884</v>
      </c>
      <c r="B1363">
        <v>1422</v>
      </c>
      <c r="C1363">
        <v>317</v>
      </c>
      <c r="D1363">
        <v>836448</v>
      </c>
      <c r="E1363">
        <v>631596</v>
      </c>
      <c r="F1363">
        <v>15.8</v>
      </c>
      <c r="G1363">
        <v>10.9</v>
      </c>
      <c r="H1363">
        <v>22.4</v>
      </c>
      <c r="I1363">
        <v>22.2</v>
      </c>
    </row>
    <row r="1364" spans="1:9" ht="24" customHeight="1">
      <c r="A1364" s="6" t="s">
        <v>2885</v>
      </c>
      <c r="B1364">
        <v>1263</v>
      </c>
      <c r="C1364">
        <v>343</v>
      </c>
      <c r="D1364">
        <v>903869</v>
      </c>
      <c r="E1364">
        <v>619520</v>
      </c>
      <c r="F1364">
        <v>14.3</v>
      </c>
      <c r="G1364">
        <v>8.1</v>
      </c>
      <c r="H1364">
        <v>26.9</v>
      </c>
      <c r="I1364">
        <v>26.1</v>
      </c>
    </row>
    <row r="1365" spans="1:9" ht="24" customHeight="1">
      <c r="A1365" s="6" t="s">
        <v>2886</v>
      </c>
      <c r="B1365">
        <v>1211</v>
      </c>
      <c r="C1365">
        <v>588</v>
      </c>
      <c r="D1365">
        <v>550089</v>
      </c>
      <c r="E1365">
        <v>505617</v>
      </c>
      <c r="F1365">
        <v>25.1</v>
      </c>
      <c r="G1365">
        <v>20.9</v>
      </c>
      <c r="H1365">
        <v>3.5</v>
      </c>
      <c r="I1365">
        <v>3.7</v>
      </c>
    </row>
    <row r="1366" spans="1:9" ht="24" customHeight="1">
      <c r="A1366" s="6" t="s">
        <v>577</v>
      </c>
      <c r="B1366">
        <v>3244</v>
      </c>
      <c r="C1366">
        <v>588</v>
      </c>
      <c r="D1366">
        <v>761809</v>
      </c>
      <c r="E1366">
        <v>561170</v>
      </c>
      <c r="F1366">
        <v>7.3</v>
      </c>
      <c r="G1366">
        <v>11.8</v>
      </c>
      <c r="H1366">
        <v>33.700000000000003</v>
      </c>
      <c r="I1366">
        <v>34</v>
      </c>
    </row>
    <row r="1367" spans="1:9" ht="24" customHeight="1">
      <c r="A1367" s="6" t="s">
        <v>2887</v>
      </c>
      <c r="B1367">
        <v>2365</v>
      </c>
      <c r="C1367">
        <v>778</v>
      </c>
      <c r="D1367">
        <v>491535</v>
      </c>
      <c r="E1367">
        <v>467047</v>
      </c>
      <c r="F1367">
        <v>21.3</v>
      </c>
      <c r="G1367">
        <v>18.3</v>
      </c>
      <c r="H1367">
        <v>6.6</v>
      </c>
      <c r="I1367">
        <v>6.6</v>
      </c>
    </row>
    <row r="1368" spans="1:9" ht="24" customHeight="1">
      <c r="A1368" s="6" t="s">
        <v>2888</v>
      </c>
      <c r="B1368">
        <v>26113</v>
      </c>
      <c r="C1368">
        <v>14121</v>
      </c>
      <c r="D1368">
        <v>399767</v>
      </c>
      <c r="E1368">
        <v>293349</v>
      </c>
      <c r="F1368">
        <v>9.3000000000000007</v>
      </c>
      <c r="G1368">
        <v>7.1</v>
      </c>
      <c r="H1368">
        <v>13.3</v>
      </c>
      <c r="I1368">
        <v>10.5</v>
      </c>
    </row>
    <row r="1369" spans="1:9" ht="24" customHeight="1">
      <c r="A1369" s="6" t="s">
        <v>2889</v>
      </c>
      <c r="B1369">
        <v>1601</v>
      </c>
      <c r="C1369">
        <v>1096</v>
      </c>
      <c r="D1369">
        <v>246708</v>
      </c>
      <c r="E1369">
        <v>197012</v>
      </c>
      <c r="F1369">
        <v>6.8</v>
      </c>
      <c r="G1369">
        <v>2.9</v>
      </c>
      <c r="H1369">
        <v>0</v>
      </c>
      <c r="I1369">
        <v>0</v>
      </c>
    </row>
    <row r="1370" spans="1:9" ht="24" customHeight="1">
      <c r="A1370" s="6" t="s">
        <v>2890</v>
      </c>
      <c r="B1370">
        <v>2524</v>
      </c>
      <c r="C1370">
        <v>1874</v>
      </c>
      <c r="D1370">
        <v>295837</v>
      </c>
      <c r="E1370">
        <v>257659</v>
      </c>
      <c r="F1370">
        <v>8.9</v>
      </c>
      <c r="G1370">
        <v>4.4000000000000004</v>
      </c>
      <c r="H1370">
        <v>1.5</v>
      </c>
      <c r="I1370">
        <v>1.3</v>
      </c>
    </row>
    <row r="1371" spans="1:9" ht="24" customHeight="1">
      <c r="A1371" s="6" t="s">
        <v>2891</v>
      </c>
      <c r="B1371">
        <v>4319</v>
      </c>
      <c r="C1371">
        <v>2783</v>
      </c>
      <c r="D1371">
        <v>404728</v>
      </c>
      <c r="E1371">
        <v>326444</v>
      </c>
      <c r="F1371">
        <v>9.9</v>
      </c>
      <c r="G1371">
        <v>8.6</v>
      </c>
      <c r="H1371">
        <v>11.7</v>
      </c>
      <c r="I1371">
        <v>11.7</v>
      </c>
    </row>
    <row r="1372" spans="1:9" ht="24" customHeight="1">
      <c r="A1372" s="6" t="s">
        <v>2892</v>
      </c>
      <c r="B1372">
        <v>3727</v>
      </c>
      <c r="C1372">
        <v>1667</v>
      </c>
      <c r="D1372">
        <v>449055</v>
      </c>
      <c r="E1372">
        <v>350640</v>
      </c>
      <c r="F1372">
        <v>11.3</v>
      </c>
      <c r="G1372">
        <v>11.4</v>
      </c>
      <c r="H1372">
        <v>16.8</v>
      </c>
      <c r="I1372">
        <v>16.5</v>
      </c>
    </row>
    <row r="1373" spans="1:9" ht="24" customHeight="1">
      <c r="A1373" s="6" t="s">
        <v>2893</v>
      </c>
      <c r="B1373">
        <v>1964</v>
      </c>
      <c r="C1373">
        <v>1073</v>
      </c>
      <c r="D1373">
        <v>490811</v>
      </c>
      <c r="E1373">
        <v>295999</v>
      </c>
      <c r="F1373">
        <v>8.6</v>
      </c>
      <c r="G1373">
        <v>9.9</v>
      </c>
      <c r="H1373">
        <v>21.6</v>
      </c>
      <c r="I1373">
        <v>21.4</v>
      </c>
    </row>
    <row r="1374" spans="1:9" ht="24" customHeight="1">
      <c r="A1374" s="6" t="s">
        <v>2894</v>
      </c>
      <c r="B1374">
        <v>1735</v>
      </c>
      <c r="C1374">
        <v>341</v>
      </c>
      <c r="D1374">
        <v>464493</v>
      </c>
      <c r="E1374">
        <v>313502</v>
      </c>
      <c r="F1374">
        <v>7.5</v>
      </c>
      <c r="G1374">
        <v>0.4</v>
      </c>
      <c r="H1374">
        <v>26.8</v>
      </c>
      <c r="I1374">
        <v>26.2</v>
      </c>
    </row>
    <row r="1375" spans="1:9" ht="24" customHeight="1">
      <c r="A1375" s="6" t="s">
        <v>2895</v>
      </c>
      <c r="B1375">
        <v>2326</v>
      </c>
      <c r="C1375">
        <v>1337</v>
      </c>
      <c r="D1375">
        <v>332510</v>
      </c>
      <c r="E1375">
        <v>261972</v>
      </c>
      <c r="F1375">
        <v>13.6</v>
      </c>
      <c r="G1375">
        <v>4.8</v>
      </c>
      <c r="H1375">
        <v>3.6</v>
      </c>
      <c r="I1375">
        <v>3.5</v>
      </c>
    </row>
    <row r="1376" spans="1:9" ht="24" customHeight="1">
      <c r="A1376" s="6" t="s">
        <v>2896</v>
      </c>
      <c r="B1376">
        <v>2842</v>
      </c>
      <c r="C1376">
        <v>778</v>
      </c>
      <c r="D1376">
        <v>529755</v>
      </c>
      <c r="E1376">
        <v>338378</v>
      </c>
      <c r="F1376">
        <v>4</v>
      </c>
      <c r="G1376">
        <v>1.3</v>
      </c>
      <c r="H1376">
        <v>35.4</v>
      </c>
      <c r="I1376">
        <v>36</v>
      </c>
    </row>
    <row r="1377" spans="1:9" ht="24" customHeight="1">
      <c r="A1377" s="6" t="s">
        <v>2897</v>
      </c>
      <c r="B1377">
        <v>5232</v>
      </c>
      <c r="C1377">
        <v>3617</v>
      </c>
      <c r="D1377">
        <v>356356</v>
      </c>
      <c r="E1377">
        <v>275291</v>
      </c>
      <c r="F1377">
        <v>9.6999999999999993</v>
      </c>
      <c r="G1377">
        <v>7.7</v>
      </c>
      <c r="H1377">
        <v>6.9</v>
      </c>
      <c r="I1377">
        <v>6.9</v>
      </c>
    </row>
    <row r="1378" spans="1:9" ht="24" customHeight="1">
      <c r="A1378" s="6" t="s">
        <v>2898</v>
      </c>
      <c r="B1378">
        <v>23251</v>
      </c>
      <c r="C1378">
        <v>9813</v>
      </c>
      <c r="D1378">
        <v>473095</v>
      </c>
      <c r="E1378">
        <v>348401</v>
      </c>
      <c r="F1378">
        <v>10.6</v>
      </c>
      <c r="G1378">
        <v>7</v>
      </c>
      <c r="H1378">
        <v>15.2</v>
      </c>
      <c r="I1378">
        <v>11.8</v>
      </c>
    </row>
    <row r="1379" spans="1:9" ht="24" customHeight="1">
      <c r="A1379" s="6" t="s">
        <v>2899</v>
      </c>
      <c r="B1379">
        <v>1268</v>
      </c>
      <c r="C1379">
        <v>1024</v>
      </c>
      <c r="D1379">
        <v>252389</v>
      </c>
      <c r="E1379">
        <v>236957</v>
      </c>
      <c r="F1379">
        <v>2.7</v>
      </c>
      <c r="G1379">
        <v>2.4</v>
      </c>
      <c r="H1379">
        <v>0</v>
      </c>
      <c r="I1379">
        <v>0</v>
      </c>
    </row>
    <row r="1380" spans="1:9" ht="24" customHeight="1">
      <c r="A1380" s="6" t="s">
        <v>2900</v>
      </c>
      <c r="B1380">
        <v>1627</v>
      </c>
      <c r="C1380">
        <v>1432</v>
      </c>
      <c r="D1380">
        <v>334646</v>
      </c>
      <c r="E1380">
        <v>308977</v>
      </c>
      <c r="F1380">
        <v>11.6</v>
      </c>
      <c r="G1380">
        <v>11.3</v>
      </c>
      <c r="H1380">
        <v>1.5</v>
      </c>
      <c r="I1380">
        <v>1.5</v>
      </c>
    </row>
    <row r="1381" spans="1:9" ht="24" customHeight="1">
      <c r="A1381" s="6" t="s">
        <v>2901</v>
      </c>
      <c r="B1381">
        <v>3257</v>
      </c>
      <c r="C1381">
        <v>1215</v>
      </c>
      <c r="D1381">
        <v>459979</v>
      </c>
      <c r="E1381">
        <v>362063</v>
      </c>
      <c r="F1381">
        <v>15.3</v>
      </c>
      <c r="G1381">
        <v>8.6999999999999993</v>
      </c>
      <c r="H1381">
        <v>11.8</v>
      </c>
      <c r="I1381">
        <v>11.4</v>
      </c>
    </row>
    <row r="1382" spans="1:9" ht="24" customHeight="1">
      <c r="A1382" s="6" t="s">
        <v>2902</v>
      </c>
      <c r="B1382">
        <v>3033</v>
      </c>
      <c r="C1382">
        <v>1049</v>
      </c>
      <c r="D1382">
        <v>534920</v>
      </c>
      <c r="E1382">
        <v>342487</v>
      </c>
      <c r="F1382">
        <v>11.6</v>
      </c>
      <c r="G1382">
        <v>4.7</v>
      </c>
      <c r="H1382">
        <v>16.899999999999999</v>
      </c>
      <c r="I1382">
        <v>17.3</v>
      </c>
    </row>
    <row r="1383" spans="1:9" ht="24" customHeight="1">
      <c r="A1383" s="6" t="s">
        <v>2903</v>
      </c>
      <c r="B1383">
        <v>2040</v>
      </c>
      <c r="C1383">
        <v>561</v>
      </c>
      <c r="D1383">
        <v>540286</v>
      </c>
      <c r="E1383">
        <v>488718</v>
      </c>
      <c r="F1383">
        <v>18.8</v>
      </c>
      <c r="G1383">
        <v>2.2000000000000002</v>
      </c>
      <c r="H1383">
        <v>22.2</v>
      </c>
      <c r="I1383">
        <v>22.4</v>
      </c>
    </row>
    <row r="1384" spans="1:9" ht="24" customHeight="1">
      <c r="A1384" s="6" t="s">
        <v>2904</v>
      </c>
      <c r="B1384">
        <v>2112</v>
      </c>
      <c r="C1384">
        <v>551</v>
      </c>
      <c r="D1384">
        <v>602224</v>
      </c>
      <c r="E1384">
        <v>391628</v>
      </c>
      <c r="F1384">
        <v>8.9</v>
      </c>
      <c r="G1384">
        <v>7</v>
      </c>
      <c r="H1384">
        <v>27.1</v>
      </c>
      <c r="I1384">
        <v>26.5</v>
      </c>
    </row>
    <row r="1385" spans="1:9" ht="24" customHeight="1">
      <c r="A1385" s="6" t="s">
        <v>2905</v>
      </c>
      <c r="B1385">
        <v>2065</v>
      </c>
      <c r="C1385">
        <v>1125</v>
      </c>
      <c r="D1385">
        <v>354599</v>
      </c>
      <c r="E1385">
        <v>315813</v>
      </c>
      <c r="F1385">
        <v>10.3</v>
      </c>
      <c r="G1385">
        <v>10.5</v>
      </c>
      <c r="H1385">
        <v>3.5</v>
      </c>
      <c r="I1385">
        <v>3.6</v>
      </c>
    </row>
    <row r="1386" spans="1:9" ht="24" customHeight="1">
      <c r="A1386" s="6" t="s">
        <v>2906</v>
      </c>
      <c r="B1386">
        <v>3555</v>
      </c>
      <c r="C1386">
        <v>1219</v>
      </c>
      <c r="D1386">
        <v>569333</v>
      </c>
      <c r="E1386">
        <v>465624</v>
      </c>
      <c r="F1386">
        <v>4.0999999999999996</v>
      </c>
      <c r="G1386">
        <v>3.5</v>
      </c>
      <c r="H1386">
        <v>34.200000000000003</v>
      </c>
      <c r="I1386">
        <v>32.799999999999997</v>
      </c>
    </row>
    <row r="1387" spans="1:9" ht="24" customHeight="1">
      <c r="A1387" s="6" t="s">
        <v>2907</v>
      </c>
      <c r="B1387">
        <v>4340</v>
      </c>
      <c r="C1387">
        <v>1789</v>
      </c>
      <c r="D1387">
        <v>436380</v>
      </c>
      <c r="E1387">
        <v>314711</v>
      </c>
      <c r="F1387">
        <v>10.7</v>
      </c>
      <c r="G1387">
        <v>7.4</v>
      </c>
      <c r="H1387">
        <v>7</v>
      </c>
      <c r="I1387">
        <v>6.7</v>
      </c>
    </row>
    <row r="1388" spans="1:9" ht="24" customHeight="1">
      <c r="A1388" s="6" t="s">
        <v>2908</v>
      </c>
      <c r="B1388">
        <v>11298</v>
      </c>
      <c r="C1388">
        <v>2439</v>
      </c>
      <c r="D1388">
        <v>492849</v>
      </c>
      <c r="E1388">
        <v>366065</v>
      </c>
      <c r="F1388">
        <v>12.6</v>
      </c>
      <c r="G1388">
        <v>7.9</v>
      </c>
      <c r="H1388">
        <v>18.7</v>
      </c>
      <c r="I1388">
        <v>16.2</v>
      </c>
    </row>
    <row r="1389" spans="1:9" ht="24" customHeight="1">
      <c r="A1389" s="6" t="s">
        <v>2909</v>
      </c>
      <c r="B1389">
        <v>510</v>
      </c>
      <c r="C1389">
        <v>117</v>
      </c>
      <c r="D1389">
        <v>275952</v>
      </c>
      <c r="E1389">
        <v>247015</v>
      </c>
      <c r="F1389">
        <v>13.1</v>
      </c>
      <c r="G1389">
        <v>1.7</v>
      </c>
      <c r="H1389">
        <v>0</v>
      </c>
      <c r="I1389">
        <v>0</v>
      </c>
    </row>
    <row r="1390" spans="1:9" ht="24" customHeight="1">
      <c r="A1390" s="6" t="s">
        <v>2910</v>
      </c>
      <c r="B1390">
        <v>862</v>
      </c>
      <c r="C1390">
        <v>274</v>
      </c>
      <c r="D1390">
        <v>327727</v>
      </c>
      <c r="E1390">
        <v>325573</v>
      </c>
      <c r="F1390">
        <v>5.7</v>
      </c>
      <c r="G1390">
        <v>7.6</v>
      </c>
      <c r="H1390">
        <v>1.4</v>
      </c>
      <c r="I1390">
        <v>1.7</v>
      </c>
    </row>
    <row r="1391" spans="1:9" ht="24" customHeight="1">
      <c r="A1391" s="6" t="s">
        <v>2911</v>
      </c>
      <c r="B1391">
        <v>1049</v>
      </c>
      <c r="C1391">
        <v>279</v>
      </c>
      <c r="D1391">
        <v>440879</v>
      </c>
      <c r="E1391">
        <v>312899</v>
      </c>
      <c r="F1391">
        <v>12.5</v>
      </c>
      <c r="G1391">
        <v>7.8</v>
      </c>
      <c r="H1391">
        <v>12.2</v>
      </c>
      <c r="I1391">
        <v>12.3</v>
      </c>
    </row>
    <row r="1392" spans="1:9" ht="24" customHeight="1">
      <c r="A1392" s="6" t="s">
        <v>2912</v>
      </c>
      <c r="B1392">
        <v>1407</v>
      </c>
      <c r="C1392">
        <v>203</v>
      </c>
      <c r="D1392">
        <v>488295</v>
      </c>
      <c r="E1392">
        <v>351992</v>
      </c>
      <c r="F1392">
        <v>13</v>
      </c>
      <c r="G1392">
        <v>3.9</v>
      </c>
      <c r="H1392">
        <v>16.5</v>
      </c>
      <c r="I1392">
        <v>16.100000000000001</v>
      </c>
    </row>
    <row r="1393" spans="1:9" ht="24" customHeight="1">
      <c r="A1393" s="6" t="s">
        <v>2913</v>
      </c>
      <c r="B1393">
        <v>733</v>
      </c>
      <c r="C1393">
        <v>103</v>
      </c>
      <c r="D1393">
        <v>540354</v>
      </c>
      <c r="E1393">
        <v>397886</v>
      </c>
      <c r="F1393">
        <v>7</v>
      </c>
      <c r="G1393">
        <v>18.3</v>
      </c>
      <c r="H1393">
        <v>22.1</v>
      </c>
      <c r="I1393">
        <v>22.8</v>
      </c>
    </row>
    <row r="1394" spans="1:9" ht="24" customHeight="1">
      <c r="A1394" s="6" t="s">
        <v>2914</v>
      </c>
      <c r="B1394">
        <v>1605</v>
      </c>
      <c r="C1394">
        <v>274</v>
      </c>
      <c r="D1394">
        <v>601306</v>
      </c>
      <c r="E1394">
        <v>438197</v>
      </c>
      <c r="F1394">
        <v>19.399999999999999</v>
      </c>
      <c r="G1394">
        <v>13</v>
      </c>
      <c r="H1394">
        <v>26.8</v>
      </c>
      <c r="I1394">
        <v>26.7</v>
      </c>
    </row>
    <row r="1395" spans="1:9" ht="24" customHeight="1">
      <c r="A1395" s="6" t="s">
        <v>2915</v>
      </c>
      <c r="B1395">
        <v>760</v>
      </c>
      <c r="C1395">
        <v>102</v>
      </c>
      <c r="D1395">
        <v>342122</v>
      </c>
      <c r="E1395">
        <v>299444</v>
      </c>
      <c r="F1395">
        <v>11.5</v>
      </c>
      <c r="G1395">
        <v>7.5</v>
      </c>
      <c r="H1395">
        <v>3.3</v>
      </c>
      <c r="I1395">
        <v>3.1</v>
      </c>
    </row>
    <row r="1396" spans="1:9" ht="24" customHeight="1">
      <c r="A1396" s="6" t="s">
        <v>2916</v>
      </c>
      <c r="B1396">
        <v>3088</v>
      </c>
      <c r="C1396">
        <v>557</v>
      </c>
      <c r="D1396">
        <v>600029</v>
      </c>
      <c r="E1396">
        <v>461423</v>
      </c>
      <c r="F1396">
        <v>11.4</v>
      </c>
      <c r="G1396">
        <v>4.8</v>
      </c>
      <c r="H1396">
        <v>33.6</v>
      </c>
      <c r="I1396">
        <v>34.799999999999997</v>
      </c>
    </row>
    <row r="1397" spans="1:9" ht="24" customHeight="1">
      <c r="A1397" s="6" t="s">
        <v>2917</v>
      </c>
      <c r="B1397">
        <v>1308</v>
      </c>
      <c r="C1397">
        <v>648</v>
      </c>
      <c r="D1397">
        <v>404708</v>
      </c>
      <c r="E1397">
        <v>305294</v>
      </c>
      <c r="F1397">
        <v>15</v>
      </c>
      <c r="G1397">
        <v>8.1999999999999993</v>
      </c>
      <c r="H1397">
        <v>6.9</v>
      </c>
      <c r="I1397">
        <v>6.7</v>
      </c>
    </row>
    <row r="1398" spans="1:9" ht="24" customHeight="1">
      <c r="A1398" s="6" t="s">
        <v>578</v>
      </c>
      <c r="B1398">
        <v>110970</v>
      </c>
      <c r="C1398">
        <v>17250</v>
      </c>
      <c r="D1398">
        <v>620879</v>
      </c>
      <c r="E1398">
        <v>503188</v>
      </c>
      <c r="F1398">
        <v>15.8</v>
      </c>
      <c r="G1398">
        <v>12.6</v>
      </c>
      <c r="H1398">
        <v>19.399999999999999</v>
      </c>
      <c r="I1398">
        <v>17.100000000000001</v>
      </c>
    </row>
    <row r="1399" spans="1:9" ht="24" customHeight="1">
      <c r="A1399" s="6" t="s">
        <v>579</v>
      </c>
      <c r="B1399">
        <v>937960</v>
      </c>
      <c r="C1399">
        <v>365148</v>
      </c>
      <c r="D1399">
        <v>553270</v>
      </c>
      <c r="E1399">
        <v>428603</v>
      </c>
      <c r="F1399">
        <v>10.9</v>
      </c>
      <c r="G1399">
        <v>9.5</v>
      </c>
      <c r="H1399">
        <v>12.9</v>
      </c>
      <c r="I1399">
        <v>9</v>
      </c>
    </row>
    <row r="1400" spans="1:9" ht="24" customHeight="1">
      <c r="A1400" s="6" t="s">
        <v>580</v>
      </c>
      <c r="B1400">
        <v>1662781</v>
      </c>
      <c r="C1400">
        <v>251221</v>
      </c>
      <c r="D1400">
        <v>433321</v>
      </c>
      <c r="E1400">
        <v>345541</v>
      </c>
      <c r="F1400">
        <v>27.8</v>
      </c>
      <c r="G1400">
        <v>14.5</v>
      </c>
      <c r="H1400">
        <v>13.1</v>
      </c>
      <c r="I1400">
        <v>10</v>
      </c>
    </row>
    <row r="1401" spans="1:9" ht="24" customHeight="1">
      <c r="A1401" s="6" t="s">
        <v>581</v>
      </c>
      <c r="B1401">
        <v>2954628</v>
      </c>
      <c r="C1401">
        <v>1250263</v>
      </c>
      <c r="D1401">
        <v>490708</v>
      </c>
      <c r="E1401">
        <v>361791</v>
      </c>
      <c r="F1401">
        <v>10.9</v>
      </c>
      <c r="G1401">
        <v>8.1</v>
      </c>
      <c r="H1401">
        <v>14.1</v>
      </c>
      <c r="I1401">
        <v>10</v>
      </c>
    </row>
    <row r="1402" spans="1:9" ht="24" customHeight="1">
      <c r="A1402" s="6" t="s">
        <v>582</v>
      </c>
      <c r="B1402">
        <v>428550</v>
      </c>
      <c r="C1402">
        <v>506995</v>
      </c>
      <c r="D1402">
        <v>734560</v>
      </c>
      <c r="E1402">
        <v>424703</v>
      </c>
      <c r="F1402">
        <v>12.9</v>
      </c>
      <c r="G1402">
        <v>9.4</v>
      </c>
      <c r="H1402">
        <v>15.5</v>
      </c>
      <c r="I1402">
        <v>12.2</v>
      </c>
    </row>
    <row r="1403" spans="1:9" ht="24" customHeight="1">
      <c r="A1403" s="6" t="s">
        <v>583</v>
      </c>
      <c r="B1403">
        <v>288533</v>
      </c>
      <c r="C1403">
        <v>153144</v>
      </c>
      <c r="D1403">
        <v>562648</v>
      </c>
      <c r="E1403">
        <v>401145</v>
      </c>
      <c r="F1403">
        <v>11.3</v>
      </c>
      <c r="G1403">
        <v>8.5</v>
      </c>
      <c r="H1403">
        <v>11.1</v>
      </c>
      <c r="I1403">
        <v>8.6999999999999993</v>
      </c>
    </row>
    <row r="1404" spans="1:9" ht="24" customHeight="1">
      <c r="A1404" s="6" t="s">
        <v>584</v>
      </c>
      <c r="B1404">
        <v>766001</v>
      </c>
      <c r="C1404">
        <v>296429</v>
      </c>
      <c r="D1404">
        <v>607486</v>
      </c>
      <c r="E1404">
        <v>430916</v>
      </c>
      <c r="F1404">
        <v>12.8</v>
      </c>
      <c r="G1404">
        <v>10.1</v>
      </c>
      <c r="H1404">
        <v>12.7</v>
      </c>
      <c r="I1404">
        <v>8.8000000000000007</v>
      </c>
    </row>
    <row r="1405" spans="1:9" ht="24" customHeight="1">
      <c r="A1405" s="6" t="s">
        <v>585</v>
      </c>
      <c r="B1405">
        <v>346103</v>
      </c>
      <c r="C1405">
        <v>196851</v>
      </c>
      <c r="D1405">
        <v>380961</v>
      </c>
      <c r="E1405">
        <v>301743</v>
      </c>
      <c r="F1405">
        <v>15</v>
      </c>
      <c r="G1405">
        <v>12.2</v>
      </c>
      <c r="H1405">
        <v>11.2</v>
      </c>
      <c r="I1405">
        <v>8.3000000000000007</v>
      </c>
    </row>
    <row r="1406" spans="1:9" ht="24" customHeight="1">
      <c r="A1406" s="6" t="s">
        <v>586</v>
      </c>
      <c r="B1406">
        <v>257462</v>
      </c>
      <c r="C1406">
        <v>169920</v>
      </c>
      <c r="D1406">
        <v>418397</v>
      </c>
      <c r="E1406">
        <v>311997</v>
      </c>
      <c r="F1406">
        <v>9.6</v>
      </c>
      <c r="G1406">
        <v>7.6</v>
      </c>
      <c r="H1406">
        <v>12.7</v>
      </c>
      <c r="I1406">
        <v>8.9</v>
      </c>
    </row>
    <row r="1407" spans="1:9" ht="24" customHeight="1">
      <c r="A1407" s="6" t="s">
        <v>587</v>
      </c>
      <c r="B1407">
        <v>309388</v>
      </c>
      <c r="C1407">
        <v>289267</v>
      </c>
      <c r="D1407">
        <v>613494</v>
      </c>
      <c r="E1407">
        <v>438029</v>
      </c>
      <c r="F1407">
        <v>7</v>
      </c>
      <c r="G1407">
        <v>5</v>
      </c>
      <c r="H1407">
        <v>14.5</v>
      </c>
      <c r="I1407">
        <v>10.9</v>
      </c>
    </row>
    <row r="1408" spans="1:9" ht="24" customHeight="1">
      <c r="A1408" s="6" t="s">
        <v>588</v>
      </c>
      <c r="B1408">
        <v>1201274</v>
      </c>
      <c r="C1408">
        <v>2667572</v>
      </c>
      <c r="D1408">
        <v>466630</v>
      </c>
      <c r="E1408">
        <v>364943</v>
      </c>
      <c r="F1408">
        <v>7.3</v>
      </c>
      <c r="G1408">
        <v>5.5</v>
      </c>
      <c r="H1408">
        <v>9.6999999999999993</v>
      </c>
      <c r="I1408">
        <v>8.9</v>
      </c>
    </row>
    <row r="1409" spans="1:9" ht="24" customHeight="1">
      <c r="A1409" s="6" t="s">
        <v>589</v>
      </c>
      <c r="B1409">
        <v>131306</v>
      </c>
      <c r="C1409">
        <v>57441</v>
      </c>
      <c r="D1409">
        <v>499291</v>
      </c>
      <c r="E1409">
        <v>377952</v>
      </c>
      <c r="F1409">
        <v>10.4</v>
      </c>
      <c r="G1409">
        <v>5.7</v>
      </c>
      <c r="H1409">
        <v>19</v>
      </c>
      <c r="I1409">
        <v>14</v>
      </c>
    </row>
    <row r="1410" spans="1:9" ht="24" customHeight="1">
      <c r="A1410" s="6" t="s">
        <v>590</v>
      </c>
      <c r="B1410">
        <v>1281165</v>
      </c>
      <c r="C1410">
        <v>459485</v>
      </c>
      <c r="D1410">
        <v>455571</v>
      </c>
      <c r="E1410">
        <v>351563</v>
      </c>
      <c r="F1410">
        <v>14.8</v>
      </c>
      <c r="G1410">
        <v>9.1999999999999993</v>
      </c>
      <c r="H1410">
        <v>12.3</v>
      </c>
      <c r="I1410">
        <v>9.5</v>
      </c>
    </row>
    <row r="1411" spans="1:9" ht="24" customHeight="1">
      <c r="A1411" s="6" t="s">
        <v>591</v>
      </c>
      <c r="B1411">
        <v>1560</v>
      </c>
      <c r="C1411">
        <v>518</v>
      </c>
      <c r="D1411">
        <v>863537</v>
      </c>
      <c r="E1411">
        <v>586738</v>
      </c>
      <c r="F1411">
        <v>13.7</v>
      </c>
      <c r="G1411">
        <v>11.4</v>
      </c>
      <c r="H1411">
        <v>15.8</v>
      </c>
      <c r="I1411">
        <v>9.6999999999999993</v>
      </c>
    </row>
    <row r="1412" spans="1:9" ht="24" customHeight="1">
      <c r="A1412" s="6" t="s">
        <v>592</v>
      </c>
      <c r="B1412">
        <v>98</v>
      </c>
      <c r="C1412">
        <v>13</v>
      </c>
      <c r="D1412">
        <v>508940</v>
      </c>
      <c r="E1412">
        <v>281900</v>
      </c>
      <c r="F1412">
        <v>16.600000000000001</v>
      </c>
      <c r="G1412">
        <v>0</v>
      </c>
      <c r="H1412">
        <v>0</v>
      </c>
      <c r="I1412">
        <v>0</v>
      </c>
    </row>
    <row r="1413" spans="1:9" ht="24" customHeight="1">
      <c r="A1413" s="6" t="s">
        <v>2918</v>
      </c>
      <c r="B1413">
        <v>113</v>
      </c>
      <c r="C1413">
        <v>51</v>
      </c>
      <c r="D1413">
        <v>494667</v>
      </c>
      <c r="E1413">
        <v>432082</v>
      </c>
      <c r="F1413">
        <v>29.3</v>
      </c>
      <c r="G1413">
        <v>13.9</v>
      </c>
      <c r="H1413">
        <v>1.6</v>
      </c>
      <c r="I1413">
        <v>1.5</v>
      </c>
    </row>
    <row r="1414" spans="1:9" ht="24" customHeight="1">
      <c r="A1414" s="6" t="s">
        <v>2919</v>
      </c>
      <c r="B1414">
        <v>214</v>
      </c>
      <c r="C1414">
        <v>107</v>
      </c>
      <c r="D1414">
        <v>808083</v>
      </c>
      <c r="E1414">
        <v>691862</v>
      </c>
      <c r="F1414">
        <v>13.6</v>
      </c>
      <c r="G1414">
        <v>9.5</v>
      </c>
      <c r="H1414">
        <v>12.2</v>
      </c>
      <c r="I1414">
        <v>12.3</v>
      </c>
    </row>
    <row r="1415" spans="1:9" ht="24" customHeight="1">
      <c r="A1415" s="6" t="s">
        <v>2920</v>
      </c>
      <c r="B1415">
        <v>198</v>
      </c>
      <c r="C1415">
        <v>47</v>
      </c>
      <c r="D1415">
        <v>944804</v>
      </c>
      <c r="E1415">
        <v>680576</v>
      </c>
      <c r="F1415">
        <v>9</v>
      </c>
      <c r="G1415">
        <v>8.5</v>
      </c>
      <c r="H1415">
        <v>16.7</v>
      </c>
      <c r="I1415">
        <v>18</v>
      </c>
    </row>
    <row r="1416" spans="1:9" ht="24" customHeight="1">
      <c r="A1416" s="6" t="s">
        <v>2921</v>
      </c>
      <c r="B1416">
        <v>93</v>
      </c>
      <c r="C1416">
        <v>16</v>
      </c>
      <c r="D1416">
        <v>1172623</v>
      </c>
      <c r="E1416">
        <v>723044</v>
      </c>
      <c r="F1416">
        <v>7.2</v>
      </c>
      <c r="G1416">
        <v>18</v>
      </c>
      <c r="H1416">
        <v>22.1</v>
      </c>
      <c r="I1416">
        <v>22.5</v>
      </c>
    </row>
    <row r="1417" spans="1:9" ht="24" customHeight="1">
      <c r="A1417" s="6" t="s">
        <v>2922</v>
      </c>
      <c r="B1417">
        <v>135</v>
      </c>
      <c r="C1417">
        <v>27</v>
      </c>
      <c r="D1417">
        <v>1117718</v>
      </c>
      <c r="E1417">
        <v>654831</v>
      </c>
      <c r="F1417">
        <v>5.7</v>
      </c>
      <c r="G1417">
        <v>14.4</v>
      </c>
      <c r="H1417">
        <v>27</v>
      </c>
      <c r="I1417">
        <v>25.5</v>
      </c>
    </row>
    <row r="1418" spans="1:9" ht="24" customHeight="1">
      <c r="A1418" s="6" t="s">
        <v>2923</v>
      </c>
      <c r="B1418">
        <v>111</v>
      </c>
      <c r="C1418">
        <v>150</v>
      </c>
      <c r="D1418">
        <v>610946</v>
      </c>
      <c r="E1418">
        <v>568901</v>
      </c>
      <c r="F1418">
        <v>22.6</v>
      </c>
      <c r="G1418">
        <v>12.4</v>
      </c>
      <c r="H1418">
        <v>3.4</v>
      </c>
      <c r="I1418">
        <v>3.1</v>
      </c>
    </row>
    <row r="1419" spans="1:9" ht="24" customHeight="1">
      <c r="A1419" s="6" t="s">
        <v>593</v>
      </c>
      <c r="B1419">
        <v>299</v>
      </c>
      <c r="C1419">
        <v>21</v>
      </c>
      <c r="D1419">
        <v>1063168</v>
      </c>
      <c r="E1419">
        <v>732026</v>
      </c>
      <c r="F1419">
        <v>7.3</v>
      </c>
      <c r="G1419">
        <v>7.9</v>
      </c>
      <c r="H1419">
        <v>34.4</v>
      </c>
      <c r="I1419">
        <v>36.700000000000003</v>
      </c>
    </row>
    <row r="1420" spans="1:9" ht="24" customHeight="1">
      <c r="A1420" s="6" t="s">
        <v>2924</v>
      </c>
      <c r="B1420">
        <v>298</v>
      </c>
      <c r="C1420">
        <v>85</v>
      </c>
      <c r="D1420">
        <v>788440</v>
      </c>
      <c r="E1420">
        <v>492106</v>
      </c>
      <c r="F1420">
        <v>18.600000000000001</v>
      </c>
      <c r="G1420">
        <v>13</v>
      </c>
      <c r="H1420">
        <v>7.1</v>
      </c>
      <c r="I1420">
        <v>6.2</v>
      </c>
    </row>
    <row r="1421" spans="1:9" ht="24" customHeight="1">
      <c r="A1421" s="6" t="s">
        <v>2925</v>
      </c>
      <c r="B1421">
        <v>4697</v>
      </c>
      <c r="C1421">
        <v>665</v>
      </c>
      <c r="D1421">
        <v>389421</v>
      </c>
      <c r="E1421">
        <v>284590</v>
      </c>
      <c r="F1421">
        <v>13.6</v>
      </c>
      <c r="G1421">
        <v>4.2</v>
      </c>
      <c r="H1421">
        <v>12.6</v>
      </c>
      <c r="I1421">
        <v>10.3</v>
      </c>
    </row>
    <row r="1422" spans="1:9" ht="24" customHeight="1">
      <c r="A1422" s="6" t="s">
        <v>2926</v>
      </c>
      <c r="B1422">
        <v>341</v>
      </c>
      <c r="C1422">
        <v>65</v>
      </c>
      <c r="D1422">
        <v>274204</v>
      </c>
      <c r="E1422">
        <v>234002</v>
      </c>
      <c r="F1422">
        <v>12.3</v>
      </c>
      <c r="G1422">
        <v>2.2999999999999998</v>
      </c>
      <c r="H1422">
        <v>0</v>
      </c>
      <c r="I1422">
        <v>0</v>
      </c>
    </row>
    <row r="1423" spans="1:9" ht="24" customHeight="1">
      <c r="A1423" s="6" t="s">
        <v>2927</v>
      </c>
      <c r="B1423">
        <v>580</v>
      </c>
      <c r="C1423">
        <v>91</v>
      </c>
      <c r="D1423">
        <v>337398</v>
      </c>
      <c r="E1423">
        <v>237233</v>
      </c>
      <c r="F1423">
        <v>14.3</v>
      </c>
      <c r="G1423">
        <v>3.3</v>
      </c>
      <c r="H1423">
        <v>1.5</v>
      </c>
      <c r="I1423">
        <v>1.4</v>
      </c>
    </row>
    <row r="1424" spans="1:9" ht="24" customHeight="1">
      <c r="A1424" s="6" t="s">
        <v>2928</v>
      </c>
      <c r="B1424">
        <v>712</v>
      </c>
      <c r="C1424">
        <v>98</v>
      </c>
      <c r="D1424">
        <v>414682</v>
      </c>
      <c r="E1424">
        <v>279793</v>
      </c>
      <c r="F1424">
        <v>13.4</v>
      </c>
      <c r="G1424">
        <v>4.4000000000000004</v>
      </c>
      <c r="H1424">
        <v>11.8</v>
      </c>
      <c r="I1424">
        <v>11.6</v>
      </c>
    </row>
    <row r="1425" spans="1:9" ht="24" customHeight="1">
      <c r="A1425" s="6" t="s">
        <v>2929</v>
      </c>
      <c r="B1425">
        <v>361</v>
      </c>
      <c r="C1425">
        <v>43</v>
      </c>
      <c r="D1425">
        <v>436645</v>
      </c>
      <c r="E1425">
        <v>338510</v>
      </c>
      <c r="F1425">
        <v>12.5</v>
      </c>
      <c r="G1425">
        <v>5.6</v>
      </c>
      <c r="H1425">
        <v>17</v>
      </c>
      <c r="I1425">
        <v>17.2</v>
      </c>
    </row>
    <row r="1426" spans="1:9" ht="24" customHeight="1">
      <c r="A1426" s="6" t="s">
        <v>2930</v>
      </c>
      <c r="B1426">
        <v>291</v>
      </c>
      <c r="C1426">
        <v>20</v>
      </c>
      <c r="D1426">
        <v>414837</v>
      </c>
      <c r="E1426">
        <v>340455</v>
      </c>
      <c r="F1426">
        <v>14.2</v>
      </c>
      <c r="G1426">
        <v>7.8</v>
      </c>
      <c r="H1426">
        <v>22.3</v>
      </c>
      <c r="I1426">
        <v>21.8</v>
      </c>
    </row>
    <row r="1427" spans="1:9" ht="24" customHeight="1">
      <c r="A1427" s="6" t="s">
        <v>2931</v>
      </c>
      <c r="B1427">
        <v>321</v>
      </c>
      <c r="C1427">
        <v>57</v>
      </c>
      <c r="D1427">
        <v>444940</v>
      </c>
      <c r="E1427">
        <v>359473</v>
      </c>
      <c r="F1427">
        <v>15.2</v>
      </c>
      <c r="G1427">
        <v>1.8</v>
      </c>
      <c r="H1427">
        <v>27</v>
      </c>
      <c r="I1427">
        <v>27.5</v>
      </c>
    </row>
    <row r="1428" spans="1:9" ht="24" customHeight="1">
      <c r="A1428" s="6" t="s">
        <v>2932</v>
      </c>
      <c r="B1428">
        <v>579</v>
      </c>
      <c r="C1428">
        <v>104</v>
      </c>
      <c r="D1428">
        <v>364626</v>
      </c>
      <c r="E1428">
        <v>256507</v>
      </c>
      <c r="F1428">
        <v>15.6</v>
      </c>
      <c r="G1428">
        <v>4.5999999999999996</v>
      </c>
      <c r="H1428">
        <v>3.5</v>
      </c>
      <c r="I1428">
        <v>3.7</v>
      </c>
    </row>
    <row r="1429" spans="1:9" ht="24" customHeight="1">
      <c r="A1429" s="6" t="s">
        <v>2933</v>
      </c>
      <c r="B1429">
        <v>545</v>
      </c>
      <c r="C1429">
        <v>47</v>
      </c>
      <c r="D1429">
        <v>420334</v>
      </c>
      <c r="E1429">
        <v>307241</v>
      </c>
      <c r="F1429">
        <v>9.9</v>
      </c>
      <c r="G1429">
        <v>4.5999999999999996</v>
      </c>
      <c r="H1429">
        <v>36.4</v>
      </c>
      <c r="I1429">
        <v>35.9</v>
      </c>
    </row>
    <row r="1430" spans="1:9" ht="24" customHeight="1">
      <c r="A1430" s="6" t="s">
        <v>2934</v>
      </c>
      <c r="B1430">
        <v>1016</v>
      </c>
      <c r="C1430">
        <v>149</v>
      </c>
      <c r="D1430">
        <v>385821</v>
      </c>
      <c r="E1430">
        <v>286260</v>
      </c>
      <c r="F1430">
        <v>14</v>
      </c>
      <c r="G1430">
        <v>4.8</v>
      </c>
      <c r="H1430">
        <v>7</v>
      </c>
      <c r="I1430">
        <v>6.6</v>
      </c>
    </row>
    <row r="1431" spans="1:9" ht="24" customHeight="1">
      <c r="A1431" s="6" t="s">
        <v>2935</v>
      </c>
      <c r="B1431">
        <v>1097</v>
      </c>
      <c r="C1431">
        <v>105</v>
      </c>
      <c r="D1431">
        <v>485940</v>
      </c>
      <c r="E1431">
        <v>388505</v>
      </c>
      <c r="F1431">
        <v>10.5</v>
      </c>
      <c r="G1431">
        <v>4.2</v>
      </c>
      <c r="H1431">
        <v>16.399999999999999</v>
      </c>
      <c r="I1431">
        <v>12</v>
      </c>
    </row>
    <row r="1432" spans="1:9" ht="24" customHeight="1">
      <c r="A1432" s="6" t="s">
        <v>2936</v>
      </c>
      <c r="B1432">
        <v>61</v>
      </c>
      <c r="C1432">
        <v>6</v>
      </c>
      <c r="D1432">
        <v>310144</v>
      </c>
      <c r="E1432">
        <v>258782</v>
      </c>
      <c r="F1432">
        <v>9.1</v>
      </c>
      <c r="G1432">
        <v>1</v>
      </c>
      <c r="H1432">
        <v>0</v>
      </c>
      <c r="I1432">
        <v>0</v>
      </c>
    </row>
    <row r="1433" spans="1:9" ht="24" customHeight="1">
      <c r="A1433" s="6" t="s">
        <v>2937</v>
      </c>
      <c r="B1433">
        <v>81</v>
      </c>
      <c r="C1433">
        <v>13</v>
      </c>
      <c r="D1433">
        <v>360436</v>
      </c>
      <c r="E1433">
        <v>257653</v>
      </c>
      <c r="F1433">
        <v>12.3</v>
      </c>
      <c r="G1433">
        <v>4</v>
      </c>
      <c r="H1433">
        <v>1.5</v>
      </c>
      <c r="I1433">
        <v>1.2</v>
      </c>
    </row>
    <row r="1434" spans="1:9" ht="24" customHeight="1">
      <c r="A1434" s="6" t="s">
        <v>2938</v>
      </c>
      <c r="B1434">
        <v>121</v>
      </c>
      <c r="C1434">
        <v>17</v>
      </c>
      <c r="D1434">
        <v>449252</v>
      </c>
      <c r="E1434">
        <v>345230</v>
      </c>
      <c r="F1434">
        <v>11.7</v>
      </c>
      <c r="G1434">
        <v>7.7</v>
      </c>
      <c r="H1434">
        <v>12.1</v>
      </c>
      <c r="I1434">
        <v>11.6</v>
      </c>
    </row>
    <row r="1435" spans="1:9" ht="24" customHeight="1">
      <c r="A1435" s="6" t="s">
        <v>2939</v>
      </c>
      <c r="B1435">
        <v>135</v>
      </c>
      <c r="C1435">
        <v>5</v>
      </c>
      <c r="D1435">
        <v>547152</v>
      </c>
      <c r="E1435">
        <v>478903</v>
      </c>
      <c r="F1435">
        <v>8.6</v>
      </c>
      <c r="G1435">
        <v>0</v>
      </c>
      <c r="H1435">
        <v>16.399999999999999</v>
      </c>
      <c r="I1435">
        <v>16</v>
      </c>
    </row>
    <row r="1436" spans="1:9" ht="24" customHeight="1">
      <c r="A1436" s="6" t="s">
        <v>2940</v>
      </c>
      <c r="B1436">
        <v>154</v>
      </c>
      <c r="C1436">
        <v>1</v>
      </c>
      <c r="D1436">
        <v>538387</v>
      </c>
      <c r="E1436">
        <v>410964</v>
      </c>
      <c r="F1436">
        <v>10.1</v>
      </c>
      <c r="G1436">
        <v>0</v>
      </c>
      <c r="H1436">
        <v>21.8</v>
      </c>
      <c r="I1436">
        <v>23</v>
      </c>
    </row>
    <row r="1437" spans="1:9" ht="24" customHeight="1">
      <c r="A1437" s="6" t="s">
        <v>2941</v>
      </c>
      <c r="B1437">
        <v>112</v>
      </c>
      <c r="C1437">
        <v>12</v>
      </c>
      <c r="D1437">
        <v>525869</v>
      </c>
      <c r="E1437">
        <v>518970</v>
      </c>
      <c r="F1437">
        <v>7.5</v>
      </c>
      <c r="G1437">
        <v>4.7</v>
      </c>
      <c r="H1437">
        <v>26.8</v>
      </c>
      <c r="I1437">
        <v>27.2</v>
      </c>
    </row>
    <row r="1438" spans="1:9" ht="24" customHeight="1">
      <c r="A1438" s="6" t="s">
        <v>2942</v>
      </c>
      <c r="B1438">
        <v>98</v>
      </c>
      <c r="C1438">
        <v>11</v>
      </c>
      <c r="D1438">
        <v>424110</v>
      </c>
      <c r="E1438">
        <v>419837</v>
      </c>
      <c r="F1438">
        <v>14.7</v>
      </c>
      <c r="G1438">
        <v>3.1</v>
      </c>
      <c r="H1438">
        <v>3.5</v>
      </c>
      <c r="I1438">
        <v>3.6</v>
      </c>
    </row>
    <row r="1439" spans="1:9" ht="24" customHeight="1">
      <c r="A1439" s="6" t="s">
        <v>2943</v>
      </c>
      <c r="B1439">
        <v>177</v>
      </c>
      <c r="C1439">
        <v>13</v>
      </c>
      <c r="D1439">
        <v>616576</v>
      </c>
      <c r="E1439">
        <v>544043</v>
      </c>
      <c r="F1439">
        <v>6.3</v>
      </c>
      <c r="G1439">
        <v>3.6</v>
      </c>
      <c r="H1439">
        <v>35.4</v>
      </c>
      <c r="I1439">
        <v>30.5</v>
      </c>
    </row>
    <row r="1440" spans="1:9" ht="24" customHeight="1">
      <c r="A1440" s="6" t="s">
        <v>2944</v>
      </c>
      <c r="B1440">
        <v>158</v>
      </c>
      <c r="C1440">
        <v>30</v>
      </c>
      <c r="D1440">
        <v>407174</v>
      </c>
      <c r="E1440">
        <v>349350</v>
      </c>
      <c r="F1440">
        <v>15.6</v>
      </c>
      <c r="G1440">
        <v>3.7</v>
      </c>
      <c r="H1440">
        <v>7.5</v>
      </c>
      <c r="I1440">
        <v>6.5</v>
      </c>
    </row>
    <row r="1441" spans="1:9" ht="24" customHeight="1">
      <c r="A1441" s="6" t="s">
        <v>2945</v>
      </c>
      <c r="B1441">
        <v>1160</v>
      </c>
      <c r="C1441">
        <v>272</v>
      </c>
      <c r="D1441">
        <v>794337</v>
      </c>
      <c r="E1441">
        <v>550028</v>
      </c>
      <c r="F1441">
        <v>9.6</v>
      </c>
      <c r="G1441">
        <v>10.8</v>
      </c>
      <c r="H1441">
        <v>14.9</v>
      </c>
      <c r="I1441">
        <v>10</v>
      </c>
    </row>
    <row r="1442" spans="1:9" ht="24" customHeight="1">
      <c r="A1442" s="6" t="s">
        <v>2946</v>
      </c>
      <c r="B1442">
        <v>87</v>
      </c>
      <c r="C1442">
        <v>12</v>
      </c>
      <c r="D1442">
        <v>419781</v>
      </c>
      <c r="E1442">
        <v>511105</v>
      </c>
      <c r="F1442">
        <v>18.399999999999999</v>
      </c>
      <c r="G1442">
        <v>7</v>
      </c>
      <c r="H1442">
        <v>0</v>
      </c>
      <c r="I1442">
        <v>0</v>
      </c>
    </row>
    <row r="1443" spans="1:9" ht="24" customHeight="1">
      <c r="A1443" s="6" t="s">
        <v>2947</v>
      </c>
      <c r="B1443">
        <v>60</v>
      </c>
      <c r="C1443">
        <v>98</v>
      </c>
      <c r="D1443">
        <v>365728</v>
      </c>
      <c r="E1443">
        <v>429393</v>
      </c>
      <c r="F1443">
        <v>16.3</v>
      </c>
      <c r="G1443">
        <v>16.5</v>
      </c>
      <c r="H1443">
        <v>1.4</v>
      </c>
      <c r="I1443">
        <v>1.4</v>
      </c>
    </row>
    <row r="1444" spans="1:9" ht="24" customHeight="1">
      <c r="A1444" s="6" t="s">
        <v>2948</v>
      </c>
      <c r="B1444">
        <v>214</v>
      </c>
      <c r="C1444">
        <v>41</v>
      </c>
      <c r="D1444">
        <v>724214</v>
      </c>
      <c r="E1444">
        <v>668040</v>
      </c>
      <c r="F1444">
        <v>10.6</v>
      </c>
      <c r="G1444">
        <v>9.8000000000000007</v>
      </c>
      <c r="H1444">
        <v>11.6</v>
      </c>
      <c r="I1444">
        <v>12.5</v>
      </c>
    </row>
    <row r="1445" spans="1:9" ht="24" customHeight="1">
      <c r="A1445" s="6" t="s">
        <v>2949</v>
      </c>
      <c r="B1445">
        <v>182</v>
      </c>
      <c r="C1445">
        <v>28</v>
      </c>
      <c r="D1445">
        <v>985711</v>
      </c>
      <c r="E1445">
        <v>731113</v>
      </c>
      <c r="F1445">
        <v>5.8</v>
      </c>
      <c r="G1445">
        <v>2.2999999999999998</v>
      </c>
      <c r="H1445">
        <v>16.2</v>
      </c>
      <c r="I1445">
        <v>16.7</v>
      </c>
    </row>
    <row r="1446" spans="1:9" ht="24" customHeight="1">
      <c r="A1446" s="6" t="s">
        <v>2950</v>
      </c>
      <c r="B1446">
        <v>80</v>
      </c>
      <c r="C1446">
        <v>16</v>
      </c>
      <c r="D1446">
        <v>959731</v>
      </c>
      <c r="E1446">
        <v>616854</v>
      </c>
      <c r="F1446">
        <v>6.5</v>
      </c>
      <c r="G1446">
        <v>11</v>
      </c>
      <c r="H1446">
        <v>21.8</v>
      </c>
      <c r="I1446">
        <v>21.8</v>
      </c>
    </row>
    <row r="1447" spans="1:9" ht="24" customHeight="1">
      <c r="A1447" s="6" t="s">
        <v>2951</v>
      </c>
      <c r="B1447">
        <v>61</v>
      </c>
      <c r="C1447">
        <v>14</v>
      </c>
      <c r="D1447">
        <v>865166</v>
      </c>
      <c r="E1447">
        <v>1404846</v>
      </c>
      <c r="F1447">
        <v>4.7</v>
      </c>
      <c r="G1447">
        <v>0</v>
      </c>
      <c r="H1447">
        <v>27</v>
      </c>
      <c r="I1447">
        <v>28.9</v>
      </c>
    </row>
    <row r="1448" spans="1:9" ht="24" customHeight="1">
      <c r="A1448" s="6" t="s">
        <v>2952</v>
      </c>
      <c r="B1448">
        <v>81</v>
      </c>
      <c r="C1448">
        <v>26</v>
      </c>
      <c r="D1448">
        <v>545013</v>
      </c>
      <c r="E1448">
        <v>300681</v>
      </c>
      <c r="F1448">
        <v>10.199999999999999</v>
      </c>
      <c r="G1448">
        <v>9.1999999999999993</v>
      </c>
      <c r="H1448">
        <v>3.6</v>
      </c>
      <c r="I1448">
        <v>3.8</v>
      </c>
    </row>
    <row r="1449" spans="1:9" ht="24" customHeight="1">
      <c r="A1449" s="6" t="s">
        <v>2953</v>
      </c>
      <c r="B1449">
        <v>204</v>
      </c>
      <c r="C1449">
        <v>18</v>
      </c>
      <c r="D1449">
        <v>1150066</v>
      </c>
      <c r="E1449">
        <v>581345</v>
      </c>
      <c r="F1449">
        <v>2.7</v>
      </c>
      <c r="G1449">
        <v>3.9</v>
      </c>
      <c r="H1449">
        <v>33.1</v>
      </c>
      <c r="I1449">
        <v>37.1</v>
      </c>
    </row>
    <row r="1450" spans="1:9" ht="24" customHeight="1">
      <c r="A1450" s="6" t="s">
        <v>2954</v>
      </c>
      <c r="B1450">
        <v>190</v>
      </c>
      <c r="C1450">
        <v>24</v>
      </c>
      <c r="D1450">
        <v>628747</v>
      </c>
      <c r="E1450">
        <v>321771</v>
      </c>
      <c r="F1450">
        <v>15.8</v>
      </c>
      <c r="G1450">
        <v>14.3</v>
      </c>
      <c r="H1450">
        <v>7</v>
      </c>
      <c r="I1450">
        <v>7.1</v>
      </c>
    </row>
    <row r="1451" spans="1:9" ht="24" customHeight="1">
      <c r="A1451" s="6" t="s">
        <v>594</v>
      </c>
      <c r="B1451">
        <v>244485</v>
      </c>
      <c r="C1451">
        <v>46065</v>
      </c>
      <c r="D1451">
        <v>751838</v>
      </c>
      <c r="E1451">
        <v>503698</v>
      </c>
      <c r="F1451">
        <v>20.8</v>
      </c>
      <c r="G1451">
        <v>18.7</v>
      </c>
      <c r="H1451">
        <v>17.3</v>
      </c>
      <c r="I1451">
        <v>12.6</v>
      </c>
    </row>
    <row r="1452" spans="1:9" ht="24" customHeight="1">
      <c r="A1452" s="6" t="s">
        <v>595</v>
      </c>
      <c r="B1452">
        <v>7660</v>
      </c>
      <c r="C1452">
        <v>4437</v>
      </c>
      <c r="D1452">
        <v>307231</v>
      </c>
      <c r="E1452">
        <v>295465</v>
      </c>
      <c r="F1452">
        <v>15.1</v>
      </c>
      <c r="G1452">
        <v>8.8000000000000007</v>
      </c>
      <c r="H1452">
        <v>0</v>
      </c>
      <c r="I1452">
        <v>0</v>
      </c>
    </row>
    <row r="1453" spans="1:9" ht="24" customHeight="1">
      <c r="A1453" s="6" t="s">
        <v>2955</v>
      </c>
      <c r="B1453">
        <v>19352</v>
      </c>
      <c r="C1453">
        <v>6364</v>
      </c>
      <c r="D1453">
        <v>454098</v>
      </c>
      <c r="E1453">
        <v>405260</v>
      </c>
      <c r="F1453">
        <v>28.5</v>
      </c>
      <c r="G1453">
        <v>25.6</v>
      </c>
      <c r="H1453">
        <v>1.6</v>
      </c>
      <c r="I1453">
        <v>1.4</v>
      </c>
    </row>
    <row r="1454" spans="1:9" ht="24" customHeight="1">
      <c r="A1454" s="6" t="s">
        <v>2956</v>
      </c>
      <c r="B1454">
        <v>26428</v>
      </c>
      <c r="C1454">
        <v>4305</v>
      </c>
      <c r="D1454">
        <v>655786</v>
      </c>
      <c r="E1454">
        <v>546582</v>
      </c>
      <c r="F1454">
        <v>29.1</v>
      </c>
      <c r="G1454">
        <v>9.5</v>
      </c>
      <c r="H1454">
        <v>11.8</v>
      </c>
      <c r="I1454">
        <v>12</v>
      </c>
    </row>
    <row r="1455" spans="1:9" ht="24" customHeight="1">
      <c r="A1455" s="6" t="s">
        <v>2957</v>
      </c>
      <c r="B1455">
        <v>27175</v>
      </c>
      <c r="C1455">
        <v>3291</v>
      </c>
      <c r="D1455">
        <v>797272</v>
      </c>
      <c r="E1455">
        <v>524084</v>
      </c>
      <c r="F1455">
        <v>24.8</v>
      </c>
      <c r="G1455">
        <v>16.899999999999999</v>
      </c>
      <c r="H1455">
        <v>16.7</v>
      </c>
      <c r="I1455">
        <v>16.7</v>
      </c>
    </row>
    <row r="1456" spans="1:9" ht="24" customHeight="1">
      <c r="A1456" s="6" t="s">
        <v>2958</v>
      </c>
      <c r="B1456">
        <v>20737</v>
      </c>
      <c r="C1456">
        <v>2905</v>
      </c>
      <c r="D1456">
        <v>889853</v>
      </c>
      <c r="E1456">
        <v>517058</v>
      </c>
      <c r="F1456">
        <v>15.2</v>
      </c>
      <c r="G1456">
        <v>8.1999999999999993</v>
      </c>
      <c r="H1456">
        <v>22</v>
      </c>
      <c r="I1456">
        <v>22.6</v>
      </c>
    </row>
    <row r="1457" spans="1:9" ht="24" customHeight="1">
      <c r="A1457" s="6" t="s">
        <v>2959</v>
      </c>
      <c r="B1457">
        <v>26411</v>
      </c>
      <c r="C1457">
        <v>3678</v>
      </c>
      <c r="D1457">
        <v>897746</v>
      </c>
      <c r="E1457">
        <v>595523</v>
      </c>
      <c r="F1457">
        <v>10.8</v>
      </c>
      <c r="G1457">
        <v>15.3</v>
      </c>
      <c r="H1457">
        <v>27.3</v>
      </c>
      <c r="I1457">
        <v>27</v>
      </c>
    </row>
    <row r="1458" spans="1:9" ht="24" customHeight="1">
      <c r="A1458" s="6" t="s">
        <v>2960</v>
      </c>
      <c r="B1458">
        <v>17599</v>
      </c>
      <c r="C1458">
        <v>5201</v>
      </c>
      <c r="D1458">
        <v>518171</v>
      </c>
      <c r="E1458">
        <v>468506</v>
      </c>
      <c r="F1458">
        <v>33.200000000000003</v>
      </c>
      <c r="G1458">
        <v>26</v>
      </c>
      <c r="H1458">
        <v>3.4</v>
      </c>
      <c r="I1458">
        <v>3.4</v>
      </c>
    </row>
    <row r="1459" spans="1:9" ht="24" customHeight="1">
      <c r="A1459" s="6" t="s">
        <v>596</v>
      </c>
      <c r="B1459">
        <v>56881</v>
      </c>
      <c r="C1459">
        <v>7805</v>
      </c>
      <c r="D1459">
        <v>992445</v>
      </c>
      <c r="E1459">
        <v>621998</v>
      </c>
      <c r="F1459">
        <v>7</v>
      </c>
      <c r="G1459">
        <v>13.8</v>
      </c>
      <c r="H1459">
        <v>33.700000000000003</v>
      </c>
      <c r="I1459">
        <v>33.200000000000003</v>
      </c>
    </row>
    <row r="1460" spans="1:9" ht="24" customHeight="1">
      <c r="A1460" s="6" t="s">
        <v>2961</v>
      </c>
      <c r="B1460">
        <v>43595</v>
      </c>
      <c r="C1460">
        <v>10618</v>
      </c>
      <c r="D1460">
        <v>611221</v>
      </c>
      <c r="E1460">
        <v>503984</v>
      </c>
      <c r="F1460">
        <v>32.4</v>
      </c>
      <c r="G1460">
        <v>23.9</v>
      </c>
      <c r="H1460">
        <v>6.9</v>
      </c>
      <c r="I1460">
        <v>6.6</v>
      </c>
    </row>
    <row r="1461" spans="1:9" ht="24" customHeight="1">
      <c r="A1461" s="6" t="s">
        <v>2962</v>
      </c>
      <c r="B1461">
        <v>822682</v>
      </c>
      <c r="C1461">
        <v>142051</v>
      </c>
      <c r="D1461">
        <v>429108</v>
      </c>
      <c r="E1461">
        <v>309447</v>
      </c>
      <c r="F1461">
        <v>11.1</v>
      </c>
      <c r="G1461">
        <v>4.5</v>
      </c>
      <c r="H1461">
        <v>12.5</v>
      </c>
      <c r="I1461">
        <v>9.6999999999999993</v>
      </c>
    </row>
    <row r="1462" spans="1:9" ht="24" customHeight="1">
      <c r="A1462" s="6" t="s">
        <v>2963</v>
      </c>
      <c r="B1462">
        <v>62858</v>
      </c>
      <c r="C1462">
        <v>13192</v>
      </c>
      <c r="D1462">
        <v>298769</v>
      </c>
      <c r="E1462">
        <v>224899</v>
      </c>
      <c r="F1462">
        <v>9.5</v>
      </c>
      <c r="G1462">
        <v>5.2</v>
      </c>
      <c r="H1462">
        <v>0</v>
      </c>
      <c r="I1462">
        <v>0</v>
      </c>
    </row>
    <row r="1463" spans="1:9" ht="24" customHeight="1">
      <c r="A1463" s="6" t="s">
        <v>2964</v>
      </c>
      <c r="B1463">
        <v>100061</v>
      </c>
      <c r="C1463">
        <v>24973</v>
      </c>
      <c r="D1463">
        <v>348775</v>
      </c>
      <c r="E1463">
        <v>268427</v>
      </c>
      <c r="F1463">
        <v>12.2</v>
      </c>
      <c r="G1463">
        <v>4.2</v>
      </c>
      <c r="H1463">
        <v>1.5</v>
      </c>
      <c r="I1463">
        <v>1.5</v>
      </c>
    </row>
    <row r="1464" spans="1:9" ht="24" customHeight="1">
      <c r="A1464" s="6" t="s">
        <v>2965</v>
      </c>
      <c r="B1464">
        <v>130201</v>
      </c>
      <c r="C1464">
        <v>17941</v>
      </c>
      <c r="D1464">
        <v>439427</v>
      </c>
      <c r="E1464">
        <v>335704</v>
      </c>
      <c r="F1464">
        <v>10.199999999999999</v>
      </c>
      <c r="G1464">
        <v>2.8</v>
      </c>
      <c r="H1464">
        <v>11.7</v>
      </c>
      <c r="I1464">
        <v>11.9</v>
      </c>
    </row>
    <row r="1465" spans="1:9" ht="24" customHeight="1">
      <c r="A1465" s="6" t="s">
        <v>2966</v>
      </c>
      <c r="B1465">
        <v>86551</v>
      </c>
      <c r="C1465">
        <v>12023</v>
      </c>
      <c r="D1465">
        <v>472030</v>
      </c>
      <c r="E1465">
        <v>335918</v>
      </c>
      <c r="F1465">
        <v>12.2</v>
      </c>
      <c r="G1465">
        <v>3.5</v>
      </c>
      <c r="H1465">
        <v>16.7</v>
      </c>
      <c r="I1465">
        <v>17</v>
      </c>
    </row>
    <row r="1466" spans="1:9" ht="24" customHeight="1">
      <c r="A1466" s="6" t="s">
        <v>2967</v>
      </c>
      <c r="B1466">
        <v>74330</v>
      </c>
      <c r="C1466">
        <v>9080</v>
      </c>
      <c r="D1466">
        <v>498037</v>
      </c>
      <c r="E1466">
        <v>347921</v>
      </c>
      <c r="F1466">
        <v>9.6999999999999993</v>
      </c>
      <c r="G1466">
        <v>2.2000000000000002</v>
      </c>
      <c r="H1466">
        <v>21.8</v>
      </c>
      <c r="I1466">
        <v>21.5</v>
      </c>
    </row>
    <row r="1467" spans="1:9" ht="24" customHeight="1">
      <c r="A1467" s="6" t="s">
        <v>2968</v>
      </c>
      <c r="B1467">
        <v>60491</v>
      </c>
      <c r="C1467">
        <v>6541</v>
      </c>
      <c r="D1467">
        <v>526558</v>
      </c>
      <c r="E1467">
        <v>316355</v>
      </c>
      <c r="F1467">
        <v>9.4</v>
      </c>
      <c r="G1467">
        <v>1.1000000000000001</v>
      </c>
      <c r="H1467">
        <v>26.9</v>
      </c>
      <c r="I1467">
        <v>27</v>
      </c>
    </row>
    <row r="1468" spans="1:9" ht="24" customHeight="1">
      <c r="A1468" s="6" t="s">
        <v>2969</v>
      </c>
      <c r="B1468">
        <v>90394</v>
      </c>
      <c r="C1468">
        <v>21509</v>
      </c>
      <c r="D1468">
        <v>373964</v>
      </c>
      <c r="E1468">
        <v>303782</v>
      </c>
      <c r="F1468">
        <v>12.3</v>
      </c>
      <c r="G1468">
        <v>7.2</v>
      </c>
      <c r="H1468">
        <v>3.4</v>
      </c>
      <c r="I1468">
        <v>3.6</v>
      </c>
    </row>
    <row r="1469" spans="1:9" ht="24" customHeight="1">
      <c r="A1469" s="6" t="s">
        <v>2970</v>
      </c>
      <c r="B1469">
        <v>73330</v>
      </c>
      <c r="C1469">
        <v>9818</v>
      </c>
      <c r="D1469">
        <v>487430</v>
      </c>
      <c r="E1469">
        <v>359309</v>
      </c>
      <c r="F1469">
        <v>6.7</v>
      </c>
      <c r="G1469">
        <v>3.7</v>
      </c>
      <c r="H1469">
        <v>36.9</v>
      </c>
      <c r="I1469">
        <v>35.5</v>
      </c>
    </row>
    <row r="1470" spans="1:9" ht="24" customHeight="1">
      <c r="A1470" s="6" t="s">
        <v>2971</v>
      </c>
      <c r="B1470">
        <v>157586</v>
      </c>
      <c r="C1470">
        <v>37442</v>
      </c>
      <c r="D1470">
        <v>413390</v>
      </c>
      <c r="E1470">
        <v>308445</v>
      </c>
      <c r="F1470">
        <v>12.9</v>
      </c>
      <c r="G1470">
        <v>5.0999999999999996</v>
      </c>
      <c r="H1470">
        <v>6.9</v>
      </c>
      <c r="I1470">
        <v>6.7</v>
      </c>
    </row>
    <row r="1471" spans="1:9" ht="24" customHeight="1">
      <c r="A1471" s="6" t="s">
        <v>2972</v>
      </c>
      <c r="B1471">
        <v>134116</v>
      </c>
      <c r="C1471">
        <v>26611</v>
      </c>
      <c r="D1471">
        <v>503663</v>
      </c>
      <c r="E1471">
        <v>362172</v>
      </c>
      <c r="F1471">
        <v>15.4</v>
      </c>
      <c r="G1471">
        <v>7.9</v>
      </c>
      <c r="H1471">
        <v>13.6</v>
      </c>
      <c r="I1471">
        <v>11</v>
      </c>
    </row>
    <row r="1472" spans="1:9" ht="24" customHeight="1">
      <c r="A1472" s="6" t="s">
        <v>2973</v>
      </c>
      <c r="B1472">
        <v>8181</v>
      </c>
      <c r="C1472">
        <v>2391</v>
      </c>
      <c r="D1472">
        <v>303595</v>
      </c>
      <c r="E1472">
        <v>242522</v>
      </c>
      <c r="F1472">
        <v>8.6999999999999993</v>
      </c>
      <c r="G1472">
        <v>3.3</v>
      </c>
      <c r="H1472">
        <v>0</v>
      </c>
      <c r="I1472">
        <v>0</v>
      </c>
    </row>
    <row r="1473" spans="1:9" ht="24" customHeight="1">
      <c r="A1473" s="6" t="s">
        <v>2974</v>
      </c>
      <c r="B1473">
        <v>13729</v>
      </c>
      <c r="C1473">
        <v>4003</v>
      </c>
      <c r="D1473">
        <v>359309</v>
      </c>
      <c r="E1473">
        <v>314660</v>
      </c>
      <c r="F1473">
        <v>16.2</v>
      </c>
      <c r="G1473">
        <v>11.3</v>
      </c>
      <c r="H1473">
        <v>1.4</v>
      </c>
      <c r="I1473">
        <v>1.3</v>
      </c>
    </row>
    <row r="1474" spans="1:9" ht="24" customHeight="1">
      <c r="A1474" s="6" t="s">
        <v>2975</v>
      </c>
      <c r="B1474">
        <v>19685</v>
      </c>
      <c r="C1474">
        <v>3042</v>
      </c>
      <c r="D1474">
        <v>517114</v>
      </c>
      <c r="E1474">
        <v>356403</v>
      </c>
      <c r="F1474">
        <v>17</v>
      </c>
      <c r="G1474">
        <v>5.6</v>
      </c>
      <c r="H1474">
        <v>12</v>
      </c>
      <c r="I1474">
        <v>11.8</v>
      </c>
    </row>
    <row r="1475" spans="1:9" ht="24" customHeight="1">
      <c r="A1475" s="6" t="s">
        <v>2976</v>
      </c>
      <c r="B1475">
        <v>16016</v>
      </c>
      <c r="C1475">
        <v>3395</v>
      </c>
      <c r="D1475">
        <v>560279</v>
      </c>
      <c r="E1475">
        <v>421289</v>
      </c>
      <c r="F1475">
        <v>15.6</v>
      </c>
      <c r="G1475">
        <v>6.3</v>
      </c>
      <c r="H1475">
        <v>16.8</v>
      </c>
      <c r="I1475">
        <v>16.5</v>
      </c>
    </row>
    <row r="1476" spans="1:9" ht="24" customHeight="1">
      <c r="A1476" s="6" t="s">
        <v>2977</v>
      </c>
      <c r="B1476">
        <v>9161</v>
      </c>
      <c r="C1476">
        <v>1416</v>
      </c>
      <c r="D1476">
        <v>586509</v>
      </c>
      <c r="E1476">
        <v>428217</v>
      </c>
      <c r="F1476">
        <v>12</v>
      </c>
      <c r="G1476">
        <v>3.7</v>
      </c>
      <c r="H1476">
        <v>22</v>
      </c>
      <c r="I1476">
        <v>22</v>
      </c>
    </row>
    <row r="1477" spans="1:9" ht="24" customHeight="1">
      <c r="A1477" s="6" t="s">
        <v>2978</v>
      </c>
      <c r="B1477">
        <v>11528</v>
      </c>
      <c r="C1477">
        <v>1675</v>
      </c>
      <c r="D1477">
        <v>624754</v>
      </c>
      <c r="E1477">
        <v>410446</v>
      </c>
      <c r="F1477">
        <v>11.9</v>
      </c>
      <c r="G1477">
        <v>4.5</v>
      </c>
      <c r="H1477">
        <v>27.1</v>
      </c>
      <c r="I1477">
        <v>27.1</v>
      </c>
    </row>
    <row r="1478" spans="1:9" ht="24" customHeight="1">
      <c r="A1478" s="6" t="s">
        <v>2979</v>
      </c>
      <c r="B1478">
        <v>12740</v>
      </c>
      <c r="C1478">
        <v>3261</v>
      </c>
      <c r="D1478">
        <v>415063</v>
      </c>
      <c r="E1478">
        <v>312999</v>
      </c>
      <c r="F1478">
        <v>21.1</v>
      </c>
      <c r="G1478">
        <v>12.7</v>
      </c>
      <c r="H1478">
        <v>3.5</v>
      </c>
      <c r="I1478">
        <v>3.5</v>
      </c>
    </row>
    <row r="1479" spans="1:9" ht="24" customHeight="1">
      <c r="A1479" s="6" t="s">
        <v>2980</v>
      </c>
      <c r="B1479">
        <v>16003</v>
      </c>
      <c r="C1479">
        <v>2036</v>
      </c>
      <c r="D1479">
        <v>643799</v>
      </c>
      <c r="E1479">
        <v>455938</v>
      </c>
      <c r="F1479">
        <v>8</v>
      </c>
      <c r="G1479">
        <v>6.1</v>
      </c>
      <c r="H1479">
        <v>35.299999999999997</v>
      </c>
      <c r="I1479">
        <v>33.9</v>
      </c>
    </row>
    <row r="1480" spans="1:9" ht="24" customHeight="1">
      <c r="A1480" s="6" t="s">
        <v>2981</v>
      </c>
      <c r="B1480">
        <v>27084</v>
      </c>
      <c r="C1480">
        <v>5594</v>
      </c>
      <c r="D1480">
        <v>473282</v>
      </c>
      <c r="E1480">
        <v>373230</v>
      </c>
      <c r="F1480">
        <v>20.100000000000001</v>
      </c>
      <c r="G1480">
        <v>9.4</v>
      </c>
      <c r="H1480">
        <v>6.7</v>
      </c>
      <c r="I1480">
        <v>7.1</v>
      </c>
    </row>
    <row r="1481" spans="1:9" ht="24" customHeight="1">
      <c r="A1481" s="6" t="s">
        <v>2982</v>
      </c>
      <c r="B1481">
        <v>162668</v>
      </c>
      <c r="C1481">
        <v>35485</v>
      </c>
      <c r="D1481">
        <v>571054</v>
      </c>
      <c r="E1481">
        <v>405766</v>
      </c>
      <c r="F1481">
        <v>17.899999999999999</v>
      </c>
      <c r="G1481">
        <v>15</v>
      </c>
      <c r="H1481">
        <v>14.4</v>
      </c>
      <c r="I1481">
        <v>9.4</v>
      </c>
    </row>
    <row r="1482" spans="1:9" ht="24" customHeight="1">
      <c r="A1482" s="6" t="s">
        <v>2983</v>
      </c>
      <c r="B1482">
        <v>9827</v>
      </c>
      <c r="C1482">
        <v>4113</v>
      </c>
      <c r="D1482">
        <v>300839</v>
      </c>
      <c r="E1482">
        <v>259660</v>
      </c>
      <c r="F1482">
        <v>6</v>
      </c>
      <c r="G1482">
        <v>1.3</v>
      </c>
      <c r="H1482">
        <v>0</v>
      </c>
      <c r="I1482">
        <v>0</v>
      </c>
    </row>
    <row r="1483" spans="1:9" ht="24" customHeight="1">
      <c r="A1483" s="6" t="s">
        <v>2984</v>
      </c>
      <c r="B1483">
        <v>17433</v>
      </c>
      <c r="C1483">
        <v>6567</v>
      </c>
      <c r="D1483">
        <v>435984</v>
      </c>
      <c r="E1483">
        <v>383777</v>
      </c>
      <c r="F1483">
        <v>23.8</v>
      </c>
      <c r="G1483">
        <v>24.4</v>
      </c>
      <c r="H1483">
        <v>1.5</v>
      </c>
      <c r="I1483">
        <v>1.5</v>
      </c>
    </row>
    <row r="1484" spans="1:9" ht="24" customHeight="1">
      <c r="A1484" s="6" t="s">
        <v>2985</v>
      </c>
      <c r="B1484">
        <v>19777</v>
      </c>
      <c r="C1484">
        <v>4508</v>
      </c>
      <c r="D1484">
        <v>576986</v>
      </c>
      <c r="E1484">
        <v>447849</v>
      </c>
      <c r="F1484">
        <v>22.4</v>
      </c>
      <c r="G1484">
        <v>20.100000000000001</v>
      </c>
      <c r="H1484">
        <v>11.8</v>
      </c>
      <c r="I1484">
        <v>11.7</v>
      </c>
    </row>
    <row r="1485" spans="1:9" ht="24" customHeight="1">
      <c r="A1485" s="6" t="s">
        <v>2986</v>
      </c>
      <c r="B1485">
        <v>22129</v>
      </c>
      <c r="C1485">
        <v>3461</v>
      </c>
      <c r="D1485">
        <v>632579</v>
      </c>
      <c r="E1485">
        <v>471821</v>
      </c>
      <c r="F1485">
        <v>23.6</v>
      </c>
      <c r="G1485">
        <v>17.5</v>
      </c>
      <c r="H1485">
        <v>16.7</v>
      </c>
      <c r="I1485">
        <v>16.5</v>
      </c>
    </row>
    <row r="1486" spans="1:9" ht="24" customHeight="1">
      <c r="A1486" s="6" t="s">
        <v>2987</v>
      </c>
      <c r="B1486">
        <v>9927</v>
      </c>
      <c r="C1486">
        <v>1596</v>
      </c>
      <c r="D1486">
        <v>669155</v>
      </c>
      <c r="E1486">
        <v>440851</v>
      </c>
      <c r="F1486">
        <v>15.2</v>
      </c>
      <c r="G1486">
        <v>13.4</v>
      </c>
      <c r="H1486">
        <v>22</v>
      </c>
      <c r="I1486">
        <v>21.6</v>
      </c>
    </row>
    <row r="1487" spans="1:9" ht="24" customHeight="1">
      <c r="A1487" s="6" t="s">
        <v>2988</v>
      </c>
      <c r="B1487">
        <v>16715</v>
      </c>
      <c r="C1487">
        <v>2142</v>
      </c>
      <c r="D1487">
        <v>696572</v>
      </c>
      <c r="E1487">
        <v>503537</v>
      </c>
      <c r="F1487">
        <v>9.4</v>
      </c>
      <c r="G1487">
        <v>12</v>
      </c>
      <c r="H1487">
        <v>27.2</v>
      </c>
      <c r="I1487">
        <v>26.7</v>
      </c>
    </row>
    <row r="1488" spans="1:9" ht="24" customHeight="1">
      <c r="A1488" s="6" t="s">
        <v>2989</v>
      </c>
      <c r="B1488">
        <v>15438</v>
      </c>
      <c r="C1488">
        <v>4784</v>
      </c>
      <c r="D1488">
        <v>465965</v>
      </c>
      <c r="E1488">
        <v>375895</v>
      </c>
      <c r="F1488">
        <v>26.3</v>
      </c>
      <c r="G1488">
        <v>12.4</v>
      </c>
      <c r="H1488">
        <v>3.4</v>
      </c>
      <c r="I1488">
        <v>3.5</v>
      </c>
    </row>
    <row r="1489" spans="1:9" ht="24" customHeight="1">
      <c r="A1489" s="6" t="s">
        <v>2990</v>
      </c>
      <c r="B1489">
        <v>23532</v>
      </c>
      <c r="C1489">
        <v>1950</v>
      </c>
      <c r="D1489">
        <v>707545</v>
      </c>
      <c r="E1489">
        <v>496609</v>
      </c>
      <c r="F1489">
        <v>8.1999999999999993</v>
      </c>
      <c r="G1489">
        <v>7.1</v>
      </c>
      <c r="H1489">
        <v>34</v>
      </c>
      <c r="I1489">
        <v>33.6</v>
      </c>
    </row>
    <row r="1490" spans="1:9" ht="24" customHeight="1">
      <c r="A1490" s="6" t="s">
        <v>2991</v>
      </c>
      <c r="B1490">
        <v>28279</v>
      </c>
      <c r="C1490">
        <v>7571</v>
      </c>
      <c r="D1490">
        <v>527627</v>
      </c>
      <c r="E1490">
        <v>383434</v>
      </c>
      <c r="F1490">
        <v>20</v>
      </c>
      <c r="G1490">
        <v>12.5</v>
      </c>
      <c r="H1490">
        <v>6.9</v>
      </c>
      <c r="I1490">
        <v>6.5</v>
      </c>
    </row>
    <row r="1491" spans="1:9" ht="24" customHeight="1">
      <c r="A1491" s="6" t="s">
        <v>597</v>
      </c>
      <c r="B1491">
        <v>1393083</v>
      </c>
      <c r="C1491">
        <v>301857</v>
      </c>
      <c r="D1491">
        <v>616916</v>
      </c>
      <c r="E1491">
        <v>433277</v>
      </c>
      <c r="F1491">
        <v>17.7</v>
      </c>
      <c r="G1491">
        <v>12.7</v>
      </c>
      <c r="H1491">
        <v>17.600000000000001</v>
      </c>
      <c r="I1491">
        <v>13.6</v>
      </c>
    </row>
    <row r="1492" spans="1:9" ht="24" customHeight="1">
      <c r="A1492" s="6" t="s">
        <v>598</v>
      </c>
      <c r="B1492">
        <v>49499</v>
      </c>
      <c r="C1492">
        <v>25100</v>
      </c>
      <c r="D1492">
        <v>302900</v>
      </c>
      <c r="E1492">
        <v>250906</v>
      </c>
      <c r="F1492">
        <v>10.199999999999999</v>
      </c>
      <c r="G1492">
        <v>6.4</v>
      </c>
      <c r="H1492">
        <v>0</v>
      </c>
      <c r="I1492">
        <v>0</v>
      </c>
    </row>
    <row r="1493" spans="1:9" ht="24" customHeight="1">
      <c r="A1493" s="6" t="s">
        <v>2992</v>
      </c>
      <c r="B1493">
        <v>89566</v>
      </c>
      <c r="C1493">
        <v>41669</v>
      </c>
      <c r="D1493">
        <v>399766</v>
      </c>
      <c r="E1493">
        <v>326605</v>
      </c>
      <c r="F1493">
        <v>20.7</v>
      </c>
      <c r="G1493">
        <v>18.399999999999999</v>
      </c>
      <c r="H1493">
        <v>1.5</v>
      </c>
      <c r="I1493">
        <v>1.5</v>
      </c>
    </row>
    <row r="1494" spans="1:9" ht="24" customHeight="1">
      <c r="A1494" s="6" t="s">
        <v>2993</v>
      </c>
      <c r="B1494">
        <v>181417</v>
      </c>
      <c r="C1494">
        <v>35050</v>
      </c>
      <c r="D1494">
        <v>563108</v>
      </c>
      <c r="E1494">
        <v>450174</v>
      </c>
      <c r="F1494">
        <v>21</v>
      </c>
      <c r="G1494">
        <v>9.9</v>
      </c>
      <c r="H1494">
        <v>12.2</v>
      </c>
      <c r="I1494">
        <v>12.3</v>
      </c>
    </row>
    <row r="1495" spans="1:9" ht="24" customHeight="1">
      <c r="A1495" s="6" t="s">
        <v>2994</v>
      </c>
      <c r="B1495">
        <v>212715</v>
      </c>
      <c r="C1495">
        <v>34586</v>
      </c>
      <c r="D1495">
        <v>641723</v>
      </c>
      <c r="E1495">
        <v>479743</v>
      </c>
      <c r="F1495">
        <v>18.399999999999999</v>
      </c>
      <c r="G1495">
        <v>9.5</v>
      </c>
      <c r="H1495">
        <v>16.7</v>
      </c>
      <c r="I1495">
        <v>16.7</v>
      </c>
    </row>
    <row r="1496" spans="1:9" ht="24" customHeight="1">
      <c r="A1496" s="6" t="s">
        <v>2995</v>
      </c>
      <c r="B1496">
        <v>113235</v>
      </c>
      <c r="C1496">
        <v>19252</v>
      </c>
      <c r="D1496">
        <v>736546</v>
      </c>
      <c r="E1496">
        <v>515097</v>
      </c>
      <c r="F1496">
        <v>16.7</v>
      </c>
      <c r="G1496">
        <v>10.3</v>
      </c>
      <c r="H1496">
        <v>22.1</v>
      </c>
      <c r="I1496">
        <v>21.8</v>
      </c>
    </row>
    <row r="1497" spans="1:9" ht="24" customHeight="1">
      <c r="A1497" s="6" t="s">
        <v>2996</v>
      </c>
      <c r="B1497">
        <v>123272</v>
      </c>
      <c r="C1497">
        <v>19882</v>
      </c>
      <c r="D1497">
        <v>750213</v>
      </c>
      <c r="E1497">
        <v>533247</v>
      </c>
      <c r="F1497">
        <v>15.1</v>
      </c>
      <c r="G1497">
        <v>8.6999999999999993</v>
      </c>
      <c r="H1497">
        <v>26.8</v>
      </c>
      <c r="I1497">
        <v>26.7</v>
      </c>
    </row>
    <row r="1498" spans="1:9" ht="24" customHeight="1">
      <c r="A1498" s="6" t="s">
        <v>2997</v>
      </c>
      <c r="B1498">
        <v>105920</v>
      </c>
      <c r="C1498">
        <v>33928</v>
      </c>
      <c r="D1498">
        <v>456979</v>
      </c>
      <c r="E1498">
        <v>382683</v>
      </c>
      <c r="F1498">
        <v>22.7</v>
      </c>
      <c r="G1498">
        <v>16</v>
      </c>
      <c r="H1498">
        <v>3.5</v>
      </c>
      <c r="I1498">
        <v>3.5</v>
      </c>
    </row>
    <row r="1499" spans="1:9" ht="24" customHeight="1">
      <c r="A1499" s="6" t="s">
        <v>599</v>
      </c>
      <c r="B1499">
        <v>328495</v>
      </c>
      <c r="C1499">
        <v>51960</v>
      </c>
      <c r="D1499">
        <v>760069</v>
      </c>
      <c r="E1499">
        <v>531999</v>
      </c>
      <c r="F1499">
        <v>12.7</v>
      </c>
      <c r="G1499">
        <v>10.5</v>
      </c>
      <c r="H1499">
        <v>34.200000000000003</v>
      </c>
      <c r="I1499">
        <v>33.9</v>
      </c>
    </row>
    <row r="1500" spans="1:9" ht="24" customHeight="1">
      <c r="A1500" s="6" t="s">
        <v>2998</v>
      </c>
      <c r="B1500">
        <v>191639</v>
      </c>
      <c r="C1500">
        <v>48802</v>
      </c>
      <c r="D1500">
        <v>506942</v>
      </c>
      <c r="E1500">
        <v>415459</v>
      </c>
      <c r="F1500">
        <v>22</v>
      </c>
      <c r="G1500">
        <v>16</v>
      </c>
      <c r="H1500">
        <v>6.8</v>
      </c>
      <c r="I1500">
        <v>6.7</v>
      </c>
    </row>
    <row r="1501" spans="1:9" ht="24" customHeight="1">
      <c r="A1501" s="6" t="s">
        <v>2999</v>
      </c>
      <c r="B1501">
        <v>1177735</v>
      </c>
      <c r="C1501">
        <v>390466</v>
      </c>
      <c r="D1501">
        <v>391446</v>
      </c>
      <c r="E1501">
        <v>270944</v>
      </c>
      <c r="F1501">
        <v>11.9</v>
      </c>
      <c r="G1501">
        <v>6</v>
      </c>
      <c r="H1501">
        <v>13.4</v>
      </c>
      <c r="I1501">
        <v>11</v>
      </c>
    </row>
    <row r="1502" spans="1:9" ht="24" customHeight="1">
      <c r="A1502" s="6" t="s">
        <v>3000</v>
      </c>
      <c r="B1502">
        <v>68024</v>
      </c>
      <c r="C1502">
        <v>32341</v>
      </c>
      <c r="D1502">
        <v>263374</v>
      </c>
      <c r="E1502">
        <v>203203</v>
      </c>
      <c r="F1502">
        <v>10.3</v>
      </c>
      <c r="G1502">
        <v>4.4000000000000004</v>
      </c>
      <c r="H1502">
        <v>0</v>
      </c>
      <c r="I1502">
        <v>0</v>
      </c>
    </row>
    <row r="1503" spans="1:9" ht="24" customHeight="1">
      <c r="A1503" s="6" t="s">
        <v>3001</v>
      </c>
      <c r="B1503">
        <v>112103</v>
      </c>
      <c r="C1503">
        <v>47669</v>
      </c>
      <c r="D1503">
        <v>315635</v>
      </c>
      <c r="E1503">
        <v>236387</v>
      </c>
      <c r="F1503">
        <v>13.1</v>
      </c>
      <c r="G1503">
        <v>5.4</v>
      </c>
      <c r="H1503">
        <v>1.5</v>
      </c>
      <c r="I1503">
        <v>1.4</v>
      </c>
    </row>
    <row r="1504" spans="1:9" ht="24" customHeight="1">
      <c r="A1504" s="6" t="s">
        <v>3002</v>
      </c>
      <c r="B1504">
        <v>164447</v>
      </c>
      <c r="C1504">
        <v>60692</v>
      </c>
      <c r="D1504">
        <v>397854</v>
      </c>
      <c r="E1504">
        <v>278954</v>
      </c>
      <c r="F1504">
        <v>12.4</v>
      </c>
      <c r="G1504">
        <v>6.2</v>
      </c>
      <c r="H1504">
        <v>11.8</v>
      </c>
      <c r="I1504">
        <v>11.7</v>
      </c>
    </row>
    <row r="1505" spans="1:9" ht="24" customHeight="1">
      <c r="A1505" s="6" t="s">
        <v>3003</v>
      </c>
      <c r="B1505">
        <v>159554</v>
      </c>
      <c r="C1505">
        <v>51362</v>
      </c>
      <c r="D1505">
        <v>429446</v>
      </c>
      <c r="E1505">
        <v>289203</v>
      </c>
      <c r="F1505">
        <v>12.6</v>
      </c>
      <c r="G1505">
        <v>5.6</v>
      </c>
      <c r="H1505">
        <v>16.899999999999999</v>
      </c>
      <c r="I1505">
        <v>16.899999999999999</v>
      </c>
    </row>
    <row r="1506" spans="1:9" ht="24" customHeight="1">
      <c r="A1506" s="6" t="s">
        <v>3004</v>
      </c>
      <c r="B1506">
        <v>118620</v>
      </c>
      <c r="C1506">
        <v>30622</v>
      </c>
      <c r="D1506">
        <v>461023</v>
      </c>
      <c r="E1506">
        <v>295504</v>
      </c>
      <c r="F1506">
        <v>11.8</v>
      </c>
      <c r="G1506">
        <v>5.3</v>
      </c>
      <c r="H1506">
        <v>21.7</v>
      </c>
      <c r="I1506">
        <v>21.6</v>
      </c>
    </row>
    <row r="1507" spans="1:9" ht="24" customHeight="1">
      <c r="A1507" s="6" t="s">
        <v>3005</v>
      </c>
      <c r="B1507">
        <v>85926</v>
      </c>
      <c r="C1507">
        <v>21720</v>
      </c>
      <c r="D1507">
        <v>462484</v>
      </c>
      <c r="E1507">
        <v>305569</v>
      </c>
      <c r="F1507">
        <v>10.4</v>
      </c>
      <c r="G1507">
        <v>5.5</v>
      </c>
      <c r="H1507">
        <v>26.9</v>
      </c>
      <c r="I1507">
        <v>26.7</v>
      </c>
    </row>
    <row r="1508" spans="1:9" ht="24" customHeight="1">
      <c r="A1508" s="6" t="s">
        <v>3006</v>
      </c>
      <c r="B1508">
        <v>115693</v>
      </c>
      <c r="C1508">
        <v>52811</v>
      </c>
      <c r="D1508">
        <v>340243</v>
      </c>
      <c r="E1508">
        <v>252815</v>
      </c>
      <c r="F1508">
        <v>12.7</v>
      </c>
      <c r="G1508">
        <v>6.5</v>
      </c>
      <c r="H1508">
        <v>3.5</v>
      </c>
      <c r="I1508">
        <v>3.5</v>
      </c>
    </row>
    <row r="1509" spans="1:9" ht="24" customHeight="1">
      <c r="A1509" s="6" t="s">
        <v>3007</v>
      </c>
      <c r="B1509">
        <v>112946</v>
      </c>
      <c r="C1509">
        <v>25280</v>
      </c>
      <c r="D1509">
        <v>452229</v>
      </c>
      <c r="E1509">
        <v>283367</v>
      </c>
      <c r="F1509">
        <v>7.3</v>
      </c>
      <c r="G1509">
        <v>4.5</v>
      </c>
      <c r="H1509">
        <v>35.6</v>
      </c>
      <c r="I1509">
        <v>34.4</v>
      </c>
    </row>
    <row r="1510" spans="1:9" ht="24" customHeight="1">
      <c r="A1510" s="6" t="s">
        <v>3008</v>
      </c>
      <c r="B1510">
        <v>246341</v>
      </c>
      <c r="C1510">
        <v>89356</v>
      </c>
      <c r="D1510">
        <v>365293</v>
      </c>
      <c r="E1510">
        <v>262799</v>
      </c>
      <c r="F1510">
        <v>13</v>
      </c>
      <c r="G1510">
        <v>6.4</v>
      </c>
      <c r="H1510">
        <v>6.9</v>
      </c>
      <c r="I1510">
        <v>6.7</v>
      </c>
    </row>
    <row r="1511" spans="1:9" ht="24" customHeight="1">
      <c r="A1511" s="6" t="s">
        <v>3009</v>
      </c>
      <c r="B1511">
        <v>810981</v>
      </c>
      <c r="C1511">
        <v>266729</v>
      </c>
      <c r="D1511">
        <v>441807</v>
      </c>
      <c r="E1511">
        <v>315163</v>
      </c>
      <c r="F1511">
        <v>14.4</v>
      </c>
      <c r="G1511">
        <v>9.3000000000000007</v>
      </c>
      <c r="H1511">
        <v>14.7</v>
      </c>
      <c r="I1511">
        <v>11.6</v>
      </c>
    </row>
    <row r="1512" spans="1:9" ht="24" customHeight="1">
      <c r="A1512" s="6" t="s">
        <v>3010</v>
      </c>
      <c r="B1512">
        <v>44603</v>
      </c>
      <c r="C1512">
        <v>16361</v>
      </c>
      <c r="D1512">
        <v>254644</v>
      </c>
      <c r="E1512">
        <v>214499</v>
      </c>
      <c r="F1512">
        <v>8.3000000000000007</v>
      </c>
      <c r="G1512">
        <v>6</v>
      </c>
      <c r="H1512">
        <v>0</v>
      </c>
      <c r="I1512">
        <v>0</v>
      </c>
    </row>
    <row r="1513" spans="1:9" ht="24" customHeight="1">
      <c r="A1513" s="6" t="s">
        <v>3011</v>
      </c>
      <c r="B1513">
        <v>69149</v>
      </c>
      <c r="C1513">
        <v>39248</v>
      </c>
      <c r="D1513">
        <v>339620</v>
      </c>
      <c r="E1513">
        <v>264838</v>
      </c>
      <c r="F1513">
        <v>16</v>
      </c>
      <c r="G1513">
        <v>9.1999999999999993</v>
      </c>
      <c r="H1513">
        <v>1.5</v>
      </c>
      <c r="I1513">
        <v>1.5</v>
      </c>
    </row>
    <row r="1514" spans="1:9" ht="24" customHeight="1">
      <c r="A1514" s="6" t="s">
        <v>3012</v>
      </c>
      <c r="B1514">
        <v>107772</v>
      </c>
      <c r="C1514">
        <v>34399</v>
      </c>
      <c r="D1514">
        <v>429077</v>
      </c>
      <c r="E1514">
        <v>320728</v>
      </c>
      <c r="F1514">
        <v>15.7</v>
      </c>
      <c r="G1514">
        <v>8.9</v>
      </c>
      <c r="H1514">
        <v>11.9</v>
      </c>
      <c r="I1514">
        <v>12</v>
      </c>
    </row>
    <row r="1515" spans="1:9" ht="24" customHeight="1">
      <c r="A1515" s="6" t="s">
        <v>3013</v>
      </c>
      <c r="B1515">
        <v>124794</v>
      </c>
      <c r="C1515">
        <v>34340</v>
      </c>
      <c r="D1515">
        <v>473662</v>
      </c>
      <c r="E1515">
        <v>339680</v>
      </c>
      <c r="F1515">
        <v>16.100000000000001</v>
      </c>
      <c r="G1515">
        <v>8</v>
      </c>
      <c r="H1515">
        <v>16.8</v>
      </c>
      <c r="I1515">
        <v>16.8</v>
      </c>
    </row>
    <row r="1516" spans="1:9" ht="24" customHeight="1">
      <c r="A1516" s="6" t="s">
        <v>3014</v>
      </c>
      <c r="B1516">
        <v>79326</v>
      </c>
      <c r="C1516">
        <v>22042</v>
      </c>
      <c r="D1516">
        <v>512430</v>
      </c>
      <c r="E1516">
        <v>344546</v>
      </c>
      <c r="F1516">
        <v>12.3</v>
      </c>
      <c r="G1516">
        <v>8.3000000000000007</v>
      </c>
      <c r="H1516">
        <v>21.8</v>
      </c>
      <c r="I1516">
        <v>22.2</v>
      </c>
    </row>
    <row r="1517" spans="1:9" ht="24" customHeight="1">
      <c r="A1517" s="6" t="s">
        <v>3015</v>
      </c>
      <c r="B1517">
        <v>73135</v>
      </c>
      <c r="C1517">
        <v>15500</v>
      </c>
      <c r="D1517">
        <v>539327</v>
      </c>
      <c r="E1517">
        <v>379844</v>
      </c>
      <c r="F1517">
        <v>10.9</v>
      </c>
      <c r="G1517">
        <v>8.1999999999999993</v>
      </c>
      <c r="H1517">
        <v>26.9</v>
      </c>
      <c r="I1517">
        <v>26.9</v>
      </c>
    </row>
    <row r="1518" spans="1:9" ht="24" customHeight="1">
      <c r="A1518" s="6" t="s">
        <v>3016</v>
      </c>
      <c r="B1518">
        <v>64683</v>
      </c>
      <c r="C1518">
        <v>33911</v>
      </c>
      <c r="D1518">
        <v>364891</v>
      </c>
      <c r="E1518">
        <v>284745</v>
      </c>
      <c r="F1518">
        <v>18</v>
      </c>
      <c r="G1518">
        <v>10.9</v>
      </c>
      <c r="H1518">
        <v>3.5</v>
      </c>
      <c r="I1518">
        <v>3.6</v>
      </c>
    </row>
    <row r="1519" spans="1:9" ht="24" customHeight="1">
      <c r="A1519" s="6" t="s">
        <v>3017</v>
      </c>
      <c r="B1519">
        <v>100736</v>
      </c>
      <c r="C1519">
        <v>20364</v>
      </c>
      <c r="D1519">
        <v>561966</v>
      </c>
      <c r="E1519">
        <v>408641</v>
      </c>
      <c r="F1519">
        <v>9.4</v>
      </c>
      <c r="G1519">
        <v>8.1</v>
      </c>
      <c r="H1519">
        <v>34.6</v>
      </c>
      <c r="I1519">
        <v>33.799999999999997</v>
      </c>
    </row>
    <row r="1520" spans="1:9" ht="24" customHeight="1">
      <c r="A1520" s="6" t="s">
        <v>3018</v>
      </c>
      <c r="B1520">
        <v>148488</v>
      </c>
      <c r="C1520">
        <v>58561</v>
      </c>
      <c r="D1520">
        <v>392043</v>
      </c>
      <c r="E1520">
        <v>302034</v>
      </c>
      <c r="F1520">
        <v>17.600000000000001</v>
      </c>
      <c r="G1520">
        <v>10.3</v>
      </c>
      <c r="H1520">
        <v>6.8</v>
      </c>
      <c r="I1520">
        <v>6.6</v>
      </c>
    </row>
    <row r="1521" spans="1:9" ht="24" customHeight="1">
      <c r="A1521" s="6" t="s">
        <v>3019</v>
      </c>
      <c r="B1521">
        <v>790550</v>
      </c>
      <c r="C1521">
        <v>188787</v>
      </c>
      <c r="D1521">
        <v>506318</v>
      </c>
      <c r="E1521">
        <v>366772</v>
      </c>
      <c r="F1521">
        <v>16.8</v>
      </c>
      <c r="G1521">
        <v>10.6</v>
      </c>
      <c r="H1521">
        <v>16.3</v>
      </c>
      <c r="I1521">
        <v>12.9</v>
      </c>
    </row>
    <row r="1522" spans="1:9" ht="24" customHeight="1">
      <c r="A1522" s="6" t="s">
        <v>3020</v>
      </c>
      <c r="B1522">
        <v>35551</v>
      </c>
      <c r="C1522">
        <v>12919</v>
      </c>
      <c r="D1522">
        <v>275455</v>
      </c>
      <c r="E1522">
        <v>233050</v>
      </c>
      <c r="F1522">
        <v>9.8000000000000007</v>
      </c>
      <c r="G1522">
        <v>6.6</v>
      </c>
      <c r="H1522">
        <v>0</v>
      </c>
      <c r="I1522">
        <v>0</v>
      </c>
    </row>
    <row r="1523" spans="1:9" ht="24" customHeight="1">
      <c r="A1523" s="6" t="s">
        <v>3021</v>
      </c>
      <c r="B1523">
        <v>59618</v>
      </c>
      <c r="C1523">
        <v>21316</v>
      </c>
      <c r="D1523">
        <v>362775</v>
      </c>
      <c r="E1523">
        <v>300014</v>
      </c>
      <c r="F1523">
        <v>17.100000000000001</v>
      </c>
      <c r="G1523">
        <v>13.4</v>
      </c>
      <c r="H1523">
        <v>1.5</v>
      </c>
      <c r="I1523">
        <v>1.4</v>
      </c>
    </row>
    <row r="1524" spans="1:9" ht="24" customHeight="1">
      <c r="A1524" s="6" t="s">
        <v>3022</v>
      </c>
      <c r="B1524">
        <v>88710</v>
      </c>
      <c r="C1524">
        <v>22362</v>
      </c>
      <c r="D1524">
        <v>485990</v>
      </c>
      <c r="E1524">
        <v>373641</v>
      </c>
      <c r="F1524">
        <v>21.5</v>
      </c>
      <c r="G1524">
        <v>10.5</v>
      </c>
      <c r="H1524">
        <v>12.1</v>
      </c>
      <c r="I1524">
        <v>12</v>
      </c>
    </row>
    <row r="1525" spans="1:9" ht="24" customHeight="1">
      <c r="A1525" s="6" t="s">
        <v>3023</v>
      </c>
      <c r="B1525">
        <v>137341</v>
      </c>
      <c r="C1525">
        <v>26154</v>
      </c>
      <c r="D1525">
        <v>541197</v>
      </c>
      <c r="E1525">
        <v>374629</v>
      </c>
      <c r="F1525">
        <v>19.600000000000001</v>
      </c>
      <c r="G1525">
        <v>9.6999999999999993</v>
      </c>
      <c r="H1525">
        <v>16.899999999999999</v>
      </c>
      <c r="I1525">
        <v>16.600000000000001</v>
      </c>
    </row>
    <row r="1526" spans="1:9" ht="24" customHeight="1">
      <c r="A1526" s="6" t="s">
        <v>3024</v>
      </c>
      <c r="B1526">
        <v>65993</v>
      </c>
      <c r="C1526">
        <v>12607</v>
      </c>
      <c r="D1526">
        <v>590513</v>
      </c>
      <c r="E1526">
        <v>459287</v>
      </c>
      <c r="F1526">
        <v>16.5</v>
      </c>
      <c r="G1526">
        <v>8.8000000000000007</v>
      </c>
      <c r="H1526">
        <v>21.9</v>
      </c>
      <c r="I1526">
        <v>21.8</v>
      </c>
    </row>
    <row r="1527" spans="1:9" ht="24" customHeight="1">
      <c r="A1527" s="6" t="s">
        <v>3025</v>
      </c>
      <c r="B1527">
        <v>72353</v>
      </c>
      <c r="C1527">
        <v>14384</v>
      </c>
      <c r="D1527">
        <v>606584</v>
      </c>
      <c r="E1527">
        <v>440308</v>
      </c>
      <c r="F1527">
        <v>13.8</v>
      </c>
      <c r="G1527">
        <v>9</v>
      </c>
      <c r="H1527">
        <v>27</v>
      </c>
      <c r="I1527">
        <v>26.8</v>
      </c>
    </row>
    <row r="1528" spans="1:9" ht="24" customHeight="1">
      <c r="A1528" s="6" t="s">
        <v>3026</v>
      </c>
      <c r="B1528">
        <v>65330</v>
      </c>
      <c r="C1528">
        <v>22667</v>
      </c>
      <c r="D1528">
        <v>392873</v>
      </c>
      <c r="E1528">
        <v>328226</v>
      </c>
      <c r="F1528">
        <v>19.3</v>
      </c>
      <c r="G1528">
        <v>12.2</v>
      </c>
      <c r="H1528">
        <v>3.5</v>
      </c>
      <c r="I1528">
        <v>3.5</v>
      </c>
    </row>
    <row r="1529" spans="1:9" ht="24" customHeight="1">
      <c r="A1529" s="6" t="s">
        <v>3027</v>
      </c>
      <c r="B1529">
        <v>143705</v>
      </c>
      <c r="C1529">
        <v>23211</v>
      </c>
      <c r="D1529">
        <v>625553</v>
      </c>
      <c r="E1529">
        <v>455234</v>
      </c>
      <c r="F1529">
        <v>10.199999999999999</v>
      </c>
      <c r="G1529">
        <v>8.6999999999999993</v>
      </c>
      <c r="H1529">
        <v>34.4</v>
      </c>
      <c r="I1529">
        <v>34</v>
      </c>
    </row>
    <row r="1530" spans="1:9" ht="24" customHeight="1">
      <c r="A1530" s="6" t="s">
        <v>3028</v>
      </c>
      <c r="B1530">
        <v>123291</v>
      </c>
      <c r="C1530">
        <v>38522</v>
      </c>
      <c r="D1530">
        <v>434746</v>
      </c>
      <c r="E1530">
        <v>340540</v>
      </c>
      <c r="F1530">
        <v>20.399999999999999</v>
      </c>
      <c r="G1530">
        <v>11.3</v>
      </c>
      <c r="H1530">
        <v>6.8</v>
      </c>
      <c r="I1530">
        <v>6.5</v>
      </c>
    </row>
    <row r="1531" spans="1:9" ht="24" customHeight="1">
      <c r="A1531" s="6" t="s">
        <v>600</v>
      </c>
      <c r="B1531">
        <v>84907</v>
      </c>
      <c r="C1531">
        <v>13205</v>
      </c>
      <c r="D1531">
        <v>649050</v>
      </c>
      <c r="E1531">
        <v>529479</v>
      </c>
      <c r="F1531">
        <v>17.899999999999999</v>
      </c>
      <c r="G1531">
        <v>14.3</v>
      </c>
      <c r="H1531">
        <v>20.399999999999999</v>
      </c>
      <c r="I1531">
        <v>18.3</v>
      </c>
    </row>
    <row r="1532" spans="1:9" ht="24" customHeight="1">
      <c r="A1532" s="6" t="s">
        <v>601</v>
      </c>
      <c r="B1532">
        <v>2011</v>
      </c>
      <c r="C1532">
        <v>565</v>
      </c>
      <c r="D1532">
        <v>305215</v>
      </c>
      <c r="E1532">
        <v>273179</v>
      </c>
      <c r="F1532">
        <v>10.199999999999999</v>
      </c>
      <c r="G1532">
        <v>9.9</v>
      </c>
      <c r="H1532">
        <v>0</v>
      </c>
      <c r="I1532">
        <v>0</v>
      </c>
    </row>
    <row r="1533" spans="1:9" ht="24" customHeight="1">
      <c r="A1533" s="6" t="s">
        <v>3029</v>
      </c>
      <c r="B1533">
        <v>6297</v>
      </c>
      <c r="C1533">
        <v>1435</v>
      </c>
      <c r="D1533">
        <v>376399</v>
      </c>
      <c r="E1533">
        <v>341789</v>
      </c>
      <c r="F1533">
        <v>20.8</v>
      </c>
      <c r="G1533">
        <v>18.600000000000001</v>
      </c>
      <c r="H1533">
        <v>1.5</v>
      </c>
      <c r="I1533">
        <v>1.5</v>
      </c>
    </row>
    <row r="1534" spans="1:9" ht="24" customHeight="1">
      <c r="A1534" s="6" t="s">
        <v>3030</v>
      </c>
      <c r="B1534">
        <v>11527</v>
      </c>
      <c r="C1534">
        <v>1338</v>
      </c>
      <c r="D1534">
        <v>586319</v>
      </c>
      <c r="E1534">
        <v>516903</v>
      </c>
      <c r="F1534">
        <v>22.1</v>
      </c>
      <c r="G1534">
        <v>10.4</v>
      </c>
      <c r="H1534">
        <v>12.1</v>
      </c>
      <c r="I1534">
        <v>12.1</v>
      </c>
    </row>
    <row r="1535" spans="1:9" ht="24" customHeight="1">
      <c r="A1535" s="6" t="s">
        <v>3031</v>
      </c>
      <c r="B1535">
        <v>6327</v>
      </c>
      <c r="C1535">
        <v>1076</v>
      </c>
      <c r="D1535">
        <v>672012</v>
      </c>
      <c r="E1535">
        <v>552182</v>
      </c>
      <c r="F1535">
        <v>21.8</v>
      </c>
      <c r="G1535">
        <v>10.9</v>
      </c>
      <c r="H1535">
        <v>16.600000000000001</v>
      </c>
      <c r="I1535">
        <v>16.3</v>
      </c>
    </row>
    <row r="1536" spans="1:9" ht="24" customHeight="1">
      <c r="A1536" s="6" t="s">
        <v>3032</v>
      </c>
      <c r="B1536">
        <v>5278</v>
      </c>
      <c r="C1536">
        <v>957</v>
      </c>
      <c r="D1536">
        <v>761709</v>
      </c>
      <c r="E1536">
        <v>616530</v>
      </c>
      <c r="F1536">
        <v>18.899999999999999</v>
      </c>
      <c r="G1536">
        <v>14.4</v>
      </c>
      <c r="H1536">
        <v>22.4</v>
      </c>
      <c r="I1536">
        <v>22</v>
      </c>
    </row>
    <row r="1537" spans="1:9" ht="24" customHeight="1">
      <c r="A1537" s="6" t="s">
        <v>3033</v>
      </c>
      <c r="B1537">
        <v>12551</v>
      </c>
      <c r="C1537">
        <v>1766</v>
      </c>
      <c r="D1537">
        <v>768115</v>
      </c>
      <c r="E1537">
        <v>623890</v>
      </c>
      <c r="F1537">
        <v>16.3</v>
      </c>
      <c r="G1537">
        <v>14.2</v>
      </c>
      <c r="H1537">
        <v>27.2</v>
      </c>
      <c r="I1537">
        <v>27.4</v>
      </c>
    </row>
    <row r="1538" spans="1:9" ht="24" customHeight="1">
      <c r="A1538" s="6" t="s">
        <v>3034</v>
      </c>
      <c r="B1538">
        <v>4625</v>
      </c>
      <c r="C1538">
        <v>978</v>
      </c>
      <c r="D1538">
        <v>419725</v>
      </c>
      <c r="E1538">
        <v>384952</v>
      </c>
      <c r="F1538">
        <v>24</v>
      </c>
      <c r="G1538">
        <v>18.399999999999999</v>
      </c>
      <c r="H1538">
        <v>3.4</v>
      </c>
      <c r="I1538">
        <v>3.4</v>
      </c>
    </row>
    <row r="1539" spans="1:9" ht="24" customHeight="1">
      <c r="A1539" s="6" t="s">
        <v>602</v>
      </c>
      <c r="B1539">
        <v>27076</v>
      </c>
      <c r="C1539">
        <v>3615</v>
      </c>
      <c r="D1539">
        <v>778056</v>
      </c>
      <c r="E1539">
        <v>638343</v>
      </c>
      <c r="F1539">
        <v>12.6</v>
      </c>
      <c r="G1539">
        <v>12.3</v>
      </c>
      <c r="H1539">
        <v>34.700000000000003</v>
      </c>
      <c r="I1539">
        <v>34.200000000000003</v>
      </c>
    </row>
    <row r="1540" spans="1:9" ht="24" customHeight="1">
      <c r="A1540" s="6" t="s">
        <v>3035</v>
      </c>
      <c r="B1540">
        <v>9219</v>
      </c>
      <c r="C1540">
        <v>1607</v>
      </c>
      <c r="D1540">
        <v>482378</v>
      </c>
      <c r="E1540">
        <v>460876</v>
      </c>
      <c r="F1540">
        <v>23.3</v>
      </c>
      <c r="G1540">
        <v>18.600000000000001</v>
      </c>
      <c r="H1540">
        <v>7</v>
      </c>
      <c r="I1540">
        <v>6.6</v>
      </c>
    </row>
    <row r="1541" spans="1:9" ht="24" customHeight="1">
      <c r="A1541" s="6" t="s">
        <v>3036</v>
      </c>
      <c r="B1541">
        <v>10965</v>
      </c>
      <c r="C1541">
        <v>1733</v>
      </c>
      <c r="D1541">
        <v>509765</v>
      </c>
      <c r="E1541">
        <v>383037</v>
      </c>
      <c r="F1541">
        <v>8</v>
      </c>
      <c r="G1541">
        <v>5.0999999999999996</v>
      </c>
      <c r="H1541">
        <v>17.2</v>
      </c>
      <c r="I1541">
        <v>12.8</v>
      </c>
    </row>
    <row r="1542" spans="1:9" ht="24" customHeight="1">
      <c r="A1542" s="6" t="s">
        <v>3037</v>
      </c>
      <c r="B1542">
        <v>541</v>
      </c>
      <c r="C1542">
        <v>104</v>
      </c>
      <c r="D1542">
        <v>297037</v>
      </c>
      <c r="E1542">
        <v>211345</v>
      </c>
      <c r="F1542">
        <v>4.4000000000000004</v>
      </c>
      <c r="G1542">
        <v>2.5</v>
      </c>
      <c r="H1542">
        <v>0</v>
      </c>
      <c r="I1542">
        <v>0</v>
      </c>
    </row>
    <row r="1543" spans="1:9" ht="24" customHeight="1">
      <c r="A1543" s="6" t="s">
        <v>3038</v>
      </c>
      <c r="B1543">
        <v>1099</v>
      </c>
      <c r="C1543">
        <v>265</v>
      </c>
      <c r="D1543">
        <v>395914</v>
      </c>
      <c r="E1543">
        <v>335956</v>
      </c>
      <c r="F1543">
        <v>6.6</v>
      </c>
      <c r="G1543">
        <v>5.6</v>
      </c>
      <c r="H1543">
        <v>1.5</v>
      </c>
      <c r="I1543">
        <v>1.6</v>
      </c>
    </row>
    <row r="1544" spans="1:9" ht="24" customHeight="1">
      <c r="A1544" s="6" t="s">
        <v>3039</v>
      </c>
      <c r="B1544">
        <v>977</v>
      </c>
      <c r="C1544">
        <v>229</v>
      </c>
      <c r="D1544">
        <v>446739</v>
      </c>
      <c r="E1544">
        <v>363426</v>
      </c>
      <c r="F1544">
        <v>11.1</v>
      </c>
      <c r="G1544">
        <v>3.8</v>
      </c>
      <c r="H1544">
        <v>11.8</v>
      </c>
      <c r="I1544">
        <v>11.8</v>
      </c>
    </row>
    <row r="1545" spans="1:9" ht="24" customHeight="1">
      <c r="A1545" s="6" t="s">
        <v>3040</v>
      </c>
      <c r="B1545">
        <v>801</v>
      </c>
      <c r="C1545">
        <v>149</v>
      </c>
      <c r="D1545">
        <v>478851</v>
      </c>
      <c r="E1545">
        <v>384301</v>
      </c>
      <c r="F1545">
        <v>8.6999999999999993</v>
      </c>
      <c r="G1545">
        <v>6.6</v>
      </c>
      <c r="H1545">
        <v>16.8</v>
      </c>
      <c r="I1545">
        <v>17.100000000000001</v>
      </c>
    </row>
    <row r="1546" spans="1:9" ht="24" customHeight="1">
      <c r="A1546" s="6" t="s">
        <v>3041</v>
      </c>
      <c r="B1546">
        <v>959</v>
      </c>
      <c r="C1546">
        <v>126</v>
      </c>
      <c r="D1546">
        <v>528726</v>
      </c>
      <c r="E1546">
        <v>463998</v>
      </c>
      <c r="F1546">
        <v>7.2</v>
      </c>
      <c r="G1546">
        <v>6.7</v>
      </c>
      <c r="H1546">
        <v>22</v>
      </c>
      <c r="I1546">
        <v>22.1</v>
      </c>
    </row>
    <row r="1547" spans="1:9" ht="24" customHeight="1">
      <c r="A1547" s="6" t="s">
        <v>3042</v>
      </c>
      <c r="B1547">
        <v>1362</v>
      </c>
      <c r="C1547">
        <v>134</v>
      </c>
      <c r="D1547">
        <v>600379</v>
      </c>
      <c r="E1547">
        <v>474645</v>
      </c>
      <c r="F1547">
        <v>7.5</v>
      </c>
      <c r="G1547">
        <v>2.8</v>
      </c>
      <c r="H1547">
        <v>27.2</v>
      </c>
      <c r="I1547">
        <v>27.2</v>
      </c>
    </row>
    <row r="1548" spans="1:9" ht="24" customHeight="1">
      <c r="A1548" s="6" t="s">
        <v>3043</v>
      </c>
      <c r="B1548">
        <v>1015</v>
      </c>
      <c r="C1548">
        <v>244</v>
      </c>
      <c r="D1548">
        <v>406957</v>
      </c>
      <c r="E1548">
        <v>324893</v>
      </c>
      <c r="F1548">
        <v>8.3000000000000007</v>
      </c>
      <c r="G1548">
        <v>4.7</v>
      </c>
      <c r="H1548">
        <v>3.4</v>
      </c>
      <c r="I1548">
        <v>3.5</v>
      </c>
    </row>
    <row r="1549" spans="1:9" ht="24" customHeight="1">
      <c r="A1549" s="6" t="s">
        <v>3044</v>
      </c>
      <c r="B1549">
        <v>2569</v>
      </c>
      <c r="C1549">
        <v>215</v>
      </c>
      <c r="D1549">
        <v>676144</v>
      </c>
      <c r="E1549">
        <v>517671</v>
      </c>
      <c r="F1549">
        <v>7.7</v>
      </c>
      <c r="G1549">
        <v>5.6</v>
      </c>
      <c r="H1549">
        <v>34.6</v>
      </c>
      <c r="I1549">
        <v>34.4</v>
      </c>
    </row>
    <row r="1550" spans="1:9" ht="24" customHeight="1">
      <c r="A1550" s="6" t="s">
        <v>3045</v>
      </c>
      <c r="B1550">
        <v>1678</v>
      </c>
      <c r="C1550">
        <v>349</v>
      </c>
      <c r="D1550">
        <v>424354</v>
      </c>
      <c r="E1550">
        <v>342117</v>
      </c>
      <c r="F1550">
        <v>9.1999999999999993</v>
      </c>
      <c r="G1550">
        <v>5.4</v>
      </c>
      <c r="H1550">
        <v>6.7</v>
      </c>
      <c r="I1550">
        <v>7</v>
      </c>
    </row>
    <row r="1551" spans="1:9" ht="24" customHeight="1">
      <c r="A1551" s="6" t="s">
        <v>3046</v>
      </c>
      <c r="B1551">
        <v>6293</v>
      </c>
      <c r="C1551">
        <v>903</v>
      </c>
      <c r="D1551">
        <v>532360</v>
      </c>
      <c r="E1551">
        <v>451716</v>
      </c>
      <c r="F1551">
        <v>9.1999999999999993</v>
      </c>
      <c r="G1551">
        <v>7.1</v>
      </c>
      <c r="H1551">
        <v>14.6</v>
      </c>
      <c r="I1551">
        <v>10.7</v>
      </c>
    </row>
    <row r="1552" spans="1:9" ht="24" customHeight="1">
      <c r="A1552" s="6" t="s">
        <v>3047</v>
      </c>
      <c r="B1552">
        <v>396</v>
      </c>
      <c r="C1552">
        <v>103</v>
      </c>
      <c r="D1552">
        <v>350674</v>
      </c>
      <c r="E1552">
        <v>279785</v>
      </c>
      <c r="F1552">
        <v>5.9</v>
      </c>
      <c r="G1552">
        <v>7.8</v>
      </c>
      <c r="H1552">
        <v>0</v>
      </c>
      <c r="I1552">
        <v>0</v>
      </c>
    </row>
    <row r="1553" spans="1:9" ht="24" customHeight="1">
      <c r="A1553" s="6" t="s">
        <v>3048</v>
      </c>
      <c r="B1553">
        <v>848</v>
      </c>
      <c r="C1553">
        <v>161</v>
      </c>
      <c r="D1553">
        <v>432638</v>
      </c>
      <c r="E1553">
        <v>493529</v>
      </c>
      <c r="F1553">
        <v>10.5</v>
      </c>
      <c r="G1553">
        <v>11.4</v>
      </c>
      <c r="H1553">
        <v>1.5</v>
      </c>
      <c r="I1553">
        <v>1.5</v>
      </c>
    </row>
    <row r="1554" spans="1:9" ht="24" customHeight="1">
      <c r="A1554" s="6" t="s">
        <v>3049</v>
      </c>
      <c r="B1554">
        <v>700</v>
      </c>
      <c r="C1554">
        <v>119</v>
      </c>
      <c r="D1554">
        <v>486909</v>
      </c>
      <c r="E1554">
        <v>386316</v>
      </c>
      <c r="F1554">
        <v>13.7</v>
      </c>
      <c r="G1554">
        <v>8.3000000000000007</v>
      </c>
      <c r="H1554">
        <v>11.9</v>
      </c>
      <c r="I1554">
        <v>11.7</v>
      </c>
    </row>
    <row r="1555" spans="1:9" ht="24" customHeight="1">
      <c r="A1555" s="6" t="s">
        <v>3050</v>
      </c>
      <c r="B1555">
        <v>490</v>
      </c>
      <c r="C1555">
        <v>76</v>
      </c>
      <c r="D1555">
        <v>549276</v>
      </c>
      <c r="E1555">
        <v>383129</v>
      </c>
      <c r="F1555">
        <v>7.8</v>
      </c>
      <c r="G1555">
        <v>2.4</v>
      </c>
      <c r="H1555">
        <v>16.5</v>
      </c>
      <c r="I1555">
        <v>16.5</v>
      </c>
    </row>
    <row r="1556" spans="1:9" ht="24" customHeight="1">
      <c r="A1556" s="6" t="s">
        <v>3051</v>
      </c>
      <c r="B1556">
        <v>445</v>
      </c>
      <c r="C1556">
        <v>33</v>
      </c>
      <c r="D1556">
        <v>556199</v>
      </c>
      <c r="E1556">
        <v>483309</v>
      </c>
      <c r="F1556">
        <v>5.3</v>
      </c>
      <c r="G1556">
        <v>2.2000000000000002</v>
      </c>
      <c r="H1556">
        <v>22</v>
      </c>
      <c r="I1556">
        <v>21.8</v>
      </c>
    </row>
    <row r="1557" spans="1:9" ht="24" customHeight="1">
      <c r="A1557" s="6" t="s">
        <v>3052</v>
      </c>
      <c r="B1557">
        <v>697</v>
      </c>
      <c r="C1557">
        <v>79</v>
      </c>
      <c r="D1557">
        <v>679858</v>
      </c>
      <c r="E1557">
        <v>576800</v>
      </c>
      <c r="F1557">
        <v>8.1</v>
      </c>
      <c r="G1557">
        <v>6.4</v>
      </c>
      <c r="H1557">
        <v>27.2</v>
      </c>
      <c r="I1557">
        <v>26.9</v>
      </c>
    </row>
    <row r="1558" spans="1:9" ht="24" customHeight="1">
      <c r="A1558" s="6" t="s">
        <v>3053</v>
      </c>
      <c r="B1558">
        <v>622</v>
      </c>
      <c r="C1558">
        <v>85</v>
      </c>
      <c r="D1558">
        <v>410812</v>
      </c>
      <c r="E1558">
        <v>556985</v>
      </c>
      <c r="F1558">
        <v>10.1</v>
      </c>
      <c r="G1558">
        <v>3.7</v>
      </c>
      <c r="H1558">
        <v>3.5</v>
      </c>
      <c r="I1558">
        <v>3.5</v>
      </c>
    </row>
    <row r="1559" spans="1:9" ht="24" customHeight="1">
      <c r="A1559" s="6" t="s">
        <v>3054</v>
      </c>
      <c r="B1559">
        <v>1091</v>
      </c>
      <c r="C1559">
        <v>73</v>
      </c>
      <c r="D1559">
        <v>752536</v>
      </c>
      <c r="E1559">
        <v>580281</v>
      </c>
      <c r="F1559">
        <v>6.8</v>
      </c>
      <c r="G1559">
        <v>7.8</v>
      </c>
      <c r="H1559">
        <v>33.6</v>
      </c>
      <c r="I1559">
        <v>34.299999999999997</v>
      </c>
    </row>
    <row r="1560" spans="1:9" ht="24" customHeight="1">
      <c r="A1560" s="6" t="s">
        <v>3055</v>
      </c>
      <c r="B1560">
        <v>1014</v>
      </c>
      <c r="C1560">
        <v>189</v>
      </c>
      <c r="D1560">
        <v>436714</v>
      </c>
      <c r="E1560">
        <v>415637</v>
      </c>
      <c r="F1560">
        <v>11.8</v>
      </c>
      <c r="G1560">
        <v>6</v>
      </c>
      <c r="H1560">
        <v>6.8</v>
      </c>
      <c r="I1560">
        <v>7</v>
      </c>
    </row>
    <row r="1561" spans="1:9" ht="24" customHeight="1">
      <c r="A1561" s="6" t="s">
        <v>3056</v>
      </c>
      <c r="B1561">
        <v>8805</v>
      </c>
      <c r="C1561">
        <v>1409</v>
      </c>
      <c r="D1561">
        <v>550862</v>
      </c>
      <c r="E1561">
        <v>437572</v>
      </c>
      <c r="F1561">
        <v>10.4</v>
      </c>
      <c r="G1561">
        <v>9.3000000000000007</v>
      </c>
      <c r="H1561">
        <v>16.100000000000001</v>
      </c>
      <c r="I1561">
        <v>15.2</v>
      </c>
    </row>
    <row r="1562" spans="1:9" ht="24" customHeight="1">
      <c r="A1562" s="6" t="s">
        <v>3057</v>
      </c>
      <c r="B1562">
        <v>469</v>
      </c>
      <c r="C1562">
        <v>81</v>
      </c>
      <c r="D1562">
        <v>248295</v>
      </c>
      <c r="E1562">
        <v>205739</v>
      </c>
      <c r="F1562">
        <v>4.2</v>
      </c>
      <c r="G1562">
        <v>0.7</v>
      </c>
      <c r="H1562">
        <v>0</v>
      </c>
      <c r="I1562">
        <v>0</v>
      </c>
    </row>
    <row r="1563" spans="1:9" ht="24" customHeight="1">
      <c r="A1563" s="6" t="s">
        <v>3058</v>
      </c>
      <c r="B1563">
        <v>709</v>
      </c>
      <c r="C1563">
        <v>182</v>
      </c>
      <c r="D1563">
        <v>344357</v>
      </c>
      <c r="E1563">
        <v>320281</v>
      </c>
      <c r="F1563">
        <v>12.3</v>
      </c>
      <c r="G1563">
        <v>10.6</v>
      </c>
      <c r="H1563">
        <v>1.5</v>
      </c>
      <c r="I1563">
        <v>1.7</v>
      </c>
    </row>
    <row r="1564" spans="1:9" ht="24" customHeight="1">
      <c r="A1564" s="6" t="s">
        <v>3059</v>
      </c>
      <c r="B1564">
        <v>896</v>
      </c>
      <c r="C1564">
        <v>181</v>
      </c>
      <c r="D1564">
        <v>529926</v>
      </c>
      <c r="E1564">
        <v>435553</v>
      </c>
      <c r="F1564">
        <v>14.8</v>
      </c>
      <c r="G1564">
        <v>10</v>
      </c>
      <c r="H1564">
        <v>11.7</v>
      </c>
      <c r="I1564">
        <v>11.7</v>
      </c>
    </row>
    <row r="1565" spans="1:9" ht="24" customHeight="1">
      <c r="A1565" s="6" t="s">
        <v>3060</v>
      </c>
      <c r="B1565">
        <v>808</v>
      </c>
      <c r="C1565">
        <v>104</v>
      </c>
      <c r="D1565">
        <v>555458</v>
      </c>
      <c r="E1565">
        <v>461071</v>
      </c>
      <c r="F1565">
        <v>10.8</v>
      </c>
      <c r="G1565">
        <v>7.2</v>
      </c>
      <c r="H1565">
        <v>16.899999999999999</v>
      </c>
      <c r="I1565">
        <v>17.7</v>
      </c>
    </row>
    <row r="1566" spans="1:9" ht="24" customHeight="1">
      <c r="A1566" s="6" t="s">
        <v>3061</v>
      </c>
      <c r="B1566">
        <v>586</v>
      </c>
      <c r="C1566">
        <v>166</v>
      </c>
      <c r="D1566">
        <v>613339</v>
      </c>
      <c r="E1566">
        <v>487070</v>
      </c>
      <c r="F1566">
        <v>8.3000000000000007</v>
      </c>
      <c r="G1566">
        <v>10.7</v>
      </c>
      <c r="H1566">
        <v>22.2</v>
      </c>
      <c r="I1566">
        <v>22.3</v>
      </c>
    </row>
    <row r="1567" spans="1:9" ht="24" customHeight="1">
      <c r="A1567" s="6" t="s">
        <v>3062</v>
      </c>
      <c r="B1567">
        <v>1167</v>
      </c>
      <c r="C1567">
        <v>118</v>
      </c>
      <c r="D1567">
        <v>698391</v>
      </c>
      <c r="E1567">
        <v>574060</v>
      </c>
      <c r="F1567">
        <v>9.5</v>
      </c>
      <c r="G1567">
        <v>10.1</v>
      </c>
      <c r="H1567">
        <v>27.3</v>
      </c>
      <c r="I1567">
        <v>27.2</v>
      </c>
    </row>
    <row r="1568" spans="1:9" ht="24" customHeight="1">
      <c r="A1568" s="6" t="s">
        <v>3063</v>
      </c>
      <c r="B1568">
        <v>655</v>
      </c>
      <c r="C1568">
        <v>163</v>
      </c>
      <c r="D1568">
        <v>396441</v>
      </c>
      <c r="E1568">
        <v>354693</v>
      </c>
      <c r="F1568">
        <v>13.5</v>
      </c>
      <c r="G1568">
        <v>10.1</v>
      </c>
      <c r="H1568">
        <v>3.4</v>
      </c>
      <c r="I1568">
        <v>3.4</v>
      </c>
    </row>
    <row r="1569" spans="1:9" ht="24" customHeight="1">
      <c r="A1569" s="6" t="s">
        <v>3064</v>
      </c>
      <c r="B1569">
        <v>1681</v>
      </c>
      <c r="C1569">
        <v>262</v>
      </c>
      <c r="D1569">
        <v>733233</v>
      </c>
      <c r="E1569">
        <v>566626</v>
      </c>
      <c r="F1569">
        <v>7.3</v>
      </c>
      <c r="G1569">
        <v>9.3000000000000007</v>
      </c>
      <c r="H1569">
        <v>34</v>
      </c>
      <c r="I1569">
        <v>34.4</v>
      </c>
    </row>
    <row r="1570" spans="1:9" ht="24" customHeight="1">
      <c r="A1570" s="6" t="s">
        <v>3065</v>
      </c>
      <c r="B1570">
        <v>1837</v>
      </c>
      <c r="C1570">
        <v>204</v>
      </c>
      <c r="D1570">
        <v>490647</v>
      </c>
      <c r="E1570">
        <v>384609</v>
      </c>
      <c r="F1570">
        <v>11.7</v>
      </c>
      <c r="G1570">
        <v>8.1</v>
      </c>
      <c r="H1570">
        <v>6.5</v>
      </c>
      <c r="I1570">
        <v>6.8</v>
      </c>
    </row>
    <row r="1571" spans="1:9" ht="24" customHeight="1">
      <c r="A1571" s="6" t="s">
        <v>603</v>
      </c>
      <c r="B1571">
        <v>335203</v>
      </c>
      <c r="C1571">
        <v>132647</v>
      </c>
      <c r="D1571">
        <v>641876</v>
      </c>
      <c r="E1571">
        <v>452386</v>
      </c>
      <c r="F1571">
        <v>13.5</v>
      </c>
      <c r="G1571">
        <v>10</v>
      </c>
      <c r="H1571">
        <v>15.1</v>
      </c>
      <c r="I1571">
        <v>8.9</v>
      </c>
    </row>
    <row r="1572" spans="1:9" ht="24" customHeight="1">
      <c r="A1572" s="6" t="s">
        <v>604</v>
      </c>
      <c r="B1572">
        <v>20733</v>
      </c>
      <c r="C1572">
        <v>21742</v>
      </c>
      <c r="D1572">
        <v>422051</v>
      </c>
      <c r="E1572">
        <v>271883</v>
      </c>
      <c r="F1572">
        <v>4.9000000000000004</v>
      </c>
      <c r="G1572">
        <v>4.7</v>
      </c>
      <c r="H1572">
        <v>0</v>
      </c>
      <c r="I1572">
        <v>0</v>
      </c>
    </row>
    <row r="1573" spans="1:9" ht="24" customHeight="1">
      <c r="A1573" s="6" t="s">
        <v>3066</v>
      </c>
      <c r="B1573">
        <v>39178</v>
      </c>
      <c r="C1573">
        <v>23946</v>
      </c>
      <c r="D1573">
        <v>449076</v>
      </c>
      <c r="E1573">
        <v>388754</v>
      </c>
      <c r="F1573">
        <v>14.2</v>
      </c>
      <c r="G1573">
        <v>10.1</v>
      </c>
      <c r="H1573">
        <v>1.5</v>
      </c>
      <c r="I1573">
        <v>1.3</v>
      </c>
    </row>
    <row r="1574" spans="1:9" ht="24" customHeight="1">
      <c r="A1574" s="6" t="s">
        <v>3067</v>
      </c>
      <c r="B1574">
        <v>30342</v>
      </c>
      <c r="C1574">
        <v>8494</v>
      </c>
      <c r="D1574">
        <v>635023</v>
      </c>
      <c r="E1574">
        <v>543654</v>
      </c>
      <c r="F1574">
        <v>19.3</v>
      </c>
      <c r="G1574">
        <v>11.9</v>
      </c>
      <c r="H1574">
        <v>12.1</v>
      </c>
      <c r="I1574">
        <v>11.9</v>
      </c>
    </row>
    <row r="1575" spans="1:9" ht="24" customHeight="1">
      <c r="A1575" s="6" t="s">
        <v>3068</v>
      </c>
      <c r="B1575">
        <v>45445</v>
      </c>
      <c r="C1575">
        <v>10814</v>
      </c>
      <c r="D1575">
        <v>717780</v>
      </c>
      <c r="E1575">
        <v>539708</v>
      </c>
      <c r="F1575">
        <v>14.9</v>
      </c>
      <c r="G1575">
        <v>10</v>
      </c>
      <c r="H1575">
        <v>16.8</v>
      </c>
      <c r="I1575">
        <v>16.5</v>
      </c>
    </row>
    <row r="1576" spans="1:9" ht="24" customHeight="1">
      <c r="A1576" s="6" t="s">
        <v>3069</v>
      </c>
      <c r="B1576">
        <v>37469</v>
      </c>
      <c r="C1576">
        <v>7843</v>
      </c>
      <c r="D1576">
        <v>782054</v>
      </c>
      <c r="E1576">
        <v>645345</v>
      </c>
      <c r="F1576">
        <v>11.4</v>
      </c>
      <c r="G1576">
        <v>10</v>
      </c>
      <c r="H1576">
        <v>21.9</v>
      </c>
      <c r="I1576">
        <v>22.1</v>
      </c>
    </row>
    <row r="1577" spans="1:9" ht="24" customHeight="1">
      <c r="A1577" s="6" t="s">
        <v>3070</v>
      </c>
      <c r="B1577">
        <v>25136</v>
      </c>
      <c r="C1577">
        <v>6103</v>
      </c>
      <c r="D1577">
        <v>813052</v>
      </c>
      <c r="E1577">
        <v>630419</v>
      </c>
      <c r="F1577">
        <v>13.2</v>
      </c>
      <c r="G1577">
        <v>9.5</v>
      </c>
      <c r="H1577">
        <v>26.7</v>
      </c>
      <c r="I1577">
        <v>26.8</v>
      </c>
    </row>
    <row r="1578" spans="1:9" ht="24" customHeight="1">
      <c r="A1578" s="6" t="s">
        <v>3071</v>
      </c>
      <c r="B1578">
        <v>33233</v>
      </c>
      <c r="C1578">
        <v>17793</v>
      </c>
      <c r="D1578">
        <v>501378</v>
      </c>
      <c r="E1578">
        <v>408757</v>
      </c>
      <c r="F1578">
        <v>13.7</v>
      </c>
      <c r="G1578">
        <v>11</v>
      </c>
      <c r="H1578">
        <v>3.5</v>
      </c>
      <c r="I1578">
        <v>3.5</v>
      </c>
    </row>
    <row r="1579" spans="1:9" ht="24" customHeight="1">
      <c r="A1579" s="6" t="s">
        <v>605</v>
      </c>
      <c r="B1579">
        <v>57423</v>
      </c>
      <c r="C1579">
        <v>9655</v>
      </c>
      <c r="D1579">
        <v>796958</v>
      </c>
      <c r="E1579">
        <v>659236</v>
      </c>
      <c r="F1579">
        <v>10</v>
      </c>
      <c r="G1579">
        <v>8.8000000000000007</v>
      </c>
      <c r="H1579">
        <v>33.700000000000003</v>
      </c>
      <c r="I1579">
        <v>33.799999999999997</v>
      </c>
    </row>
    <row r="1580" spans="1:9" ht="24" customHeight="1">
      <c r="A1580" s="6" t="s">
        <v>3072</v>
      </c>
      <c r="B1580">
        <v>46489</v>
      </c>
      <c r="C1580">
        <v>29078</v>
      </c>
      <c r="D1580">
        <v>535513</v>
      </c>
      <c r="E1580">
        <v>450450</v>
      </c>
      <c r="F1580">
        <v>17.399999999999999</v>
      </c>
      <c r="G1580">
        <v>12.6</v>
      </c>
      <c r="H1580">
        <v>7</v>
      </c>
      <c r="I1580">
        <v>6.6</v>
      </c>
    </row>
    <row r="1581" spans="1:9" ht="24" customHeight="1">
      <c r="A1581" s="6" t="s">
        <v>3073</v>
      </c>
      <c r="B1581">
        <v>234154</v>
      </c>
      <c r="C1581">
        <v>85641</v>
      </c>
      <c r="D1581">
        <v>454242</v>
      </c>
      <c r="E1581">
        <v>362238</v>
      </c>
      <c r="F1581">
        <v>6.6</v>
      </c>
      <c r="G1581">
        <v>5.8</v>
      </c>
      <c r="H1581">
        <v>11.1</v>
      </c>
      <c r="I1581">
        <v>8.6</v>
      </c>
    </row>
    <row r="1582" spans="1:9" ht="24" customHeight="1">
      <c r="A1582" s="6" t="s">
        <v>3074</v>
      </c>
      <c r="B1582">
        <v>14944</v>
      </c>
      <c r="C1582">
        <v>8837</v>
      </c>
      <c r="D1582">
        <v>333852</v>
      </c>
      <c r="E1582">
        <v>288493</v>
      </c>
      <c r="F1582">
        <v>3.2</v>
      </c>
      <c r="G1582">
        <v>5.8</v>
      </c>
      <c r="H1582">
        <v>0</v>
      </c>
      <c r="I1582">
        <v>0</v>
      </c>
    </row>
    <row r="1583" spans="1:9" ht="24" customHeight="1">
      <c r="A1583" s="6" t="s">
        <v>3075</v>
      </c>
      <c r="B1583">
        <v>27256</v>
      </c>
      <c r="C1583">
        <v>15322</v>
      </c>
      <c r="D1583">
        <v>383463</v>
      </c>
      <c r="E1583">
        <v>318369</v>
      </c>
      <c r="F1583">
        <v>6.9</v>
      </c>
      <c r="G1583">
        <v>4.4000000000000004</v>
      </c>
      <c r="H1583">
        <v>1.5</v>
      </c>
      <c r="I1583">
        <v>1.4</v>
      </c>
    </row>
    <row r="1584" spans="1:9" ht="24" customHeight="1">
      <c r="A1584" s="6" t="s">
        <v>3076</v>
      </c>
      <c r="B1584">
        <v>31631</v>
      </c>
      <c r="C1584">
        <v>11325</v>
      </c>
      <c r="D1584">
        <v>488918</v>
      </c>
      <c r="E1584">
        <v>389575</v>
      </c>
      <c r="F1584">
        <v>5.6</v>
      </c>
      <c r="G1584">
        <v>3.5</v>
      </c>
      <c r="H1584">
        <v>11.8</v>
      </c>
      <c r="I1584">
        <v>11.9</v>
      </c>
    </row>
    <row r="1585" spans="1:9" ht="24" customHeight="1">
      <c r="A1585" s="6" t="s">
        <v>3077</v>
      </c>
      <c r="B1585">
        <v>27374</v>
      </c>
      <c r="C1585">
        <v>5532</v>
      </c>
      <c r="D1585">
        <v>550019</v>
      </c>
      <c r="E1585">
        <v>450467</v>
      </c>
      <c r="F1585">
        <v>9.1</v>
      </c>
      <c r="G1585">
        <v>5</v>
      </c>
      <c r="H1585">
        <v>16.8</v>
      </c>
      <c r="I1585">
        <v>16.5</v>
      </c>
    </row>
    <row r="1586" spans="1:9" ht="24" customHeight="1">
      <c r="A1586" s="6" t="s">
        <v>3078</v>
      </c>
      <c r="B1586">
        <v>16740</v>
      </c>
      <c r="C1586">
        <v>2747</v>
      </c>
      <c r="D1586">
        <v>509765</v>
      </c>
      <c r="E1586">
        <v>439883</v>
      </c>
      <c r="F1586">
        <v>5.9</v>
      </c>
      <c r="G1586">
        <v>6.3</v>
      </c>
      <c r="H1586">
        <v>21.5</v>
      </c>
      <c r="I1586">
        <v>22.2</v>
      </c>
    </row>
    <row r="1587" spans="1:9" ht="24" customHeight="1">
      <c r="A1587" s="6" t="s">
        <v>3079</v>
      </c>
      <c r="B1587">
        <v>14854</v>
      </c>
      <c r="C1587">
        <v>3350</v>
      </c>
      <c r="D1587">
        <v>502648</v>
      </c>
      <c r="E1587">
        <v>517741</v>
      </c>
      <c r="F1587">
        <v>6.8</v>
      </c>
      <c r="G1587">
        <v>5</v>
      </c>
      <c r="H1587">
        <v>26.4</v>
      </c>
      <c r="I1587">
        <v>26.4</v>
      </c>
    </row>
    <row r="1588" spans="1:9" ht="24" customHeight="1">
      <c r="A1588" s="6" t="s">
        <v>3080</v>
      </c>
      <c r="B1588">
        <v>32167</v>
      </c>
      <c r="C1588">
        <v>18142</v>
      </c>
      <c r="D1588">
        <v>415700</v>
      </c>
      <c r="E1588">
        <v>331775</v>
      </c>
      <c r="F1588">
        <v>7.1</v>
      </c>
      <c r="G1588">
        <v>6.6</v>
      </c>
      <c r="H1588">
        <v>3.5</v>
      </c>
      <c r="I1588">
        <v>3.5</v>
      </c>
    </row>
    <row r="1589" spans="1:9" ht="24" customHeight="1">
      <c r="A1589" s="6" t="s">
        <v>3081</v>
      </c>
      <c r="B1589">
        <v>13686</v>
      </c>
      <c r="C1589">
        <v>5083</v>
      </c>
      <c r="D1589">
        <v>456501</v>
      </c>
      <c r="E1589">
        <v>432556</v>
      </c>
      <c r="F1589">
        <v>2.1</v>
      </c>
      <c r="G1589">
        <v>1.7</v>
      </c>
      <c r="H1589">
        <v>36</v>
      </c>
      <c r="I1589">
        <v>36.5</v>
      </c>
    </row>
    <row r="1590" spans="1:9" ht="24" customHeight="1">
      <c r="A1590" s="6" t="s">
        <v>3082</v>
      </c>
      <c r="B1590">
        <v>56028</v>
      </c>
      <c r="C1590">
        <v>18229</v>
      </c>
      <c r="D1590">
        <v>447098</v>
      </c>
      <c r="E1590">
        <v>342425</v>
      </c>
      <c r="F1590">
        <v>7.8</v>
      </c>
      <c r="G1590">
        <v>8.3000000000000007</v>
      </c>
      <c r="H1590">
        <v>6.9</v>
      </c>
      <c r="I1590">
        <v>6.5</v>
      </c>
    </row>
    <row r="1591" spans="1:9" ht="24" customHeight="1">
      <c r="A1591" s="6" t="s">
        <v>3083</v>
      </c>
      <c r="B1591">
        <v>195308</v>
      </c>
      <c r="C1591">
        <v>83344</v>
      </c>
      <c r="D1591">
        <v>518003</v>
      </c>
      <c r="E1591">
        <v>432965</v>
      </c>
      <c r="F1591">
        <v>10.199999999999999</v>
      </c>
      <c r="G1591">
        <v>9.6</v>
      </c>
      <c r="H1591">
        <v>10.9</v>
      </c>
      <c r="I1591">
        <v>9.1999999999999993</v>
      </c>
    </row>
    <row r="1592" spans="1:9" ht="24" customHeight="1">
      <c r="A1592" s="6" t="s">
        <v>3084</v>
      </c>
      <c r="B1592">
        <v>17188</v>
      </c>
      <c r="C1592">
        <v>7505</v>
      </c>
      <c r="D1592">
        <v>337934</v>
      </c>
      <c r="E1592">
        <v>283102</v>
      </c>
      <c r="F1592">
        <v>4.5</v>
      </c>
      <c r="G1592">
        <v>6.8</v>
      </c>
      <c r="H1592">
        <v>0</v>
      </c>
      <c r="I1592">
        <v>0</v>
      </c>
    </row>
    <row r="1593" spans="1:9" ht="24" customHeight="1">
      <c r="A1593" s="6" t="s">
        <v>3085</v>
      </c>
      <c r="B1593">
        <v>28891</v>
      </c>
      <c r="C1593">
        <v>16058</v>
      </c>
      <c r="D1593">
        <v>431741</v>
      </c>
      <c r="E1593">
        <v>368064</v>
      </c>
      <c r="F1593">
        <v>10.199999999999999</v>
      </c>
      <c r="G1593">
        <v>10.8</v>
      </c>
      <c r="H1593">
        <v>1.5</v>
      </c>
      <c r="I1593">
        <v>1.5</v>
      </c>
    </row>
    <row r="1594" spans="1:9" ht="24" customHeight="1">
      <c r="A1594" s="6" t="s">
        <v>3086</v>
      </c>
      <c r="B1594">
        <v>24692</v>
      </c>
      <c r="C1594">
        <v>10430</v>
      </c>
      <c r="D1594">
        <v>567338</v>
      </c>
      <c r="E1594">
        <v>457406</v>
      </c>
      <c r="F1594">
        <v>13.5</v>
      </c>
      <c r="G1594">
        <v>10.199999999999999</v>
      </c>
      <c r="H1594">
        <v>11.8</v>
      </c>
      <c r="I1594">
        <v>12</v>
      </c>
    </row>
    <row r="1595" spans="1:9" ht="24" customHeight="1">
      <c r="A1595" s="6" t="s">
        <v>3087</v>
      </c>
      <c r="B1595">
        <v>22875</v>
      </c>
      <c r="C1595">
        <v>7765</v>
      </c>
      <c r="D1595">
        <v>575497</v>
      </c>
      <c r="E1595">
        <v>477668</v>
      </c>
      <c r="F1595">
        <v>13.7</v>
      </c>
      <c r="G1595">
        <v>6.9</v>
      </c>
      <c r="H1595">
        <v>16.899999999999999</v>
      </c>
      <c r="I1595">
        <v>16.8</v>
      </c>
    </row>
    <row r="1596" spans="1:9" ht="24" customHeight="1">
      <c r="A1596" s="6" t="s">
        <v>3088</v>
      </c>
      <c r="B1596">
        <v>16860</v>
      </c>
      <c r="C1596">
        <v>5104</v>
      </c>
      <c r="D1596">
        <v>601047</v>
      </c>
      <c r="E1596">
        <v>509209</v>
      </c>
      <c r="F1596">
        <v>6.5</v>
      </c>
      <c r="G1596">
        <v>10</v>
      </c>
      <c r="H1596">
        <v>21.8</v>
      </c>
      <c r="I1596">
        <v>21.8</v>
      </c>
    </row>
    <row r="1597" spans="1:9" ht="24" customHeight="1">
      <c r="A1597" s="6" t="s">
        <v>3089</v>
      </c>
      <c r="B1597">
        <v>9386</v>
      </c>
      <c r="C1597">
        <v>4578</v>
      </c>
      <c r="D1597">
        <v>627801</v>
      </c>
      <c r="E1597">
        <v>511587</v>
      </c>
      <c r="F1597">
        <v>5.3</v>
      </c>
      <c r="G1597">
        <v>3.6</v>
      </c>
      <c r="H1597">
        <v>27</v>
      </c>
      <c r="I1597">
        <v>26</v>
      </c>
    </row>
    <row r="1598" spans="1:9" ht="24" customHeight="1">
      <c r="A1598" s="6" t="s">
        <v>3090</v>
      </c>
      <c r="B1598">
        <v>24902</v>
      </c>
      <c r="C1598">
        <v>13486</v>
      </c>
      <c r="D1598">
        <v>474282</v>
      </c>
      <c r="E1598">
        <v>411467</v>
      </c>
      <c r="F1598">
        <v>11.4</v>
      </c>
      <c r="G1598">
        <v>10.7</v>
      </c>
      <c r="H1598">
        <v>3.5</v>
      </c>
      <c r="I1598">
        <v>3.5</v>
      </c>
    </row>
    <row r="1599" spans="1:9" ht="24" customHeight="1">
      <c r="A1599" s="6" t="s">
        <v>3091</v>
      </c>
      <c r="B1599">
        <v>13379</v>
      </c>
      <c r="C1599">
        <v>3904</v>
      </c>
      <c r="D1599">
        <v>662513</v>
      </c>
      <c r="E1599">
        <v>604499</v>
      </c>
      <c r="F1599">
        <v>5.2</v>
      </c>
      <c r="G1599">
        <v>8.1</v>
      </c>
      <c r="H1599">
        <v>33.799999999999997</v>
      </c>
      <c r="I1599">
        <v>32.5</v>
      </c>
    </row>
    <row r="1600" spans="1:9" ht="24" customHeight="1">
      <c r="A1600" s="6" t="s">
        <v>3092</v>
      </c>
      <c r="B1600">
        <v>37218</v>
      </c>
      <c r="C1600">
        <v>17618</v>
      </c>
      <c r="D1600">
        <v>511542</v>
      </c>
      <c r="E1600">
        <v>436906</v>
      </c>
      <c r="F1600">
        <v>12.6</v>
      </c>
      <c r="G1600">
        <v>10.1</v>
      </c>
      <c r="H1600">
        <v>6.7</v>
      </c>
      <c r="I1600">
        <v>6.7</v>
      </c>
    </row>
    <row r="1601" spans="1:9" ht="24" customHeight="1">
      <c r="A1601" s="6" t="s">
        <v>3093</v>
      </c>
      <c r="B1601">
        <v>173295</v>
      </c>
      <c r="C1601">
        <v>63517</v>
      </c>
      <c r="D1601">
        <v>555430</v>
      </c>
      <c r="E1601">
        <v>462692</v>
      </c>
      <c r="F1601">
        <v>12.3</v>
      </c>
      <c r="G1601">
        <v>13.4</v>
      </c>
      <c r="H1601">
        <v>13.3</v>
      </c>
      <c r="I1601">
        <v>9.3000000000000007</v>
      </c>
    </row>
    <row r="1602" spans="1:9" ht="24" customHeight="1">
      <c r="A1602" s="6" t="s">
        <v>3094</v>
      </c>
      <c r="B1602">
        <v>12018</v>
      </c>
      <c r="C1602">
        <v>7264</v>
      </c>
      <c r="D1602">
        <v>309792</v>
      </c>
      <c r="E1602">
        <v>300415</v>
      </c>
      <c r="F1602">
        <v>6.2</v>
      </c>
      <c r="G1602">
        <v>5.4</v>
      </c>
      <c r="H1602">
        <v>0</v>
      </c>
      <c r="I1602">
        <v>0</v>
      </c>
    </row>
    <row r="1603" spans="1:9" ht="24" customHeight="1">
      <c r="A1603" s="6" t="s">
        <v>3095</v>
      </c>
      <c r="B1603">
        <v>16581</v>
      </c>
      <c r="C1603">
        <v>12364</v>
      </c>
      <c r="D1603">
        <v>418436</v>
      </c>
      <c r="E1603">
        <v>369741</v>
      </c>
      <c r="F1603">
        <v>22.9</v>
      </c>
      <c r="G1603">
        <v>18.3</v>
      </c>
      <c r="H1603">
        <v>1.5</v>
      </c>
      <c r="I1603">
        <v>1.3</v>
      </c>
    </row>
    <row r="1604" spans="1:9" ht="24" customHeight="1">
      <c r="A1604" s="6" t="s">
        <v>3096</v>
      </c>
      <c r="B1604">
        <v>19738</v>
      </c>
      <c r="C1604">
        <v>5486</v>
      </c>
      <c r="D1604">
        <v>564627</v>
      </c>
      <c r="E1604">
        <v>537828</v>
      </c>
      <c r="F1604">
        <v>13.1</v>
      </c>
      <c r="G1604">
        <v>10.5</v>
      </c>
      <c r="H1604">
        <v>12.1</v>
      </c>
      <c r="I1604">
        <v>12.4</v>
      </c>
    </row>
    <row r="1605" spans="1:9" ht="24" customHeight="1">
      <c r="A1605" s="6" t="s">
        <v>3097</v>
      </c>
      <c r="B1605">
        <v>23959</v>
      </c>
      <c r="C1605">
        <v>8521</v>
      </c>
      <c r="D1605">
        <v>625794</v>
      </c>
      <c r="E1605">
        <v>576580</v>
      </c>
      <c r="F1605">
        <v>11.1</v>
      </c>
      <c r="G1605">
        <v>15.2</v>
      </c>
      <c r="H1605">
        <v>16.5</v>
      </c>
      <c r="I1605">
        <v>17.100000000000001</v>
      </c>
    </row>
    <row r="1606" spans="1:9" ht="24" customHeight="1">
      <c r="A1606" s="6" t="s">
        <v>3098</v>
      </c>
      <c r="B1606">
        <v>18964</v>
      </c>
      <c r="C1606">
        <v>3517</v>
      </c>
      <c r="D1606">
        <v>675720</v>
      </c>
      <c r="E1606">
        <v>665108</v>
      </c>
      <c r="F1606">
        <v>10.199999999999999</v>
      </c>
      <c r="G1606">
        <v>7.3</v>
      </c>
      <c r="H1606">
        <v>21.9</v>
      </c>
      <c r="I1606">
        <v>21.8</v>
      </c>
    </row>
    <row r="1607" spans="1:9" ht="24" customHeight="1">
      <c r="A1607" s="6" t="s">
        <v>3099</v>
      </c>
      <c r="B1607">
        <v>10692</v>
      </c>
      <c r="C1607">
        <v>2072</v>
      </c>
      <c r="D1607">
        <v>707179</v>
      </c>
      <c r="E1607">
        <v>634261</v>
      </c>
      <c r="F1607">
        <v>11.3</v>
      </c>
      <c r="G1607">
        <v>15.4</v>
      </c>
      <c r="H1607">
        <v>26.7</v>
      </c>
      <c r="I1607">
        <v>27</v>
      </c>
    </row>
    <row r="1608" spans="1:9" ht="24" customHeight="1">
      <c r="A1608" s="6" t="s">
        <v>3100</v>
      </c>
      <c r="B1608">
        <v>22156</v>
      </c>
      <c r="C1608">
        <v>11286</v>
      </c>
      <c r="D1608">
        <v>449436</v>
      </c>
      <c r="E1608">
        <v>378818</v>
      </c>
      <c r="F1608">
        <v>12.6</v>
      </c>
      <c r="G1608">
        <v>12.4</v>
      </c>
      <c r="H1608">
        <v>3.5</v>
      </c>
      <c r="I1608">
        <v>3.5</v>
      </c>
    </row>
    <row r="1609" spans="1:9" ht="24" customHeight="1">
      <c r="A1609" s="6" t="s">
        <v>3101</v>
      </c>
      <c r="B1609">
        <v>20479</v>
      </c>
      <c r="C1609">
        <v>3908</v>
      </c>
      <c r="D1609">
        <v>730853</v>
      </c>
      <c r="E1609">
        <v>540394</v>
      </c>
      <c r="F1609">
        <v>7.5</v>
      </c>
      <c r="G1609">
        <v>9.1999999999999993</v>
      </c>
      <c r="H1609">
        <v>33.200000000000003</v>
      </c>
      <c r="I1609">
        <v>35.5</v>
      </c>
    </row>
    <row r="1610" spans="1:9" ht="24" customHeight="1">
      <c r="A1610" s="6" t="s">
        <v>3102</v>
      </c>
      <c r="B1610">
        <v>28799</v>
      </c>
      <c r="C1610">
        <v>11030</v>
      </c>
      <c r="D1610">
        <v>493334</v>
      </c>
      <c r="E1610">
        <v>491448</v>
      </c>
      <c r="F1610">
        <v>14.2</v>
      </c>
      <c r="G1610">
        <v>16.399999999999999</v>
      </c>
      <c r="H1610">
        <v>6.6</v>
      </c>
      <c r="I1610">
        <v>6.7</v>
      </c>
    </row>
    <row r="1611" spans="1:9" ht="24" customHeight="1">
      <c r="A1611" s="6" t="s">
        <v>606</v>
      </c>
      <c r="B1611">
        <v>526141</v>
      </c>
      <c r="C1611">
        <v>80261</v>
      </c>
      <c r="D1611">
        <v>503280</v>
      </c>
      <c r="E1611">
        <v>392663</v>
      </c>
      <c r="F1611">
        <v>30.3</v>
      </c>
      <c r="G1611">
        <v>17.2</v>
      </c>
      <c r="H1611">
        <v>15.8</v>
      </c>
      <c r="I1611">
        <v>11.6</v>
      </c>
    </row>
    <row r="1612" spans="1:9" ht="24" customHeight="1">
      <c r="A1612" s="6" t="s">
        <v>607</v>
      </c>
      <c r="B1612">
        <v>17600</v>
      </c>
      <c r="C1612">
        <v>3592</v>
      </c>
      <c r="D1612">
        <v>285620</v>
      </c>
      <c r="E1612">
        <v>258381</v>
      </c>
      <c r="F1612">
        <v>24.3</v>
      </c>
      <c r="G1612">
        <v>8</v>
      </c>
      <c r="H1612">
        <v>0</v>
      </c>
      <c r="I1612">
        <v>0</v>
      </c>
    </row>
    <row r="1613" spans="1:9" ht="24" customHeight="1">
      <c r="A1613" s="6" t="s">
        <v>3103</v>
      </c>
      <c r="B1613">
        <v>34245</v>
      </c>
      <c r="C1613">
        <v>9613</v>
      </c>
      <c r="D1613">
        <v>350022</v>
      </c>
      <c r="E1613">
        <v>314094</v>
      </c>
      <c r="F1613">
        <v>36.1</v>
      </c>
      <c r="G1613">
        <v>17</v>
      </c>
      <c r="H1613">
        <v>1.5</v>
      </c>
      <c r="I1613">
        <v>1.6</v>
      </c>
    </row>
    <row r="1614" spans="1:9" ht="24" customHeight="1">
      <c r="A1614" s="6" t="s">
        <v>3104</v>
      </c>
      <c r="B1614">
        <v>74170</v>
      </c>
      <c r="C1614">
        <v>12055</v>
      </c>
      <c r="D1614">
        <v>486265</v>
      </c>
      <c r="E1614">
        <v>399965</v>
      </c>
      <c r="F1614">
        <v>31.9</v>
      </c>
      <c r="G1614">
        <v>18</v>
      </c>
      <c r="H1614">
        <v>12</v>
      </c>
      <c r="I1614">
        <v>11.9</v>
      </c>
    </row>
    <row r="1615" spans="1:9" ht="24" customHeight="1">
      <c r="A1615" s="6" t="s">
        <v>3105</v>
      </c>
      <c r="B1615">
        <v>90424</v>
      </c>
      <c r="C1615">
        <v>12165</v>
      </c>
      <c r="D1615">
        <v>520947</v>
      </c>
      <c r="E1615">
        <v>402758</v>
      </c>
      <c r="F1615">
        <v>32</v>
      </c>
      <c r="G1615">
        <v>16.899999999999999</v>
      </c>
      <c r="H1615">
        <v>16.8</v>
      </c>
      <c r="I1615">
        <v>16.7</v>
      </c>
    </row>
    <row r="1616" spans="1:9" ht="24" customHeight="1">
      <c r="A1616" s="6" t="s">
        <v>3106</v>
      </c>
      <c r="B1616">
        <v>53624</v>
      </c>
      <c r="C1616">
        <v>6806</v>
      </c>
      <c r="D1616">
        <v>582344</v>
      </c>
      <c r="E1616">
        <v>462733</v>
      </c>
      <c r="F1616">
        <v>30</v>
      </c>
      <c r="G1616">
        <v>20</v>
      </c>
      <c r="H1616">
        <v>21.8</v>
      </c>
      <c r="I1616">
        <v>22</v>
      </c>
    </row>
    <row r="1617" spans="1:9" ht="24" customHeight="1">
      <c r="A1617" s="6" t="s">
        <v>3107</v>
      </c>
      <c r="B1617">
        <v>46845</v>
      </c>
      <c r="C1617">
        <v>2871</v>
      </c>
      <c r="D1617">
        <v>613659</v>
      </c>
      <c r="E1617">
        <v>518776</v>
      </c>
      <c r="F1617">
        <v>26.9</v>
      </c>
      <c r="G1617">
        <v>12.6</v>
      </c>
      <c r="H1617">
        <v>27</v>
      </c>
      <c r="I1617">
        <v>27</v>
      </c>
    </row>
    <row r="1618" spans="1:9" ht="24" customHeight="1">
      <c r="A1618" s="6" t="s">
        <v>3108</v>
      </c>
      <c r="B1618">
        <v>46467</v>
      </c>
      <c r="C1618">
        <v>11568</v>
      </c>
      <c r="D1618">
        <v>393417</v>
      </c>
      <c r="E1618">
        <v>320422</v>
      </c>
      <c r="F1618">
        <v>33.4</v>
      </c>
      <c r="G1618">
        <v>15.6</v>
      </c>
      <c r="H1618">
        <v>3.5</v>
      </c>
      <c r="I1618">
        <v>3.5</v>
      </c>
    </row>
    <row r="1619" spans="1:9" ht="24" customHeight="1">
      <c r="A1619" s="6" t="s">
        <v>608</v>
      </c>
      <c r="B1619">
        <v>79301</v>
      </c>
      <c r="C1619">
        <v>6208</v>
      </c>
      <c r="D1619">
        <v>636905</v>
      </c>
      <c r="E1619">
        <v>545270</v>
      </c>
      <c r="F1619">
        <v>23.1</v>
      </c>
      <c r="G1619">
        <v>10.4</v>
      </c>
      <c r="H1619">
        <v>34.200000000000003</v>
      </c>
      <c r="I1619">
        <v>33.299999999999997</v>
      </c>
    </row>
    <row r="1620" spans="1:9" ht="24" customHeight="1">
      <c r="A1620" s="6" t="s">
        <v>3109</v>
      </c>
      <c r="B1620">
        <v>85716</v>
      </c>
      <c r="C1620">
        <v>19446</v>
      </c>
      <c r="D1620">
        <v>428095</v>
      </c>
      <c r="E1620">
        <v>354987</v>
      </c>
      <c r="F1620">
        <v>33</v>
      </c>
      <c r="G1620">
        <v>18.2</v>
      </c>
      <c r="H1620">
        <v>6.9</v>
      </c>
      <c r="I1620">
        <v>6.9</v>
      </c>
    </row>
    <row r="1621" spans="1:9" ht="24" customHeight="1">
      <c r="A1621" s="6" t="s">
        <v>3110</v>
      </c>
      <c r="B1621">
        <v>557012</v>
      </c>
      <c r="C1621">
        <v>59855</v>
      </c>
      <c r="D1621">
        <v>369765</v>
      </c>
      <c r="E1621">
        <v>287610</v>
      </c>
      <c r="F1621">
        <v>24.7</v>
      </c>
      <c r="G1621">
        <v>9.6</v>
      </c>
      <c r="H1621">
        <v>11.1</v>
      </c>
      <c r="I1621">
        <v>8.8000000000000007</v>
      </c>
    </row>
    <row r="1622" spans="1:9" ht="24" customHeight="1">
      <c r="A1622" s="6" t="s">
        <v>3111</v>
      </c>
      <c r="B1622">
        <v>34712</v>
      </c>
      <c r="C1622">
        <v>5704</v>
      </c>
      <c r="D1622">
        <v>307383</v>
      </c>
      <c r="E1622">
        <v>237577</v>
      </c>
      <c r="F1622">
        <v>24.8</v>
      </c>
      <c r="G1622">
        <v>8</v>
      </c>
      <c r="H1622">
        <v>0</v>
      </c>
      <c r="I1622">
        <v>0</v>
      </c>
    </row>
    <row r="1623" spans="1:9" ht="24" customHeight="1">
      <c r="A1623" s="6" t="s">
        <v>3112</v>
      </c>
      <c r="B1623">
        <v>70997</v>
      </c>
      <c r="C1623">
        <v>10693</v>
      </c>
      <c r="D1623">
        <v>332030</v>
      </c>
      <c r="E1623">
        <v>258840</v>
      </c>
      <c r="F1623">
        <v>25.5</v>
      </c>
      <c r="G1623">
        <v>12.3</v>
      </c>
      <c r="H1623">
        <v>1.5</v>
      </c>
      <c r="I1623">
        <v>1.4</v>
      </c>
    </row>
    <row r="1624" spans="1:9" ht="24" customHeight="1">
      <c r="A1624" s="6" t="s">
        <v>3113</v>
      </c>
      <c r="B1624">
        <v>87331</v>
      </c>
      <c r="C1624">
        <v>8740</v>
      </c>
      <c r="D1624">
        <v>364767</v>
      </c>
      <c r="E1624">
        <v>310277</v>
      </c>
      <c r="F1624">
        <v>23.2</v>
      </c>
      <c r="G1624">
        <v>8</v>
      </c>
      <c r="H1624">
        <v>11.8</v>
      </c>
      <c r="I1624">
        <v>11.8</v>
      </c>
    </row>
    <row r="1625" spans="1:9" ht="24" customHeight="1">
      <c r="A1625" s="6" t="s">
        <v>3114</v>
      </c>
      <c r="B1625">
        <v>75208</v>
      </c>
      <c r="C1625">
        <v>6505</v>
      </c>
      <c r="D1625">
        <v>388102</v>
      </c>
      <c r="E1625">
        <v>300211</v>
      </c>
      <c r="F1625">
        <v>25.1</v>
      </c>
      <c r="G1625">
        <v>6.8</v>
      </c>
      <c r="H1625">
        <v>16.899999999999999</v>
      </c>
      <c r="I1625">
        <v>16.8</v>
      </c>
    </row>
    <row r="1626" spans="1:9" ht="24" customHeight="1">
      <c r="A1626" s="6" t="s">
        <v>3115</v>
      </c>
      <c r="B1626">
        <v>42599</v>
      </c>
      <c r="C1626">
        <v>2627</v>
      </c>
      <c r="D1626">
        <v>393947</v>
      </c>
      <c r="E1626">
        <v>329635</v>
      </c>
      <c r="F1626">
        <v>23.6</v>
      </c>
      <c r="G1626">
        <v>4.9000000000000004</v>
      </c>
      <c r="H1626">
        <v>21.8</v>
      </c>
      <c r="I1626">
        <v>21.4</v>
      </c>
    </row>
    <row r="1627" spans="1:9" ht="24" customHeight="1">
      <c r="A1627" s="6" t="s">
        <v>3116</v>
      </c>
      <c r="B1627">
        <v>26404</v>
      </c>
      <c r="C1627">
        <v>2244</v>
      </c>
      <c r="D1627">
        <v>435343</v>
      </c>
      <c r="E1627">
        <v>330592</v>
      </c>
      <c r="F1627">
        <v>22.4</v>
      </c>
      <c r="G1627">
        <v>6.3</v>
      </c>
      <c r="H1627">
        <v>26.8</v>
      </c>
      <c r="I1627">
        <v>26.4</v>
      </c>
    </row>
    <row r="1628" spans="1:9" ht="24" customHeight="1">
      <c r="A1628" s="6" t="s">
        <v>3117</v>
      </c>
      <c r="B1628">
        <v>64777</v>
      </c>
      <c r="C1628">
        <v>8586</v>
      </c>
      <c r="D1628">
        <v>355885</v>
      </c>
      <c r="E1628">
        <v>253933</v>
      </c>
      <c r="F1628">
        <v>28</v>
      </c>
      <c r="G1628">
        <v>7.7</v>
      </c>
      <c r="H1628">
        <v>3.5</v>
      </c>
      <c r="I1628">
        <v>3.4</v>
      </c>
    </row>
    <row r="1629" spans="1:9" ht="24" customHeight="1">
      <c r="A1629" s="6" t="s">
        <v>3118</v>
      </c>
      <c r="B1629">
        <v>31675</v>
      </c>
      <c r="C1629">
        <v>1988</v>
      </c>
      <c r="D1629">
        <v>417751</v>
      </c>
      <c r="E1629">
        <v>338014</v>
      </c>
      <c r="F1629">
        <v>23.6</v>
      </c>
      <c r="G1629">
        <v>10.199999999999999</v>
      </c>
      <c r="H1629">
        <v>35.299999999999997</v>
      </c>
      <c r="I1629">
        <v>37</v>
      </c>
    </row>
    <row r="1630" spans="1:9" ht="24" customHeight="1">
      <c r="A1630" s="6" t="s">
        <v>3119</v>
      </c>
      <c r="B1630">
        <v>129947</v>
      </c>
      <c r="C1630">
        <v>16919</v>
      </c>
      <c r="D1630">
        <v>365709</v>
      </c>
      <c r="E1630">
        <v>275027</v>
      </c>
      <c r="F1630">
        <v>23.4</v>
      </c>
      <c r="G1630">
        <v>10.6</v>
      </c>
      <c r="H1630">
        <v>6.9</v>
      </c>
      <c r="I1630">
        <v>6.8</v>
      </c>
    </row>
    <row r="1631" spans="1:9" ht="24" customHeight="1">
      <c r="A1631" s="6" t="s">
        <v>3120</v>
      </c>
      <c r="B1631">
        <v>341190</v>
      </c>
      <c r="C1631">
        <v>51399</v>
      </c>
      <c r="D1631">
        <v>409550</v>
      </c>
      <c r="E1631">
        <v>307526</v>
      </c>
      <c r="F1631">
        <v>27.1</v>
      </c>
      <c r="G1631">
        <v>14.6</v>
      </c>
      <c r="H1631">
        <v>12.6</v>
      </c>
      <c r="I1631">
        <v>9.9</v>
      </c>
    </row>
    <row r="1632" spans="1:9" ht="24" customHeight="1">
      <c r="A1632" s="6" t="s">
        <v>3121</v>
      </c>
      <c r="B1632">
        <v>15592</v>
      </c>
      <c r="C1632">
        <v>3198</v>
      </c>
      <c r="D1632">
        <v>313770</v>
      </c>
      <c r="E1632">
        <v>226269</v>
      </c>
      <c r="F1632">
        <v>23</v>
      </c>
      <c r="G1632">
        <v>11.1</v>
      </c>
      <c r="H1632">
        <v>0</v>
      </c>
      <c r="I1632">
        <v>0</v>
      </c>
    </row>
    <row r="1633" spans="1:9" ht="24" customHeight="1">
      <c r="A1633" s="6" t="s">
        <v>3122</v>
      </c>
      <c r="B1633">
        <v>41419</v>
      </c>
      <c r="C1633">
        <v>9764</v>
      </c>
      <c r="D1633">
        <v>339779</v>
      </c>
      <c r="E1633">
        <v>272294</v>
      </c>
      <c r="F1633">
        <v>28.6</v>
      </c>
      <c r="G1633">
        <v>14.8</v>
      </c>
      <c r="H1633">
        <v>1.5</v>
      </c>
      <c r="I1633">
        <v>1.6</v>
      </c>
    </row>
    <row r="1634" spans="1:9" ht="24" customHeight="1">
      <c r="A1634" s="6" t="s">
        <v>3123</v>
      </c>
      <c r="B1634">
        <v>57072</v>
      </c>
      <c r="C1634">
        <v>7295</v>
      </c>
      <c r="D1634">
        <v>403831</v>
      </c>
      <c r="E1634">
        <v>311911</v>
      </c>
      <c r="F1634">
        <v>26.1</v>
      </c>
      <c r="G1634">
        <v>15.1</v>
      </c>
      <c r="H1634">
        <v>11.8</v>
      </c>
      <c r="I1634">
        <v>11.9</v>
      </c>
    </row>
    <row r="1635" spans="1:9" ht="24" customHeight="1">
      <c r="A1635" s="6" t="s">
        <v>3124</v>
      </c>
      <c r="B1635">
        <v>47305</v>
      </c>
      <c r="C1635">
        <v>5580</v>
      </c>
      <c r="D1635">
        <v>437934</v>
      </c>
      <c r="E1635">
        <v>321584</v>
      </c>
      <c r="F1635">
        <v>28.6</v>
      </c>
      <c r="G1635">
        <v>17.600000000000001</v>
      </c>
      <c r="H1635">
        <v>16.8</v>
      </c>
      <c r="I1635">
        <v>16.7</v>
      </c>
    </row>
    <row r="1636" spans="1:9" ht="24" customHeight="1">
      <c r="A1636" s="6" t="s">
        <v>3125</v>
      </c>
      <c r="B1636">
        <v>29009</v>
      </c>
      <c r="C1636">
        <v>2779</v>
      </c>
      <c r="D1636">
        <v>445130</v>
      </c>
      <c r="E1636">
        <v>370009</v>
      </c>
      <c r="F1636">
        <v>25.1</v>
      </c>
      <c r="G1636">
        <v>6.3</v>
      </c>
      <c r="H1636">
        <v>21.6</v>
      </c>
      <c r="I1636">
        <v>21.5</v>
      </c>
    </row>
    <row r="1637" spans="1:9" ht="24" customHeight="1">
      <c r="A1637" s="6" t="s">
        <v>3126</v>
      </c>
      <c r="B1637">
        <v>18209</v>
      </c>
      <c r="C1637">
        <v>2547</v>
      </c>
      <c r="D1637">
        <v>510347</v>
      </c>
      <c r="E1637">
        <v>346074</v>
      </c>
      <c r="F1637">
        <v>25.3</v>
      </c>
      <c r="G1637">
        <v>12.5</v>
      </c>
      <c r="H1637">
        <v>26.9</v>
      </c>
      <c r="I1637">
        <v>27</v>
      </c>
    </row>
    <row r="1638" spans="1:9" ht="24" customHeight="1">
      <c r="A1638" s="6" t="s">
        <v>3127</v>
      </c>
      <c r="B1638">
        <v>31227</v>
      </c>
      <c r="C1638">
        <v>8027</v>
      </c>
      <c r="D1638">
        <v>365387</v>
      </c>
      <c r="E1638">
        <v>291959</v>
      </c>
      <c r="F1638">
        <v>27.4</v>
      </c>
      <c r="G1638">
        <v>14.6</v>
      </c>
      <c r="H1638">
        <v>3.5</v>
      </c>
      <c r="I1638">
        <v>3.4</v>
      </c>
    </row>
    <row r="1639" spans="1:9" ht="24" customHeight="1">
      <c r="A1639" s="6" t="s">
        <v>3128</v>
      </c>
      <c r="B1639">
        <v>31095</v>
      </c>
      <c r="C1639">
        <v>2957</v>
      </c>
      <c r="D1639">
        <v>527198</v>
      </c>
      <c r="E1639">
        <v>428013</v>
      </c>
      <c r="F1639">
        <v>21.7</v>
      </c>
      <c r="G1639">
        <v>10.6</v>
      </c>
      <c r="H1639">
        <v>34.299999999999997</v>
      </c>
      <c r="I1639">
        <v>34.1</v>
      </c>
    </row>
    <row r="1640" spans="1:9" ht="24" customHeight="1">
      <c r="A1640" s="6" t="s">
        <v>3129</v>
      </c>
      <c r="B1640">
        <v>72278</v>
      </c>
      <c r="C1640">
        <v>10527</v>
      </c>
      <c r="D1640">
        <v>378146</v>
      </c>
      <c r="E1640">
        <v>298511</v>
      </c>
      <c r="F1640">
        <v>30</v>
      </c>
      <c r="G1640">
        <v>15.8</v>
      </c>
      <c r="H1640">
        <v>6.9</v>
      </c>
      <c r="I1640">
        <v>6.8</v>
      </c>
    </row>
    <row r="1641" spans="1:9" ht="24" customHeight="1">
      <c r="A1641" s="6" t="s">
        <v>3130</v>
      </c>
      <c r="B1641">
        <v>238437</v>
      </c>
      <c r="C1641">
        <v>59705</v>
      </c>
      <c r="D1641">
        <v>461438</v>
      </c>
      <c r="E1641">
        <v>373000</v>
      </c>
      <c r="F1641">
        <v>30.7</v>
      </c>
      <c r="G1641">
        <v>15.6</v>
      </c>
      <c r="H1641">
        <v>12.7</v>
      </c>
      <c r="I1641">
        <v>9.1999999999999993</v>
      </c>
    </row>
    <row r="1642" spans="1:9" ht="24" customHeight="1">
      <c r="A1642" s="6" t="s">
        <v>3131</v>
      </c>
      <c r="B1642">
        <v>16990</v>
      </c>
      <c r="C1642">
        <v>7309</v>
      </c>
      <c r="D1642">
        <v>348745</v>
      </c>
      <c r="E1642">
        <v>269264</v>
      </c>
      <c r="F1642">
        <v>37</v>
      </c>
      <c r="G1642">
        <v>9.6999999999999993</v>
      </c>
      <c r="H1642">
        <v>0</v>
      </c>
      <c r="I1642">
        <v>0</v>
      </c>
    </row>
    <row r="1643" spans="1:9" ht="24" customHeight="1">
      <c r="A1643" s="6" t="s">
        <v>3132</v>
      </c>
      <c r="B1643">
        <v>21031</v>
      </c>
      <c r="C1643">
        <v>6442</v>
      </c>
      <c r="D1643">
        <v>368245</v>
      </c>
      <c r="E1643">
        <v>300694</v>
      </c>
      <c r="F1643">
        <v>29.3</v>
      </c>
      <c r="G1643">
        <v>15</v>
      </c>
      <c r="H1643">
        <v>1.5</v>
      </c>
      <c r="I1643">
        <v>1.4</v>
      </c>
    </row>
    <row r="1644" spans="1:9" ht="24" customHeight="1">
      <c r="A1644" s="6" t="s">
        <v>3133</v>
      </c>
      <c r="B1644">
        <v>29657</v>
      </c>
      <c r="C1644">
        <v>5328</v>
      </c>
      <c r="D1644">
        <v>436360</v>
      </c>
      <c r="E1644">
        <v>375918</v>
      </c>
      <c r="F1644">
        <v>29.1</v>
      </c>
      <c r="G1644">
        <v>12</v>
      </c>
      <c r="H1644">
        <v>11.8</v>
      </c>
      <c r="I1644">
        <v>11.9</v>
      </c>
    </row>
    <row r="1645" spans="1:9" ht="24" customHeight="1">
      <c r="A1645" s="6" t="s">
        <v>3134</v>
      </c>
      <c r="B1645">
        <v>36252</v>
      </c>
      <c r="C1645">
        <v>7123</v>
      </c>
      <c r="D1645">
        <v>518104</v>
      </c>
      <c r="E1645">
        <v>446787</v>
      </c>
      <c r="F1645">
        <v>30.4</v>
      </c>
      <c r="G1645">
        <v>11.9</v>
      </c>
      <c r="H1645">
        <v>16.8</v>
      </c>
      <c r="I1645">
        <v>16.399999999999999</v>
      </c>
    </row>
    <row r="1646" spans="1:9" ht="24" customHeight="1">
      <c r="A1646" s="6" t="s">
        <v>3135</v>
      </c>
      <c r="B1646">
        <v>20254</v>
      </c>
      <c r="C1646">
        <v>2353</v>
      </c>
      <c r="D1646">
        <v>531714</v>
      </c>
      <c r="E1646">
        <v>441723</v>
      </c>
      <c r="F1646">
        <v>32.200000000000003</v>
      </c>
      <c r="G1646">
        <v>13.4</v>
      </c>
      <c r="H1646">
        <v>21.7</v>
      </c>
      <c r="I1646">
        <v>21.4</v>
      </c>
    </row>
    <row r="1647" spans="1:9" ht="24" customHeight="1">
      <c r="A1647" s="6" t="s">
        <v>3136</v>
      </c>
      <c r="B1647">
        <v>15661</v>
      </c>
      <c r="C1647">
        <v>1388</v>
      </c>
      <c r="D1647">
        <v>540613</v>
      </c>
      <c r="E1647">
        <v>576188</v>
      </c>
      <c r="F1647">
        <v>20.8</v>
      </c>
      <c r="G1647">
        <v>11.6</v>
      </c>
      <c r="H1647">
        <v>26.8</v>
      </c>
      <c r="I1647">
        <v>26.7</v>
      </c>
    </row>
    <row r="1648" spans="1:9" ht="24" customHeight="1">
      <c r="A1648" s="6" t="s">
        <v>3137</v>
      </c>
      <c r="B1648">
        <v>23088</v>
      </c>
      <c r="C1648">
        <v>11863</v>
      </c>
      <c r="D1648">
        <v>390254</v>
      </c>
      <c r="E1648">
        <v>350746</v>
      </c>
      <c r="F1648">
        <v>30.4</v>
      </c>
      <c r="G1648">
        <v>21.4</v>
      </c>
      <c r="H1648">
        <v>3.4</v>
      </c>
      <c r="I1648">
        <v>3.5</v>
      </c>
    </row>
    <row r="1649" spans="1:9" ht="24" customHeight="1">
      <c r="A1649" s="6" t="s">
        <v>3138</v>
      </c>
      <c r="B1649">
        <v>21360</v>
      </c>
      <c r="C1649">
        <v>4134</v>
      </c>
      <c r="D1649">
        <v>568944</v>
      </c>
      <c r="E1649">
        <v>546489</v>
      </c>
      <c r="F1649">
        <v>22</v>
      </c>
      <c r="G1649">
        <v>14.5</v>
      </c>
      <c r="H1649">
        <v>33.9</v>
      </c>
      <c r="I1649">
        <v>34.1</v>
      </c>
    </row>
    <row r="1650" spans="1:9" ht="24" customHeight="1">
      <c r="A1650" s="6" t="s">
        <v>3139</v>
      </c>
      <c r="B1650">
        <v>54577</v>
      </c>
      <c r="C1650">
        <v>14194</v>
      </c>
      <c r="D1650">
        <v>446030</v>
      </c>
      <c r="E1650">
        <v>353745</v>
      </c>
      <c r="F1650">
        <v>35.799999999999997</v>
      </c>
      <c r="G1650">
        <v>18.3</v>
      </c>
      <c r="H1650">
        <v>6.8</v>
      </c>
      <c r="I1650">
        <v>6.7</v>
      </c>
    </row>
    <row r="1651" spans="1:9" ht="24" customHeight="1">
      <c r="A1651" s="6" t="s">
        <v>609</v>
      </c>
      <c r="B1651">
        <v>1144543</v>
      </c>
      <c r="C1651">
        <v>412291</v>
      </c>
      <c r="D1651">
        <v>510066</v>
      </c>
      <c r="E1651">
        <v>391433</v>
      </c>
      <c r="F1651">
        <v>13</v>
      </c>
      <c r="G1651">
        <v>11.2</v>
      </c>
      <c r="H1651">
        <v>14.4</v>
      </c>
      <c r="I1651">
        <v>10</v>
      </c>
    </row>
    <row r="1652" spans="1:9" ht="24" customHeight="1">
      <c r="A1652" s="6" t="s">
        <v>610</v>
      </c>
      <c r="B1652">
        <v>61674</v>
      </c>
      <c r="C1652">
        <v>49085</v>
      </c>
      <c r="D1652">
        <v>316711</v>
      </c>
      <c r="E1652">
        <v>268505</v>
      </c>
      <c r="F1652">
        <v>12.6</v>
      </c>
      <c r="G1652">
        <v>10.3</v>
      </c>
      <c r="H1652">
        <v>0</v>
      </c>
      <c r="I1652">
        <v>0</v>
      </c>
    </row>
    <row r="1653" spans="1:9" ht="24" customHeight="1">
      <c r="A1653" s="6" t="s">
        <v>3140</v>
      </c>
      <c r="B1653">
        <v>122708</v>
      </c>
      <c r="C1653">
        <v>64787</v>
      </c>
      <c r="D1653">
        <v>414346</v>
      </c>
      <c r="E1653">
        <v>327698</v>
      </c>
      <c r="F1653">
        <v>9.5</v>
      </c>
      <c r="G1653">
        <v>12.1</v>
      </c>
      <c r="H1653">
        <v>1.5</v>
      </c>
      <c r="I1653">
        <v>1.5</v>
      </c>
    </row>
    <row r="1654" spans="1:9" ht="24" customHeight="1">
      <c r="A1654" s="6" t="s">
        <v>3141</v>
      </c>
      <c r="B1654">
        <v>99841</v>
      </c>
      <c r="C1654">
        <v>39859</v>
      </c>
      <c r="D1654">
        <v>514085</v>
      </c>
      <c r="E1654">
        <v>427621</v>
      </c>
      <c r="F1654">
        <v>18</v>
      </c>
      <c r="G1654">
        <v>10.6</v>
      </c>
      <c r="H1654">
        <v>11.9</v>
      </c>
      <c r="I1654">
        <v>11.9</v>
      </c>
    </row>
    <row r="1655" spans="1:9" ht="24" customHeight="1">
      <c r="A1655" s="6" t="s">
        <v>3142</v>
      </c>
      <c r="B1655">
        <v>143940</v>
      </c>
      <c r="C1655">
        <v>49599</v>
      </c>
      <c r="D1655">
        <v>546041</v>
      </c>
      <c r="E1655">
        <v>445342</v>
      </c>
      <c r="F1655">
        <v>14.8</v>
      </c>
      <c r="G1655">
        <v>6.5</v>
      </c>
      <c r="H1655">
        <v>17</v>
      </c>
      <c r="I1655">
        <v>16.8</v>
      </c>
    </row>
    <row r="1656" spans="1:9" ht="24" customHeight="1">
      <c r="A1656" s="6" t="s">
        <v>3143</v>
      </c>
      <c r="B1656">
        <v>119950</v>
      </c>
      <c r="C1656">
        <v>28816</v>
      </c>
      <c r="D1656">
        <v>585226</v>
      </c>
      <c r="E1656">
        <v>446239</v>
      </c>
      <c r="F1656">
        <v>9.6</v>
      </c>
      <c r="G1656">
        <v>8.6</v>
      </c>
      <c r="H1656">
        <v>22</v>
      </c>
      <c r="I1656">
        <v>21.4</v>
      </c>
    </row>
    <row r="1657" spans="1:9" ht="24" customHeight="1">
      <c r="A1657" s="6" t="s">
        <v>3144</v>
      </c>
      <c r="B1657">
        <v>98767</v>
      </c>
      <c r="C1657">
        <v>20084</v>
      </c>
      <c r="D1657">
        <v>647876</v>
      </c>
      <c r="E1657">
        <v>524517</v>
      </c>
      <c r="F1657">
        <v>14.5</v>
      </c>
      <c r="G1657">
        <v>9.5</v>
      </c>
      <c r="H1657">
        <v>26.8</v>
      </c>
      <c r="I1657">
        <v>27.1</v>
      </c>
    </row>
    <row r="1658" spans="1:9" ht="24" customHeight="1">
      <c r="A1658" s="6" t="s">
        <v>3145</v>
      </c>
      <c r="B1658">
        <v>125014</v>
      </c>
      <c r="C1658">
        <v>63648</v>
      </c>
      <c r="D1658">
        <v>386836</v>
      </c>
      <c r="E1658">
        <v>339445</v>
      </c>
      <c r="F1658">
        <v>17.399999999999999</v>
      </c>
      <c r="G1658">
        <v>9.1999999999999993</v>
      </c>
      <c r="H1658">
        <v>3.5</v>
      </c>
      <c r="I1658">
        <v>3.5</v>
      </c>
    </row>
    <row r="1659" spans="1:9" ht="24" customHeight="1">
      <c r="A1659" s="6" t="s">
        <v>611</v>
      </c>
      <c r="B1659">
        <v>162023</v>
      </c>
      <c r="C1659">
        <v>29671</v>
      </c>
      <c r="D1659">
        <v>686364</v>
      </c>
      <c r="E1659">
        <v>537510</v>
      </c>
      <c r="F1659">
        <v>8.4</v>
      </c>
      <c r="G1659">
        <v>10</v>
      </c>
      <c r="H1659">
        <v>34</v>
      </c>
      <c r="I1659">
        <v>33.5</v>
      </c>
    </row>
    <row r="1660" spans="1:9" ht="24" customHeight="1">
      <c r="A1660" s="6" t="s">
        <v>3146</v>
      </c>
      <c r="B1660">
        <v>211443</v>
      </c>
      <c r="C1660">
        <v>81377</v>
      </c>
      <c r="D1660">
        <v>426152</v>
      </c>
      <c r="E1660">
        <v>388317</v>
      </c>
      <c r="F1660">
        <v>13.5</v>
      </c>
      <c r="G1660">
        <v>16.100000000000001</v>
      </c>
      <c r="H1660">
        <v>6.8</v>
      </c>
      <c r="I1660">
        <v>6.6</v>
      </c>
    </row>
    <row r="1661" spans="1:9" ht="24" customHeight="1">
      <c r="A1661" s="6" t="s">
        <v>3147</v>
      </c>
      <c r="B1661">
        <v>723235</v>
      </c>
      <c r="C1661">
        <v>355551</v>
      </c>
      <c r="D1661">
        <v>423303</v>
      </c>
      <c r="E1661">
        <v>321189</v>
      </c>
      <c r="F1661">
        <v>7.2</v>
      </c>
      <c r="G1661">
        <v>5.6</v>
      </c>
      <c r="H1661">
        <v>13</v>
      </c>
      <c r="I1661">
        <v>10.199999999999999</v>
      </c>
    </row>
    <row r="1662" spans="1:9" ht="24" customHeight="1">
      <c r="A1662" s="6" t="s">
        <v>3148</v>
      </c>
      <c r="B1662">
        <v>41508</v>
      </c>
      <c r="C1662">
        <v>29815</v>
      </c>
      <c r="D1662">
        <v>291796</v>
      </c>
      <c r="E1662">
        <v>226508</v>
      </c>
      <c r="F1662">
        <v>6.4</v>
      </c>
      <c r="G1662">
        <v>3.7</v>
      </c>
      <c r="H1662">
        <v>0</v>
      </c>
      <c r="I1662">
        <v>0</v>
      </c>
    </row>
    <row r="1663" spans="1:9" ht="24" customHeight="1">
      <c r="A1663" s="6" t="s">
        <v>3149</v>
      </c>
      <c r="B1663">
        <v>83957</v>
      </c>
      <c r="C1663">
        <v>48389</v>
      </c>
      <c r="D1663">
        <v>331663</v>
      </c>
      <c r="E1663">
        <v>269424</v>
      </c>
      <c r="F1663">
        <v>8.1999999999999993</v>
      </c>
      <c r="G1663">
        <v>5</v>
      </c>
      <c r="H1663">
        <v>1.5</v>
      </c>
      <c r="I1663">
        <v>1.6</v>
      </c>
    </row>
    <row r="1664" spans="1:9" ht="24" customHeight="1">
      <c r="A1664" s="6" t="s">
        <v>3150</v>
      </c>
      <c r="B1664">
        <v>98266</v>
      </c>
      <c r="C1664">
        <v>56719</v>
      </c>
      <c r="D1664">
        <v>431970</v>
      </c>
      <c r="E1664">
        <v>322327</v>
      </c>
      <c r="F1664">
        <v>7.7</v>
      </c>
      <c r="G1664">
        <v>4.9000000000000004</v>
      </c>
      <c r="H1664">
        <v>11.7</v>
      </c>
      <c r="I1664">
        <v>11.9</v>
      </c>
    </row>
    <row r="1665" spans="1:9" ht="24" customHeight="1">
      <c r="A1665" s="6" t="s">
        <v>3151</v>
      </c>
      <c r="B1665">
        <v>93874</v>
      </c>
      <c r="C1665">
        <v>47682</v>
      </c>
      <c r="D1665">
        <v>477190</v>
      </c>
      <c r="E1665">
        <v>359513</v>
      </c>
      <c r="F1665">
        <v>6.5</v>
      </c>
      <c r="G1665">
        <v>4.5</v>
      </c>
      <c r="H1665">
        <v>16.8</v>
      </c>
      <c r="I1665">
        <v>16.7</v>
      </c>
    </row>
    <row r="1666" spans="1:9" ht="24" customHeight="1">
      <c r="A1666" s="6" t="s">
        <v>3152</v>
      </c>
      <c r="B1666">
        <v>64890</v>
      </c>
      <c r="C1666">
        <v>25891</v>
      </c>
      <c r="D1666">
        <v>473370</v>
      </c>
      <c r="E1666">
        <v>370443</v>
      </c>
      <c r="F1666">
        <v>6.2</v>
      </c>
      <c r="G1666">
        <v>6.4</v>
      </c>
      <c r="H1666">
        <v>21.9</v>
      </c>
      <c r="I1666">
        <v>21.7</v>
      </c>
    </row>
    <row r="1667" spans="1:9" ht="24" customHeight="1">
      <c r="A1667" s="6" t="s">
        <v>3153</v>
      </c>
      <c r="B1667">
        <v>52750</v>
      </c>
      <c r="C1667">
        <v>15695</v>
      </c>
      <c r="D1667">
        <v>505160</v>
      </c>
      <c r="E1667">
        <v>369598</v>
      </c>
      <c r="F1667">
        <v>5.9</v>
      </c>
      <c r="G1667">
        <v>6.4</v>
      </c>
      <c r="H1667">
        <v>27</v>
      </c>
      <c r="I1667">
        <v>26.7</v>
      </c>
    </row>
    <row r="1668" spans="1:9" ht="24" customHeight="1">
      <c r="A1668" s="6" t="s">
        <v>3154</v>
      </c>
      <c r="B1668">
        <v>76451</v>
      </c>
      <c r="C1668">
        <v>48077</v>
      </c>
      <c r="D1668">
        <v>379361</v>
      </c>
      <c r="E1668">
        <v>297069</v>
      </c>
      <c r="F1668">
        <v>8.9</v>
      </c>
      <c r="G1668">
        <v>7.2</v>
      </c>
      <c r="H1668">
        <v>3.5</v>
      </c>
      <c r="I1668">
        <v>3.5</v>
      </c>
    </row>
    <row r="1669" spans="1:9" ht="24" customHeight="1">
      <c r="A1669" s="6" t="s">
        <v>3155</v>
      </c>
      <c r="B1669">
        <v>71425</v>
      </c>
      <c r="C1669">
        <v>17497</v>
      </c>
      <c r="D1669">
        <v>498734</v>
      </c>
      <c r="E1669">
        <v>370916</v>
      </c>
      <c r="F1669">
        <v>5</v>
      </c>
      <c r="G1669">
        <v>2.8</v>
      </c>
      <c r="H1669">
        <v>34.9</v>
      </c>
      <c r="I1669">
        <v>34.9</v>
      </c>
    </row>
    <row r="1670" spans="1:9" ht="24" customHeight="1">
      <c r="A1670" s="6" t="s">
        <v>3156</v>
      </c>
      <c r="B1670">
        <v>146895</v>
      </c>
      <c r="C1670">
        <v>93746</v>
      </c>
      <c r="D1670">
        <v>395120</v>
      </c>
      <c r="E1670">
        <v>299534</v>
      </c>
      <c r="F1670">
        <v>8.1</v>
      </c>
      <c r="G1670">
        <v>5.8</v>
      </c>
      <c r="H1670">
        <v>6.9</v>
      </c>
      <c r="I1670">
        <v>6.6</v>
      </c>
    </row>
    <row r="1671" spans="1:9" ht="24" customHeight="1">
      <c r="A1671" s="6" t="s">
        <v>3157</v>
      </c>
      <c r="B1671">
        <v>467406</v>
      </c>
      <c r="C1671">
        <v>211581</v>
      </c>
      <c r="D1671">
        <v>491788</v>
      </c>
      <c r="E1671">
        <v>367312</v>
      </c>
      <c r="F1671">
        <v>9.3000000000000007</v>
      </c>
      <c r="G1671">
        <v>6.5</v>
      </c>
      <c r="H1671">
        <v>14.3</v>
      </c>
      <c r="I1671">
        <v>10.1</v>
      </c>
    </row>
    <row r="1672" spans="1:9" ht="24" customHeight="1">
      <c r="A1672" s="6" t="s">
        <v>3158</v>
      </c>
      <c r="B1672">
        <v>32094</v>
      </c>
      <c r="C1672">
        <v>20254</v>
      </c>
      <c r="D1672">
        <v>309181</v>
      </c>
      <c r="E1672">
        <v>269115</v>
      </c>
      <c r="F1672">
        <v>7.3</v>
      </c>
      <c r="G1672">
        <v>3.1</v>
      </c>
      <c r="H1672">
        <v>0</v>
      </c>
      <c r="I1672">
        <v>0</v>
      </c>
    </row>
    <row r="1673" spans="1:9" ht="24" customHeight="1">
      <c r="A1673" s="6" t="s">
        <v>3159</v>
      </c>
      <c r="B1673">
        <v>45077</v>
      </c>
      <c r="C1673">
        <v>33087</v>
      </c>
      <c r="D1673">
        <v>366678</v>
      </c>
      <c r="E1673">
        <v>339268</v>
      </c>
      <c r="F1673">
        <v>12.4</v>
      </c>
      <c r="G1673">
        <v>8</v>
      </c>
      <c r="H1673">
        <v>1.5</v>
      </c>
      <c r="I1673">
        <v>1.5</v>
      </c>
    </row>
    <row r="1674" spans="1:9" ht="24" customHeight="1">
      <c r="A1674" s="6" t="s">
        <v>3160</v>
      </c>
      <c r="B1674">
        <v>55237</v>
      </c>
      <c r="C1674">
        <v>28310</v>
      </c>
      <c r="D1674">
        <v>497519</v>
      </c>
      <c r="E1674">
        <v>376049</v>
      </c>
      <c r="F1674">
        <v>9.6</v>
      </c>
      <c r="G1674">
        <v>5.8</v>
      </c>
      <c r="H1674">
        <v>12.1</v>
      </c>
      <c r="I1674">
        <v>12</v>
      </c>
    </row>
    <row r="1675" spans="1:9" ht="24" customHeight="1">
      <c r="A1675" s="6" t="s">
        <v>3161</v>
      </c>
      <c r="B1675">
        <v>61488</v>
      </c>
      <c r="C1675">
        <v>21482</v>
      </c>
      <c r="D1675">
        <v>547195</v>
      </c>
      <c r="E1675">
        <v>403998</v>
      </c>
      <c r="F1675">
        <v>8.6</v>
      </c>
      <c r="G1675">
        <v>5.0999999999999996</v>
      </c>
      <c r="H1675">
        <v>16.899999999999999</v>
      </c>
      <c r="I1675">
        <v>16.899999999999999</v>
      </c>
    </row>
    <row r="1676" spans="1:9" ht="24" customHeight="1">
      <c r="A1676" s="6" t="s">
        <v>3162</v>
      </c>
      <c r="B1676">
        <v>42907</v>
      </c>
      <c r="C1676">
        <v>15051</v>
      </c>
      <c r="D1676">
        <v>566791</v>
      </c>
      <c r="E1676">
        <v>414348</v>
      </c>
      <c r="F1676">
        <v>6.9</v>
      </c>
      <c r="G1676">
        <v>4.4000000000000004</v>
      </c>
      <c r="H1676">
        <v>21.9</v>
      </c>
      <c r="I1676">
        <v>21.5</v>
      </c>
    </row>
    <row r="1677" spans="1:9" ht="24" customHeight="1">
      <c r="A1677" s="6" t="s">
        <v>3163</v>
      </c>
      <c r="B1677">
        <v>44816</v>
      </c>
      <c r="C1677">
        <v>10990</v>
      </c>
      <c r="D1677">
        <v>601395</v>
      </c>
      <c r="E1677">
        <v>446416</v>
      </c>
      <c r="F1677">
        <v>6.6</v>
      </c>
      <c r="G1677">
        <v>11.2</v>
      </c>
      <c r="H1677">
        <v>26.8</v>
      </c>
      <c r="I1677">
        <v>26.9</v>
      </c>
    </row>
    <row r="1678" spans="1:9" ht="24" customHeight="1">
      <c r="A1678" s="6" t="s">
        <v>3164</v>
      </c>
      <c r="B1678">
        <v>42843</v>
      </c>
      <c r="C1678">
        <v>28713</v>
      </c>
      <c r="D1678">
        <v>417460</v>
      </c>
      <c r="E1678">
        <v>339577</v>
      </c>
      <c r="F1678">
        <v>11.5</v>
      </c>
      <c r="G1678">
        <v>7.8</v>
      </c>
      <c r="H1678">
        <v>3.5</v>
      </c>
      <c r="I1678">
        <v>3.5</v>
      </c>
    </row>
    <row r="1679" spans="1:9" ht="24" customHeight="1">
      <c r="A1679" s="6" t="s">
        <v>3165</v>
      </c>
      <c r="B1679">
        <v>61117</v>
      </c>
      <c r="C1679">
        <v>12966</v>
      </c>
      <c r="D1679">
        <v>604488</v>
      </c>
      <c r="E1679">
        <v>449206</v>
      </c>
      <c r="F1679">
        <v>5.9</v>
      </c>
      <c r="G1679">
        <v>7.2</v>
      </c>
      <c r="H1679">
        <v>33.9</v>
      </c>
      <c r="I1679">
        <v>33.799999999999997</v>
      </c>
    </row>
    <row r="1680" spans="1:9" ht="24" customHeight="1">
      <c r="A1680" s="6" t="s">
        <v>3166</v>
      </c>
      <c r="B1680">
        <v>84010</v>
      </c>
      <c r="C1680">
        <v>48977</v>
      </c>
      <c r="D1680">
        <v>438631</v>
      </c>
      <c r="E1680">
        <v>349998</v>
      </c>
      <c r="F1680">
        <v>12.8</v>
      </c>
      <c r="G1680">
        <v>6.3</v>
      </c>
      <c r="H1680">
        <v>6.9</v>
      </c>
      <c r="I1680">
        <v>6.8</v>
      </c>
    </row>
    <row r="1681" spans="1:9" ht="24" customHeight="1">
      <c r="A1681" s="6" t="s">
        <v>3167</v>
      </c>
      <c r="B1681">
        <v>619446</v>
      </c>
      <c r="C1681">
        <v>270839</v>
      </c>
      <c r="D1681">
        <v>532824</v>
      </c>
      <c r="E1681">
        <v>365655</v>
      </c>
      <c r="F1681">
        <v>12.7</v>
      </c>
      <c r="G1681">
        <v>8.1</v>
      </c>
      <c r="H1681">
        <v>14.6</v>
      </c>
      <c r="I1681">
        <v>9.6</v>
      </c>
    </row>
    <row r="1682" spans="1:9" ht="24" customHeight="1">
      <c r="A1682" s="6" t="s">
        <v>3168</v>
      </c>
      <c r="B1682">
        <v>35235</v>
      </c>
      <c r="C1682">
        <v>27776</v>
      </c>
      <c r="D1682">
        <v>330510</v>
      </c>
      <c r="E1682">
        <v>255080</v>
      </c>
      <c r="F1682">
        <v>5.8</v>
      </c>
      <c r="G1682">
        <v>4</v>
      </c>
      <c r="H1682">
        <v>0</v>
      </c>
      <c r="I1682">
        <v>0</v>
      </c>
    </row>
    <row r="1683" spans="1:9" ht="24" customHeight="1">
      <c r="A1683" s="6" t="s">
        <v>3169</v>
      </c>
      <c r="B1683">
        <v>53845</v>
      </c>
      <c r="C1683">
        <v>49146</v>
      </c>
      <c r="D1683">
        <v>365679</v>
      </c>
      <c r="E1683">
        <v>321090</v>
      </c>
      <c r="F1683">
        <v>14.7</v>
      </c>
      <c r="G1683">
        <v>7.6</v>
      </c>
      <c r="H1683">
        <v>1.4</v>
      </c>
      <c r="I1683">
        <v>1.4</v>
      </c>
    </row>
    <row r="1684" spans="1:9" ht="24" customHeight="1">
      <c r="A1684" s="6" t="s">
        <v>3170</v>
      </c>
      <c r="B1684">
        <v>76635</v>
      </c>
      <c r="C1684">
        <v>30819</v>
      </c>
      <c r="D1684">
        <v>544605</v>
      </c>
      <c r="E1684">
        <v>371961</v>
      </c>
      <c r="F1684">
        <v>14.8</v>
      </c>
      <c r="G1684">
        <v>7</v>
      </c>
      <c r="H1684">
        <v>12.1</v>
      </c>
      <c r="I1684">
        <v>11.9</v>
      </c>
    </row>
    <row r="1685" spans="1:9" ht="24" customHeight="1">
      <c r="A1685" s="6" t="s">
        <v>3171</v>
      </c>
      <c r="B1685">
        <v>94640</v>
      </c>
      <c r="C1685">
        <v>31069</v>
      </c>
      <c r="D1685">
        <v>594000</v>
      </c>
      <c r="E1685">
        <v>436353</v>
      </c>
      <c r="F1685">
        <v>12.9</v>
      </c>
      <c r="G1685">
        <v>5.6</v>
      </c>
      <c r="H1685">
        <v>16.8</v>
      </c>
      <c r="I1685">
        <v>16.600000000000001</v>
      </c>
    </row>
    <row r="1686" spans="1:9" ht="24" customHeight="1">
      <c r="A1686" s="6" t="s">
        <v>3172</v>
      </c>
      <c r="B1686">
        <v>54087</v>
      </c>
      <c r="C1686">
        <v>14173</v>
      </c>
      <c r="D1686">
        <v>618660</v>
      </c>
      <c r="E1686">
        <v>414588</v>
      </c>
      <c r="F1686">
        <v>13.7</v>
      </c>
      <c r="G1686">
        <v>9.1999999999999993</v>
      </c>
      <c r="H1686">
        <v>21.8</v>
      </c>
      <c r="I1686">
        <v>21.7</v>
      </c>
    </row>
    <row r="1687" spans="1:9" ht="24" customHeight="1">
      <c r="A1687" s="6" t="s">
        <v>3173</v>
      </c>
      <c r="B1687">
        <v>63760</v>
      </c>
      <c r="C1687">
        <v>14376</v>
      </c>
      <c r="D1687">
        <v>649561</v>
      </c>
      <c r="E1687">
        <v>441905</v>
      </c>
      <c r="F1687">
        <v>10.199999999999999</v>
      </c>
      <c r="G1687">
        <v>7.9</v>
      </c>
      <c r="H1687">
        <v>27</v>
      </c>
      <c r="I1687">
        <v>26.9</v>
      </c>
    </row>
    <row r="1688" spans="1:9" ht="24" customHeight="1">
      <c r="A1688" s="6" t="s">
        <v>3174</v>
      </c>
      <c r="B1688">
        <v>64796</v>
      </c>
      <c r="C1688">
        <v>37911</v>
      </c>
      <c r="D1688">
        <v>446853</v>
      </c>
      <c r="E1688">
        <v>337109</v>
      </c>
      <c r="F1688">
        <v>14.8</v>
      </c>
      <c r="G1688">
        <v>9.3000000000000007</v>
      </c>
      <c r="H1688">
        <v>3.5</v>
      </c>
      <c r="I1688">
        <v>3.5</v>
      </c>
    </row>
    <row r="1689" spans="1:9" ht="24" customHeight="1">
      <c r="A1689" s="6" t="s">
        <v>3175</v>
      </c>
      <c r="B1689">
        <v>78168</v>
      </c>
      <c r="C1689">
        <v>15629</v>
      </c>
      <c r="D1689">
        <v>631345</v>
      </c>
      <c r="E1689">
        <v>493811</v>
      </c>
      <c r="F1689">
        <v>8.4</v>
      </c>
      <c r="G1689">
        <v>9.3000000000000007</v>
      </c>
      <c r="H1689">
        <v>33.799999999999997</v>
      </c>
      <c r="I1689">
        <v>33.4</v>
      </c>
    </row>
    <row r="1690" spans="1:9" ht="24" customHeight="1">
      <c r="A1690" s="6" t="s">
        <v>3176</v>
      </c>
      <c r="B1690">
        <v>98649</v>
      </c>
      <c r="C1690">
        <v>60059</v>
      </c>
      <c r="D1690">
        <v>483731</v>
      </c>
      <c r="E1690">
        <v>354998</v>
      </c>
      <c r="F1690">
        <v>15.3</v>
      </c>
      <c r="G1690">
        <v>9.6</v>
      </c>
      <c r="H1690">
        <v>7</v>
      </c>
      <c r="I1690">
        <v>6.9</v>
      </c>
    </row>
    <row r="1691" spans="1:9" ht="24" customHeight="1">
      <c r="A1691" s="6" t="s">
        <v>612</v>
      </c>
      <c r="B1691">
        <v>284464</v>
      </c>
      <c r="C1691">
        <v>398676</v>
      </c>
      <c r="D1691">
        <v>787009</v>
      </c>
      <c r="E1691">
        <v>422362</v>
      </c>
      <c r="F1691">
        <v>15.2</v>
      </c>
      <c r="G1691">
        <v>9.6999999999999993</v>
      </c>
      <c r="H1691">
        <v>16.2</v>
      </c>
      <c r="I1691">
        <v>12.6</v>
      </c>
    </row>
    <row r="1692" spans="1:9" ht="24" customHeight="1">
      <c r="A1692" s="6" t="s">
        <v>613</v>
      </c>
      <c r="B1692">
        <v>14003</v>
      </c>
      <c r="C1692">
        <v>29959</v>
      </c>
      <c r="D1692">
        <v>362626</v>
      </c>
      <c r="E1692">
        <v>230392</v>
      </c>
      <c r="F1692">
        <v>8.1999999999999993</v>
      </c>
      <c r="G1692">
        <v>2.2999999999999998</v>
      </c>
      <c r="H1692">
        <v>0</v>
      </c>
      <c r="I1692">
        <v>0</v>
      </c>
    </row>
    <row r="1693" spans="1:9" ht="24" customHeight="1">
      <c r="A1693" s="6" t="s">
        <v>3177</v>
      </c>
      <c r="B1693">
        <v>22370</v>
      </c>
      <c r="C1693">
        <v>50034</v>
      </c>
      <c r="D1693">
        <v>477841</v>
      </c>
      <c r="E1693">
        <v>289859</v>
      </c>
      <c r="F1693">
        <v>23</v>
      </c>
      <c r="G1693">
        <v>7.3</v>
      </c>
      <c r="H1693">
        <v>1.5</v>
      </c>
      <c r="I1693">
        <v>1.5</v>
      </c>
    </row>
    <row r="1694" spans="1:9" ht="24" customHeight="1">
      <c r="A1694" s="6" t="s">
        <v>3178</v>
      </c>
      <c r="B1694">
        <v>35145</v>
      </c>
      <c r="C1694">
        <v>68278</v>
      </c>
      <c r="D1694">
        <v>816899</v>
      </c>
      <c r="E1694">
        <v>417324</v>
      </c>
      <c r="F1694">
        <v>21.2</v>
      </c>
      <c r="G1694">
        <v>8.9</v>
      </c>
      <c r="H1694">
        <v>12.3</v>
      </c>
      <c r="I1694">
        <v>12.3</v>
      </c>
    </row>
    <row r="1695" spans="1:9" ht="24" customHeight="1">
      <c r="A1695" s="6" t="s">
        <v>3179</v>
      </c>
      <c r="B1695">
        <v>44333</v>
      </c>
      <c r="C1695">
        <v>61826</v>
      </c>
      <c r="D1695">
        <v>938086</v>
      </c>
      <c r="E1695">
        <v>478500</v>
      </c>
      <c r="F1695">
        <v>13.7</v>
      </c>
      <c r="G1695">
        <v>9.3000000000000007</v>
      </c>
      <c r="H1695">
        <v>16.7</v>
      </c>
      <c r="I1695">
        <v>16.600000000000001</v>
      </c>
    </row>
    <row r="1696" spans="1:9" ht="24" customHeight="1">
      <c r="A1696" s="6" t="s">
        <v>3180</v>
      </c>
      <c r="B1696">
        <v>27760</v>
      </c>
      <c r="C1696">
        <v>29559</v>
      </c>
      <c r="D1696">
        <v>958767</v>
      </c>
      <c r="E1696">
        <v>530079</v>
      </c>
      <c r="F1696">
        <v>8.3000000000000007</v>
      </c>
      <c r="G1696">
        <v>8.9</v>
      </c>
      <c r="H1696">
        <v>22</v>
      </c>
      <c r="I1696">
        <v>21.9</v>
      </c>
    </row>
    <row r="1697" spans="1:9" ht="24" customHeight="1">
      <c r="A1697" s="6" t="s">
        <v>3181</v>
      </c>
      <c r="B1697">
        <v>28404</v>
      </c>
      <c r="C1697">
        <v>24216</v>
      </c>
      <c r="D1697">
        <v>997905</v>
      </c>
      <c r="E1697">
        <v>595285</v>
      </c>
      <c r="F1697">
        <v>6.6</v>
      </c>
      <c r="G1697">
        <v>10</v>
      </c>
      <c r="H1697">
        <v>27.1</v>
      </c>
      <c r="I1697">
        <v>26.8</v>
      </c>
    </row>
    <row r="1698" spans="1:9" ht="24" customHeight="1">
      <c r="A1698" s="6" t="s">
        <v>3182</v>
      </c>
      <c r="B1698">
        <v>19836</v>
      </c>
      <c r="C1698">
        <v>39322</v>
      </c>
      <c r="D1698">
        <v>557351</v>
      </c>
      <c r="E1698">
        <v>313294</v>
      </c>
      <c r="F1698">
        <v>27.1</v>
      </c>
      <c r="G1698">
        <v>8.1</v>
      </c>
      <c r="H1698">
        <v>3.5</v>
      </c>
      <c r="I1698">
        <v>3.5</v>
      </c>
    </row>
    <row r="1699" spans="1:9" ht="24" customHeight="1">
      <c r="A1699" s="6" t="s">
        <v>614</v>
      </c>
      <c r="B1699">
        <v>50069</v>
      </c>
      <c r="C1699">
        <v>47540</v>
      </c>
      <c r="D1699">
        <v>865738</v>
      </c>
      <c r="E1699">
        <v>520987</v>
      </c>
      <c r="F1699">
        <v>8.5</v>
      </c>
      <c r="G1699">
        <v>10.6</v>
      </c>
      <c r="H1699">
        <v>33.299999999999997</v>
      </c>
      <c r="I1699">
        <v>34.299999999999997</v>
      </c>
    </row>
    <row r="1700" spans="1:9" ht="24" customHeight="1">
      <c r="A1700" s="6" t="s">
        <v>3183</v>
      </c>
      <c r="B1700">
        <v>42934</v>
      </c>
      <c r="C1700">
        <v>83978</v>
      </c>
      <c r="D1700">
        <v>666651</v>
      </c>
      <c r="E1700">
        <v>378724</v>
      </c>
      <c r="F1700">
        <v>22.4</v>
      </c>
      <c r="G1700">
        <v>12.1</v>
      </c>
      <c r="H1700">
        <v>6.7</v>
      </c>
      <c r="I1700">
        <v>6.8</v>
      </c>
    </row>
    <row r="1701" spans="1:9" ht="24" customHeight="1">
      <c r="A1701" s="6" t="s">
        <v>3184</v>
      </c>
      <c r="B1701">
        <v>37453</v>
      </c>
      <c r="C1701">
        <v>27760</v>
      </c>
      <c r="D1701">
        <v>679315</v>
      </c>
      <c r="E1701">
        <v>452134</v>
      </c>
      <c r="F1701">
        <v>5.9</v>
      </c>
      <c r="G1701">
        <v>5.2</v>
      </c>
      <c r="H1701">
        <v>12.1</v>
      </c>
      <c r="I1701">
        <v>10.8</v>
      </c>
    </row>
    <row r="1702" spans="1:9" ht="24" customHeight="1">
      <c r="A1702" s="6" t="s">
        <v>3185</v>
      </c>
      <c r="B1702">
        <v>2989</v>
      </c>
      <c r="C1702">
        <v>2503</v>
      </c>
      <c r="D1702">
        <v>479747</v>
      </c>
      <c r="E1702">
        <v>377696</v>
      </c>
      <c r="F1702">
        <v>5.5</v>
      </c>
      <c r="G1702">
        <v>4.3</v>
      </c>
      <c r="H1702">
        <v>0</v>
      </c>
      <c r="I1702">
        <v>0</v>
      </c>
    </row>
    <row r="1703" spans="1:9" ht="24" customHeight="1">
      <c r="A1703" s="6" t="s">
        <v>3186</v>
      </c>
      <c r="B1703">
        <v>5240</v>
      </c>
      <c r="C1703">
        <v>4142</v>
      </c>
      <c r="D1703">
        <v>585545</v>
      </c>
      <c r="E1703">
        <v>384541</v>
      </c>
      <c r="F1703">
        <v>6.7</v>
      </c>
      <c r="G1703">
        <v>4.3</v>
      </c>
      <c r="H1703">
        <v>1.5</v>
      </c>
      <c r="I1703">
        <v>1.4</v>
      </c>
    </row>
    <row r="1704" spans="1:9" ht="24" customHeight="1">
      <c r="A1704" s="6" t="s">
        <v>3187</v>
      </c>
      <c r="B1704">
        <v>5240</v>
      </c>
      <c r="C1704">
        <v>4482</v>
      </c>
      <c r="D1704">
        <v>647813</v>
      </c>
      <c r="E1704">
        <v>441649</v>
      </c>
      <c r="F1704">
        <v>6.1</v>
      </c>
      <c r="G1704">
        <v>4</v>
      </c>
      <c r="H1704">
        <v>12.1</v>
      </c>
      <c r="I1704">
        <v>12.2</v>
      </c>
    </row>
    <row r="1705" spans="1:9" ht="24" customHeight="1">
      <c r="A1705" s="6" t="s">
        <v>3188</v>
      </c>
      <c r="B1705">
        <v>3809</v>
      </c>
      <c r="C1705">
        <v>2991</v>
      </c>
      <c r="D1705">
        <v>795656</v>
      </c>
      <c r="E1705">
        <v>516193</v>
      </c>
      <c r="F1705">
        <v>5.9</v>
      </c>
      <c r="G1705">
        <v>5.0999999999999996</v>
      </c>
      <c r="H1705">
        <v>16.8</v>
      </c>
      <c r="I1705">
        <v>16.600000000000001</v>
      </c>
    </row>
    <row r="1706" spans="1:9" ht="24" customHeight="1">
      <c r="A1706" s="6" t="s">
        <v>3189</v>
      </c>
      <c r="B1706">
        <v>3022</v>
      </c>
      <c r="C1706">
        <v>2151</v>
      </c>
      <c r="D1706">
        <v>780742</v>
      </c>
      <c r="E1706">
        <v>492298</v>
      </c>
      <c r="F1706">
        <v>4.3</v>
      </c>
      <c r="G1706">
        <v>4.4000000000000004</v>
      </c>
      <c r="H1706">
        <v>21.9</v>
      </c>
      <c r="I1706">
        <v>21.9</v>
      </c>
    </row>
    <row r="1707" spans="1:9" ht="24" customHeight="1">
      <c r="A1707" s="6" t="s">
        <v>3190</v>
      </c>
      <c r="B1707">
        <v>2568</v>
      </c>
      <c r="C1707">
        <v>1486</v>
      </c>
      <c r="D1707">
        <v>706887</v>
      </c>
      <c r="E1707">
        <v>531536</v>
      </c>
      <c r="F1707">
        <v>3.9</v>
      </c>
      <c r="G1707">
        <v>5</v>
      </c>
      <c r="H1707">
        <v>27.3</v>
      </c>
      <c r="I1707">
        <v>26.3</v>
      </c>
    </row>
    <row r="1708" spans="1:9" ht="24" customHeight="1">
      <c r="A1708" s="6" t="s">
        <v>3191</v>
      </c>
      <c r="B1708">
        <v>4261</v>
      </c>
      <c r="C1708">
        <v>3959</v>
      </c>
      <c r="D1708">
        <v>719161</v>
      </c>
      <c r="E1708">
        <v>407079</v>
      </c>
      <c r="F1708">
        <v>7.7</v>
      </c>
      <c r="G1708">
        <v>5.7</v>
      </c>
      <c r="H1708">
        <v>3.5</v>
      </c>
      <c r="I1708">
        <v>3.5</v>
      </c>
    </row>
    <row r="1709" spans="1:9" ht="24" customHeight="1">
      <c r="A1709" s="6" t="s">
        <v>3192</v>
      </c>
      <c r="B1709">
        <v>3569</v>
      </c>
      <c r="C1709">
        <v>2138</v>
      </c>
      <c r="D1709">
        <v>668613</v>
      </c>
      <c r="E1709">
        <v>521695</v>
      </c>
      <c r="F1709">
        <v>1.8</v>
      </c>
      <c r="G1709">
        <v>3.9</v>
      </c>
      <c r="H1709">
        <v>33.9</v>
      </c>
      <c r="I1709">
        <v>33</v>
      </c>
    </row>
    <row r="1710" spans="1:9" ht="24" customHeight="1">
      <c r="A1710" s="6" t="s">
        <v>3193</v>
      </c>
      <c r="B1710">
        <v>6897</v>
      </c>
      <c r="C1710">
        <v>5905</v>
      </c>
      <c r="D1710">
        <v>713567</v>
      </c>
      <c r="E1710">
        <v>417648</v>
      </c>
      <c r="F1710">
        <v>7.4</v>
      </c>
      <c r="G1710">
        <v>6.6</v>
      </c>
      <c r="H1710">
        <v>6.8</v>
      </c>
      <c r="I1710">
        <v>6.7</v>
      </c>
    </row>
    <row r="1711" spans="1:9" ht="24" customHeight="1">
      <c r="A1711" s="6" t="s">
        <v>3194</v>
      </c>
      <c r="B1711">
        <v>38389</v>
      </c>
      <c r="C1711">
        <v>25733</v>
      </c>
      <c r="D1711">
        <v>589944</v>
      </c>
      <c r="E1711">
        <v>416487</v>
      </c>
      <c r="F1711">
        <v>7.2</v>
      </c>
      <c r="G1711">
        <v>7.4</v>
      </c>
      <c r="H1711">
        <v>14.4</v>
      </c>
      <c r="I1711">
        <v>11</v>
      </c>
    </row>
    <row r="1712" spans="1:9" ht="24" customHeight="1">
      <c r="A1712" s="6" t="s">
        <v>3195</v>
      </c>
      <c r="B1712">
        <v>2010</v>
      </c>
      <c r="C1712">
        <v>2336</v>
      </c>
      <c r="D1712">
        <v>417022</v>
      </c>
      <c r="E1712">
        <v>253451</v>
      </c>
      <c r="F1712">
        <v>4.5</v>
      </c>
      <c r="G1712">
        <v>5.0999999999999996</v>
      </c>
      <c r="H1712">
        <v>0</v>
      </c>
      <c r="I1712">
        <v>0</v>
      </c>
    </row>
    <row r="1713" spans="1:9" ht="24" customHeight="1">
      <c r="A1713" s="6" t="s">
        <v>3196</v>
      </c>
      <c r="B1713">
        <v>4515</v>
      </c>
      <c r="C1713">
        <v>3358</v>
      </c>
      <c r="D1713">
        <v>507215</v>
      </c>
      <c r="E1713">
        <v>323391</v>
      </c>
      <c r="F1713">
        <v>8.8000000000000007</v>
      </c>
      <c r="G1713">
        <v>8.4</v>
      </c>
      <c r="H1713">
        <v>1.4</v>
      </c>
      <c r="I1713">
        <v>1.5</v>
      </c>
    </row>
    <row r="1714" spans="1:9" ht="24" customHeight="1">
      <c r="A1714" s="6" t="s">
        <v>3197</v>
      </c>
      <c r="B1714">
        <v>5191</v>
      </c>
      <c r="C1714">
        <v>3477</v>
      </c>
      <c r="D1714">
        <v>607077</v>
      </c>
      <c r="E1714">
        <v>405637</v>
      </c>
      <c r="F1714">
        <v>7.8</v>
      </c>
      <c r="G1714">
        <v>6.7</v>
      </c>
      <c r="H1714">
        <v>11.8</v>
      </c>
      <c r="I1714">
        <v>12.2</v>
      </c>
    </row>
    <row r="1715" spans="1:9" ht="24" customHeight="1">
      <c r="A1715" s="6" t="s">
        <v>3198</v>
      </c>
      <c r="B1715">
        <v>3868</v>
      </c>
      <c r="C1715">
        <v>3076</v>
      </c>
      <c r="D1715">
        <v>617882</v>
      </c>
      <c r="E1715">
        <v>430016</v>
      </c>
      <c r="F1715">
        <v>8.4</v>
      </c>
      <c r="G1715">
        <v>7.6</v>
      </c>
      <c r="H1715">
        <v>16.600000000000001</v>
      </c>
      <c r="I1715">
        <v>16.600000000000001</v>
      </c>
    </row>
    <row r="1716" spans="1:9" ht="24" customHeight="1">
      <c r="A1716" s="6" t="s">
        <v>3199</v>
      </c>
      <c r="B1716">
        <v>3649</v>
      </c>
      <c r="C1716">
        <v>1879</v>
      </c>
      <c r="D1716">
        <v>673462</v>
      </c>
      <c r="E1716">
        <v>512987</v>
      </c>
      <c r="F1716">
        <v>4.5</v>
      </c>
      <c r="G1716">
        <v>5.9</v>
      </c>
      <c r="H1716">
        <v>21.8</v>
      </c>
      <c r="I1716">
        <v>21.6</v>
      </c>
    </row>
    <row r="1717" spans="1:9" ht="24" customHeight="1">
      <c r="A1717" s="6" t="s">
        <v>3200</v>
      </c>
      <c r="B1717">
        <v>2777</v>
      </c>
      <c r="C1717">
        <v>1215</v>
      </c>
      <c r="D1717">
        <v>651691</v>
      </c>
      <c r="E1717">
        <v>507203</v>
      </c>
      <c r="F1717">
        <v>2.5</v>
      </c>
      <c r="G1717">
        <v>3.7</v>
      </c>
      <c r="H1717">
        <v>27.2</v>
      </c>
      <c r="I1717">
        <v>26.9</v>
      </c>
    </row>
    <row r="1718" spans="1:9" ht="24" customHeight="1">
      <c r="A1718" s="6" t="s">
        <v>3201</v>
      </c>
      <c r="B1718">
        <v>3936</v>
      </c>
      <c r="C1718">
        <v>3156</v>
      </c>
      <c r="D1718">
        <v>597721</v>
      </c>
      <c r="E1718">
        <v>398961</v>
      </c>
      <c r="F1718">
        <v>11.2</v>
      </c>
      <c r="G1718">
        <v>8.5</v>
      </c>
      <c r="H1718">
        <v>3.4</v>
      </c>
      <c r="I1718">
        <v>3.5</v>
      </c>
    </row>
    <row r="1719" spans="1:9" ht="24" customHeight="1">
      <c r="A1719" s="6" t="s">
        <v>3202</v>
      </c>
      <c r="B1719">
        <v>6202</v>
      </c>
      <c r="C1719">
        <v>2293</v>
      </c>
      <c r="D1719">
        <v>668923</v>
      </c>
      <c r="E1719">
        <v>525563</v>
      </c>
      <c r="F1719">
        <v>2.2999999999999998</v>
      </c>
      <c r="G1719">
        <v>5.6</v>
      </c>
      <c r="H1719">
        <v>33.9</v>
      </c>
      <c r="I1719">
        <v>34.1</v>
      </c>
    </row>
    <row r="1720" spans="1:9" ht="24" customHeight="1">
      <c r="A1720" s="6" t="s">
        <v>3203</v>
      </c>
      <c r="B1720">
        <v>6297</v>
      </c>
      <c r="C1720">
        <v>6320</v>
      </c>
      <c r="D1720">
        <v>511878</v>
      </c>
      <c r="E1720">
        <v>419696</v>
      </c>
      <c r="F1720">
        <v>11.4</v>
      </c>
      <c r="G1720">
        <v>8.1999999999999993</v>
      </c>
      <c r="H1720">
        <v>6.8</v>
      </c>
      <c r="I1720">
        <v>6.8</v>
      </c>
    </row>
    <row r="1721" spans="1:9" ht="24" customHeight="1">
      <c r="A1721" s="6" t="s">
        <v>3204</v>
      </c>
      <c r="B1721">
        <v>68244</v>
      </c>
      <c r="C1721">
        <v>54826</v>
      </c>
      <c r="D1721">
        <v>627607</v>
      </c>
      <c r="E1721">
        <v>431692</v>
      </c>
      <c r="F1721">
        <v>10.6</v>
      </c>
      <c r="G1721">
        <v>9.6</v>
      </c>
      <c r="H1721">
        <v>15.3</v>
      </c>
      <c r="I1721">
        <v>10.199999999999999</v>
      </c>
    </row>
    <row r="1722" spans="1:9" ht="24" customHeight="1">
      <c r="A1722" s="6" t="s">
        <v>3205</v>
      </c>
      <c r="B1722">
        <v>4126</v>
      </c>
      <c r="C1722">
        <v>5619</v>
      </c>
      <c r="D1722">
        <v>363109</v>
      </c>
      <c r="E1722">
        <v>279016</v>
      </c>
      <c r="F1722">
        <v>5.9</v>
      </c>
      <c r="G1722">
        <v>5.8</v>
      </c>
      <c r="H1722">
        <v>0</v>
      </c>
      <c r="I1722">
        <v>0</v>
      </c>
    </row>
    <row r="1723" spans="1:9" ht="24" customHeight="1">
      <c r="A1723" s="6" t="s">
        <v>3206</v>
      </c>
      <c r="B1723">
        <v>6694</v>
      </c>
      <c r="C1723">
        <v>9097</v>
      </c>
      <c r="D1723">
        <v>445771</v>
      </c>
      <c r="E1723">
        <v>350745</v>
      </c>
      <c r="F1723">
        <v>14.6</v>
      </c>
      <c r="G1723">
        <v>9.6999999999999993</v>
      </c>
      <c r="H1723">
        <v>1.5</v>
      </c>
      <c r="I1723">
        <v>1.5</v>
      </c>
    </row>
    <row r="1724" spans="1:9" ht="24" customHeight="1">
      <c r="A1724" s="6" t="s">
        <v>3207</v>
      </c>
      <c r="B1724">
        <v>8098</v>
      </c>
      <c r="C1724">
        <v>7219</v>
      </c>
      <c r="D1724">
        <v>676165</v>
      </c>
      <c r="E1724">
        <v>507060</v>
      </c>
      <c r="F1724">
        <v>13.5</v>
      </c>
      <c r="G1724">
        <v>8.6999999999999993</v>
      </c>
      <c r="H1724">
        <v>12.3</v>
      </c>
      <c r="I1724">
        <v>11.8</v>
      </c>
    </row>
    <row r="1725" spans="1:9" ht="24" customHeight="1">
      <c r="A1725" s="6" t="s">
        <v>3208</v>
      </c>
      <c r="B1725">
        <v>8217</v>
      </c>
      <c r="C1725">
        <v>5283</v>
      </c>
      <c r="D1725">
        <v>730175</v>
      </c>
      <c r="E1725">
        <v>479472</v>
      </c>
      <c r="F1725">
        <v>11.5</v>
      </c>
      <c r="G1725">
        <v>9.9</v>
      </c>
      <c r="H1725">
        <v>16.7</v>
      </c>
      <c r="I1725">
        <v>16.7</v>
      </c>
    </row>
    <row r="1726" spans="1:9" ht="24" customHeight="1">
      <c r="A1726" s="6" t="s">
        <v>3209</v>
      </c>
      <c r="B1726">
        <v>5739</v>
      </c>
      <c r="C1726">
        <v>2935</v>
      </c>
      <c r="D1726">
        <v>771930</v>
      </c>
      <c r="E1726">
        <v>478032</v>
      </c>
      <c r="F1726">
        <v>6.6</v>
      </c>
      <c r="G1726">
        <v>9.9</v>
      </c>
      <c r="H1726">
        <v>22</v>
      </c>
      <c r="I1726">
        <v>21.7</v>
      </c>
    </row>
    <row r="1727" spans="1:9" ht="24" customHeight="1">
      <c r="A1727" s="6" t="s">
        <v>3210</v>
      </c>
      <c r="B1727">
        <v>6573</v>
      </c>
      <c r="C1727">
        <v>2292</v>
      </c>
      <c r="D1727">
        <v>718889</v>
      </c>
      <c r="E1727">
        <v>506699</v>
      </c>
      <c r="F1727">
        <v>3.8</v>
      </c>
      <c r="G1727">
        <v>8.6</v>
      </c>
      <c r="H1727">
        <v>27.1</v>
      </c>
      <c r="I1727">
        <v>27</v>
      </c>
    </row>
    <row r="1728" spans="1:9" ht="24" customHeight="1">
      <c r="A1728" s="6" t="s">
        <v>3211</v>
      </c>
      <c r="B1728">
        <v>6276</v>
      </c>
      <c r="C1728">
        <v>7849</v>
      </c>
      <c r="D1728">
        <v>570626</v>
      </c>
      <c r="E1728">
        <v>394989</v>
      </c>
      <c r="F1728">
        <v>17.7</v>
      </c>
      <c r="G1728">
        <v>11.2</v>
      </c>
      <c r="H1728">
        <v>3.5</v>
      </c>
      <c r="I1728">
        <v>3.4</v>
      </c>
    </row>
    <row r="1729" spans="1:9" ht="24" customHeight="1">
      <c r="A1729" s="6" t="s">
        <v>3212</v>
      </c>
      <c r="B1729">
        <v>11352</v>
      </c>
      <c r="C1729">
        <v>4736</v>
      </c>
      <c r="D1729">
        <v>668134</v>
      </c>
      <c r="E1729">
        <v>549691</v>
      </c>
      <c r="F1729">
        <v>5</v>
      </c>
      <c r="G1729">
        <v>5.7</v>
      </c>
      <c r="H1729">
        <v>35</v>
      </c>
      <c r="I1729">
        <v>34</v>
      </c>
    </row>
    <row r="1730" spans="1:9" ht="24" customHeight="1">
      <c r="A1730" s="6" t="s">
        <v>3213</v>
      </c>
      <c r="B1730">
        <v>11339</v>
      </c>
      <c r="C1730">
        <v>11754</v>
      </c>
      <c r="D1730">
        <v>582433</v>
      </c>
      <c r="E1730">
        <v>422963</v>
      </c>
      <c r="F1730">
        <v>14.5</v>
      </c>
      <c r="G1730">
        <v>11.2</v>
      </c>
      <c r="H1730">
        <v>6.8</v>
      </c>
      <c r="I1730">
        <v>6.8</v>
      </c>
    </row>
    <row r="1731" spans="1:9" ht="24" customHeight="1">
      <c r="A1731" s="6" t="s">
        <v>615</v>
      </c>
      <c r="B1731">
        <v>96679</v>
      </c>
      <c r="C1731">
        <v>50932</v>
      </c>
      <c r="D1731">
        <v>640924</v>
      </c>
      <c r="E1731">
        <v>457682</v>
      </c>
      <c r="F1731">
        <v>14.5</v>
      </c>
      <c r="G1731">
        <v>11.3</v>
      </c>
      <c r="H1731">
        <v>12.3</v>
      </c>
      <c r="I1731">
        <v>9.6</v>
      </c>
    </row>
    <row r="1732" spans="1:9" ht="24" customHeight="1">
      <c r="A1732" s="6" t="s">
        <v>616</v>
      </c>
      <c r="B1732">
        <v>6847</v>
      </c>
      <c r="C1732">
        <v>5300</v>
      </c>
      <c r="D1732">
        <v>291256</v>
      </c>
      <c r="E1732">
        <v>261019</v>
      </c>
      <c r="F1732">
        <v>8</v>
      </c>
      <c r="G1732">
        <v>6.7</v>
      </c>
      <c r="H1732">
        <v>0</v>
      </c>
      <c r="I1732">
        <v>0</v>
      </c>
    </row>
    <row r="1733" spans="1:9" ht="24" customHeight="1">
      <c r="A1733" s="6" t="s">
        <v>3214</v>
      </c>
      <c r="B1733">
        <v>10937</v>
      </c>
      <c r="C1733">
        <v>7685</v>
      </c>
      <c r="D1733">
        <v>418055</v>
      </c>
      <c r="E1733">
        <v>340914</v>
      </c>
      <c r="F1733">
        <v>18.2</v>
      </c>
      <c r="G1733">
        <v>12.2</v>
      </c>
      <c r="H1733">
        <v>1.5</v>
      </c>
      <c r="I1733">
        <v>1.5</v>
      </c>
    </row>
    <row r="1734" spans="1:9" ht="24" customHeight="1">
      <c r="A1734" s="6" t="s">
        <v>3215</v>
      </c>
      <c r="B1734">
        <v>11142</v>
      </c>
      <c r="C1734">
        <v>4552</v>
      </c>
      <c r="D1734">
        <v>678342</v>
      </c>
      <c r="E1734">
        <v>414040</v>
      </c>
      <c r="F1734">
        <v>15.9</v>
      </c>
      <c r="G1734">
        <v>9.4</v>
      </c>
      <c r="H1734">
        <v>11.9</v>
      </c>
      <c r="I1734">
        <v>12</v>
      </c>
    </row>
    <row r="1735" spans="1:9" ht="24" customHeight="1">
      <c r="A1735" s="6" t="s">
        <v>3216</v>
      </c>
      <c r="B1735">
        <v>14226</v>
      </c>
      <c r="C1735">
        <v>6836</v>
      </c>
      <c r="D1735">
        <v>774030</v>
      </c>
      <c r="E1735">
        <v>504588</v>
      </c>
      <c r="F1735">
        <v>13.9</v>
      </c>
      <c r="G1735">
        <v>9.4</v>
      </c>
      <c r="H1735">
        <v>16.5</v>
      </c>
      <c r="I1735">
        <v>16.7</v>
      </c>
    </row>
    <row r="1736" spans="1:9" ht="24" customHeight="1">
      <c r="A1736" s="6" t="s">
        <v>3217</v>
      </c>
      <c r="B1736">
        <v>8336</v>
      </c>
      <c r="C1736">
        <v>3561</v>
      </c>
      <c r="D1736">
        <v>766790</v>
      </c>
      <c r="E1736">
        <v>661342</v>
      </c>
      <c r="F1736">
        <v>7.6</v>
      </c>
      <c r="G1736">
        <v>12.1</v>
      </c>
      <c r="H1736">
        <v>21.6</v>
      </c>
      <c r="I1736">
        <v>21.8</v>
      </c>
    </row>
    <row r="1737" spans="1:9" ht="24" customHeight="1">
      <c r="A1737" s="6" t="s">
        <v>3218</v>
      </c>
      <c r="B1737">
        <v>7323</v>
      </c>
      <c r="C1737">
        <v>2843</v>
      </c>
      <c r="D1737">
        <v>848382</v>
      </c>
      <c r="E1737">
        <v>725835</v>
      </c>
      <c r="F1737">
        <v>7.6</v>
      </c>
      <c r="G1737">
        <v>11.2</v>
      </c>
      <c r="H1737">
        <v>26.8</v>
      </c>
      <c r="I1737">
        <v>26.2</v>
      </c>
    </row>
    <row r="1738" spans="1:9" ht="24" customHeight="1">
      <c r="A1738" s="6" t="s">
        <v>3219</v>
      </c>
      <c r="B1738">
        <v>11610</v>
      </c>
      <c r="C1738">
        <v>7881</v>
      </c>
      <c r="D1738">
        <v>522926</v>
      </c>
      <c r="E1738">
        <v>376325</v>
      </c>
      <c r="F1738">
        <v>19.899999999999999</v>
      </c>
      <c r="G1738">
        <v>13.3</v>
      </c>
      <c r="H1738">
        <v>3.4</v>
      </c>
      <c r="I1738">
        <v>3.5</v>
      </c>
    </row>
    <row r="1739" spans="1:9" ht="24" customHeight="1">
      <c r="A1739" s="6" t="s">
        <v>617</v>
      </c>
      <c r="B1739">
        <v>7936</v>
      </c>
      <c r="C1739">
        <v>2159</v>
      </c>
      <c r="D1739">
        <v>974190</v>
      </c>
      <c r="E1739">
        <v>858874</v>
      </c>
      <c r="F1739">
        <v>6.7</v>
      </c>
      <c r="G1739">
        <v>8.3000000000000007</v>
      </c>
      <c r="H1739">
        <v>33.5</v>
      </c>
      <c r="I1739">
        <v>34</v>
      </c>
    </row>
    <row r="1740" spans="1:9" ht="24" customHeight="1">
      <c r="A1740" s="6" t="s">
        <v>3220</v>
      </c>
      <c r="B1740">
        <v>18500</v>
      </c>
      <c r="C1740">
        <v>12716</v>
      </c>
      <c r="D1740">
        <v>565129</v>
      </c>
      <c r="E1740">
        <v>431673</v>
      </c>
      <c r="F1740">
        <v>19.899999999999999</v>
      </c>
      <c r="G1740">
        <v>12.1</v>
      </c>
      <c r="H1740">
        <v>6.9</v>
      </c>
      <c r="I1740">
        <v>6.7</v>
      </c>
    </row>
    <row r="1741" spans="1:9" ht="24" customHeight="1">
      <c r="A1741" s="6" t="s">
        <v>3221</v>
      </c>
      <c r="B1741">
        <v>96627</v>
      </c>
      <c r="C1741">
        <v>54330</v>
      </c>
      <c r="D1741">
        <v>492398</v>
      </c>
      <c r="E1741">
        <v>348478</v>
      </c>
      <c r="F1741">
        <v>6.4</v>
      </c>
      <c r="G1741">
        <v>4.2</v>
      </c>
      <c r="H1741">
        <v>9.4</v>
      </c>
      <c r="I1741">
        <v>8.1</v>
      </c>
    </row>
    <row r="1742" spans="1:9" ht="24" customHeight="1">
      <c r="A1742" s="6" t="s">
        <v>3222</v>
      </c>
      <c r="B1742">
        <v>8030</v>
      </c>
      <c r="C1742">
        <v>5030</v>
      </c>
      <c r="D1742">
        <v>319399</v>
      </c>
      <c r="E1742">
        <v>248784</v>
      </c>
      <c r="F1742">
        <v>5.2</v>
      </c>
      <c r="G1742">
        <v>2.7</v>
      </c>
      <c r="H1742">
        <v>0</v>
      </c>
      <c r="I1742">
        <v>0</v>
      </c>
    </row>
    <row r="1743" spans="1:9" ht="24" customHeight="1">
      <c r="A1743" s="6" t="s">
        <v>3223</v>
      </c>
      <c r="B1743">
        <v>13413</v>
      </c>
      <c r="C1743">
        <v>10200</v>
      </c>
      <c r="D1743">
        <v>375202</v>
      </c>
      <c r="E1743">
        <v>274181</v>
      </c>
      <c r="F1743">
        <v>6.7</v>
      </c>
      <c r="G1743">
        <v>3.7</v>
      </c>
      <c r="H1743">
        <v>1.4</v>
      </c>
      <c r="I1743">
        <v>1.5</v>
      </c>
    </row>
    <row r="1744" spans="1:9" ht="24" customHeight="1">
      <c r="A1744" s="6" t="s">
        <v>3224</v>
      </c>
      <c r="B1744">
        <v>12544</v>
      </c>
      <c r="C1744">
        <v>7371</v>
      </c>
      <c r="D1744">
        <v>613392</v>
      </c>
      <c r="E1744">
        <v>419563</v>
      </c>
      <c r="F1744">
        <v>6.7</v>
      </c>
      <c r="G1744">
        <v>3</v>
      </c>
      <c r="H1744">
        <v>11.7</v>
      </c>
      <c r="I1744">
        <v>11.2</v>
      </c>
    </row>
    <row r="1745" spans="1:9" ht="24" customHeight="1">
      <c r="A1745" s="6" t="s">
        <v>3225</v>
      </c>
      <c r="B1745">
        <v>11335</v>
      </c>
      <c r="C1745">
        <v>5066</v>
      </c>
      <c r="D1745">
        <v>609486</v>
      </c>
      <c r="E1745">
        <v>419032</v>
      </c>
      <c r="F1745">
        <v>5.6</v>
      </c>
      <c r="G1745">
        <v>2.7</v>
      </c>
      <c r="H1745">
        <v>16.600000000000001</v>
      </c>
      <c r="I1745">
        <v>17</v>
      </c>
    </row>
    <row r="1746" spans="1:9" ht="24" customHeight="1">
      <c r="A1746" s="6" t="s">
        <v>3226</v>
      </c>
      <c r="B1746">
        <v>4779</v>
      </c>
      <c r="C1746">
        <v>2177</v>
      </c>
      <c r="D1746">
        <v>586553</v>
      </c>
      <c r="E1746">
        <v>432289</v>
      </c>
      <c r="F1746">
        <v>6.3</v>
      </c>
      <c r="G1746">
        <v>5.4</v>
      </c>
      <c r="H1746">
        <v>21.9</v>
      </c>
      <c r="I1746">
        <v>21.9</v>
      </c>
    </row>
    <row r="1747" spans="1:9" ht="24" customHeight="1">
      <c r="A1747" s="6" t="s">
        <v>3227</v>
      </c>
      <c r="B1747">
        <v>3538</v>
      </c>
      <c r="C1747">
        <v>1639</v>
      </c>
      <c r="D1747">
        <v>609262</v>
      </c>
      <c r="E1747">
        <v>425559</v>
      </c>
      <c r="F1747">
        <v>6.4</v>
      </c>
      <c r="G1747">
        <v>4.4000000000000004</v>
      </c>
      <c r="H1747">
        <v>27</v>
      </c>
      <c r="I1747">
        <v>26.7</v>
      </c>
    </row>
    <row r="1748" spans="1:9" ht="24" customHeight="1">
      <c r="A1748" s="6" t="s">
        <v>3228</v>
      </c>
      <c r="B1748">
        <v>13453</v>
      </c>
      <c r="C1748">
        <v>8969</v>
      </c>
      <c r="D1748">
        <v>418385</v>
      </c>
      <c r="E1748">
        <v>313350</v>
      </c>
      <c r="F1748">
        <v>6.1</v>
      </c>
      <c r="G1748">
        <v>4.5</v>
      </c>
      <c r="H1748">
        <v>3.4</v>
      </c>
      <c r="I1748">
        <v>3.5</v>
      </c>
    </row>
    <row r="1749" spans="1:9" ht="24" customHeight="1">
      <c r="A1749" s="6" t="s">
        <v>3229</v>
      </c>
      <c r="B1749">
        <v>4085</v>
      </c>
      <c r="C1749">
        <v>1572</v>
      </c>
      <c r="D1749">
        <v>570843</v>
      </c>
      <c r="E1749">
        <v>476057</v>
      </c>
      <c r="F1749">
        <v>9.8000000000000007</v>
      </c>
      <c r="G1749">
        <v>6</v>
      </c>
      <c r="H1749">
        <v>34</v>
      </c>
      <c r="I1749">
        <v>33.299999999999997</v>
      </c>
    </row>
    <row r="1750" spans="1:9" ht="24" customHeight="1">
      <c r="A1750" s="6" t="s">
        <v>3230</v>
      </c>
      <c r="B1750">
        <v>26304</v>
      </c>
      <c r="C1750">
        <v>14446</v>
      </c>
      <c r="D1750">
        <v>479430</v>
      </c>
      <c r="E1750">
        <v>345796</v>
      </c>
      <c r="F1750">
        <v>6.2</v>
      </c>
      <c r="G1750">
        <v>5.4</v>
      </c>
      <c r="H1750">
        <v>6.6</v>
      </c>
      <c r="I1750">
        <v>6.9</v>
      </c>
    </row>
    <row r="1751" spans="1:9" ht="24" customHeight="1">
      <c r="A1751" s="6" t="s">
        <v>3231</v>
      </c>
      <c r="B1751">
        <v>44727</v>
      </c>
      <c r="C1751">
        <v>21797</v>
      </c>
      <c r="D1751">
        <v>516039</v>
      </c>
      <c r="E1751">
        <v>370978</v>
      </c>
      <c r="F1751">
        <v>10.4</v>
      </c>
      <c r="G1751">
        <v>7.7</v>
      </c>
      <c r="H1751">
        <v>10.5</v>
      </c>
      <c r="I1751">
        <v>7.6</v>
      </c>
    </row>
    <row r="1752" spans="1:9" ht="24" customHeight="1">
      <c r="A1752" s="6" t="s">
        <v>3232</v>
      </c>
      <c r="B1752">
        <v>5795</v>
      </c>
      <c r="C1752">
        <v>2764</v>
      </c>
      <c r="D1752">
        <v>321592</v>
      </c>
      <c r="E1752">
        <v>273026</v>
      </c>
      <c r="F1752">
        <v>8.8000000000000007</v>
      </c>
      <c r="G1752">
        <v>4.5</v>
      </c>
      <c r="H1752">
        <v>0</v>
      </c>
      <c r="I1752">
        <v>0</v>
      </c>
    </row>
    <row r="1753" spans="1:9" ht="24" customHeight="1">
      <c r="A1753" s="6" t="s">
        <v>3233</v>
      </c>
      <c r="B1753">
        <v>6879</v>
      </c>
      <c r="C1753">
        <v>3802</v>
      </c>
      <c r="D1753">
        <v>400478</v>
      </c>
      <c r="E1753">
        <v>315853</v>
      </c>
      <c r="F1753">
        <v>11.2</v>
      </c>
      <c r="G1753">
        <v>8</v>
      </c>
      <c r="H1753">
        <v>1.4</v>
      </c>
      <c r="I1753">
        <v>1.5</v>
      </c>
    </row>
    <row r="1754" spans="1:9" ht="24" customHeight="1">
      <c r="A1754" s="6" t="s">
        <v>3234</v>
      </c>
      <c r="B1754">
        <v>5378</v>
      </c>
      <c r="C1754">
        <v>2751</v>
      </c>
      <c r="D1754">
        <v>559599</v>
      </c>
      <c r="E1754">
        <v>407459</v>
      </c>
      <c r="F1754">
        <v>12.5</v>
      </c>
      <c r="G1754">
        <v>6.2</v>
      </c>
      <c r="H1754">
        <v>11.9</v>
      </c>
      <c r="I1754">
        <v>11.7</v>
      </c>
    </row>
    <row r="1755" spans="1:9" ht="24" customHeight="1">
      <c r="A1755" s="6" t="s">
        <v>3235</v>
      </c>
      <c r="B1755">
        <v>4707</v>
      </c>
      <c r="C1755">
        <v>1664</v>
      </c>
      <c r="D1755">
        <v>608889</v>
      </c>
      <c r="E1755">
        <v>459155</v>
      </c>
      <c r="F1755">
        <v>8.9</v>
      </c>
      <c r="G1755">
        <v>10.199999999999999</v>
      </c>
      <c r="H1755">
        <v>16.8</v>
      </c>
      <c r="I1755">
        <v>16.8</v>
      </c>
    </row>
    <row r="1756" spans="1:9" ht="24" customHeight="1">
      <c r="A1756" s="6" t="s">
        <v>3236</v>
      </c>
      <c r="B1756">
        <v>2730</v>
      </c>
      <c r="C1756">
        <v>859</v>
      </c>
      <c r="D1756">
        <v>666685</v>
      </c>
      <c r="E1756">
        <v>498454</v>
      </c>
      <c r="F1756">
        <v>6.3</v>
      </c>
      <c r="G1756">
        <v>8.6999999999999993</v>
      </c>
      <c r="H1756">
        <v>21.7</v>
      </c>
      <c r="I1756">
        <v>21.6</v>
      </c>
    </row>
    <row r="1757" spans="1:9" ht="24" customHeight="1">
      <c r="A1757" s="6" t="s">
        <v>3237</v>
      </c>
      <c r="B1757">
        <v>2515</v>
      </c>
      <c r="C1757">
        <v>626</v>
      </c>
      <c r="D1757">
        <v>694587</v>
      </c>
      <c r="E1757">
        <v>446891</v>
      </c>
      <c r="F1757">
        <v>6.1</v>
      </c>
      <c r="G1757">
        <v>7.2</v>
      </c>
      <c r="H1757">
        <v>26.8</v>
      </c>
      <c r="I1757">
        <v>26.8</v>
      </c>
    </row>
    <row r="1758" spans="1:9" ht="24" customHeight="1">
      <c r="A1758" s="6" t="s">
        <v>3238</v>
      </c>
      <c r="B1758">
        <v>4637</v>
      </c>
      <c r="C1758">
        <v>3778</v>
      </c>
      <c r="D1758">
        <v>433373</v>
      </c>
      <c r="E1758">
        <v>338825</v>
      </c>
      <c r="F1758">
        <v>11.8</v>
      </c>
      <c r="G1758">
        <v>6.9</v>
      </c>
      <c r="H1758">
        <v>3.4</v>
      </c>
      <c r="I1758">
        <v>3.5</v>
      </c>
    </row>
    <row r="1759" spans="1:9" ht="24" customHeight="1">
      <c r="A1759" s="6" t="s">
        <v>3239</v>
      </c>
      <c r="B1759">
        <v>3555</v>
      </c>
      <c r="C1759">
        <v>676</v>
      </c>
      <c r="D1759">
        <v>773057</v>
      </c>
      <c r="E1759">
        <v>560321</v>
      </c>
      <c r="F1759">
        <v>4.7</v>
      </c>
      <c r="G1759">
        <v>6</v>
      </c>
      <c r="H1759">
        <v>32.799999999999997</v>
      </c>
      <c r="I1759">
        <v>33.299999999999997</v>
      </c>
    </row>
    <row r="1760" spans="1:9" ht="24" customHeight="1">
      <c r="A1760" s="6" t="s">
        <v>3240</v>
      </c>
      <c r="B1760">
        <v>8577</v>
      </c>
      <c r="C1760">
        <v>5394</v>
      </c>
      <c r="D1760">
        <v>498478</v>
      </c>
      <c r="E1760">
        <v>375581</v>
      </c>
      <c r="F1760">
        <v>14.3</v>
      </c>
      <c r="G1760">
        <v>9.4</v>
      </c>
      <c r="H1760">
        <v>6.9</v>
      </c>
      <c r="I1760">
        <v>6.5</v>
      </c>
    </row>
    <row r="1761" spans="1:9" ht="24" customHeight="1">
      <c r="A1761" s="6" t="s">
        <v>3241</v>
      </c>
      <c r="B1761">
        <v>50499</v>
      </c>
      <c r="C1761">
        <v>26085</v>
      </c>
      <c r="D1761">
        <v>588494</v>
      </c>
      <c r="E1761">
        <v>425660</v>
      </c>
      <c r="F1761">
        <v>15.3</v>
      </c>
      <c r="G1761">
        <v>12.8</v>
      </c>
      <c r="H1761">
        <v>12.6</v>
      </c>
      <c r="I1761">
        <v>9.1</v>
      </c>
    </row>
    <row r="1762" spans="1:9" ht="24" customHeight="1">
      <c r="A1762" s="6" t="s">
        <v>3242</v>
      </c>
      <c r="B1762">
        <v>3694</v>
      </c>
      <c r="C1762">
        <v>2451</v>
      </c>
      <c r="D1762">
        <v>360216</v>
      </c>
      <c r="E1762">
        <v>305125</v>
      </c>
      <c r="F1762">
        <v>15</v>
      </c>
      <c r="G1762">
        <v>13.6</v>
      </c>
      <c r="H1762">
        <v>0</v>
      </c>
      <c r="I1762">
        <v>0</v>
      </c>
    </row>
    <row r="1763" spans="1:9" ht="24" customHeight="1">
      <c r="A1763" s="6" t="s">
        <v>3243</v>
      </c>
      <c r="B1763">
        <v>5138</v>
      </c>
      <c r="C1763">
        <v>4029</v>
      </c>
      <c r="D1763">
        <v>454707</v>
      </c>
      <c r="E1763">
        <v>354195</v>
      </c>
      <c r="F1763">
        <v>21.9</v>
      </c>
      <c r="G1763">
        <v>17.399999999999999</v>
      </c>
      <c r="H1763">
        <v>1.5</v>
      </c>
      <c r="I1763">
        <v>1.4</v>
      </c>
    </row>
    <row r="1764" spans="1:9" ht="24" customHeight="1">
      <c r="A1764" s="6" t="s">
        <v>3244</v>
      </c>
      <c r="B1764">
        <v>8033</v>
      </c>
      <c r="C1764">
        <v>3996</v>
      </c>
      <c r="D1764">
        <v>609552</v>
      </c>
      <c r="E1764">
        <v>461584</v>
      </c>
      <c r="F1764">
        <v>12.2</v>
      </c>
      <c r="G1764">
        <v>10</v>
      </c>
      <c r="H1764">
        <v>12.5</v>
      </c>
      <c r="I1764">
        <v>12.1</v>
      </c>
    </row>
    <row r="1765" spans="1:9" ht="24" customHeight="1">
      <c r="A1765" s="6" t="s">
        <v>3245</v>
      </c>
      <c r="B1765">
        <v>7466</v>
      </c>
      <c r="C1765">
        <v>3256</v>
      </c>
      <c r="D1765">
        <v>660429</v>
      </c>
      <c r="E1765">
        <v>502616</v>
      </c>
      <c r="F1765">
        <v>10.8</v>
      </c>
      <c r="G1765">
        <v>10.7</v>
      </c>
      <c r="H1765">
        <v>16.5</v>
      </c>
      <c r="I1765">
        <v>16.399999999999999</v>
      </c>
    </row>
    <row r="1766" spans="1:9" ht="24" customHeight="1">
      <c r="A1766" s="6" t="s">
        <v>3246</v>
      </c>
      <c r="B1766">
        <v>3722</v>
      </c>
      <c r="C1766">
        <v>1216</v>
      </c>
      <c r="D1766">
        <v>763301</v>
      </c>
      <c r="E1766">
        <v>625909</v>
      </c>
      <c r="F1766">
        <v>9</v>
      </c>
      <c r="G1766">
        <v>10.3</v>
      </c>
      <c r="H1766">
        <v>21.8</v>
      </c>
      <c r="I1766">
        <v>21.8</v>
      </c>
    </row>
    <row r="1767" spans="1:9" ht="24" customHeight="1">
      <c r="A1767" s="6" t="s">
        <v>3247</v>
      </c>
      <c r="B1767">
        <v>3331</v>
      </c>
      <c r="C1767">
        <v>984</v>
      </c>
      <c r="D1767">
        <v>709650</v>
      </c>
      <c r="E1767">
        <v>553721</v>
      </c>
      <c r="F1767">
        <v>9.5</v>
      </c>
      <c r="G1767">
        <v>8.6999999999999993</v>
      </c>
      <c r="H1767">
        <v>26.9</v>
      </c>
      <c r="I1767">
        <v>26.5</v>
      </c>
    </row>
    <row r="1768" spans="1:9" ht="24" customHeight="1">
      <c r="A1768" s="6" t="s">
        <v>3248</v>
      </c>
      <c r="B1768">
        <v>6198</v>
      </c>
      <c r="C1768">
        <v>4397</v>
      </c>
      <c r="D1768">
        <v>493858</v>
      </c>
      <c r="E1768">
        <v>385700</v>
      </c>
      <c r="F1768">
        <v>23.8</v>
      </c>
      <c r="G1768">
        <v>13.6</v>
      </c>
      <c r="H1768">
        <v>3.6</v>
      </c>
      <c r="I1768">
        <v>3.5</v>
      </c>
    </row>
    <row r="1769" spans="1:9" ht="24" customHeight="1">
      <c r="A1769" s="6" t="s">
        <v>3249</v>
      </c>
      <c r="B1769">
        <v>4673</v>
      </c>
      <c r="C1769">
        <v>1043</v>
      </c>
      <c r="D1769">
        <v>760833</v>
      </c>
      <c r="E1769">
        <v>593764</v>
      </c>
      <c r="F1769">
        <v>10.3</v>
      </c>
      <c r="G1769">
        <v>8.5</v>
      </c>
      <c r="H1769">
        <v>33.5</v>
      </c>
      <c r="I1769">
        <v>33.299999999999997</v>
      </c>
    </row>
    <row r="1770" spans="1:9" ht="24" customHeight="1">
      <c r="A1770" s="6" t="s">
        <v>3250</v>
      </c>
      <c r="B1770">
        <v>8307</v>
      </c>
      <c r="C1770">
        <v>6277</v>
      </c>
      <c r="D1770">
        <v>531186</v>
      </c>
      <c r="E1770">
        <v>371684</v>
      </c>
      <c r="F1770">
        <v>20.100000000000001</v>
      </c>
      <c r="G1770">
        <v>11.5</v>
      </c>
      <c r="H1770">
        <v>6.8</v>
      </c>
      <c r="I1770">
        <v>6.8</v>
      </c>
    </row>
    <row r="1771" spans="1:9" ht="24" customHeight="1">
      <c r="A1771" s="6" t="s">
        <v>618</v>
      </c>
      <c r="B1771">
        <v>279062</v>
      </c>
      <c r="C1771">
        <v>66508</v>
      </c>
      <c r="D1771">
        <v>711564</v>
      </c>
      <c r="E1771">
        <v>539675</v>
      </c>
      <c r="F1771">
        <v>15.7</v>
      </c>
      <c r="G1771">
        <v>13.5</v>
      </c>
      <c r="H1771">
        <v>15.4</v>
      </c>
      <c r="I1771">
        <v>11.3</v>
      </c>
    </row>
    <row r="1772" spans="1:9" ht="24" customHeight="1">
      <c r="A1772" s="6" t="s">
        <v>619</v>
      </c>
      <c r="B1772">
        <v>14193</v>
      </c>
      <c r="C1772">
        <v>4593</v>
      </c>
      <c r="D1772">
        <v>391690</v>
      </c>
      <c r="E1772">
        <v>373351</v>
      </c>
      <c r="F1772">
        <v>14.2</v>
      </c>
      <c r="G1772">
        <v>12.5</v>
      </c>
      <c r="H1772">
        <v>0</v>
      </c>
      <c r="I1772">
        <v>0</v>
      </c>
    </row>
    <row r="1773" spans="1:9" ht="24" customHeight="1">
      <c r="A1773" s="6" t="s">
        <v>3251</v>
      </c>
      <c r="B1773">
        <v>25826</v>
      </c>
      <c r="C1773">
        <v>10662</v>
      </c>
      <c r="D1773">
        <v>509759</v>
      </c>
      <c r="E1773">
        <v>446216</v>
      </c>
      <c r="F1773">
        <v>21</v>
      </c>
      <c r="G1773">
        <v>18.399999999999999</v>
      </c>
      <c r="H1773">
        <v>1.5</v>
      </c>
      <c r="I1773">
        <v>1.4</v>
      </c>
    </row>
    <row r="1774" spans="1:9" ht="24" customHeight="1">
      <c r="A1774" s="6" t="s">
        <v>3252</v>
      </c>
      <c r="B1774">
        <v>36023</v>
      </c>
      <c r="C1774">
        <v>8654</v>
      </c>
      <c r="D1774">
        <v>703366</v>
      </c>
      <c r="E1774">
        <v>551184</v>
      </c>
      <c r="F1774">
        <v>17.399999999999999</v>
      </c>
      <c r="G1774">
        <v>10.5</v>
      </c>
      <c r="H1774">
        <v>12.1</v>
      </c>
      <c r="I1774">
        <v>12.1</v>
      </c>
    </row>
    <row r="1775" spans="1:9" ht="24" customHeight="1">
      <c r="A1775" s="6" t="s">
        <v>3253</v>
      </c>
      <c r="B1775">
        <v>39402</v>
      </c>
      <c r="C1775">
        <v>5959</v>
      </c>
      <c r="D1775">
        <v>781733</v>
      </c>
      <c r="E1775">
        <v>583802</v>
      </c>
      <c r="F1775">
        <v>17.8</v>
      </c>
      <c r="G1775">
        <v>8.8000000000000007</v>
      </c>
      <c r="H1775">
        <v>16.899999999999999</v>
      </c>
      <c r="I1775">
        <v>16.5</v>
      </c>
    </row>
    <row r="1776" spans="1:9" ht="24" customHeight="1">
      <c r="A1776" s="6" t="s">
        <v>3254</v>
      </c>
      <c r="B1776">
        <v>25708</v>
      </c>
      <c r="C1776">
        <v>3495</v>
      </c>
      <c r="D1776">
        <v>860073</v>
      </c>
      <c r="E1776">
        <v>662293</v>
      </c>
      <c r="F1776">
        <v>14</v>
      </c>
      <c r="G1776">
        <v>9.1999999999999993</v>
      </c>
      <c r="H1776">
        <v>22</v>
      </c>
      <c r="I1776">
        <v>21.7</v>
      </c>
    </row>
    <row r="1777" spans="1:9" ht="24" customHeight="1">
      <c r="A1777" s="6" t="s">
        <v>3255</v>
      </c>
      <c r="B1777">
        <v>26138</v>
      </c>
      <c r="C1777">
        <v>3935</v>
      </c>
      <c r="D1777">
        <v>876387</v>
      </c>
      <c r="E1777">
        <v>590817</v>
      </c>
      <c r="F1777">
        <v>9.5</v>
      </c>
      <c r="G1777">
        <v>8.3000000000000007</v>
      </c>
      <c r="H1777">
        <v>26.9</v>
      </c>
      <c r="I1777">
        <v>27.3</v>
      </c>
    </row>
    <row r="1778" spans="1:9" ht="24" customHeight="1">
      <c r="A1778" s="6" t="s">
        <v>3256</v>
      </c>
      <c r="B1778">
        <v>23883</v>
      </c>
      <c r="C1778">
        <v>8750</v>
      </c>
      <c r="D1778">
        <v>559538</v>
      </c>
      <c r="E1778">
        <v>470817</v>
      </c>
      <c r="F1778">
        <v>20</v>
      </c>
      <c r="G1778">
        <v>20.3</v>
      </c>
      <c r="H1778">
        <v>3.5</v>
      </c>
      <c r="I1778">
        <v>3.5</v>
      </c>
    </row>
    <row r="1779" spans="1:9" ht="24" customHeight="1">
      <c r="A1779" s="6" t="s">
        <v>620</v>
      </c>
      <c r="B1779">
        <v>45141</v>
      </c>
      <c r="C1779">
        <v>7759</v>
      </c>
      <c r="D1779">
        <v>872261</v>
      </c>
      <c r="E1779">
        <v>703648</v>
      </c>
      <c r="F1779">
        <v>8.8000000000000007</v>
      </c>
      <c r="G1779">
        <v>8.9</v>
      </c>
      <c r="H1779">
        <v>33.700000000000003</v>
      </c>
      <c r="I1779">
        <v>33.5</v>
      </c>
    </row>
    <row r="1780" spans="1:9" ht="24" customHeight="1">
      <c r="A1780" s="6" t="s">
        <v>3257</v>
      </c>
      <c r="B1780">
        <v>42840</v>
      </c>
      <c r="C1780">
        <v>15079</v>
      </c>
      <c r="D1780">
        <v>606830</v>
      </c>
      <c r="E1780">
        <v>535061</v>
      </c>
      <c r="F1780">
        <v>19</v>
      </c>
      <c r="G1780">
        <v>13.4</v>
      </c>
      <c r="H1780">
        <v>6.8</v>
      </c>
      <c r="I1780">
        <v>6.5</v>
      </c>
    </row>
    <row r="1781" spans="1:9" ht="24" customHeight="1">
      <c r="A1781" s="6" t="s">
        <v>3258</v>
      </c>
      <c r="B1781">
        <v>261869</v>
      </c>
      <c r="C1781">
        <v>145797</v>
      </c>
      <c r="D1781">
        <v>517506</v>
      </c>
      <c r="E1781">
        <v>378402</v>
      </c>
      <c r="F1781">
        <v>8.8000000000000007</v>
      </c>
      <c r="G1781">
        <v>8.6999999999999993</v>
      </c>
      <c r="H1781">
        <v>10.1</v>
      </c>
      <c r="I1781">
        <v>7.5</v>
      </c>
    </row>
    <row r="1782" spans="1:9" ht="24" customHeight="1">
      <c r="A1782" s="6" t="s">
        <v>3259</v>
      </c>
      <c r="B1782">
        <v>22864</v>
      </c>
      <c r="C1782">
        <v>20249</v>
      </c>
      <c r="D1782">
        <v>336487</v>
      </c>
      <c r="E1782">
        <v>261364</v>
      </c>
      <c r="F1782">
        <v>7.5</v>
      </c>
      <c r="G1782">
        <v>6</v>
      </c>
      <c r="H1782">
        <v>0</v>
      </c>
      <c r="I1782">
        <v>0</v>
      </c>
    </row>
    <row r="1783" spans="1:9" ht="24" customHeight="1">
      <c r="A1783" s="6" t="s">
        <v>3260</v>
      </c>
      <c r="B1783">
        <v>45336</v>
      </c>
      <c r="C1783">
        <v>35383</v>
      </c>
      <c r="D1783">
        <v>469937</v>
      </c>
      <c r="E1783">
        <v>348953</v>
      </c>
      <c r="F1783">
        <v>7.8</v>
      </c>
      <c r="G1783">
        <v>8.9</v>
      </c>
      <c r="H1783">
        <v>1.6</v>
      </c>
      <c r="I1783">
        <v>1.5</v>
      </c>
    </row>
    <row r="1784" spans="1:9" ht="24" customHeight="1">
      <c r="A1784" s="6" t="s">
        <v>3261</v>
      </c>
      <c r="B1784">
        <v>30701</v>
      </c>
      <c r="C1784">
        <v>15257</v>
      </c>
      <c r="D1784">
        <v>509859</v>
      </c>
      <c r="E1784">
        <v>393271</v>
      </c>
      <c r="F1784">
        <v>10.7</v>
      </c>
      <c r="G1784">
        <v>10.5</v>
      </c>
      <c r="H1784">
        <v>11.6</v>
      </c>
      <c r="I1784">
        <v>11.8</v>
      </c>
    </row>
    <row r="1785" spans="1:9" ht="24" customHeight="1">
      <c r="A1785" s="6" t="s">
        <v>3262</v>
      </c>
      <c r="B1785">
        <v>23632</v>
      </c>
      <c r="C1785">
        <v>11823</v>
      </c>
      <c r="D1785">
        <v>554613</v>
      </c>
      <c r="E1785">
        <v>423603</v>
      </c>
      <c r="F1785">
        <v>10.3</v>
      </c>
      <c r="G1785">
        <v>6.6</v>
      </c>
      <c r="H1785">
        <v>16.7</v>
      </c>
      <c r="I1785">
        <v>16.600000000000001</v>
      </c>
    </row>
    <row r="1786" spans="1:9" ht="24" customHeight="1">
      <c r="A1786" s="6" t="s">
        <v>3263</v>
      </c>
      <c r="B1786">
        <v>13520</v>
      </c>
      <c r="C1786">
        <v>6660</v>
      </c>
      <c r="D1786">
        <v>580722</v>
      </c>
      <c r="E1786">
        <v>449451</v>
      </c>
      <c r="F1786">
        <v>9.6</v>
      </c>
      <c r="G1786">
        <v>7.9</v>
      </c>
      <c r="H1786">
        <v>21.9</v>
      </c>
      <c r="I1786">
        <v>21.8</v>
      </c>
    </row>
    <row r="1787" spans="1:9" ht="24" customHeight="1">
      <c r="A1787" s="6" t="s">
        <v>3264</v>
      </c>
      <c r="B1787">
        <v>13545</v>
      </c>
      <c r="C1787">
        <v>3674</v>
      </c>
      <c r="D1787">
        <v>593132</v>
      </c>
      <c r="E1787">
        <v>441113</v>
      </c>
      <c r="F1787">
        <v>8.9</v>
      </c>
      <c r="G1787">
        <v>4.3</v>
      </c>
      <c r="H1787">
        <v>26.8</v>
      </c>
      <c r="I1787">
        <v>26.8</v>
      </c>
    </row>
    <row r="1788" spans="1:9" ht="24" customHeight="1">
      <c r="A1788" s="6" t="s">
        <v>3265</v>
      </c>
      <c r="B1788">
        <v>36643</v>
      </c>
      <c r="C1788">
        <v>20120</v>
      </c>
      <c r="D1788">
        <v>439048</v>
      </c>
      <c r="E1788">
        <v>318360</v>
      </c>
      <c r="F1788">
        <v>7.6</v>
      </c>
      <c r="G1788">
        <v>7.1</v>
      </c>
      <c r="H1788">
        <v>3.5</v>
      </c>
      <c r="I1788">
        <v>3.5</v>
      </c>
    </row>
    <row r="1789" spans="1:9" ht="24" customHeight="1">
      <c r="A1789" s="6" t="s">
        <v>3266</v>
      </c>
      <c r="B1789">
        <v>18114</v>
      </c>
      <c r="C1789">
        <v>4247</v>
      </c>
      <c r="D1789">
        <v>582572</v>
      </c>
      <c r="E1789">
        <v>433849</v>
      </c>
      <c r="F1789">
        <v>6.2</v>
      </c>
      <c r="G1789">
        <v>6.2</v>
      </c>
      <c r="H1789">
        <v>35.4</v>
      </c>
      <c r="I1789">
        <v>34.299999999999997</v>
      </c>
    </row>
    <row r="1790" spans="1:9" ht="24" customHeight="1">
      <c r="A1790" s="6" t="s">
        <v>3267</v>
      </c>
      <c r="B1790">
        <v>62335</v>
      </c>
      <c r="C1790">
        <v>42897</v>
      </c>
      <c r="D1790">
        <v>585759</v>
      </c>
      <c r="E1790">
        <v>402624</v>
      </c>
      <c r="F1790">
        <v>9.1999999999999993</v>
      </c>
      <c r="G1790">
        <v>9.5</v>
      </c>
      <c r="H1790">
        <v>7</v>
      </c>
      <c r="I1790">
        <v>6.5</v>
      </c>
    </row>
    <row r="1791" spans="1:9" ht="24" customHeight="1">
      <c r="A1791" s="6" t="s">
        <v>3268</v>
      </c>
      <c r="B1791">
        <v>115319</v>
      </c>
      <c r="C1791">
        <v>55099</v>
      </c>
      <c r="D1791">
        <v>585941</v>
      </c>
      <c r="E1791">
        <v>436484</v>
      </c>
      <c r="F1791">
        <v>11</v>
      </c>
      <c r="G1791">
        <v>6.6</v>
      </c>
      <c r="H1791">
        <v>11.5</v>
      </c>
      <c r="I1791">
        <v>8.6</v>
      </c>
    </row>
    <row r="1792" spans="1:9" ht="24" customHeight="1">
      <c r="A1792" s="6" t="s">
        <v>3269</v>
      </c>
      <c r="B1792">
        <v>8467</v>
      </c>
      <c r="C1792">
        <v>5811</v>
      </c>
      <c r="D1792">
        <v>397790</v>
      </c>
      <c r="E1792">
        <v>304539</v>
      </c>
      <c r="F1792">
        <v>9.1999999999999993</v>
      </c>
      <c r="G1792">
        <v>2.8</v>
      </c>
      <c r="H1792">
        <v>0</v>
      </c>
      <c r="I1792">
        <v>0</v>
      </c>
    </row>
    <row r="1793" spans="1:9" ht="24" customHeight="1">
      <c r="A1793" s="6" t="s">
        <v>3270</v>
      </c>
      <c r="B1793">
        <v>17914</v>
      </c>
      <c r="C1793">
        <v>10236</v>
      </c>
      <c r="D1793">
        <v>495288</v>
      </c>
      <c r="E1793">
        <v>375261</v>
      </c>
      <c r="F1793">
        <v>13.3</v>
      </c>
      <c r="G1793">
        <v>7.3</v>
      </c>
      <c r="H1793">
        <v>1.5</v>
      </c>
      <c r="I1793">
        <v>1.4</v>
      </c>
    </row>
    <row r="1794" spans="1:9" ht="24" customHeight="1">
      <c r="A1794" s="6" t="s">
        <v>3271</v>
      </c>
      <c r="B1794">
        <v>13829</v>
      </c>
      <c r="C1794">
        <v>6403</v>
      </c>
      <c r="D1794">
        <v>599946</v>
      </c>
      <c r="E1794">
        <v>438537</v>
      </c>
      <c r="F1794">
        <v>11.3</v>
      </c>
      <c r="G1794">
        <v>5.7</v>
      </c>
      <c r="H1794">
        <v>12</v>
      </c>
      <c r="I1794">
        <v>12</v>
      </c>
    </row>
    <row r="1795" spans="1:9" ht="24" customHeight="1">
      <c r="A1795" s="6" t="s">
        <v>3272</v>
      </c>
      <c r="B1795">
        <v>12460</v>
      </c>
      <c r="C1795">
        <v>5325</v>
      </c>
      <c r="D1795">
        <v>660028</v>
      </c>
      <c r="E1795">
        <v>459008</v>
      </c>
      <c r="F1795">
        <v>10.8</v>
      </c>
      <c r="G1795">
        <v>7.3</v>
      </c>
      <c r="H1795">
        <v>16.8</v>
      </c>
      <c r="I1795">
        <v>16.5</v>
      </c>
    </row>
    <row r="1796" spans="1:9" ht="24" customHeight="1">
      <c r="A1796" s="6" t="s">
        <v>3273</v>
      </c>
      <c r="B1796">
        <v>6400</v>
      </c>
      <c r="C1796">
        <v>3508</v>
      </c>
      <c r="D1796">
        <v>702369</v>
      </c>
      <c r="E1796">
        <v>577892</v>
      </c>
      <c r="F1796">
        <v>7.2</v>
      </c>
      <c r="G1796">
        <v>3.5</v>
      </c>
      <c r="H1796">
        <v>22</v>
      </c>
      <c r="I1796">
        <v>22</v>
      </c>
    </row>
    <row r="1797" spans="1:9" ht="24" customHeight="1">
      <c r="A1797" s="6" t="s">
        <v>3274</v>
      </c>
      <c r="B1797">
        <v>9433</v>
      </c>
      <c r="C1797">
        <v>2074</v>
      </c>
      <c r="D1797">
        <v>753333</v>
      </c>
      <c r="E1797">
        <v>563016</v>
      </c>
      <c r="F1797">
        <v>3.9</v>
      </c>
      <c r="G1797">
        <v>2.4</v>
      </c>
      <c r="H1797">
        <v>27.3</v>
      </c>
      <c r="I1797">
        <v>27.4</v>
      </c>
    </row>
    <row r="1798" spans="1:9" ht="24" customHeight="1">
      <c r="A1798" s="6" t="s">
        <v>3275</v>
      </c>
      <c r="B1798">
        <v>12513</v>
      </c>
      <c r="C1798">
        <v>9116</v>
      </c>
      <c r="D1798">
        <v>515913</v>
      </c>
      <c r="E1798">
        <v>408621</v>
      </c>
      <c r="F1798">
        <v>13</v>
      </c>
      <c r="G1798">
        <v>9</v>
      </c>
      <c r="H1798">
        <v>3.5</v>
      </c>
      <c r="I1798">
        <v>3.5</v>
      </c>
    </row>
    <row r="1799" spans="1:9" ht="24" customHeight="1">
      <c r="A1799" s="6" t="s">
        <v>3276</v>
      </c>
      <c r="B1799">
        <v>9454</v>
      </c>
      <c r="C1799">
        <v>2182</v>
      </c>
      <c r="D1799">
        <v>750983</v>
      </c>
      <c r="E1799">
        <v>593022</v>
      </c>
      <c r="F1799">
        <v>5.3</v>
      </c>
      <c r="G1799">
        <v>4.2</v>
      </c>
      <c r="H1799">
        <v>33.700000000000003</v>
      </c>
      <c r="I1799">
        <v>33</v>
      </c>
    </row>
    <row r="1800" spans="1:9" ht="24" customHeight="1">
      <c r="A1800" s="6" t="s">
        <v>3277</v>
      </c>
      <c r="B1800">
        <v>24956</v>
      </c>
      <c r="C1800">
        <v>13344</v>
      </c>
      <c r="D1800">
        <v>548289</v>
      </c>
      <c r="E1800">
        <v>437793</v>
      </c>
      <c r="F1800">
        <v>14.7</v>
      </c>
      <c r="G1800">
        <v>7.6</v>
      </c>
      <c r="H1800">
        <v>6.8</v>
      </c>
      <c r="I1800">
        <v>6.5</v>
      </c>
    </row>
    <row r="1801" spans="1:9" ht="24" customHeight="1">
      <c r="A1801" s="6" t="s">
        <v>3278</v>
      </c>
      <c r="B1801">
        <v>109751</v>
      </c>
      <c r="C1801">
        <v>29025</v>
      </c>
      <c r="D1801">
        <v>580180</v>
      </c>
      <c r="E1801">
        <v>434920</v>
      </c>
      <c r="F1801">
        <v>17.2</v>
      </c>
      <c r="G1801">
        <v>16.3</v>
      </c>
      <c r="H1801">
        <v>13</v>
      </c>
      <c r="I1801">
        <v>9.6</v>
      </c>
    </row>
    <row r="1802" spans="1:9" ht="24" customHeight="1">
      <c r="A1802" s="6" t="s">
        <v>3279</v>
      </c>
      <c r="B1802">
        <v>8115</v>
      </c>
      <c r="C1802">
        <v>2638</v>
      </c>
      <c r="D1802">
        <v>324748</v>
      </c>
      <c r="E1802">
        <v>284852</v>
      </c>
      <c r="F1802">
        <v>6.1</v>
      </c>
      <c r="G1802">
        <v>10.5</v>
      </c>
      <c r="H1802">
        <v>0</v>
      </c>
      <c r="I1802">
        <v>0</v>
      </c>
    </row>
    <row r="1803" spans="1:9" ht="24" customHeight="1">
      <c r="A1803" s="6" t="s">
        <v>3280</v>
      </c>
      <c r="B1803">
        <v>14227</v>
      </c>
      <c r="C1803">
        <v>3634</v>
      </c>
      <c r="D1803">
        <v>413506</v>
      </c>
      <c r="E1803">
        <v>356202</v>
      </c>
      <c r="F1803">
        <v>16.2</v>
      </c>
      <c r="G1803">
        <v>20</v>
      </c>
      <c r="H1803">
        <v>1.5</v>
      </c>
      <c r="I1803">
        <v>1.6</v>
      </c>
    </row>
    <row r="1804" spans="1:9" ht="24" customHeight="1">
      <c r="A1804" s="6" t="s">
        <v>3281</v>
      </c>
      <c r="B1804">
        <v>13952</v>
      </c>
      <c r="C1804">
        <v>3603</v>
      </c>
      <c r="D1804">
        <v>556879</v>
      </c>
      <c r="E1804">
        <v>468020</v>
      </c>
      <c r="F1804">
        <v>22.3</v>
      </c>
      <c r="G1804">
        <v>12.6</v>
      </c>
      <c r="H1804">
        <v>12</v>
      </c>
      <c r="I1804">
        <v>11.7</v>
      </c>
    </row>
    <row r="1805" spans="1:9" ht="24" customHeight="1">
      <c r="A1805" s="6" t="s">
        <v>3282</v>
      </c>
      <c r="B1805">
        <v>14807</v>
      </c>
      <c r="C1805">
        <v>3061</v>
      </c>
      <c r="D1805">
        <v>631624</v>
      </c>
      <c r="E1805">
        <v>517629</v>
      </c>
      <c r="F1805">
        <v>21.1</v>
      </c>
      <c r="G1805">
        <v>15.9</v>
      </c>
      <c r="H1805">
        <v>16.8</v>
      </c>
      <c r="I1805">
        <v>16.899999999999999</v>
      </c>
    </row>
    <row r="1806" spans="1:9" ht="24" customHeight="1">
      <c r="A1806" s="6" t="s">
        <v>3283</v>
      </c>
      <c r="B1806">
        <v>8758</v>
      </c>
      <c r="C1806">
        <v>1546</v>
      </c>
      <c r="D1806">
        <v>679306</v>
      </c>
      <c r="E1806">
        <v>503107</v>
      </c>
      <c r="F1806">
        <v>17.600000000000001</v>
      </c>
      <c r="G1806">
        <v>10.6</v>
      </c>
      <c r="H1806">
        <v>21.8</v>
      </c>
      <c r="I1806">
        <v>21.4</v>
      </c>
    </row>
    <row r="1807" spans="1:9" ht="24" customHeight="1">
      <c r="A1807" s="6" t="s">
        <v>3284</v>
      </c>
      <c r="B1807">
        <v>6938</v>
      </c>
      <c r="C1807">
        <v>1704</v>
      </c>
      <c r="D1807">
        <v>748343</v>
      </c>
      <c r="E1807">
        <v>533960</v>
      </c>
      <c r="F1807">
        <v>11</v>
      </c>
      <c r="G1807">
        <v>15.8</v>
      </c>
      <c r="H1807">
        <v>27.1</v>
      </c>
      <c r="I1807">
        <v>26.7</v>
      </c>
    </row>
    <row r="1808" spans="1:9" ht="24" customHeight="1">
      <c r="A1808" s="6" t="s">
        <v>3285</v>
      </c>
      <c r="B1808">
        <v>10114</v>
      </c>
      <c r="C1808">
        <v>4141</v>
      </c>
      <c r="D1808">
        <v>643026</v>
      </c>
      <c r="E1808">
        <v>423916</v>
      </c>
      <c r="F1808">
        <v>17.8</v>
      </c>
      <c r="G1808">
        <v>15.8</v>
      </c>
      <c r="H1808">
        <v>3.5</v>
      </c>
      <c r="I1808">
        <v>3.4</v>
      </c>
    </row>
    <row r="1809" spans="1:9" ht="24" customHeight="1">
      <c r="A1809" s="6" t="s">
        <v>3286</v>
      </c>
      <c r="B1809">
        <v>12667</v>
      </c>
      <c r="C1809">
        <v>1261</v>
      </c>
      <c r="D1809">
        <v>739818</v>
      </c>
      <c r="E1809">
        <v>532683</v>
      </c>
      <c r="F1809">
        <v>11.7</v>
      </c>
      <c r="G1809">
        <v>14.4</v>
      </c>
      <c r="H1809">
        <v>34</v>
      </c>
      <c r="I1809">
        <v>33.200000000000003</v>
      </c>
    </row>
    <row r="1810" spans="1:9" ht="24" customHeight="1">
      <c r="A1810" s="6" t="s">
        <v>3287</v>
      </c>
      <c r="B1810">
        <v>20291</v>
      </c>
      <c r="C1810">
        <v>8722</v>
      </c>
      <c r="D1810">
        <v>545371</v>
      </c>
      <c r="E1810">
        <v>417509</v>
      </c>
      <c r="F1810">
        <v>21</v>
      </c>
      <c r="G1810">
        <v>18.3</v>
      </c>
      <c r="H1810">
        <v>6.9</v>
      </c>
      <c r="I1810">
        <v>6.6</v>
      </c>
    </row>
    <row r="1811" spans="1:9" ht="24" customHeight="1">
      <c r="A1811" s="6" t="s">
        <v>621</v>
      </c>
      <c r="B1811">
        <v>106476</v>
      </c>
      <c r="C1811">
        <v>67817</v>
      </c>
      <c r="D1811">
        <v>451820</v>
      </c>
      <c r="E1811">
        <v>352993</v>
      </c>
      <c r="F1811">
        <v>18.8</v>
      </c>
      <c r="G1811">
        <v>16.100000000000001</v>
      </c>
      <c r="H1811">
        <v>12.6</v>
      </c>
      <c r="I1811">
        <v>8.1999999999999993</v>
      </c>
    </row>
    <row r="1812" spans="1:9" ht="24" customHeight="1">
      <c r="A1812" s="6" t="s">
        <v>622</v>
      </c>
      <c r="B1812">
        <v>7853</v>
      </c>
      <c r="C1812">
        <v>8153</v>
      </c>
      <c r="D1812">
        <v>313612</v>
      </c>
      <c r="E1812">
        <v>250137</v>
      </c>
      <c r="F1812">
        <v>12.6</v>
      </c>
      <c r="G1812">
        <v>8.1</v>
      </c>
      <c r="H1812">
        <v>0</v>
      </c>
      <c r="I1812">
        <v>0</v>
      </c>
    </row>
    <row r="1813" spans="1:9" ht="24" customHeight="1">
      <c r="A1813" s="6" t="s">
        <v>3288</v>
      </c>
      <c r="B1813">
        <v>9510</v>
      </c>
      <c r="C1813">
        <v>11540</v>
      </c>
      <c r="D1813">
        <v>349312</v>
      </c>
      <c r="E1813">
        <v>303018</v>
      </c>
      <c r="F1813">
        <v>24.2</v>
      </c>
      <c r="G1813">
        <v>20.3</v>
      </c>
      <c r="H1813">
        <v>1.5</v>
      </c>
      <c r="I1813">
        <v>1.5</v>
      </c>
    </row>
    <row r="1814" spans="1:9" ht="24" customHeight="1">
      <c r="A1814" s="6" t="s">
        <v>3289</v>
      </c>
      <c r="B1814">
        <v>14091</v>
      </c>
      <c r="C1814">
        <v>8120</v>
      </c>
      <c r="D1814">
        <v>463684</v>
      </c>
      <c r="E1814">
        <v>362060</v>
      </c>
      <c r="F1814">
        <v>17.399999999999999</v>
      </c>
      <c r="G1814">
        <v>17.7</v>
      </c>
      <c r="H1814">
        <v>12</v>
      </c>
      <c r="I1814">
        <v>11.8</v>
      </c>
    </row>
    <row r="1815" spans="1:9" ht="24" customHeight="1">
      <c r="A1815" s="6" t="s">
        <v>3290</v>
      </c>
      <c r="B1815">
        <v>14330</v>
      </c>
      <c r="C1815">
        <v>7685</v>
      </c>
      <c r="D1815">
        <v>502424</v>
      </c>
      <c r="E1815">
        <v>402127</v>
      </c>
      <c r="F1815">
        <v>19.399999999999999</v>
      </c>
      <c r="G1815">
        <v>13.6</v>
      </c>
      <c r="H1815">
        <v>16.899999999999999</v>
      </c>
      <c r="I1815">
        <v>16.600000000000001</v>
      </c>
    </row>
    <row r="1816" spans="1:9" ht="24" customHeight="1">
      <c r="A1816" s="6" t="s">
        <v>3291</v>
      </c>
      <c r="B1816">
        <v>11460</v>
      </c>
      <c r="C1816">
        <v>3995</v>
      </c>
      <c r="D1816">
        <v>553801</v>
      </c>
      <c r="E1816">
        <v>475878</v>
      </c>
      <c r="F1816">
        <v>20.7</v>
      </c>
      <c r="G1816">
        <v>17.2</v>
      </c>
      <c r="H1816">
        <v>22</v>
      </c>
      <c r="I1816">
        <v>21.8</v>
      </c>
    </row>
    <row r="1817" spans="1:9" ht="24" customHeight="1">
      <c r="A1817" s="6" t="s">
        <v>3292</v>
      </c>
      <c r="B1817">
        <v>7661</v>
      </c>
      <c r="C1817">
        <v>2030</v>
      </c>
      <c r="D1817">
        <v>557013</v>
      </c>
      <c r="E1817">
        <v>480003</v>
      </c>
      <c r="F1817">
        <v>17.2</v>
      </c>
      <c r="G1817">
        <v>18.3</v>
      </c>
      <c r="H1817">
        <v>26.7</v>
      </c>
      <c r="I1817">
        <v>26.6</v>
      </c>
    </row>
    <row r="1818" spans="1:9" ht="24" customHeight="1">
      <c r="A1818" s="6" t="s">
        <v>3293</v>
      </c>
      <c r="B1818">
        <v>11012</v>
      </c>
      <c r="C1818">
        <v>10853</v>
      </c>
      <c r="D1818">
        <v>381350</v>
      </c>
      <c r="E1818">
        <v>330746</v>
      </c>
      <c r="F1818">
        <v>17.7</v>
      </c>
      <c r="G1818">
        <v>14</v>
      </c>
      <c r="H1818">
        <v>3.6</v>
      </c>
      <c r="I1818">
        <v>3.4</v>
      </c>
    </row>
    <row r="1819" spans="1:9" ht="24" customHeight="1">
      <c r="A1819" s="6" t="s">
        <v>623</v>
      </c>
      <c r="B1819">
        <v>7620</v>
      </c>
      <c r="C1819">
        <v>1557</v>
      </c>
      <c r="D1819">
        <v>551275</v>
      </c>
      <c r="E1819">
        <v>465839</v>
      </c>
      <c r="F1819">
        <v>16.399999999999999</v>
      </c>
      <c r="G1819">
        <v>10.7</v>
      </c>
      <c r="H1819">
        <v>34.1</v>
      </c>
      <c r="I1819">
        <v>32.700000000000003</v>
      </c>
    </row>
    <row r="1820" spans="1:9" ht="24" customHeight="1">
      <c r="A1820" s="6" t="s">
        <v>3294</v>
      </c>
      <c r="B1820">
        <v>23171</v>
      </c>
      <c r="C1820">
        <v>15855</v>
      </c>
      <c r="D1820">
        <v>415735</v>
      </c>
      <c r="E1820">
        <v>358776</v>
      </c>
      <c r="F1820">
        <v>20.100000000000001</v>
      </c>
      <c r="G1820">
        <v>17.5</v>
      </c>
      <c r="H1820">
        <v>7</v>
      </c>
      <c r="I1820">
        <v>6.8</v>
      </c>
    </row>
    <row r="1821" spans="1:9" ht="24" customHeight="1">
      <c r="A1821" s="6" t="s">
        <v>3295</v>
      </c>
      <c r="B1821">
        <v>134168</v>
      </c>
      <c r="C1821">
        <v>72975</v>
      </c>
      <c r="D1821">
        <v>331108</v>
      </c>
      <c r="E1821">
        <v>257257</v>
      </c>
      <c r="F1821">
        <v>11.4</v>
      </c>
      <c r="G1821">
        <v>7.7</v>
      </c>
      <c r="H1821">
        <v>10.1</v>
      </c>
      <c r="I1821">
        <v>8.6999999999999993</v>
      </c>
    </row>
    <row r="1822" spans="1:9" ht="24" customHeight="1">
      <c r="A1822" s="6" t="s">
        <v>3296</v>
      </c>
      <c r="B1822">
        <v>11729</v>
      </c>
      <c r="C1822">
        <v>10243</v>
      </c>
      <c r="D1822">
        <v>270841</v>
      </c>
      <c r="E1822">
        <v>212892</v>
      </c>
      <c r="F1822">
        <v>11</v>
      </c>
      <c r="G1822">
        <v>6.1</v>
      </c>
      <c r="H1822">
        <v>0</v>
      </c>
      <c r="I1822">
        <v>0</v>
      </c>
    </row>
    <row r="1823" spans="1:9" ht="24" customHeight="1">
      <c r="A1823" s="6" t="s">
        <v>3297</v>
      </c>
      <c r="B1823">
        <v>17367</v>
      </c>
      <c r="C1823">
        <v>13040</v>
      </c>
      <c r="D1823">
        <v>282060</v>
      </c>
      <c r="E1823">
        <v>221222</v>
      </c>
      <c r="F1823">
        <v>13.7</v>
      </c>
      <c r="G1823">
        <v>6.8</v>
      </c>
      <c r="H1823">
        <v>1.4</v>
      </c>
      <c r="I1823">
        <v>1.4</v>
      </c>
    </row>
    <row r="1824" spans="1:9" ht="24" customHeight="1">
      <c r="A1824" s="6" t="s">
        <v>3298</v>
      </c>
      <c r="B1824">
        <v>23648</v>
      </c>
      <c r="C1824">
        <v>10332</v>
      </c>
      <c r="D1824">
        <v>337420</v>
      </c>
      <c r="E1824">
        <v>252768</v>
      </c>
      <c r="F1824">
        <v>11.4</v>
      </c>
      <c r="G1824">
        <v>7</v>
      </c>
      <c r="H1824">
        <v>11.6</v>
      </c>
      <c r="I1824">
        <v>11.8</v>
      </c>
    </row>
    <row r="1825" spans="1:9" ht="24" customHeight="1">
      <c r="A1825" s="6" t="s">
        <v>3299</v>
      </c>
      <c r="B1825">
        <v>14354</v>
      </c>
      <c r="C1825">
        <v>7030</v>
      </c>
      <c r="D1825">
        <v>359342</v>
      </c>
      <c r="E1825">
        <v>252243</v>
      </c>
      <c r="F1825">
        <v>10.4</v>
      </c>
      <c r="G1825">
        <v>5.4</v>
      </c>
      <c r="H1825">
        <v>16.8</v>
      </c>
      <c r="I1825">
        <v>16.5</v>
      </c>
    </row>
    <row r="1826" spans="1:9" ht="24" customHeight="1">
      <c r="A1826" s="6" t="s">
        <v>3300</v>
      </c>
      <c r="B1826">
        <v>9457</v>
      </c>
      <c r="C1826">
        <v>4417</v>
      </c>
      <c r="D1826">
        <v>384212</v>
      </c>
      <c r="E1826">
        <v>265237</v>
      </c>
      <c r="F1826">
        <v>11.3</v>
      </c>
      <c r="G1826">
        <v>5.6</v>
      </c>
      <c r="H1826">
        <v>21.5</v>
      </c>
      <c r="I1826">
        <v>21.7</v>
      </c>
    </row>
    <row r="1827" spans="1:9" ht="24" customHeight="1">
      <c r="A1827" s="6" t="s">
        <v>3301</v>
      </c>
      <c r="B1827">
        <v>5982</v>
      </c>
      <c r="C1827">
        <v>3319</v>
      </c>
      <c r="D1827">
        <v>404567</v>
      </c>
      <c r="E1827">
        <v>282952</v>
      </c>
      <c r="F1827">
        <v>7.4</v>
      </c>
      <c r="G1827">
        <v>3.5</v>
      </c>
      <c r="H1827">
        <v>26.6</v>
      </c>
      <c r="I1827">
        <v>26.5</v>
      </c>
    </row>
    <row r="1828" spans="1:9" ht="24" customHeight="1">
      <c r="A1828" s="6" t="s">
        <v>3302</v>
      </c>
      <c r="B1828">
        <v>17319</v>
      </c>
      <c r="C1828">
        <v>12006</v>
      </c>
      <c r="D1828">
        <v>302651</v>
      </c>
      <c r="E1828">
        <v>256611</v>
      </c>
      <c r="F1828">
        <v>12.1</v>
      </c>
      <c r="G1828">
        <v>8.6999999999999993</v>
      </c>
      <c r="H1828">
        <v>3.5</v>
      </c>
      <c r="I1828">
        <v>3.5</v>
      </c>
    </row>
    <row r="1829" spans="1:9" ht="24" customHeight="1">
      <c r="A1829" s="6" t="s">
        <v>3303</v>
      </c>
      <c r="B1829">
        <v>5559</v>
      </c>
      <c r="C1829">
        <v>2886</v>
      </c>
      <c r="D1829">
        <v>393074</v>
      </c>
      <c r="E1829">
        <v>320680</v>
      </c>
      <c r="F1829">
        <v>8.1</v>
      </c>
      <c r="G1829">
        <v>6</v>
      </c>
      <c r="H1829">
        <v>37.799999999999997</v>
      </c>
      <c r="I1829">
        <v>38</v>
      </c>
    </row>
    <row r="1830" spans="1:9" ht="24" customHeight="1">
      <c r="A1830" s="6" t="s">
        <v>3304</v>
      </c>
      <c r="B1830">
        <v>32357</v>
      </c>
      <c r="C1830">
        <v>16873</v>
      </c>
      <c r="D1830">
        <v>319671</v>
      </c>
      <c r="E1830">
        <v>247693</v>
      </c>
      <c r="F1830">
        <v>10.8</v>
      </c>
      <c r="G1830">
        <v>8.6</v>
      </c>
      <c r="H1830">
        <v>6.7</v>
      </c>
      <c r="I1830">
        <v>6.7</v>
      </c>
    </row>
    <row r="1831" spans="1:9" ht="24" customHeight="1">
      <c r="A1831" s="6" t="s">
        <v>3305</v>
      </c>
      <c r="B1831">
        <v>55572</v>
      </c>
      <c r="C1831">
        <v>30645</v>
      </c>
      <c r="D1831">
        <v>353618</v>
      </c>
      <c r="E1831">
        <v>289835</v>
      </c>
      <c r="F1831">
        <v>15.5</v>
      </c>
      <c r="G1831">
        <v>11.9</v>
      </c>
      <c r="H1831">
        <v>10.8</v>
      </c>
      <c r="I1831">
        <v>7.7</v>
      </c>
    </row>
    <row r="1832" spans="1:9" ht="24" customHeight="1">
      <c r="A1832" s="6" t="s">
        <v>3306</v>
      </c>
      <c r="B1832">
        <v>5105</v>
      </c>
      <c r="C1832">
        <v>3762</v>
      </c>
      <c r="D1832">
        <v>265666</v>
      </c>
      <c r="E1832">
        <v>227992</v>
      </c>
      <c r="F1832">
        <v>18.399999999999999</v>
      </c>
      <c r="G1832">
        <v>5.4</v>
      </c>
      <c r="H1832">
        <v>0</v>
      </c>
      <c r="I1832">
        <v>0</v>
      </c>
    </row>
    <row r="1833" spans="1:9" ht="24" customHeight="1">
      <c r="A1833" s="6" t="s">
        <v>3307</v>
      </c>
      <c r="B1833">
        <v>7000</v>
      </c>
      <c r="C1833">
        <v>5680</v>
      </c>
      <c r="D1833">
        <v>296295</v>
      </c>
      <c r="E1833">
        <v>265490</v>
      </c>
      <c r="F1833">
        <v>14.5</v>
      </c>
      <c r="G1833">
        <v>15.2</v>
      </c>
      <c r="H1833">
        <v>1.4</v>
      </c>
      <c r="I1833">
        <v>1.4</v>
      </c>
    </row>
    <row r="1834" spans="1:9" ht="24" customHeight="1">
      <c r="A1834" s="6" t="s">
        <v>3308</v>
      </c>
      <c r="B1834">
        <v>6672</v>
      </c>
      <c r="C1834">
        <v>3765</v>
      </c>
      <c r="D1834">
        <v>372994</v>
      </c>
      <c r="E1834">
        <v>294962</v>
      </c>
      <c r="F1834">
        <v>13.4</v>
      </c>
      <c r="G1834">
        <v>11.8</v>
      </c>
      <c r="H1834">
        <v>12</v>
      </c>
      <c r="I1834">
        <v>11.8</v>
      </c>
    </row>
    <row r="1835" spans="1:9" ht="24" customHeight="1">
      <c r="A1835" s="6" t="s">
        <v>3309</v>
      </c>
      <c r="B1835">
        <v>6695</v>
      </c>
      <c r="C1835">
        <v>2520</v>
      </c>
      <c r="D1835">
        <v>382229</v>
      </c>
      <c r="E1835">
        <v>323172</v>
      </c>
      <c r="F1835">
        <v>14.1</v>
      </c>
      <c r="G1835">
        <v>10.3</v>
      </c>
      <c r="H1835">
        <v>17</v>
      </c>
      <c r="I1835">
        <v>16.5</v>
      </c>
    </row>
    <row r="1836" spans="1:9" ht="24" customHeight="1">
      <c r="A1836" s="6" t="s">
        <v>3310</v>
      </c>
      <c r="B1836">
        <v>4506</v>
      </c>
      <c r="C1836">
        <v>1346</v>
      </c>
      <c r="D1836">
        <v>419127</v>
      </c>
      <c r="E1836">
        <v>356540</v>
      </c>
      <c r="F1836">
        <v>20.3</v>
      </c>
      <c r="G1836">
        <v>12.5</v>
      </c>
      <c r="H1836">
        <v>21.2</v>
      </c>
      <c r="I1836">
        <v>21.4</v>
      </c>
    </row>
    <row r="1837" spans="1:9" ht="24" customHeight="1">
      <c r="A1837" s="6" t="s">
        <v>3311</v>
      </c>
      <c r="B1837">
        <v>2887</v>
      </c>
      <c r="C1837">
        <v>915</v>
      </c>
      <c r="D1837">
        <v>411595</v>
      </c>
      <c r="E1837">
        <v>368009</v>
      </c>
      <c r="F1837">
        <v>12.1</v>
      </c>
      <c r="G1837">
        <v>6.8</v>
      </c>
      <c r="H1837">
        <v>26.6</v>
      </c>
      <c r="I1837">
        <v>26.8</v>
      </c>
    </row>
    <row r="1838" spans="1:9" ht="24" customHeight="1">
      <c r="A1838" s="6" t="s">
        <v>3312</v>
      </c>
      <c r="B1838">
        <v>7051</v>
      </c>
      <c r="C1838">
        <v>4850</v>
      </c>
      <c r="D1838">
        <v>328246</v>
      </c>
      <c r="E1838">
        <v>279730</v>
      </c>
      <c r="F1838">
        <v>17.7</v>
      </c>
      <c r="G1838">
        <v>12.3</v>
      </c>
      <c r="H1838">
        <v>3.5</v>
      </c>
      <c r="I1838">
        <v>3.4</v>
      </c>
    </row>
    <row r="1839" spans="1:9" ht="24" customHeight="1">
      <c r="A1839" s="6" t="s">
        <v>3313</v>
      </c>
      <c r="B1839">
        <v>3443</v>
      </c>
      <c r="C1839">
        <v>750</v>
      </c>
      <c r="D1839">
        <v>460442</v>
      </c>
      <c r="E1839">
        <v>354560</v>
      </c>
      <c r="F1839">
        <v>12.8</v>
      </c>
      <c r="G1839">
        <v>13.6</v>
      </c>
      <c r="H1839">
        <v>34.4</v>
      </c>
      <c r="I1839">
        <v>33.5</v>
      </c>
    </row>
    <row r="1840" spans="1:9" ht="24" customHeight="1">
      <c r="A1840" s="6" t="s">
        <v>3314</v>
      </c>
      <c r="B1840">
        <v>12619</v>
      </c>
      <c r="C1840">
        <v>7555</v>
      </c>
      <c r="D1840">
        <v>341691</v>
      </c>
      <c r="E1840">
        <v>296816</v>
      </c>
      <c r="F1840">
        <v>14.6</v>
      </c>
      <c r="G1840">
        <v>12.5</v>
      </c>
      <c r="H1840">
        <v>6.8</v>
      </c>
      <c r="I1840">
        <v>6.7</v>
      </c>
    </row>
    <row r="1841" spans="1:9" ht="24" customHeight="1">
      <c r="A1841" s="6" t="s">
        <v>3315</v>
      </c>
      <c r="B1841">
        <v>49887</v>
      </c>
      <c r="C1841">
        <v>25414</v>
      </c>
      <c r="D1841">
        <v>394259</v>
      </c>
      <c r="E1841">
        <v>307083</v>
      </c>
      <c r="F1841">
        <v>16.100000000000001</v>
      </c>
      <c r="G1841">
        <v>15.2</v>
      </c>
      <c r="H1841">
        <v>11.6</v>
      </c>
      <c r="I1841">
        <v>8</v>
      </c>
    </row>
    <row r="1842" spans="1:9" ht="24" customHeight="1">
      <c r="A1842" s="6" t="s">
        <v>3316</v>
      </c>
      <c r="B1842">
        <v>4374</v>
      </c>
      <c r="C1842">
        <v>3518</v>
      </c>
      <c r="D1842">
        <v>309214</v>
      </c>
      <c r="E1842">
        <v>221592</v>
      </c>
      <c r="F1842">
        <v>13</v>
      </c>
      <c r="G1842">
        <v>9.4</v>
      </c>
      <c r="H1842">
        <v>0</v>
      </c>
      <c r="I1842">
        <v>0</v>
      </c>
    </row>
    <row r="1843" spans="1:9" ht="24" customHeight="1">
      <c r="A1843" s="6" t="s">
        <v>3317</v>
      </c>
      <c r="B1843">
        <v>4572</v>
      </c>
      <c r="C1843">
        <v>3958</v>
      </c>
      <c r="D1843">
        <v>308277</v>
      </c>
      <c r="E1843">
        <v>265129</v>
      </c>
      <c r="F1843">
        <v>17</v>
      </c>
      <c r="G1843">
        <v>13.1</v>
      </c>
      <c r="H1843">
        <v>1.3</v>
      </c>
      <c r="I1843">
        <v>1.4</v>
      </c>
    </row>
    <row r="1844" spans="1:9" ht="24" customHeight="1">
      <c r="A1844" s="6" t="s">
        <v>3318</v>
      </c>
      <c r="B1844">
        <v>7695</v>
      </c>
      <c r="C1844">
        <v>2687</v>
      </c>
      <c r="D1844">
        <v>403816</v>
      </c>
      <c r="E1844">
        <v>331756</v>
      </c>
      <c r="F1844">
        <v>13.6</v>
      </c>
      <c r="G1844">
        <v>14</v>
      </c>
      <c r="H1844">
        <v>11.7</v>
      </c>
      <c r="I1844">
        <v>12</v>
      </c>
    </row>
    <row r="1845" spans="1:9" ht="24" customHeight="1">
      <c r="A1845" s="6" t="s">
        <v>3319</v>
      </c>
      <c r="B1845">
        <v>5100</v>
      </c>
      <c r="C1845">
        <v>2674</v>
      </c>
      <c r="D1845">
        <v>423108</v>
      </c>
      <c r="E1845">
        <v>369964</v>
      </c>
      <c r="F1845">
        <v>13.8</v>
      </c>
      <c r="G1845">
        <v>28.8</v>
      </c>
      <c r="H1845">
        <v>16.7</v>
      </c>
      <c r="I1845">
        <v>16.3</v>
      </c>
    </row>
    <row r="1846" spans="1:9" ht="24" customHeight="1">
      <c r="A1846" s="6" t="s">
        <v>3320</v>
      </c>
      <c r="B1846">
        <v>3942</v>
      </c>
      <c r="C1846">
        <v>1423</v>
      </c>
      <c r="D1846">
        <v>469323</v>
      </c>
      <c r="E1846">
        <v>388449</v>
      </c>
      <c r="F1846">
        <v>19.8</v>
      </c>
      <c r="G1846">
        <v>7.1</v>
      </c>
      <c r="H1846">
        <v>22.2</v>
      </c>
      <c r="I1846">
        <v>21.7</v>
      </c>
    </row>
    <row r="1847" spans="1:9" ht="24" customHeight="1">
      <c r="A1847" s="6" t="s">
        <v>3321</v>
      </c>
      <c r="B1847">
        <v>2711</v>
      </c>
      <c r="C1847">
        <v>1050</v>
      </c>
      <c r="D1847">
        <v>492889</v>
      </c>
      <c r="E1847">
        <v>471926</v>
      </c>
      <c r="F1847">
        <v>13.2</v>
      </c>
      <c r="G1847">
        <v>19.899999999999999</v>
      </c>
      <c r="H1847">
        <v>26.7</v>
      </c>
      <c r="I1847">
        <v>27.1</v>
      </c>
    </row>
    <row r="1848" spans="1:9" ht="24" customHeight="1">
      <c r="A1848" s="6" t="s">
        <v>3322</v>
      </c>
      <c r="B1848">
        <v>6245</v>
      </c>
      <c r="C1848">
        <v>4063</v>
      </c>
      <c r="D1848">
        <v>335635</v>
      </c>
      <c r="E1848">
        <v>279268</v>
      </c>
      <c r="F1848">
        <v>17.100000000000001</v>
      </c>
      <c r="G1848">
        <v>16.8</v>
      </c>
      <c r="H1848">
        <v>3.5</v>
      </c>
      <c r="I1848">
        <v>3.5</v>
      </c>
    </row>
    <row r="1849" spans="1:9" ht="24" customHeight="1">
      <c r="A1849" s="6" t="s">
        <v>3323</v>
      </c>
      <c r="B1849">
        <v>4129</v>
      </c>
      <c r="C1849">
        <v>376</v>
      </c>
      <c r="D1849">
        <v>547887</v>
      </c>
      <c r="E1849">
        <v>387738</v>
      </c>
      <c r="F1849">
        <v>11.9</v>
      </c>
      <c r="G1849">
        <v>9.6</v>
      </c>
      <c r="H1849">
        <v>33.700000000000003</v>
      </c>
      <c r="I1849">
        <v>32.799999999999997</v>
      </c>
    </row>
    <row r="1850" spans="1:9" ht="24" customHeight="1">
      <c r="A1850" s="6" t="s">
        <v>3324</v>
      </c>
      <c r="B1850">
        <v>11167</v>
      </c>
      <c r="C1850">
        <v>5998</v>
      </c>
      <c r="D1850">
        <v>368100</v>
      </c>
      <c r="E1850">
        <v>308177</v>
      </c>
      <c r="F1850">
        <v>19.899999999999999</v>
      </c>
      <c r="G1850">
        <v>14.2</v>
      </c>
      <c r="H1850">
        <v>6.8</v>
      </c>
      <c r="I1850">
        <v>6.5</v>
      </c>
    </row>
    <row r="1851" spans="1:9" ht="24" customHeight="1">
      <c r="A1851" s="6" t="s">
        <v>624</v>
      </c>
      <c r="B1851">
        <v>65212</v>
      </c>
      <c r="C1851">
        <v>44407</v>
      </c>
      <c r="D1851">
        <v>485933</v>
      </c>
      <c r="E1851">
        <v>344533</v>
      </c>
      <c r="F1851">
        <v>12</v>
      </c>
      <c r="G1851">
        <v>11.8</v>
      </c>
      <c r="H1851">
        <v>14</v>
      </c>
      <c r="I1851">
        <v>8.9</v>
      </c>
    </row>
    <row r="1852" spans="1:9" ht="24" customHeight="1">
      <c r="A1852" s="6" t="s">
        <v>625</v>
      </c>
      <c r="B1852">
        <v>3034</v>
      </c>
      <c r="C1852">
        <v>5151</v>
      </c>
      <c r="D1852">
        <v>318966</v>
      </c>
      <c r="E1852">
        <v>252464</v>
      </c>
      <c r="F1852">
        <v>8.5</v>
      </c>
      <c r="G1852">
        <v>7.7</v>
      </c>
      <c r="H1852">
        <v>0</v>
      </c>
      <c r="I1852">
        <v>0</v>
      </c>
    </row>
    <row r="1853" spans="1:9" ht="24" customHeight="1">
      <c r="A1853" s="6" t="s">
        <v>3325</v>
      </c>
      <c r="B1853">
        <v>4213</v>
      </c>
      <c r="C1853">
        <v>5243</v>
      </c>
      <c r="D1853">
        <v>322584</v>
      </c>
      <c r="E1853">
        <v>284807</v>
      </c>
      <c r="F1853">
        <v>14.8</v>
      </c>
      <c r="G1853">
        <v>9.5</v>
      </c>
      <c r="H1853">
        <v>1.5</v>
      </c>
      <c r="I1853">
        <v>1.5</v>
      </c>
    </row>
    <row r="1854" spans="1:9" ht="24" customHeight="1">
      <c r="A1854" s="6" t="s">
        <v>3326</v>
      </c>
      <c r="B1854">
        <v>9043</v>
      </c>
      <c r="C1854">
        <v>6281</v>
      </c>
      <c r="D1854">
        <v>459334</v>
      </c>
      <c r="E1854">
        <v>337687</v>
      </c>
      <c r="F1854">
        <v>10.4</v>
      </c>
      <c r="G1854">
        <v>11</v>
      </c>
      <c r="H1854">
        <v>12</v>
      </c>
      <c r="I1854">
        <v>11.7</v>
      </c>
    </row>
    <row r="1855" spans="1:9" ht="24" customHeight="1">
      <c r="A1855" s="6" t="s">
        <v>3327</v>
      </c>
      <c r="B1855">
        <v>12649</v>
      </c>
      <c r="C1855">
        <v>6429</v>
      </c>
      <c r="D1855">
        <v>521201</v>
      </c>
      <c r="E1855">
        <v>378352</v>
      </c>
      <c r="F1855">
        <v>10.7</v>
      </c>
      <c r="G1855">
        <v>11.7</v>
      </c>
      <c r="H1855">
        <v>17</v>
      </c>
      <c r="I1855">
        <v>16.7</v>
      </c>
    </row>
    <row r="1856" spans="1:9" ht="24" customHeight="1">
      <c r="A1856" s="6" t="s">
        <v>3328</v>
      </c>
      <c r="B1856">
        <v>6879</v>
      </c>
      <c r="C1856">
        <v>2378</v>
      </c>
      <c r="D1856">
        <v>601688</v>
      </c>
      <c r="E1856">
        <v>435155</v>
      </c>
      <c r="F1856">
        <v>13.2</v>
      </c>
      <c r="G1856">
        <v>12.8</v>
      </c>
      <c r="H1856">
        <v>21.7</v>
      </c>
      <c r="I1856">
        <v>21.9</v>
      </c>
    </row>
    <row r="1857" spans="1:9" ht="24" customHeight="1">
      <c r="A1857" s="6" t="s">
        <v>3329</v>
      </c>
      <c r="B1857">
        <v>3988</v>
      </c>
      <c r="C1857">
        <v>1498</v>
      </c>
      <c r="D1857">
        <v>635565</v>
      </c>
      <c r="E1857">
        <v>435659</v>
      </c>
      <c r="F1857">
        <v>9.4</v>
      </c>
      <c r="G1857">
        <v>9.8000000000000007</v>
      </c>
      <c r="H1857">
        <v>26.7</v>
      </c>
      <c r="I1857">
        <v>26.5</v>
      </c>
    </row>
    <row r="1858" spans="1:9" ht="24" customHeight="1">
      <c r="A1858" s="6" t="s">
        <v>3330</v>
      </c>
      <c r="B1858">
        <v>5472</v>
      </c>
      <c r="C1858">
        <v>8056</v>
      </c>
      <c r="D1858">
        <v>383945</v>
      </c>
      <c r="E1858">
        <v>331074</v>
      </c>
      <c r="F1858">
        <v>14.7</v>
      </c>
      <c r="G1858">
        <v>14.6</v>
      </c>
      <c r="H1858">
        <v>3.5</v>
      </c>
      <c r="I1858">
        <v>3.4</v>
      </c>
    </row>
    <row r="1859" spans="1:9" ht="24" customHeight="1">
      <c r="A1859" s="6" t="s">
        <v>626</v>
      </c>
      <c r="B1859">
        <v>6559</v>
      </c>
      <c r="C1859">
        <v>1455</v>
      </c>
      <c r="D1859">
        <v>708256</v>
      </c>
      <c r="E1859">
        <v>541491</v>
      </c>
      <c r="F1859">
        <v>13.9</v>
      </c>
      <c r="G1859">
        <v>9.4</v>
      </c>
      <c r="H1859">
        <v>33</v>
      </c>
      <c r="I1859">
        <v>33.200000000000003</v>
      </c>
    </row>
    <row r="1860" spans="1:9" ht="24" customHeight="1">
      <c r="A1860" s="6" t="s">
        <v>3331</v>
      </c>
      <c r="B1860">
        <v>13467</v>
      </c>
      <c r="C1860">
        <v>10592</v>
      </c>
      <c r="D1860">
        <v>387993</v>
      </c>
      <c r="E1860">
        <v>325971</v>
      </c>
      <c r="F1860">
        <v>12.3</v>
      </c>
      <c r="G1860">
        <v>12.4</v>
      </c>
      <c r="H1860">
        <v>6.8</v>
      </c>
      <c r="I1860">
        <v>6.9</v>
      </c>
    </row>
    <row r="1861" spans="1:9" ht="24" customHeight="1">
      <c r="A1861" s="6" t="s">
        <v>3332</v>
      </c>
      <c r="B1861">
        <v>96911</v>
      </c>
      <c r="C1861">
        <v>71649</v>
      </c>
      <c r="D1861">
        <v>384220</v>
      </c>
      <c r="E1861">
        <v>291136</v>
      </c>
      <c r="F1861">
        <v>7.4</v>
      </c>
      <c r="G1861">
        <v>5.6</v>
      </c>
      <c r="H1861">
        <v>11.7</v>
      </c>
      <c r="I1861">
        <v>8.6999999999999993</v>
      </c>
    </row>
    <row r="1862" spans="1:9" ht="24" customHeight="1">
      <c r="A1862" s="6" t="s">
        <v>3333</v>
      </c>
      <c r="B1862">
        <v>6069</v>
      </c>
      <c r="C1862">
        <v>7685</v>
      </c>
      <c r="D1862">
        <v>270220</v>
      </c>
      <c r="E1862">
        <v>206244</v>
      </c>
      <c r="F1862">
        <v>6.6</v>
      </c>
      <c r="G1862">
        <v>3.9</v>
      </c>
      <c r="H1862">
        <v>0</v>
      </c>
      <c r="I1862">
        <v>0</v>
      </c>
    </row>
    <row r="1863" spans="1:9" ht="24" customHeight="1">
      <c r="A1863" s="6" t="s">
        <v>3334</v>
      </c>
      <c r="B1863">
        <v>10830</v>
      </c>
      <c r="C1863">
        <v>11894</v>
      </c>
      <c r="D1863">
        <v>324013</v>
      </c>
      <c r="E1863">
        <v>245441</v>
      </c>
      <c r="F1863">
        <v>6.3</v>
      </c>
      <c r="G1863">
        <v>4.9000000000000004</v>
      </c>
      <c r="H1863">
        <v>1.5</v>
      </c>
      <c r="I1863">
        <v>1.5</v>
      </c>
    </row>
    <row r="1864" spans="1:9" ht="24" customHeight="1">
      <c r="A1864" s="6" t="s">
        <v>3335</v>
      </c>
      <c r="B1864">
        <v>14626</v>
      </c>
      <c r="C1864">
        <v>11217</v>
      </c>
      <c r="D1864">
        <v>404078</v>
      </c>
      <c r="E1864">
        <v>309652</v>
      </c>
      <c r="F1864">
        <v>8.5</v>
      </c>
      <c r="G1864">
        <v>6.4</v>
      </c>
      <c r="H1864">
        <v>11.8</v>
      </c>
      <c r="I1864">
        <v>11.7</v>
      </c>
    </row>
    <row r="1865" spans="1:9" ht="24" customHeight="1">
      <c r="A1865" s="6" t="s">
        <v>3336</v>
      </c>
      <c r="B1865">
        <v>12473</v>
      </c>
      <c r="C1865">
        <v>7546</v>
      </c>
      <c r="D1865">
        <v>426533</v>
      </c>
      <c r="E1865">
        <v>332895</v>
      </c>
      <c r="F1865">
        <v>7.7</v>
      </c>
      <c r="G1865">
        <v>5.5</v>
      </c>
      <c r="H1865">
        <v>16.7</v>
      </c>
      <c r="I1865">
        <v>16.8</v>
      </c>
    </row>
    <row r="1866" spans="1:9" ht="24" customHeight="1">
      <c r="A1866" s="6" t="s">
        <v>3337</v>
      </c>
      <c r="B1866">
        <v>8380</v>
      </c>
      <c r="C1866">
        <v>3814</v>
      </c>
      <c r="D1866">
        <v>448199</v>
      </c>
      <c r="E1866">
        <v>355951</v>
      </c>
      <c r="F1866">
        <v>7.2</v>
      </c>
      <c r="G1866">
        <v>5.6</v>
      </c>
      <c r="H1866">
        <v>21.7</v>
      </c>
      <c r="I1866">
        <v>21.7</v>
      </c>
    </row>
    <row r="1867" spans="1:9" ht="24" customHeight="1">
      <c r="A1867" s="6" t="s">
        <v>3338</v>
      </c>
      <c r="B1867">
        <v>5418</v>
      </c>
      <c r="C1867">
        <v>2499</v>
      </c>
      <c r="D1867">
        <v>453326</v>
      </c>
      <c r="E1867">
        <v>383302</v>
      </c>
      <c r="F1867">
        <v>6.7</v>
      </c>
      <c r="G1867">
        <v>4.4000000000000004</v>
      </c>
      <c r="H1867">
        <v>26.8</v>
      </c>
      <c r="I1867">
        <v>26.9</v>
      </c>
    </row>
    <row r="1868" spans="1:9" ht="24" customHeight="1">
      <c r="A1868" s="6" t="s">
        <v>3339</v>
      </c>
      <c r="B1868">
        <v>11244</v>
      </c>
      <c r="C1868">
        <v>11297</v>
      </c>
      <c r="D1868">
        <v>327323</v>
      </c>
      <c r="E1868">
        <v>263775</v>
      </c>
      <c r="F1868">
        <v>7.4</v>
      </c>
      <c r="G1868">
        <v>5.9</v>
      </c>
      <c r="H1868">
        <v>3.4</v>
      </c>
      <c r="I1868">
        <v>3.5</v>
      </c>
    </row>
    <row r="1869" spans="1:9" ht="24" customHeight="1">
      <c r="A1869" s="6" t="s">
        <v>3340</v>
      </c>
      <c r="B1869">
        <v>6843</v>
      </c>
      <c r="C1869">
        <v>2811</v>
      </c>
      <c r="D1869">
        <v>476829</v>
      </c>
      <c r="E1869">
        <v>303583</v>
      </c>
      <c r="F1869">
        <v>4.5999999999999996</v>
      </c>
      <c r="G1869">
        <v>2.1</v>
      </c>
      <c r="H1869">
        <v>34.200000000000003</v>
      </c>
      <c r="I1869">
        <v>35.700000000000003</v>
      </c>
    </row>
    <row r="1870" spans="1:9" ht="24" customHeight="1">
      <c r="A1870" s="6" t="s">
        <v>3341</v>
      </c>
      <c r="B1870">
        <v>22456</v>
      </c>
      <c r="C1870">
        <v>17706</v>
      </c>
      <c r="D1870">
        <v>352731</v>
      </c>
      <c r="E1870">
        <v>283429</v>
      </c>
      <c r="F1870">
        <v>7.8</v>
      </c>
      <c r="G1870">
        <v>5.8</v>
      </c>
      <c r="H1870">
        <v>7</v>
      </c>
      <c r="I1870">
        <v>6.7</v>
      </c>
    </row>
    <row r="1871" spans="1:9" ht="24" customHeight="1">
      <c r="A1871" s="6" t="s">
        <v>3342</v>
      </c>
      <c r="B1871">
        <v>52620</v>
      </c>
      <c r="C1871">
        <v>31493</v>
      </c>
      <c r="D1871">
        <v>388035</v>
      </c>
      <c r="E1871">
        <v>289989</v>
      </c>
      <c r="F1871">
        <v>11.2</v>
      </c>
      <c r="G1871">
        <v>6.2</v>
      </c>
      <c r="H1871">
        <v>11.4</v>
      </c>
      <c r="I1871">
        <v>8.4</v>
      </c>
    </row>
    <row r="1872" spans="1:9" ht="24" customHeight="1">
      <c r="A1872" s="6" t="s">
        <v>3343</v>
      </c>
      <c r="B1872">
        <v>3311</v>
      </c>
      <c r="C1872">
        <v>4280</v>
      </c>
      <c r="D1872">
        <v>251099</v>
      </c>
      <c r="E1872">
        <v>218956</v>
      </c>
      <c r="F1872">
        <v>8.1</v>
      </c>
      <c r="G1872">
        <v>4.9000000000000004</v>
      </c>
      <c r="H1872">
        <v>0</v>
      </c>
      <c r="I1872">
        <v>0</v>
      </c>
    </row>
    <row r="1873" spans="1:9" ht="24" customHeight="1">
      <c r="A1873" s="6" t="s">
        <v>3344</v>
      </c>
      <c r="B1873">
        <v>6158</v>
      </c>
      <c r="C1873">
        <v>5149</v>
      </c>
      <c r="D1873">
        <v>300141</v>
      </c>
      <c r="E1873">
        <v>246581</v>
      </c>
      <c r="F1873">
        <v>10.199999999999999</v>
      </c>
      <c r="G1873">
        <v>5.2</v>
      </c>
      <c r="H1873">
        <v>1.5</v>
      </c>
      <c r="I1873">
        <v>1.4</v>
      </c>
    </row>
    <row r="1874" spans="1:9" ht="24" customHeight="1">
      <c r="A1874" s="6" t="s">
        <v>3345</v>
      </c>
      <c r="B1874">
        <v>8119</v>
      </c>
      <c r="C1874">
        <v>4144</v>
      </c>
      <c r="D1874">
        <v>402515</v>
      </c>
      <c r="E1874">
        <v>307362</v>
      </c>
      <c r="F1874">
        <v>10.8</v>
      </c>
      <c r="G1874">
        <v>6.4</v>
      </c>
      <c r="H1874">
        <v>11.7</v>
      </c>
      <c r="I1874">
        <v>11.8</v>
      </c>
    </row>
    <row r="1875" spans="1:9" ht="24" customHeight="1">
      <c r="A1875" s="6" t="s">
        <v>3346</v>
      </c>
      <c r="B1875">
        <v>7294</v>
      </c>
      <c r="C1875">
        <v>3159</v>
      </c>
      <c r="D1875">
        <v>435320</v>
      </c>
      <c r="E1875">
        <v>319969</v>
      </c>
      <c r="F1875">
        <v>8</v>
      </c>
      <c r="G1875">
        <v>6.4</v>
      </c>
      <c r="H1875">
        <v>16.899999999999999</v>
      </c>
      <c r="I1875">
        <v>16.7</v>
      </c>
    </row>
    <row r="1876" spans="1:9" ht="24" customHeight="1">
      <c r="A1876" s="6" t="s">
        <v>3347</v>
      </c>
      <c r="B1876">
        <v>5002</v>
      </c>
      <c r="C1876">
        <v>1736</v>
      </c>
      <c r="D1876">
        <v>471998</v>
      </c>
      <c r="E1876">
        <v>379591</v>
      </c>
      <c r="F1876">
        <v>7.7</v>
      </c>
      <c r="G1876">
        <v>6.4</v>
      </c>
      <c r="H1876">
        <v>21.8</v>
      </c>
      <c r="I1876">
        <v>21.6</v>
      </c>
    </row>
    <row r="1877" spans="1:9" ht="24" customHeight="1">
      <c r="A1877" s="6" t="s">
        <v>3348</v>
      </c>
      <c r="B1877">
        <v>2523</v>
      </c>
      <c r="C1877">
        <v>1173</v>
      </c>
      <c r="D1877">
        <v>515350</v>
      </c>
      <c r="E1877">
        <v>375847</v>
      </c>
      <c r="F1877">
        <v>10.3</v>
      </c>
      <c r="G1877">
        <v>5.9</v>
      </c>
      <c r="H1877">
        <v>26.9</v>
      </c>
      <c r="I1877">
        <v>26.7</v>
      </c>
    </row>
    <row r="1878" spans="1:9" ht="24" customHeight="1">
      <c r="A1878" s="6" t="s">
        <v>3349</v>
      </c>
      <c r="B1878">
        <v>6724</v>
      </c>
      <c r="C1878">
        <v>4887</v>
      </c>
      <c r="D1878">
        <v>348423</v>
      </c>
      <c r="E1878">
        <v>275410</v>
      </c>
      <c r="F1878">
        <v>18</v>
      </c>
      <c r="G1878">
        <v>6.1</v>
      </c>
      <c r="H1878">
        <v>3.5</v>
      </c>
      <c r="I1878">
        <v>3.5</v>
      </c>
    </row>
    <row r="1879" spans="1:9" ht="24" customHeight="1">
      <c r="A1879" s="6" t="s">
        <v>3350</v>
      </c>
      <c r="B1879">
        <v>3344</v>
      </c>
      <c r="C1879">
        <v>1169</v>
      </c>
      <c r="D1879">
        <v>526906</v>
      </c>
      <c r="E1879">
        <v>434304</v>
      </c>
      <c r="F1879">
        <v>6.2</v>
      </c>
      <c r="G1879">
        <v>9.8000000000000007</v>
      </c>
      <c r="H1879">
        <v>33.5</v>
      </c>
      <c r="I1879">
        <v>32.9</v>
      </c>
    </row>
    <row r="1880" spans="1:9" ht="24" customHeight="1">
      <c r="A1880" s="6" t="s">
        <v>3351</v>
      </c>
      <c r="B1880">
        <v>11149</v>
      </c>
      <c r="C1880">
        <v>7339</v>
      </c>
      <c r="D1880">
        <v>368755</v>
      </c>
      <c r="E1880">
        <v>293691</v>
      </c>
      <c r="F1880">
        <v>13.4</v>
      </c>
      <c r="G1880">
        <v>6.2</v>
      </c>
      <c r="H1880">
        <v>6.9</v>
      </c>
      <c r="I1880">
        <v>6.7</v>
      </c>
    </row>
    <row r="1881" spans="1:9" ht="24" customHeight="1">
      <c r="A1881" s="6" t="s">
        <v>3352</v>
      </c>
      <c r="B1881">
        <v>42720</v>
      </c>
      <c r="C1881">
        <v>22372</v>
      </c>
      <c r="D1881">
        <v>430233</v>
      </c>
      <c r="E1881">
        <v>345210</v>
      </c>
      <c r="F1881">
        <v>8.9</v>
      </c>
      <c r="G1881">
        <v>7.8</v>
      </c>
      <c r="H1881">
        <v>14.5</v>
      </c>
      <c r="I1881">
        <v>10.5</v>
      </c>
    </row>
    <row r="1882" spans="1:9" ht="24" customHeight="1">
      <c r="A1882" s="6" t="s">
        <v>3353</v>
      </c>
      <c r="B1882">
        <v>2036</v>
      </c>
      <c r="C1882">
        <v>2331</v>
      </c>
      <c r="D1882">
        <v>265447</v>
      </c>
      <c r="E1882">
        <v>232791</v>
      </c>
      <c r="F1882">
        <v>5.6</v>
      </c>
      <c r="G1882">
        <v>6.7</v>
      </c>
      <c r="H1882">
        <v>0</v>
      </c>
      <c r="I1882">
        <v>0</v>
      </c>
    </row>
    <row r="1883" spans="1:9" ht="24" customHeight="1">
      <c r="A1883" s="6" t="s">
        <v>3354</v>
      </c>
      <c r="B1883">
        <v>3211</v>
      </c>
      <c r="C1883">
        <v>2756</v>
      </c>
      <c r="D1883">
        <v>316908</v>
      </c>
      <c r="E1883">
        <v>278671</v>
      </c>
      <c r="F1883">
        <v>8.6</v>
      </c>
      <c r="G1883">
        <v>6.3</v>
      </c>
      <c r="H1883">
        <v>1.5</v>
      </c>
      <c r="I1883">
        <v>1.4</v>
      </c>
    </row>
    <row r="1884" spans="1:9" ht="24" customHeight="1">
      <c r="A1884" s="6" t="s">
        <v>3355</v>
      </c>
      <c r="B1884">
        <v>6017</v>
      </c>
      <c r="C1884">
        <v>3107</v>
      </c>
      <c r="D1884">
        <v>407698</v>
      </c>
      <c r="E1884">
        <v>367374</v>
      </c>
      <c r="F1884">
        <v>10.199999999999999</v>
      </c>
      <c r="G1884">
        <v>8.4</v>
      </c>
      <c r="H1884">
        <v>12</v>
      </c>
      <c r="I1884">
        <v>12.2</v>
      </c>
    </row>
    <row r="1885" spans="1:9" ht="24" customHeight="1">
      <c r="A1885" s="6" t="s">
        <v>3356</v>
      </c>
      <c r="B1885">
        <v>7816</v>
      </c>
      <c r="C1885">
        <v>2327</v>
      </c>
      <c r="D1885">
        <v>463006</v>
      </c>
      <c r="E1885">
        <v>377465</v>
      </c>
      <c r="F1885">
        <v>7.3</v>
      </c>
      <c r="G1885">
        <v>7.4</v>
      </c>
      <c r="H1885">
        <v>16.899999999999999</v>
      </c>
      <c r="I1885">
        <v>16.8</v>
      </c>
    </row>
    <row r="1886" spans="1:9" ht="24" customHeight="1">
      <c r="A1886" s="6" t="s">
        <v>3357</v>
      </c>
      <c r="B1886">
        <v>4194</v>
      </c>
      <c r="C1886">
        <v>2283</v>
      </c>
      <c r="D1886">
        <v>498536</v>
      </c>
      <c r="E1886">
        <v>420604</v>
      </c>
      <c r="F1886">
        <v>8.6</v>
      </c>
      <c r="G1886">
        <v>10.1</v>
      </c>
      <c r="H1886">
        <v>21.8</v>
      </c>
      <c r="I1886">
        <v>21.4</v>
      </c>
    </row>
    <row r="1887" spans="1:9" ht="24" customHeight="1">
      <c r="A1887" s="6" t="s">
        <v>3358</v>
      </c>
      <c r="B1887">
        <v>3098</v>
      </c>
      <c r="C1887">
        <v>907</v>
      </c>
      <c r="D1887">
        <v>551420</v>
      </c>
      <c r="E1887">
        <v>461832</v>
      </c>
      <c r="F1887">
        <v>7.8</v>
      </c>
      <c r="G1887">
        <v>6.5</v>
      </c>
      <c r="H1887">
        <v>27.1</v>
      </c>
      <c r="I1887">
        <v>26.6</v>
      </c>
    </row>
    <row r="1888" spans="1:9" ht="24" customHeight="1">
      <c r="A1888" s="6" t="s">
        <v>3359</v>
      </c>
      <c r="B1888">
        <v>3783</v>
      </c>
      <c r="C1888">
        <v>3113</v>
      </c>
      <c r="D1888">
        <v>355032</v>
      </c>
      <c r="E1888">
        <v>307850</v>
      </c>
      <c r="F1888">
        <v>12.6</v>
      </c>
      <c r="G1888">
        <v>5.8</v>
      </c>
      <c r="H1888">
        <v>3.5</v>
      </c>
      <c r="I1888">
        <v>3.5</v>
      </c>
    </row>
    <row r="1889" spans="1:9" ht="24" customHeight="1">
      <c r="A1889" s="6" t="s">
        <v>3360</v>
      </c>
      <c r="B1889">
        <v>5081</v>
      </c>
      <c r="C1889">
        <v>1322</v>
      </c>
      <c r="D1889">
        <v>540833</v>
      </c>
      <c r="E1889">
        <v>494367</v>
      </c>
      <c r="F1889">
        <v>6.1</v>
      </c>
      <c r="G1889">
        <v>11.9</v>
      </c>
      <c r="H1889">
        <v>34</v>
      </c>
      <c r="I1889">
        <v>33.5</v>
      </c>
    </row>
    <row r="1890" spans="1:9" ht="24" customHeight="1">
      <c r="A1890" s="6" t="s">
        <v>3361</v>
      </c>
      <c r="B1890">
        <v>7777</v>
      </c>
      <c r="C1890">
        <v>4855</v>
      </c>
      <c r="D1890">
        <v>379611</v>
      </c>
      <c r="E1890">
        <v>324105</v>
      </c>
      <c r="F1890">
        <v>10.9</v>
      </c>
      <c r="G1890">
        <v>7.3</v>
      </c>
      <c r="H1890">
        <v>7</v>
      </c>
      <c r="I1890">
        <v>6.7</v>
      </c>
    </row>
    <row r="1891" spans="1:9" ht="24" customHeight="1">
      <c r="A1891" s="6" t="s">
        <v>627</v>
      </c>
      <c r="B1891">
        <v>126178</v>
      </c>
      <c r="C1891">
        <v>65120</v>
      </c>
      <c r="D1891">
        <v>713466</v>
      </c>
      <c r="E1891">
        <v>573873</v>
      </c>
      <c r="F1891">
        <v>6.7</v>
      </c>
      <c r="G1891">
        <v>8.1999999999999993</v>
      </c>
      <c r="H1891">
        <v>15.5</v>
      </c>
      <c r="I1891">
        <v>13</v>
      </c>
    </row>
    <row r="1892" spans="1:9" ht="24" customHeight="1">
      <c r="A1892" s="6" t="s">
        <v>628</v>
      </c>
      <c r="B1892">
        <v>6482</v>
      </c>
      <c r="C1892">
        <v>4540</v>
      </c>
      <c r="D1892">
        <v>359908</v>
      </c>
      <c r="E1892">
        <v>338133</v>
      </c>
      <c r="F1892">
        <v>6</v>
      </c>
      <c r="G1892">
        <v>8.8000000000000007</v>
      </c>
      <c r="H1892">
        <v>0</v>
      </c>
      <c r="I1892">
        <v>0</v>
      </c>
    </row>
    <row r="1893" spans="1:9" ht="24" customHeight="1">
      <c r="A1893" s="6" t="s">
        <v>3362</v>
      </c>
      <c r="B1893">
        <v>10165</v>
      </c>
      <c r="C1893">
        <v>7074</v>
      </c>
      <c r="D1893">
        <v>530179</v>
      </c>
      <c r="E1893">
        <v>433091</v>
      </c>
      <c r="F1893">
        <v>9.6</v>
      </c>
      <c r="G1893">
        <v>9.8000000000000007</v>
      </c>
      <c r="H1893">
        <v>1.5</v>
      </c>
      <c r="I1893">
        <v>1.4</v>
      </c>
    </row>
    <row r="1894" spans="1:9" ht="24" customHeight="1">
      <c r="A1894" s="6" t="s">
        <v>3363</v>
      </c>
      <c r="B1894">
        <v>19271</v>
      </c>
      <c r="C1894">
        <v>9470</v>
      </c>
      <c r="D1894">
        <v>740540</v>
      </c>
      <c r="E1894">
        <v>574050</v>
      </c>
      <c r="F1894">
        <v>7.6</v>
      </c>
      <c r="G1894">
        <v>7.3</v>
      </c>
      <c r="H1894">
        <v>12</v>
      </c>
      <c r="I1894">
        <v>11.8</v>
      </c>
    </row>
    <row r="1895" spans="1:9" ht="24" customHeight="1">
      <c r="A1895" s="6" t="s">
        <v>3364</v>
      </c>
      <c r="B1895">
        <v>16755</v>
      </c>
      <c r="C1895">
        <v>8024</v>
      </c>
      <c r="D1895">
        <v>783679</v>
      </c>
      <c r="E1895">
        <v>651438</v>
      </c>
      <c r="F1895">
        <v>6.3</v>
      </c>
      <c r="G1895">
        <v>6.9</v>
      </c>
      <c r="H1895">
        <v>17</v>
      </c>
      <c r="I1895">
        <v>17</v>
      </c>
    </row>
    <row r="1896" spans="1:9" ht="24" customHeight="1">
      <c r="A1896" s="6" t="s">
        <v>3365</v>
      </c>
      <c r="B1896">
        <v>11639</v>
      </c>
      <c r="C1896">
        <v>4271</v>
      </c>
      <c r="D1896">
        <v>796032</v>
      </c>
      <c r="E1896">
        <v>696993</v>
      </c>
      <c r="F1896">
        <v>4.5</v>
      </c>
      <c r="G1896">
        <v>6.8</v>
      </c>
      <c r="H1896">
        <v>22</v>
      </c>
      <c r="I1896">
        <v>22.1</v>
      </c>
    </row>
    <row r="1897" spans="1:9" ht="24" customHeight="1">
      <c r="A1897" s="6" t="s">
        <v>3366</v>
      </c>
      <c r="B1897">
        <v>11987</v>
      </c>
      <c r="C1897">
        <v>5180</v>
      </c>
      <c r="D1897">
        <v>828872</v>
      </c>
      <c r="E1897">
        <v>708031</v>
      </c>
      <c r="F1897">
        <v>4.4000000000000004</v>
      </c>
      <c r="G1897">
        <v>6.2</v>
      </c>
      <c r="H1897">
        <v>27</v>
      </c>
      <c r="I1897">
        <v>27</v>
      </c>
    </row>
    <row r="1898" spans="1:9" ht="24" customHeight="1">
      <c r="A1898" s="6" t="s">
        <v>3367</v>
      </c>
      <c r="B1898">
        <v>9577</v>
      </c>
      <c r="C1898">
        <v>6872</v>
      </c>
      <c r="D1898">
        <v>578429</v>
      </c>
      <c r="E1898">
        <v>475873</v>
      </c>
      <c r="F1898">
        <v>8.6999999999999993</v>
      </c>
      <c r="G1898">
        <v>9.3000000000000007</v>
      </c>
      <c r="H1898">
        <v>3.5</v>
      </c>
      <c r="I1898">
        <v>3.5</v>
      </c>
    </row>
    <row r="1899" spans="1:9" ht="24" customHeight="1">
      <c r="A1899" s="6" t="s">
        <v>629</v>
      </c>
      <c r="B1899">
        <v>19959</v>
      </c>
      <c r="C1899">
        <v>7552</v>
      </c>
      <c r="D1899">
        <v>845607</v>
      </c>
      <c r="E1899">
        <v>729178</v>
      </c>
      <c r="F1899">
        <v>5.7</v>
      </c>
      <c r="G1899">
        <v>6.9</v>
      </c>
      <c r="H1899">
        <v>33.6</v>
      </c>
      <c r="I1899">
        <v>34.1</v>
      </c>
    </row>
    <row r="1900" spans="1:9" ht="24" customHeight="1">
      <c r="A1900" s="6" t="s">
        <v>3368</v>
      </c>
      <c r="B1900">
        <v>20471</v>
      </c>
      <c r="C1900">
        <v>13694</v>
      </c>
      <c r="D1900">
        <v>651636</v>
      </c>
      <c r="E1900">
        <v>521675</v>
      </c>
      <c r="F1900">
        <v>7.4</v>
      </c>
      <c r="G1900">
        <v>9.1</v>
      </c>
      <c r="H1900">
        <v>6.8</v>
      </c>
      <c r="I1900">
        <v>6.8</v>
      </c>
    </row>
    <row r="1901" spans="1:9" ht="24" customHeight="1">
      <c r="A1901" s="6" t="s">
        <v>3369</v>
      </c>
      <c r="B1901">
        <v>65925</v>
      </c>
      <c r="C1901">
        <v>133578</v>
      </c>
      <c r="D1901">
        <v>436139</v>
      </c>
      <c r="E1901">
        <v>346087</v>
      </c>
      <c r="F1901">
        <v>10.3</v>
      </c>
      <c r="G1901">
        <v>3.8</v>
      </c>
      <c r="H1901">
        <v>12.7</v>
      </c>
      <c r="I1901">
        <v>9.3000000000000007</v>
      </c>
    </row>
    <row r="1902" spans="1:9" ht="24" customHeight="1">
      <c r="A1902" s="6" t="s">
        <v>3370</v>
      </c>
      <c r="B1902">
        <v>4111</v>
      </c>
      <c r="C1902">
        <v>13140</v>
      </c>
      <c r="D1902">
        <v>276721</v>
      </c>
      <c r="E1902">
        <v>231519</v>
      </c>
      <c r="F1902">
        <v>7.1</v>
      </c>
      <c r="G1902">
        <v>3.2</v>
      </c>
      <c r="H1902">
        <v>0</v>
      </c>
      <c r="I1902">
        <v>0</v>
      </c>
    </row>
    <row r="1903" spans="1:9" ht="24" customHeight="1">
      <c r="A1903" s="6" t="s">
        <v>3371</v>
      </c>
      <c r="B1903">
        <v>8522</v>
      </c>
      <c r="C1903">
        <v>23588</v>
      </c>
      <c r="D1903">
        <v>331601</v>
      </c>
      <c r="E1903">
        <v>285987</v>
      </c>
      <c r="F1903">
        <v>10.199999999999999</v>
      </c>
      <c r="G1903">
        <v>3.9</v>
      </c>
      <c r="H1903">
        <v>1.5</v>
      </c>
      <c r="I1903">
        <v>1.5</v>
      </c>
    </row>
    <row r="1904" spans="1:9" ht="24" customHeight="1">
      <c r="A1904" s="6" t="s">
        <v>3372</v>
      </c>
      <c r="B1904">
        <v>9021</v>
      </c>
      <c r="C1904">
        <v>17638</v>
      </c>
      <c r="D1904">
        <v>450134</v>
      </c>
      <c r="E1904">
        <v>361425</v>
      </c>
      <c r="F1904">
        <v>10.5</v>
      </c>
      <c r="G1904">
        <v>4</v>
      </c>
      <c r="H1904">
        <v>11.8</v>
      </c>
      <c r="I1904">
        <v>11.8</v>
      </c>
    </row>
    <row r="1905" spans="1:9" ht="24" customHeight="1">
      <c r="A1905" s="6" t="s">
        <v>3373</v>
      </c>
      <c r="B1905">
        <v>7737</v>
      </c>
      <c r="C1905">
        <v>12132</v>
      </c>
      <c r="D1905">
        <v>496150</v>
      </c>
      <c r="E1905">
        <v>400629</v>
      </c>
      <c r="F1905">
        <v>11.6</v>
      </c>
      <c r="G1905">
        <v>4.0999999999999996</v>
      </c>
      <c r="H1905">
        <v>17</v>
      </c>
      <c r="I1905">
        <v>16.8</v>
      </c>
    </row>
    <row r="1906" spans="1:9" ht="24" customHeight="1">
      <c r="A1906" s="6" t="s">
        <v>3374</v>
      </c>
      <c r="B1906">
        <v>5497</v>
      </c>
      <c r="C1906">
        <v>7971</v>
      </c>
      <c r="D1906">
        <v>533265</v>
      </c>
      <c r="E1906">
        <v>433503</v>
      </c>
      <c r="F1906">
        <v>9.1999999999999993</v>
      </c>
      <c r="G1906">
        <v>3.4</v>
      </c>
      <c r="H1906">
        <v>21.7</v>
      </c>
      <c r="I1906">
        <v>21.8</v>
      </c>
    </row>
    <row r="1907" spans="1:9" ht="24" customHeight="1">
      <c r="A1907" s="6" t="s">
        <v>3375</v>
      </c>
      <c r="B1907">
        <v>4340</v>
      </c>
      <c r="C1907">
        <v>5006</v>
      </c>
      <c r="D1907">
        <v>537797</v>
      </c>
      <c r="E1907">
        <v>458367</v>
      </c>
      <c r="F1907">
        <v>10.5</v>
      </c>
      <c r="G1907">
        <v>3.7</v>
      </c>
      <c r="H1907">
        <v>26.8</v>
      </c>
      <c r="I1907">
        <v>26.6</v>
      </c>
    </row>
    <row r="1908" spans="1:9" ht="24" customHeight="1">
      <c r="A1908" s="6" t="s">
        <v>3376</v>
      </c>
      <c r="B1908">
        <v>7498</v>
      </c>
      <c r="C1908">
        <v>19371</v>
      </c>
      <c r="D1908">
        <v>373412</v>
      </c>
      <c r="E1908">
        <v>311291</v>
      </c>
      <c r="F1908">
        <v>10.4</v>
      </c>
      <c r="G1908">
        <v>3.9</v>
      </c>
      <c r="H1908">
        <v>3.5</v>
      </c>
      <c r="I1908">
        <v>3.5</v>
      </c>
    </row>
    <row r="1909" spans="1:9" ht="24" customHeight="1">
      <c r="A1909" s="6" t="s">
        <v>3377</v>
      </c>
      <c r="B1909">
        <v>7100</v>
      </c>
      <c r="C1909">
        <v>6848</v>
      </c>
      <c r="D1909">
        <v>541892</v>
      </c>
      <c r="E1909">
        <v>510691</v>
      </c>
      <c r="F1909">
        <v>8.1</v>
      </c>
      <c r="G1909">
        <v>2.9</v>
      </c>
      <c r="H1909">
        <v>35.200000000000003</v>
      </c>
      <c r="I1909">
        <v>35.9</v>
      </c>
    </row>
    <row r="1910" spans="1:9" ht="24" customHeight="1">
      <c r="A1910" s="6" t="s">
        <v>3378</v>
      </c>
      <c r="B1910">
        <v>13600</v>
      </c>
      <c r="C1910">
        <v>33367</v>
      </c>
      <c r="D1910">
        <v>388781</v>
      </c>
      <c r="E1910">
        <v>329809</v>
      </c>
      <c r="F1910">
        <v>10.8</v>
      </c>
      <c r="G1910">
        <v>3.5</v>
      </c>
      <c r="H1910">
        <v>6.8</v>
      </c>
      <c r="I1910">
        <v>6.8</v>
      </c>
    </row>
    <row r="1911" spans="1:9" ht="24" customHeight="1">
      <c r="A1911" s="6" t="s">
        <v>3379</v>
      </c>
      <c r="B1911">
        <v>60218</v>
      </c>
      <c r="C1911">
        <v>47722</v>
      </c>
      <c r="D1911">
        <v>573344</v>
      </c>
      <c r="E1911">
        <v>431361</v>
      </c>
      <c r="F1911">
        <v>6.2</v>
      </c>
      <c r="G1911">
        <v>4</v>
      </c>
      <c r="H1911">
        <v>14.4</v>
      </c>
      <c r="I1911">
        <v>11.2</v>
      </c>
    </row>
    <row r="1912" spans="1:9" ht="24" customHeight="1">
      <c r="A1912" s="6" t="s">
        <v>3380</v>
      </c>
      <c r="B1912">
        <v>1964</v>
      </c>
      <c r="C1912">
        <v>3419</v>
      </c>
      <c r="D1912">
        <v>337866</v>
      </c>
      <c r="E1912">
        <v>258781</v>
      </c>
      <c r="F1912">
        <v>4.0999999999999996</v>
      </c>
      <c r="G1912">
        <v>2.9</v>
      </c>
      <c r="H1912">
        <v>0</v>
      </c>
      <c r="I1912">
        <v>0</v>
      </c>
    </row>
    <row r="1913" spans="1:9" ht="24" customHeight="1">
      <c r="A1913" s="6" t="s">
        <v>3381</v>
      </c>
      <c r="B1913">
        <v>5993</v>
      </c>
      <c r="C1913">
        <v>6609</v>
      </c>
      <c r="D1913">
        <v>425158</v>
      </c>
      <c r="E1913">
        <v>317227</v>
      </c>
      <c r="F1913">
        <v>8.6</v>
      </c>
      <c r="G1913">
        <v>4.9000000000000004</v>
      </c>
      <c r="H1913">
        <v>1.5</v>
      </c>
      <c r="I1913">
        <v>1.5</v>
      </c>
    </row>
    <row r="1914" spans="1:9" ht="24" customHeight="1">
      <c r="A1914" s="6" t="s">
        <v>3382</v>
      </c>
      <c r="B1914">
        <v>8230</v>
      </c>
      <c r="C1914">
        <v>6386</v>
      </c>
      <c r="D1914">
        <v>594289</v>
      </c>
      <c r="E1914">
        <v>458642</v>
      </c>
      <c r="F1914">
        <v>6.3</v>
      </c>
      <c r="G1914">
        <v>3.3</v>
      </c>
      <c r="H1914">
        <v>11.9</v>
      </c>
      <c r="I1914">
        <v>12</v>
      </c>
    </row>
    <row r="1915" spans="1:9" ht="24" customHeight="1">
      <c r="A1915" s="6" t="s">
        <v>3383</v>
      </c>
      <c r="B1915">
        <v>7821</v>
      </c>
      <c r="C1915">
        <v>5565</v>
      </c>
      <c r="D1915">
        <v>624393</v>
      </c>
      <c r="E1915">
        <v>503173</v>
      </c>
      <c r="F1915">
        <v>6</v>
      </c>
      <c r="G1915">
        <v>3.5</v>
      </c>
      <c r="H1915">
        <v>16.8</v>
      </c>
      <c r="I1915">
        <v>17.100000000000001</v>
      </c>
    </row>
    <row r="1916" spans="1:9" ht="24" customHeight="1">
      <c r="A1916" s="6" t="s">
        <v>3384</v>
      </c>
      <c r="B1916">
        <v>5693</v>
      </c>
      <c r="C1916">
        <v>3485</v>
      </c>
      <c r="D1916">
        <v>660638</v>
      </c>
      <c r="E1916">
        <v>541387</v>
      </c>
      <c r="F1916">
        <v>6.4</v>
      </c>
      <c r="G1916">
        <v>2.2999999999999998</v>
      </c>
      <c r="H1916">
        <v>22</v>
      </c>
      <c r="I1916">
        <v>22.1</v>
      </c>
    </row>
    <row r="1917" spans="1:9" ht="24" customHeight="1">
      <c r="A1917" s="6" t="s">
        <v>3385</v>
      </c>
      <c r="B1917">
        <v>5388</v>
      </c>
      <c r="C1917">
        <v>2145</v>
      </c>
      <c r="D1917">
        <v>681409</v>
      </c>
      <c r="E1917">
        <v>567564</v>
      </c>
      <c r="F1917">
        <v>4.5999999999999996</v>
      </c>
      <c r="G1917">
        <v>3.3</v>
      </c>
      <c r="H1917">
        <v>26.7</v>
      </c>
      <c r="I1917">
        <v>27.2</v>
      </c>
    </row>
    <row r="1918" spans="1:9" ht="24" customHeight="1">
      <c r="A1918" s="6" t="s">
        <v>3386</v>
      </c>
      <c r="B1918">
        <v>6071</v>
      </c>
      <c r="C1918">
        <v>6492</v>
      </c>
      <c r="D1918">
        <v>470225</v>
      </c>
      <c r="E1918">
        <v>350998</v>
      </c>
      <c r="F1918">
        <v>7.6</v>
      </c>
      <c r="G1918">
        <v>5.0999999999999996</v>
      </c>
      <c r="H1918">
        <v>3.4</v>
      </c>
      <c r="I1918">
        <v>3.5</v>
      </c>
    </row>
    <row r="1919" spans="1:9" ht="24" customHeight="1">
      <c r="A1919" s="6" t="s">
        <v>3387</v>
      </c>
      <c r="B1919">
        <v>7723</v>
      </c>
      <c r="C1919">
        <v>3898</v>
      </c>
      <c r="D1919">
        <v>734865</v>
      </c>
      <c r="E1919">
        <v>665431</v>
      </c>
      <c r="F1919">
        <v>4.5</v>
      </c>
      <c r="G1919">
        <v>2.8</v>
      </c>
      <c r="H1919">
        <v>34.200000000000003</v>
      </c>
      <c r="I1919">
        <v>34.4</v>
      </c>
    </row>
    <row r="1920" spans="1:9" ht="24" customHeight="1">
      <c r="A1920" s="6" t="s">
        <v>3388</v>
      </c>
      <c r="B1920">
        <v>11791</v>
      </c>
      <c r="C1920">
        <v>10857</v>
      </c>
      <c r="D1920">
        <v>490143</v>
      </c>
      <c r="E1920">
        <v>394263</v>
      </c>
      <c r="F1920">
        <v>6.1</v>
      </c>
      <c r="G1920">
        <v>4.5999999999999996</v>
      </c>
      <c r="H1920">
        <v>6.9</v>
      </c>
      <c r="I1920">
        <v>6.8</v>
      </c>
    </row>
    <row r="1921" spans="1:9" ht="24" customHeight="1">
      <c r="A1921" s="6" t="s">
        <v>3389</v>
      </c>
      <c r="B1921">
        <v>57066</v>
      </c>
      <c r="C1921">
        <v>42846</v>
      </c>
      <c r="D1921">
        <v>639705</v>
      </c>
      <c r="E1921">
        <v>525635</v>
      </c>
      <c r="F1921">
        <v>4.5999999999999996</v>
      </c>
      <c r="G1921">
        <v>5.4</v>
      </c>
      <c r="H1921">
        <v>14.4</v>
      </c>
      <c r="I1921">
        <v>12.1</v>
      </c>
    </row>
    <row r="1922" spans="1:9" ht="24" customHeight="1">
      <c r="A1922" s="6" t="s">
        <v>3390</v>
      </c>
      <c r="B1922">
        <v>2278</v>
      </c>
      <c r="C1922">
        <v>2671</v>
      </c>
      <c r="D1922">
        <v>409599</v>
      </c>
      <c r="E1922">
        <v>357437</v>
      </c>
      <c r="F1922">
        <v>3.1</v>
      </c>
      <c r="G1922">
        <v>4.3</v>
      </c>
      <c r="H1922">
        <v>0</v>
      </c>
      <c r="I1922">
        <v>0</v>
      </c>
    </row>
    <row r="1923" spans="1:9" ht="24" customHeight="1">
      <c r="A1923" s="6" t="s">
        <v>3391</v>
      </c>
      <c r="B1923">
        <v>5549</v>
      </c>
      <c r="C1923">
        <v>4999</v>
      </c>
      <c r="D1923">
        <v>495796</v>
      </c>
      <c r="E1923">
        <v>383934</v>
      </c>
      <c r="F1923">
        <v>5.4</v>
      </c>
      <c r="G1923">
        <v>6.9</v>
      </c>
      <c r="H1923">
        <v>1.5</v>
      </c>
      <c r="I1923">
        <v>1.4</v>
      </c>
    </row>
    <row r="1924" spans="1:9" ht="24" customHeight="1">
      <c r="A1924" s="6" t="s">
        <v>3392</v>
      </c>
      <c r="B1924">
        <v>8310</v>
      </c>
      <c r="C1924">
        <v>6334</v>
      </c>
      <c r="D1924">
        <v>663207</v>
      </c>
      <c r="E1924">
        <v>521837</v>
      </c>
      <c r="F1924">
        <v>5.7</v>
      </c>
      <c r="G1924">
        <v>6.2</v>
      </c>
      <c r="H1924">
        <v>12</v>
      </c>
      <c r="I1924">
        <v>11.9</v>
      </c>
    </row>
    <row r="1925" spans="1:9" ht="24" customHeight="1">
      <c r="A1925" s="6" t="s">
        <v>3393</v>
      </c>
      <c r="B1925">
        <v>7375</v>
      </c>
      <c r="C1925">
        <v>4912</v>
      </c>
      <c r="D1925">
        <v>695563</v>
      </c>
      <c r="E1925">
        <v>620784</v>
      </c>
      <c r="F1925">
        <v>4.5</v>
      </c>
      <c r="G1925">
        <v>5.4</v>
      </c>
      <c r="H1925">
        <v>16.899999999999999</v>
      </c>
      <c r="I1925">
        <v>16.899999999999999</v>
      </c>
    </row>
    <row r="1926" spans="1:9" ht="24" customHeight="1">
      <c r="A1926" s="6" t="s">
        <v>3394</v>
      </c>
      <c r="B1926">
        <v>5846</v>
      </c>
      <c r="C1926">
        <v>3276</v>
      </c>
      <c r="D1926">
        <v>722708</v>
      </c>
      <c r="E1926">
        <v>662728</v>
      </c>
      <c r="F1926">
        <v>5.6</v>
      </c>
      <c r="G1926">
        <v>3.7</v>
      </c>
      <c r="H1926">
        <v>21.9</v>
      </c>
      <c r="I1926">
        <v>21.7</v>
      </c>
    </row>
    <row r="1927" spans="1:9" ht="24" customHeight="1">
      <c r="A1927" s="6" t="s">
        <v>3395</v>
      </c>
      <c r="B1927">
        <v>3878</v>
      </c>
      <c r="C1927">
        <v>2771</v>
      </c>
      <c r="D1927">
        <v>764152</v>
      </c>
      <c r="E1927">
        <v>649893</v>
      </c>
      <c r="F1927">
        <v>4</v>
      </c>
      <c r="G1927">
        <v>5.3</v>
      </c>
      <c r="H1927">
        <v>27</v>
      </c>
      <c r="I1927">
        <v>27.1</v>
      </c>
    </row>
    <row r="1928" spans="1:9" ht="24" customHeight="1">
      <c r="A1928" s="6" t="s">
        <v>3396</v>
      </c>
      <c r="B1928">
        <v>5732</v>
      </c>
      <c r="C1928">
        <v>5632</v>
      </c>
      <c r="D1928">
        <v>531974</v>
      </c>
      <c r="E1928">
        <v>462318</v>
      </c>
      <c r="F1928">
        <v>5.6</v>
      </c>
      <c r="G1928">
        <v>4.9000000000000004</v>
      </c>
      <c r="H1928">
        <v>3.5</v>
      </c>
      <c r="I1928">
        <v>3.5</v>
      </c>
    </row>
    <row r="1929" spans="1:9" ht="24" customHeight="1">
      <c r="A1929" s="6" t="s">
        <v>3397</v>
      </c>
      <c r="B1929">
        <v>7743</v>
      </c>
      <c r="C1929">
        <v>3752</v>
      </c>
      <c r="D1929">
        <v>771829</v>
      </c>
      <c r="E1929">
        <v>706521</v>
      </c>
      <c r="F1929">
        <v>2.4</v>
      </c>
      <c r="G1929">
        <v>3.6</v>
      </c>
      <c r="H1929">
        <v>34.5</v>
      </c>
      <c r="I1929">
        <v>34.4</v>
      </c>
    </row>
    <row r="1930" spans="1:9" ht="24" customHeight="1">
      <c r="A1930" s="6" t="s">
        <v>3398</v>
      </c>
      <c r="B1930">
        <v>10817</v>
      </c>
      <c r="C1930">
        <v>9327</v>
      </c>
      <c r="D1930">
        <v>581500</v>
      </c>
      <c r="E1930">
        <v>478252</v>
      </c>
      <c r="F1930">
        <v>4.2</v>
      </c>
      <c r="G1930">
        <v>5.4</v>
      </c>
      <c r="H1930">
        <v>7.1</v>
      </c>
      <c r="I1930">
        <v>7</v>
      </c>
    </row>
    <row r="1931" spans="1:9" ht="24" customHeight="1">
      <c r="A1931" s="6" t="s">
        <v>630</v>
      </c>
      <c r="B1931">
        <v>258090</v>
      </c>
      <c r="C1931">
        <v>570910</v>
      </c>
      <c r="D1931">
        <v>598111</v>
      </c>
      <c r="E1931">
        <v>425822</v>
      </c>
      <c r="F1931">
        <v>13.5</v>
      </c>
      <c r="G1931">
        <v>8.1999999999999993</v>
      </c>
      <c r="H1931">
        <v>10.199999999999999</v>
      </c>
      <c r="I1931">
        <v>9.1999999999999993</v>
      </c>
    </row>
    <row r="1932" spans="1:9" ht="24" customHeight="1">
      <c r="A1932" s="6" t="s">
        <v>631</v>
      </c>
      <c r="B1932">
        <v>22521</v>
      </c>
      <c r="C1932">
        <v>61333</v>
      </c>
      <c r="D1932">
        <v>455225</v>
      </c>
      <c r="E1932">
        <v>290824</v>
      </c>
      <c r="F1932">
        <v>15.2</v>
      </c>
      <c r="G1932">
        <v>6.4</v>
      </c>
      <c r="H1932">
        <v>0</v>
      </c>
      <c r="I1932">
        <v>0</v>
      </c>
    </row>
    <row r="1933" spans="1:9" ht="24" customHeight="1">
      <c r="A1933" s="6" t="s">
        <v>3399</v>
      </c>
      <c r="B1933">
        <v>35906</v>
      </c>
      <c r="C1933">
        <v>103992</v>
      </c>
      <c r="D1933">
        <v>521138</v>
      </c>
      <c r="E1933">
        <v>376735</v>
      </c>
      <c r="F1933">
        <v>13.4</v>
      </c>
      <c r="G1933">
        <v>8.1</v>
      </c>
      <c r="H1933">
        <v>1.5</v>
      </c>
      <c r="I1933">
        <v>1.5</v>
      </c>
    </row>
    <row r="1934" spans="1:9" ht="24" customHeight="1">
      <c r="A1934" s="6" t="s">
        <v>3400</v>
      </c>
      <c r="B1934">
        <v>38576</v>
      </c>
      <c r="C1934">
        <v>79382</v>
      </c>
      <c r="D1934">
        <v>670768</v>
      </c>
      <c r="E1934">
        <v>445782</v>
      </c>
      <c r="F1934">
        <v>14</v>
      </c>
      <c r="G1934">
        <v>8.3000000000000007</v>
      </c>
      <c r="H1934">
        <v>11.6</v>
      </c>
      <c r="I1934">
        <v>11.7</v>
      </c>
    </row>
    <row r="1935" spans="1:9" ht="24" customHeight="1">
      <c r="A1935" s="6" t="s">
        <v>3401</v>
      </c>
      <c r="B1935">
        <v>30861</v>
      </c>
      <c r="C1935">
        <v>47401</v>
      </c>
      <c r="D1935">
        <v>662607</v>
      </c>
      <c r="E1935">
        <v>470721</v>
      </c>
      <c r="F1935">
        <v>12.8</v>
      </c>
      <c r="G1935">
        <v>9.1999999999999993</v>
      </c>
      <c r="H1935">
        <v>16.600000000000001</v>
      </c>
      <c r="I1935">
        <v>16.8</v>
      </c>
    </row>
    <row r="1936" spans="1:9" ht="24" customHeight="1">
      <c r="A1936" s="6" t="s">
        <v>3402</v>
      </c>
      <c r="B1936">
        <v>15418</v>
      </c>
      <c r="C1936">
        <v>31941</v>
      </c>
      <c r="D1936">
        <v>768419</v>
      </c>
      <c r="E1936">
        <v>517588</v>
      </c>
      <c r="F1936">
        <v>12.2</v>
      </c>
      <c r="G1936">
        <v>7.7</v>
      </c>
      <c r="H1936">
        <v>21.8</v>
      </c>
      <c r="I1936">
        <v>21.8</v>
      </c>
    </row>
    <row r="1937" spans="1:9" ht="24" customHeight="1">
      <c r="A1937" s="6" t="s">
        <v>3403</v>
      </c>
      <c r="B1937">
        <v>9515</v>
      </c>
      <c r="C1937">
        <v>24806</v>
      </c>
      <c r="D1937">
        <v>776711</v>
      </c>
      <c r="E1937">
        <v>577791</v>
      </c>
      <c r="F1937">
        <v>11.4</v>
      </c>
      <c r="G1937">
        <v>8</v>
      </c>
      <c r="H1937">
        <v>26.7</v>
      </c>
      <c r="I1937">
        <v>26.9</v>
      </c>
    </row>
    <row r="1938" spans="1:9" ht="24" customHeight="1">
      <c r="A1938" s="6" t="s">
        <v>3404</v>
      </c>
      <c r="B1938">
        <v>29322</v>
      </c>
      <c r="C1938">
        <v>77834</v>
      </c>
      <c r="D1938">
        <v>522979</v>
      </c>
      <c r="E1938">
        <v>402410</v>
      </c>
      <c r="F1938">
        <v>14.4</v>
      </c>
      <c r="G1938">
        <v>8.3000000000000007</v>
      </c>
      <c r="H1938">
        <v>3.4</v>
      </c>
      <c r="I1938">
        <v>3.4</v>
      </c>
    </row>
    <row r="1939" spans="1:9" ht="24" customHeight="1">
      <c r="A1939" s="6" t="s">
        <v>632</v>
      </c>
      <c r="B1939">
        <v>14319</v>
      </c>
      <c r="C1939">
        <v>28389</v>
      </c>
      <c r="D1939">
        <v>744024</v>
      </c>
      <c r="E1939">
        <v>625681</v>
      </c>
      <c r="F1939">
        <v>8.6999999999999993</v>
      </c>
      <c r="G1939">
        <v>9.8000000000000007</v>
      </c>
      <c r="H1939">
        <v>34</v>
      </c>
      <c r="I1939">
        <v>33.799999999999997</v>
      </c>
    </row>
    <row r="1940" spans="1:9" ht="24" customHeight="1">
      <c r="A1940" s="6" t="s">
        <v>3405</v>
      </c>
      <c r="B1940">
        <v>62751</v>
      </c>
      <c r="C1940">
        <v>127090</v>
      </c>
      <c r="D1940">
        <v>551196</v>
      </c>
      <c r="E1940">
        <v>411099</v>
      </c>
      <c r="F1940">
        <v>14.1</v>
      </c>
      <c r="G1940">
        <v>7.9</v>
      </c>
      <c r="H1940">
        <v>7</v>
      </c>
      <c r="I1940">
        <v>6.9</v>
      </c>
    </row>
    <row r="1941" spans="1:9" ht="24" customHeight="1">
      <c r="A1941" s="6" t="s">
        <v>3406</v>
      </c>
      <c r="B1941">
        <v>316883</v>
      </c>
      <c r="C1941">
        <v>870096</v>
      </c>
      <c r="D1941">
        <v>416364</v>
      </c>
      <c r="E1941">
        <v>333934</v>
      </c>
      <c r="F1941">
        <v>6</v>
      </c>
      <c r="G1941">
        <v>5.3</v>
      </c>
      <c r="H1941">
        <v>8.9</v>
      </c>
      <c r="I1941">
        <v>8.3000000000000007</v>
      </c>
    </row>
    <row r="1942" spans="1:9" ht="24" customHeight="1">
      <c r="A1942" s="6" t="s">
        <v>3407</v>
      </c>
      <c r="B1942">
        <v>26730</v>
      </c>
      <c r="C1942">
        <v>83435</v>
      </c>
      <c r="D1942">
        <v>306799</v>
      </c>
      <c r="E1942">
        <v>244394</v>
      </c>
      <c r="F1942">
        <v>5.2</v>
      </c>
      <c r="G1942">
        <v>3.8</v>
      </c>
      <c r="H1942">
        <v>0</v>
      </c>
      <c r="I1942">
        <v>0</v>
      </c>
    </row>
    <row r="1943" spans="1:9" ht="24" customHeight="1">
      <c r="A1943" s="6" t="s">
        <v>3408</v>
      </c>
      <c r="B1943">
        <v>58338</v>
      </c>
      <c r="C1943">
        <v>160867</v>
      </c>
      <c r="D1943">
        <v>340391</v>
      </c>
      <c r="E1943">
        <v>290129</v>
      </c>
      <c r="F1943">
        <v>6.3</v>
      </c>
      <c r="G1943">
        <v>5.3</v>
      </c>
      <c r="H1943">
        <v>1.5</v>
      </c>
      <c r="I1943">
        <v>1.5</v>
      </c>
    </row>
    <row r="1944" spans="1:9" ht="24" customHeight="1">
      <c r="A1944" s="6" t="s">
        <v>3409</v>
      </c>
      <c r="B1944">
        <v>52047</v>
      </c>
      <c r="C1944">
        <v>126353</v>
      </c>
      <c r="D1944">
        <v>453944</v>
      </c>
      <c r="E1944">
        <v>349304</v>
      </c>
      <c r="F1944">
        <v>6.2</v>
      </c>
      <c r="G1944">
        <v>5.4</v>
      </c>
      <c r="H1944">
        <v>11.7</v>
      </c>
      <c r="I1944">
        <v>11.7</v>
      </c>
    </row>
    <row r="1945" spans="1:9" ht="24" customHeight="1">
      <c r="A1945" s="6" t="s">
        <v>3410</v>
      </c>
      <c r="B1945">
        <v>31077</v>
      </c>
      <c r="C1945">
        <v>76611</v>
      </c>
      <c r="D1945">
        <v>469554</v>
      </c>
      <c r="E1945">
        <v>383145</v>
      </c>
      <c r="F1945">
        <v>5.3</v>
      </c>
      <c r="G1945">
        <v>4.9000000000000004</v>
      </c>
      <c r="H1945">
        <v>16.899999999999999</v>
      </c>
      <c r="I1945">
        <v>16.7</v>
      </c>
    </row>
    <row r="1946" spans="1:9" ht="24" customHeight="1">
      <c r="A1946" s="6" t="s">
        <v>3411</v>
      </c>
      <c r="B1946">
        <v>16091</v>
      </c>
      <c r="C1946">
        <v>43129</v>
      </c>
      <c r="D1946">
        <v>538074</v>
      </c>
      <c r="E1946">
        <v>394081</v>
      </c>
      <c r="F1946">
        <v>4.8</v>
      </c>
      <c r="G1946">
        <v>5.6</v>
      </c>
      <c r="H1946">
        <v>21.6</v>
      </c>
      <c r="I1946">
        <v>21.7</v>
      </c>
    </row>
    <row r="1947" spans="1:9" ht="24" customHeight="1">
      <c r="A1947" s="6" t="s">
        <v>3412</v>
      </c>
      <c r="B1947">
        <v>9201</v>
      </c>
      <c r="C1947">
        <v>20575</v>
      </c>
      <c r="D1947">
        <v>620301</v>
      </c>
      <c r="E1947">
        <v>436132</v>
      </c>
      <c r="F1947">
        <v>7.2</v>
      </c>
      <c r="G1947">
        <v>7.7</v>
      </c>
      <c r="H1947">
        <v>26.8</v>
      </c>
      <c r="I1947">
        <v>26.7</v>
      </c>
    </row>
    <row r="1948" spans="1:9" ht="24" customHeight="1">
      <c r="A1948" s="6" t="s">
        <v>3413</v>
      </c>
      <c r="B1948">
        <v>41481</v>
      </c>
      <c r="C1948">
        <v>132793</v>
      </c>
      <c r="D1948">
        <v>369326</v>
      </c>
      <c r="E1948">
        <v>317055</v>
      </c>
      <c r="F1948">
        <v>6.3</v>
      </c>
      <c r="G1948">
        <v>4.7</v>
      </c>
      <c r="H1948">
        <v>3.5</v>
      </c>
      <c r="I1948">
        <v>3.5</v>
      </c>
    </row>
    <row r="1949" spans="1:9" ht="24" customHeight="1">
      <c r="A1949" s="6" t="s">
        <v>3414</v>
      </c>
      <c r="B1949">
        <v>10128</v>
      </c>
      <c r="C1949">
        <v>25477</v>
      </c>
      <c r="D1949">
        <v>632545</v>
      </c>
      <c r="E1949">
        <v>483218</v>
      </c>
      <c r="F1949">
        <v>3</v>
      </c>
      <c r="G1949">
        <v>4.4000000000000004</v>
      </c>
      <c r="H1949">
        <v>34.799999999999997</v>
      </c>
      <c r="I1949">
        <v>35.299999999999997</v>
      </c>
    </row>
    <row r="1950" spans="1:9" ht="24" customHeight="1">
      <c r="A1950" s="6" t="s">
        <v>3415</v>
      </c>
      <c r="B1950">
        <v>75609</v>
      </c>
      <c r="C1950">
        <v>231477</v>
      </c>
      <c r="D1950">
        <v>398946</v>
      </c>
      <c r="E1950">
        <v>329169</v>
      </c>
      <c r="F1950">
        <v>6.5</v>
      </c>
      <c r="G1950">
        <v>5.6</v>
      </c>
      <c r="H1950">
        <v>7</v>
      </c>
      <c r="I1950">
        <v>6.9</v>
      </c>
    </row>
    <row r="1951" spans="1:9" ht="24" customHeight="1">
      <c r="A1951" s="6" t="s">
        <v>3416</v>
      </c>
      <c r="B1951">
        <v>319920</v>
      </c>
      <c r="C1951">
        <v>657677</v>
      </c>
      <c r="D1951">
        <v>421135</v>
      </c>
      <c r="E1951">
        <v>348582</v>
      </c>
      <c r="F1951">
        <v>4.5</v>
      </c>
      <c r="G1951">
        <v>4.3</v>
      </c>
      <c r="H1951">
        <v>9.9</v>
      </c>
      <c r="I1951">
        <v>9.3000000000000007</v>
      </c>
    </row>
    <row r="1952" spans="1:9" ht="24" customHeight="1">
      <c r="A1952" s="6" t="s">
        <v>3417</v>
      </c>
      <c r="B1952">
        <v>25239</v>
      </c>
      <c r="C1952">
        <v>62268</v>
      </c>
      <c r="D1952">
        <v>337422</v>
      </c>
      <c r="E1952">
        <v>255296</v>
      </c>
      <c r="F1952">
        <v>2.9</v>
      </c>
      <c r="G1952">
        <v>2.6</v>
      </c>
      <c r="H1952">
        <v>0</v>
      </c>
      <c r="I1952">
        <v>0</v>
      </c>
    </row>
    <row r="1953" spans="1:9" ht="24" customHeight="1">
      <c r="A1953" s="6" t="s">
        <v>3418</v>
      </c>
      <c r="B1953">
        <v>50344</v>
      </c>
      <c r="C1953">
        <v>103746</v>
      </c>
      <c r="D1953">
        <v>356047</v>
      </c>
      <c r="E1953">
        <v>307518</v>
      </c>
      <c r="F1953">
        <v>4.3</v>
      </c>
      <c r="G1953">
        <v>3.5</v>
      </c>
      <c r="H1953">
        <v>1.5</v>
      </c>
      <c r="I1953">
        <v>1.5</v>
      </c>
    </row>
    <row r="1954" spans="1:9" ht="24" customHeight="1">
      <c r="A1954" s="6" t="s">
        <v>3419</v>
      </c>
      <c r="B1954">
        <v>49925</v>
      </c>
      <c r="C1954">
        <v>99126</v>
      </c>
      <c r="D1954">
        <v>435527</v>
      </c>
      <c r="E1954">
        <v>362900</v>
      </c>
      <c r="F1954">
        <v>5</v>
      </c>
      <c r="G1954">
        <v>4.4000000000000004</v>
      </c>
      <c r="H1954">
        <v>11.9</v>
      </c>
      <c r="I1954">
        <v>11.9</v>
      </c>
    </row>
    <row r="1955" spans="1:9" ht="24" customHeight="1">
      <c r="A1955" s="6" t="s">
        <v>3420</v>
      </c>
      <c r="B1955">
        <v>36927</v>
      </c>
      <c r="C1955">
        <v>69351</v>
      </c>
      <c r="D1955">
        <v>463658</v>
      </c>
      <c r="E1955">
        <v>390769</v>
      </c>
      <c r="F1955">
        <v>4.2</v>
      </c>
      <c r="G1955">
        <v>4.9000000000000004</v>
      </c>
      <c r="H1955">
        <v>17.2</v>
      </c>
      <c r="I1955">
        <v>16.7</v>
      </c>
    </row>
    <row r="1956" spans="1:9" ht="24" customHeight="1">
      <c r="A1956" s="6" t="s">
        <v>3421</v>
      </c>
      <c r="B1956">
        <v>19377</v>
      </c>
      <c r="C1956">
        <v>41877</v>
      </c>
      <c r="D1956">
        <v>525567</v>
      </c>
      <c r="E1956">
        <v>405022</v>
      </c>
      <c r="F1956">
        <v>4.5</v>
      </c>
      <c r="G1956">
        <v>4.8</v>
      </c>
      <c r="H1956">
        <v>21.8</v>
      </c>
      <c r="I1956">
        <v>21.7</v>
      </c>
    </row>
    <row r="1957" spans="1:9" ht="24" customHeight="1">
      <c r="A1957" s="6" t="s">
        <v>3422</v>
      </c>
      <c r="B1957">
        <v>13141</v>
      </c>
      <c r="C1957">
        <v>27598</v>
      </c>
      <c r="D1957">
        <v>617074</v>
      </c>
      <c r="E1957">
        <v>449513</v>
      </c>
      <c r="F1957">
        <v>4.4000000000000004</v>
      </c>
      <c r="G1957">
        <v>5.0999999999999996</v>
      </c>
      <c r="H1957">
        <v>26.4</v>
      </c>
      <c r="I1957">
        <v>26.7</v>
      </c>
    </row>
    <row r="1958" spans="1:9" ht="24" customHeight="1">
      <c r="A1958" s="6" t="s">
        <v>3423</v>
      </c>
      <c r="B1958">
        <v>37107</v>
      </c>
      <c r="C1958">
        <v>87526</v>
      </c>
      <c r="D1958">
        <v>395117</v>
      </c>
      <c r="E1958">
        <v>318292</v>
      </c>
      <c r="F1958">
        <v>5.9</v>
      </c>
      <c r="G1958">
        <v>4.2</v>
      </c>
      <c r="H1958">
        <v>3.5</v>
      </c>
      <c r="I1958">
        <v>3.5</v>
      </c>
    </row>
    <row r="1959" spans="1:9" ht="24" customHeight="1">
      <c r="A1959" s="6" t="s">
        <v>3424</v>
      </c>
      <c r="B1959">
        <v>12327</v>
      </c>
      <c r="C1959">
        <v>19933</v>
      </c>
      <c r="D1959">
        <v>543479</v>
      </c>
      <c r="E1959">
        <v>505822</v>
      </c>
      <c r="F1959">
        <v>3.2</v>
      </c>
      <c r="G1959">
        <v>3.7</v>
      </c>
      <c r="H1959">
        <v>34.299999999999997</v>
      </c>
      <c r="I1959">
        <v>34.299999999999997</v>
      </c>
    </row>
    <row r="1960" spans="1:9" ht="24" customHeight="1">
      <c r="A1960" s="6" t="s">
        <v>3425</v>
      </c>
      <c r="B1960">
        <v>77398</v>
      </c>
      <c r="C1960">
        <v>156095</v>
      </c>
      <c r="D1960">
        <v>394516</v>
      </c>
      <c r="E1960">
        <v>342570</v>
      </c>
      <c r="F1960">
        <v>4.5</v>
      </c>
      <c r="G1960">
        <v>4.7</v>
      </c>
      <c r="H1960">
        <v>6.9</v>
      </c>
      <c r="I1960">
        <v>6.7</v>
      </c>
    </row>
    <row r="1961" spans="1:9" ht="24" customHeight="1">
      <c r="A1961" s="6" t="s">
        <v>3426</v>
      </c>
      <c r="B1961">
        <v>306381</v>
      </c>
      <c r="C1961">
        <v>568889</v>
      </c>
      <c r="D1961">
        <v>455368</v>
      </c>
      <c r="E1961">
        <v>370188</v>
      </c>
      <c r="F1961">
        <v>6.2</v>
      </c>
      <c r="G1961">
        <v>4.7</v>
      </c>
      <c r="H1961">
        <v>9.9</v>
      </c>
      <c r="I1961">
        <v>9.1</v>
      </c>
    </row>
    <row r="1962" spans="1:9" ht="24" customHeight="1">
      <c r="A1962" s="6" t="s">
        <v>3427</v>
      </c>
      <c r="B1962">
        <v>22540</v>
      </c>
      <c r="C1962">
        <v>50476</v>
      </c>
      <c r="D1962">
        <v>382295</v>
      </c>
      <c r="E1962">
        <v>267191</v>
      </c>
      <c r="F1962">
        <v>3.8</v>
      </c>
      <c r="G1962">
        <v>3</v>
      </c>
      <c r="H1962">
        <v>0</v>
      </c>
      <c r="I1962">
        <v>0</v>
      </c>
    </row>
    <row r="1963" spans="1:9" ht="24" customHeight="1">
      <c r="A1963" s="6" t="s">
        <v>3428</v>
      </c>
      <c r="B1963">
        <v>44376</v>
      </c>
      <c r="C1963">
        <v>96157</v>
      </c>
      <c r="D1963">
        <v>415443</v>
      </c>
      <c r="E1963">
        <v>331018</v>
      </c>
      <c r="F1963">
        <v>5.3</v>
      </c>
      <c r="G1963">
        <v>4.5</v>
      </c>
      <c r="H1963">
        <v>1.4</v>
      </c>
      <c r="I1963">
        <v>1.5</v>
      </c>
    </row>
    <row r="1964" spans="1:9" ht="24" customHeight="1">
      <c r="A1964" s="6" t="s">
        <v>3429</v>
      </c>
      <c r="B1964">
        <v>51432</v>
      </c>
      <c r="C1964">
        <v>90199</v>
      </c>
      <c r="D1964">
        <v>450083</v>
      </c>
      <c r="E1964">
        <v>377162</v>
      </c>
      <c r="F1964">
        <v>6.8</v>
      </c>
      <c r="G1964">
        <v>4.9000000000000004</v>
      </c>
      <c r="H1964">
        <v>12</v>
      </c>
      <c r="I1964">
        <v>11.8</v>
      </c>
    </row>
    <row r="1965" spans="1:9" ht="24" customHeight="1">
      <c r="A1965" s="6" t="s">
        <v>3430</v>
      </c>
      <c r="B1965">
        <v>34246</v>
      </c>
      <c r="C1965">
        <v>61254</v>
      </c>
      <c r="D1965">
        <v>487058</v>
      </c>
      <c r="E1965">
        <v>409741</v>
      </c>
      <c r="F1965">
        <v>6.2</v>
      </c>
      <c r="G1965">
        <v>4.3</v>
      </c>
      <c r="H1965">
        <v>16.600000000000001</v>
      </c>
      <c r="I1965">
        <v>16.899999999999999</v>
      </c>
    </row>
    <row r="1966" spans="1:9" ht="24" customHeight="1">
      <c r="A1966" s="6" t="s">
        <v>3431</v>
      </c>
      <c r="B1966">
        <v>22065</v>
      </c>
      <c r="C1966">
        <v>33671</v>
      </c>
      <c r="D1966">
        <v>546670</v>
      </c>
      <c r="E1966">
        <v>436584</v>
      </c>
      <c r="F1966">
        <v>5.2</v>
      </c>
      <c r="G1966">
        <v>4.2</v>
      </c>
      <c r="H1966">
        <v>21.4</v>
      </c>
      <c r="I1966">
        <v>21.6</v>
      </c>
    </row>
    <row r="1967" spans="1:9" ht="24" customHeight="1">
      <c r="A1967" s="6" t="s">
        <v>3432</v>
      </c>
      <c r="B1967">
        <v>10405</v>
      </c>
      <c r="C1967">
        <v>18881</v>
      </c>
      <c r="D1967">
        <v>556880</v>
      </c>
      <c r="E1967">
        <v>496569</v>
      </c>
      <c r="F1967">
        <v>5.3</v>
      </c>
      <c r="G1967">
        <v>4.9000000000000004</v>
      </c>
      <c r="H1967">
        <v>26.9</v>
      </c>
      <c r="I1967">
        <v>26.9</v>
      </c>
    </row>
    <row r="1968" spans="1:9" ht="24" customHeight="1">
      <c r="A1968" s="6" t="s">
        <v>3433</v>
      </c>
      <c r="B1968">
        <v>42124</v>
      </c>
      <c r="C1968">
        <v>80926</v>
      </c>
      <c r="D1968">
        <v>443922</v>
      </c>
      <c r="E1968">
        <v>354154</v>
      </c>
      <c r="F1968">
        <v>7.8</v>
      </c>
      <c r="G1968">
        <v>5.8</v>
      </c>
      <c r="H1968">
        <v>3.5</v>
      </c>
      <c r="I1968">
        <v>3.5</v>
      </c>
    </row>
    <row r="1969" spans="1:9" ht="24" customHeight="1">
      <c r="A1969" s="6" t="s">
        <v>3434</v>
      </c>
      <c r="B1969">
        <v>12045</v>
      </c>
      <c r="C1969">
        <v>19819</v>
      </c>
      <c r="D1969">
        <v>701108</v>
      </c>
      <c r="E1969">
        <v>527832</v>
      </c>
      <c r="F1969">
        <v>6</v>
      </c>
      <c r="G1969">
        <v>6.8</v>
      </c>
      <c r="H1969">
        <v>33.6</v>
      </c>
      <c r="I1969">
        <v>33.4</v>
      </c>
    </row>
    <row r="1970" spans="1:9" ht="24" customHeight="1">
      <c r="A1970" s="6" t="s">
        <v>3435</v>
      </c>
      <c r="B1970">
        <v>67882</v>
      </c>
      <c r="C1970">
        <v>129361</v>
      </c>
      <c r="D1970">
        <v>414166</v>
      </c>
      <c r="E1970">
        <v>358621</v>
      </c>
      <c r="F1970">
        <v>6.8</v>
      </c>
      <c r="G1970">
        <v>4.3</v>
      </c>
      <c r="H1970">
        <v>6.9</v>
      </c>
      <c r="I1970">
        <v>6.8</v>
      </c>
    </row>
    <row r="1971" spans="1:9" ht="24" customHeight="1">
      <c r="A1971" s="6" t="s">
        <v>633</v>
      </c>
      <c r="B1971">
        <v>86360</v>
      </c>
      <c r="C1971">
        <v>27972</v>
      </c>
      <c r="D1971">
        <v>527327</v>
      </c>
      <c r="E1971">
        <v>408233</v>
      </c>
      <c r="F1971">
        <v>12.7</v>
      </c>
      <c r="G1971">
        <v>7.5</v>
      </c>
      <c r="H1971">
        <v>19.5</v>
      </c>
      <c r="I1971">
        <v>14</v>
      </c>
    </row>
    <row r="1972" spans="1:9" ht="24" customHeight="1">
      <c r="A1972" s="6" t="s">
        <v>634</v>
      </c>
      <c r="B1972">
        <v>1722</v>
      </c>
      <c r="C1972">
        <v>1104</v>
      </c>
      <c r="D1972">
        <v>257593</v>
      </c>
      <c r="E1972">
        <v>205703</v>
      </c>
      <c r="F1972">
        <v>11.8</v>
      </c>
      <c r="G1972">
        <v>2.7</v>
      </c>
      <c r="H1972">
        <v>0</v>
      </c>
      <c r="I1972">
        <v>0</v>
      </c>
    </row>
    <row r="1973" spans="1:9" ht="24" customHeight="1">
      <c r="A1973" s="6" t="s">
        <v>3436</v>
      </c>
      <c r="B1973">
        <v>3253</v>
      </c>
      <c r="C1973">
        <v>2414</v>
      </c>
      <c r="D1973">
        <v>312737</v>
      </c>
      <c r="E1973">
        <v>285646</v>
      </c>
      <c r="F1973">
        <v>12.8</v>
      </c>
      <c r="G1973">
        <v>8.1999999999999993</v>
      </c>
      <c r="H1973">
        <v>1.5</v>
      </c>
      <c r="I1973">
        <v>1.5</v>
      </c>
    </row>
    <row r="1974" spans="1:9" ht="24" customHeight="1">
      <c r="A1974" s="6" t="s">
        <v>3437</v>
      </c>
      <c r="B1974">
        <v>12641</v>
      </c>
      <c r="C1974">
        <v>5292</v>
      </c>
      <c r="D1974">
        <v>503945</v>
      </c>
      <c r="E1974">
        <v>420968</v>
      </c>
      <c r="F1974">
        <v>16.2</v>
      </c>
      <c r="G1974">
        <v>9.6999999999999993</v>
      </c>
      <c r="H1974">
        <v>12.4</v>
      </c>
      <c r="I1974">
        <v>12.1</v>
      </c>
    </row>
    <row r="1975" spans="1:9" ht="24" customHeight="1">
      <c r="A1975" s="6" t="s">
        <v>3438</v>
      </c>
      <c r="B1975">
        <v>9726</v>
      </c>
      <c r="C1975">
        <v>3300</v>
      </c>
      <c r="D1975">
        <v>538699</v>
      </c>
      <c r="E1975">
        <v>446903</v>
      </c>
      <c r="F1975">
        <v>14.4</v>
      </c>
      <c r="G1975">
        <v>7.2</v>
      </c>
      <c r="H1975">
        <v>16.399999999999999</v>
      </c>
      <c r="I1975">
        <v>16.399999999999999</v>
      </c>
    </row>
    <row r="1976" spans="1:9" ht="24" customHeight="1">
      <c r="A1976" s="6" t="s">
        <v>3439</v>
      </c>
      <c r="B1976">
        <v>9337</v>
      </c>
      <c r="C1976">
        <v>2288</v>
      </c>
      <c r="D1976">
        <v>593375</v>
      </c>
      <c r="E1976">
        <v>490290</v>
      </c>
      <c r="F1976">
        <v>14.2</v>
      </c>
      <c r="G1976">
        <v>7.9</v>
      </c>
      <c r="H1976">
        <v>22.1</v>
      </c>
      <c r="I1976">
        <v>22.2</v>
      </c>
    </row>
    <row r="1977" spans="1:9" ht="24" customHeight="1">
      <c r="A1977" s="6" t="s">
        <v>3440</v>
      </c>
      <c r="B1977">
        <v>10386</v>
      </c>
      <c r="C1977">
        <v>2200</v>
      </c>
      <c r="D1977">
        <v>619418</v>
      </c>
      <c r="E1977">
        <v>510936</v>
      </c>
      <c r="F1977">
        <v>10.7</v>
      </c>
      <c r="G1977">
        <v>5.0999999999999996</v>
      </c>
      <c r="H1977">
        <v>26.9</v>
      </c>
      <c r="I1977">
        <v>26.7</v>
      </c>
    </row>
    <row r="1978" spans="1:9" ht="24" customHeight="1">
      <c r="A1978" s="6" t="s">
        <v>3441</v>
      </c>
      <c r="B1978">
        <v>5287</v>
      </c>
      <c r="C1978">
        <v>2846</v>
      </c>
      <c r="D1978">
        <v>333827</v>
      </c>
      <c r="E1978">
        <v>311666</v>
      </c>
      <c r="F1978">
        <v>15.6</v>
      </c>
      <c r="G1978">
        <v>7.6</v>
      </c>
      <c r="H1978">
        <v>3.5</v>
      </c>
      <c r="I1978">
        <v>3.5</v>
      </c>
    </row>
    <row r="1979" spans="1:9" ht="24" customHeight="1">
      <c r="A1979" s="6" t="s">
        <v>635</v>
      </c>
      <c r="B1979">
        <v>22691</v>
      </c>
      <c r="C1979">
        <v>3611</v>
      </c>
      <c r="D1979">
        <v>632645</v>
      </c>
      <c r="E1979">
        <v>535725</v>
      </c>
      <c r="F1979">
        <v>8.1</v>
      </c>
      <c r="G1979">
        <v>4.0999999999999996</v>
      </c>
      <c r="H1979">
        <v>34.6</v>
      </c>
      <c r="I1979">
        <v>34</v>
      </c>
    </row>
    <row r="1980" spans="1:9" ht="24" customHeight="1">
      <c r="A1980" s="6" t="s">
        <v>3442</v>
      </c>
      <c r="B1980">
        <v>11471</v>
      </c>
      <c r="C1980">
        <v>5556</v>
      </c>
      <c r="D1980">
        <v>385168</v>
      </c>
      <c r="E1980">
        <v>349350</v>
      </c>
      <c r="F1980">
        <v>16.100000000000001</v>
      </c>
      <c r="G1980">
        <v>9.4</v>
      </c>
      <c r="H1980">
        <v>6.7</v>
      </c>
      <c r="I1980">
        <v>6.9</v>
      </c>
    </row>
    <row r="1981" spans="1:9" ht="24" customHeight="1">
      <c r="A1981" s="6" t="s">
        <v>3443</v>
      </c>
      <c r="B1981">
        <v>8384</v>
      </c>
      <c r="C1981">
        <v>4776</v>
      </c>
      <c r="D1981">
        <v>445439</v>
      </c>
      <c r="E1981">
        <v>328112</v>
      </c>
      <c r="F1981">
        <v>12.4</v>
      </c>
      <c r="G1981">
        <v>3.7</v>
      </c>
      <c r="H1981">
        <v>17.399999999999999</v>
      </c>
      <c r="I1981">
        <v>12.6</v>
      </c>
    </row>
    <row r="1982" spans="1:9" ht="24" customHeight="1">
      <c r="A1982" s="6" t="s">
        <v>3444</v>
      </c>
      <c r="B1982">
        <v>442</v>
      </c>
      <c r="C1982">
        <v>222</v>
      </c>
      <c r="D1982">
        <v>207446</v>
      </c>
      <c r="E1982">
        <v>191965</v>
      </c>
      <c r="F1982">
        <v>12.9</v>
      </c>
      <c r="G1982">
        <v>0.2</v>
      </c>
      <c r="H1982">
        <v>0</v>
      </c>
      <c r="I1982">
        <v>0</v>
      </c>
    </row>
    <row r="1983" spans="1:9" ht="24" customHeight="1">
      <c r="A1983" s="6" t="s">
        <v>3445</v>
      </c>
      <c r="B1983">
        <v>238</v>
      </c>
      <c r="C1983">
        <v>554</v>
      </c>
      <c r="D1983">
        <v>305039</v>
      </c>
      <c r="E1983">
        <v>259860</v>
      </c>
      <c r="F1983">
        <v>10.7</v>
      </c>
      <c r="G1983">
        <v>3</v>
      </c>
      <c r="H1983">
        <v>1.6</v>
      </c>
      <c r="I1983">
        <v>1.3</v>
      </c>
    </row>
    <row r="1984" spans="1:9" ht="24" customHeight="1">
      <c r="A1984" s="6" t="s">
        <v>3446</v>
      </c>
      <c r="B1984">
        <v>1178</v>
      </c>
      <c r="C1984">
        <v>605</v>
      </c>
      <c r="D1984">
        <v>413838</v>
      </c>
      <c r="E1984">
        <v>319719</v>
      </c>
      <c r="F1984">
        <v>21.2</v>
      </c>
      <c r="G1984">
        <v>6.6</v>
      </c>
      <c r="H1984">
        <v>12</v>
      </c>
      <c r="I1984">
        <v>11.8</v>
      </c>
    </row>
    <row r="1985" spans="1:9" ht="24" customHeight="1">
      <c r="A1985" s="6" t="s">
        <v>3447</v>
      </c>
      <c r="B1985">
        <v>813</v>
      </c>
      <c r="C1985">
        <v>561</v>
      </c>
      <c r="D1985">
        <v>447478</v>
      </c>
      <c r="E1985">
        <v>331252</v>
      </c>
      <c r="F1985">
        <v>12.2</v>
      </c>
      <c r="G1985">
        <v>1.5</v>
      </c>
      <c r="H1985">
        <v>17.399999999999999</v>
      </c>
      <c r="I1985">
        <v>17.399999999999999</v>
      </c>
    </row>
    <row r="1986" spans="1:9" ht="24" customHeight="1">
      <c r="A1986" s="6" t="s">
        <v>3448</v>
      </c>
      <c r="B1986">
        <v>811</v>
      </c>
      <c r="C1986">
        <v>300</v>
      </c>
      <c r="D1986">
        <v>526870</v>
      </c>
      <c r="E1986">
        <v>407141</v>
      </c>
      <c r="F1986">
        <v>9.1999999999999993</v>
      </c>
      <c r="G1986">
        <v>2.5</v>
      </c>
      <c r="H1986">
        <v>22.3</v>
      </c>
      <c r="I1986">
        <v>21.8</v>
      </c>
    </row>
    <row r="1987" spans="1:9" ht="24" customHeight="1">
      <c r="A1987" s="6" t="s">
        <v>3449</v>
      </c>
      <c r="B1987">
        <v>861</v>
      </c>
      <c r="C1987">
        <v>341</v>
      </c>
      <c r="D1987">
        <v>541169</v>
      </c>
      <c r="E1987">
        <v>427943</v>
      </c>
      <c r="F1987">
        <v>8.1999999999999993</v>
      </c>
      <c r="G1987">
        <v>4</v>
      </c>
      <c r="H1987">
        <v>26.7</v>
      </c>
      <c r="I1987">
        <v>26.4</v>
      </c>
    </row>
    <row r="1988" spans="1:9" ht="24" customHeight="1">
      <c r="A1988" s="6" t="s">
        <v>3450</v>
      </c>
      <c r="B1988">
        <v>853</v>
      </c>
      <c r="C1988">
        <v>670</v>
      </c>
      <c r="D1988">
        <v>333490</v>
      </c>
      <c r="E1988">
        <v>254637</v>
      </c>
      <c r="F1988">
        <v>15</v>
      </c>
      <c r="G1988">
        <v>7.3</v>
      </c>
      <c r="H1988">
        <v>3.6</v>
      </c>
      <c r="I1988">
        <v>3.6</v>
      </c>
    </row>
    <row r="1989" spans="1:9" ht="24" customHeight="1">
      <c r="A1989" s="6" t="s">
        <v>3451</v>
      </c>
      <c r="B1989">
        <v>1908</v>
      </c>
      <c r="C1989">
        <v>511</v>
      </c>
      <c r="D1989">
        <v>569919</v>
      </c>
      <c r="E1989">
        <v>483040</v>
      </c>
      <c r="F1989">
        <v>8.9</v>
      </c>
      <c r="G1989">
        <v>1.4</v>
      </c>
      <c r="H1989">
        <v>33.700000000000003</v>
      </c>
      <c r="I1989">
        <v>34.9</v>
      </c>
    </row>
    <row r="1990" spans="1:9" ht="24" customHeight="1">
      <c r="A1990" s="6" t="s">
        <v>3452</v>
      </c>
      <c r="B1990">
        <v>1280</v>
      </c>
      <c r="C1990">
        <v>1043</v>
      </c>
      <c r="D1990">
        <v>354443</v>
      </c>
      <c r="E1990">
        <v>308776</v>
      </c>
      <c r="F1990">
        <v>13</v>
      </c>
      <c r="G1990">
        <v>3.5</v>
      </c>
      <c r="H1990">
        <v>6.8</v>
      </c>
      <c r="I1990">
        <v>6.6</v>
      </c>
    </row>
    <row r="1991" spans="1:9" ht="24" customHeight="1">
      <c r="A1991" s="6" t="s">
        <v>3453</v>
      </c>
      <c r="B1991">
        <v>12237</v>
      </c>
      <c r="C1991">
        <v>7383</v>
      </c>
      <c r="D1991">
        <v>439858</v>
      </c>
      <c r="E1991">
        <v>354132</v>
      </c>
      <c r="F1991">
        <v>5</v>
      </c>
      <c r="G1991">
        <v>3.3</v>
      </c>
      <c r="H1991">
        <v>17.7</v>
      </c>
      <c r="I1991">
        <v>15</v>
      </c>
    </row>
    <row r="1992" spans="1:9" ht="24" customHeight="1">
      <c r="A1992" s="6" t="s">
        <v>3454</v>
      </c>
      <c r="B1992">
        <v>282</v>
      </c>
      <c r="C1992">
        <v>284</v>
      </c>
      <c r="D1992">
        <v>214305</v>
      </c>
      <c r="E1992">
        <v>211734</v>
      </c>
      <c r="F1992">
        <v>3</v>
      </c>
      <c r="G1992">
        <v>4.3</v>
      </c>
      <c r="H1992">
        <v>0</v>
      </c>
      <c r="I1992">
        <v>0</v>
      </c>
    </row>
    <row r="1993" spans="1:9" ht="24" customHeight="1">
      <c r="A1993" s="6" t="s">
        <v>3455</v>
      </c>
      <c r="B1993">
        <v>851</v>
      </c>
      <c r="C1993">
        <v>864</v>
      </c>
      <c r="D1993">
        <v>290167</v>
      </c>
      <c r="E1993">
        <v>265209</v>
      </c>
      <c r="F1993">
        <v>8.1999999999999993</v>
      </c>
      <c r="G1993">
        <v>3.2</v>
      </c>
      <c r="H1993">
        <v>1.5</v>
      </c>
      <c r="I1993">
        <v>1.4</v>
      </c>
    </row>
    <row r="1994" spans="1:9" ht="24" customHeight="1">
      <c r="A1994" s="6" t="s">
        <v>3456</v>
      </c>
      <c r="B1994">
        <v>1539</v>
      </c>
      <c r="C1994">
        <v>1018</v>
      </c>
      <c r="D1994">
        <v>396148</v>
      </c>
      <c r="E1994">
        <v>338905</v>
      </c>
      <c r="F1994">
        <v>6.7</v>
      </c>
      <c r="G1994">
        <v>3.7</v>
      </c>
      <c r="H1994">
        <v>11.8</v>
      </c>
      <c r="I1994">
        <v>12.1</v>
      </c>
    </row>
    <row r="1995" spans="1:9" ht="24" customHeight="1">
      <c r="A1995" s="6" t="s">
        <v>3457</v>
      </c>
      <c r="B1995">
        <v>1621</v>
      </c>
      <c r="C1995">
        <v>816</v>
      </c>
      <c r="D1995">
        <v>441881</v>
      </c>
      <c r="E1995">
        <v>371849</v>
      </c>
      <c r="F1995">
        <v>6.2</v>
      </c>
      <c r="G1995">
        <v>2.2999999999999998</v>
      </c>
      <c r="H1995">
        <v>16.8</v>
      </c>
      <c r="I1995">
        <v>16.899999999999999</v>
      </c>
    </row>
    <row r="1996" spans="1:9" ht="24" customHeight="1">
      <c r="A1996" s="6" t="s">
        <v>3458</v>
      </c>
      <c r="B1996">
        <v>1274</v>
      </c>
      <c r="C1996">
        <v>387</v>
      </c>
      <c r="D1996">
        <v>476051</v>
      </c>
      <c r="E1996">
        <v>408228</v>
      </c>
      <c r="F1996">
        <v>2.9</v>
      </c>
      <c r="G1996">
        <v>4.7</v>
      </c>
      <c r="H1996">
        <v>22.4</v>
      </c>
      <c r="I1996">
        <v>21.9</v>
      </c>
    </row>
    <row r="1997" spans="1:9" ht="24" customHeight="1">
      <c r="A1997" s="6" t="s">
        <v>3459</v>
      </c>
      <c r="B1997">
        <v>1286</v>
      </c>
      <c r="C1997">
        <v>956</v>
      </c>
      <c r="D1997">
        <v>535759</v>
      </c>
      <c r="E1997">
        <v>437170</v>
      </c>
      <c r="F1997">
        <v>1.7</v>
      </c>
      <c r="G1997">
        <v>1.8</v>
      </c>
      <c r="H1997">
        <v>27.2</v>
      </c>
      <c r="I1997">
        <v>27.2</v>
      </c>
    </row>
    <row r="1998" spans="1:9" ht="24" customHeight="1">
      <c r="A1998" s="6" t="s">
        <v>3460</v>
      </c>
      <c r="B1998">
        <v>690</v>
      </c>
      <c r="C1998">
        <v>601</v>
      </c>
      <c r="D1998">
        <v>309658</v>
      </c>
      <c r="E1998">
        <v>293332</v>
      </c>
      <c r="F1998">
        <v>9.6</v>
      </c>
      <c r="G1998">
        <v>4.7</v>
      </c>
      <c r="H1998">
        <v>3.5</v>
      </c>
      <c r="I1998">
        <v>3.6</v>
      </c>
    </row>
    <row r="1999" spans="1:9" ht="24" customHeight="1">
      <c r="A1999" s="6" t="s">
        <v>3461</v>
      </c>
      <c r="B1999">
        <v>2674</v>
      </c>
      <c r="C1999">
        <v>1145</v>
      </c>
      <c r="D1999">
        <v>561336</v>
      </c>
      <c r="E1999">
        <v>465672</v>
      </c>
      <c r="F1999">
        <v>1.2</v>
      </c>
      <c r="G1999">
        <v>2</v>
      </c>
      <c r="H1999">
        <v>33.700000000000003</v>
      </c>
      <c r="I1999">
        <v>33.799999999999997</v>
      </c>
    </row>
    <row r="2000" spans="1:9" ht="24" customHeight="1">
      <c r="A2000" s="6" t="s">
        <v>3462</v>
      </c>
      <c r="B2000">
        <v>2019</v>
      </c>
      <c r="C2000">
        <v>1347</v>
      </c>
      <c r="D2000">
        <v>365885</v>
      </c>
      <c r="E2000">
        <v>296688</v>
      </c>
      <c r="F2000">
        <v>8.8000000000000007</v>
      </c>
      <c r="G2000">
        <v>4.5</v>
      </c>
      <c r="H2000">
        <v>6.9</v>
      </c>
      <c r="I2000">
        <v>6.7</v>
      </c>
    </row>
    <row r="2001" spans="1:9" ht="24" customHeight="1">
      <c r="A2001" s="6" t="s">
        <v>3463</v>
      </c>
      <c r="B2001">
        <v>24324</v>
      </c>
      <c r="C2001">
        <v>17310</v>
      </c>
      <c r="D2001">
        <v>448211</v>
      </c>
      <c r="E2001">
        <v>352930</v>
      </c>
      <c r="F2001">
        <v>4.3</v>
      </c>
      <c r="G2001">
        <v>4.3</v>
      </c>
      <c r="H2001">
        <v>18.600000000000001</v>
      </c>
      <c r="I2001">
        <v>13.9</v>
      </c>
    </row>
    <row r="2002" spans="1:9" ht="24" customHeight="1">
      <c r="A2002" s="6" t="s">
        <v>3464</v>
      </c>
      <c r="B2002">
        <v>725</v>
      </c>
      <c r="C2002">
        <v>1108</v>
      </c>
      <c r="D2002">
        <v>201548</v>
      </c>
      <c r="E2002">
        <v>195801</v>
      </c>
      <c r="F2002">
        <v>1.9</v>
      </c>
      <c r="G2002">
        <v>3</v>
      </c>
      <c r="H2002">
        <v>0</v>
      </c>
      <c r="I2002">
        <v>0</v>
      </c>
    </row>
    <row r="2003" spans="1:9" ht="24" customHeight="1">
      <c r="A2003" s="6" t="s">
        <v>3465</v>
      </c>
      <c r="B2003">
        <v>1163</v>
      </c>
      <c r="C2003">
        <v>2009</v>
      </c>
      <c r="D2003">
        <v>285125</v>
      </c>
      <c r="E2003">
        <v>262742</v>
      </c>
      <c r="F2003">
        <v>9</v>
      </c>
      <c r="G2003">
        <v>6.7</v>
      </c>
      <c r="H2003">
        <v>1.5</v>
      </c>
      <c r="I2003">
        <v>1.5</v>
      </c>
    </row>
    <row r="2004" spans="1:9" ht="24" customHeight="1">
      <c r="A2004" s="6" t="s">
        <v>3466</v>
      </c>
      <c r="B2004">
        <v>3510</v>
      </c>
      <c r="C2004">
        <v>3047</v>
      </c>
      <c r="D2004">
        <v>397316</v>
      </c>
      <c r="E2004">
        <v>337321</v>
      </c>
      <c r="F2004">
        <v>5.9</v>
      </c>
      <c r="G2004">
        <v>4.5</v>
      </c>
      <c r="H2004">
        <v>12.1</v>
      </c>
      <c r="I2004">
        <v>12.1</v>
      </c>
    </row>
    <row r="2005" spans="1:9" ht="24" customHeight="1">
      <c r="A2005" s="6" t="s">
        <v>3467</v>
      </c>
      <c r="B2005">
        <v>3166</v>
      </c>
      <c r="C2005">
        <v>1888</v>
      </c>
      <c r="D2005">
        <v>457678</v>
      </c>
      <c r="E2005">
        <v>366462</v>
      </c>
      <c r="F2005">
        <v>4.3</v>
      </c>
      <c r="G2005">
        <v>3</v>
      </c>
      <c r="H2005">
        <v>16.8</v>
      </c>
      <c r="I2005">
        <v>16.600000000000001</v>
      </c>
    </row>
    <row r="2006" spans="1:9" ht="24" customHeight="1">
      <c r="A2006" s="6" t="s">
        <v>3468</v>
      </c>
      <c r="B2006">
        <v>2794</v>
      </c>
      <c r="C2006">
        <v>1347</v>
      </c>
      <c r="D2006">
        <v>507169</v>
      </c>
      <c r="E2006">
        <v>423313</v>
      </c>
      <c r="F2006">
        <v>4.3</v>
      </c>
      <c r="G2006">
        <v>4.2</v>
      </c>
      <c r="H2006">
        <v>22</v>
      </c>
      <c r="I2006">
        <v>22.1</v>
      </c>
    </row>
    <row r="2007" spans="1:9" ht="24" customHeight="1">
      <c r="A2007" s="6" t="s">
        <v>3469</v>
      </c>
      <c r="B2007">
        <v>3132</v>
      </c>
      <c r="C2007">
        <v>1564</v>
      </c>
      <c r="D2007">
        <v>535014</v>
      </c>
      <c r="E2007">
        <v>459218</v>
      </c>
      <c r="F2007">
        <v>1.7</v>
      </c>
      <c r="G2007">
        <v>3.3</v>
      </c>
      <c r="H2007">
        <v>27.1</v>
      </c>
      <c r="I2007">
        <v>27.4</v>
      </c>
    </row>
    <row r="2008" spans="1:9" ht="24" customHeight="1">
      <c r="A2008" s="6" t="s">
        <v>3470</v>
      </c>
      <c r="B2008">
        <v>1218</v>
      </c>
      <c r="C2008">
        <v>1820</v>
      </c>
      <c r="D2008">
        <v>309133</v>
      </c>
      <c r="E2008">
        <v>288217</v>
      </c>
      <c r="F2008">
        <v>7.9</v>
      </c>
      <c r="G2008">
        <v>3.9</v>
      </c>
      <c r="H2008">
        <v>3.6</v>
      </c>
      <c r="I2008">
        <v>3.5</v>
      </c>
    </row>
    <row r="2009" spans="1:9" ht="24" customHeight="1">
      <c r="A2009" s="6" t="s">
        <v>3471</v>
      </c>
      <c r="B2009">
        <v>5292</v>
      </c>
      <c r="C2009">
        <v>2301</v>
      </c>
      <c r="D2009">
        <v>564454</v>
      </c>
      <c r="E2009">
        <v>493601</v>
      </c>
      <c r="F2009">
        <v>1.9</v>
      </c>
      <c r="G2009">
        <v>2.2000000000000002</v>
      </c>
      <c r="H2009">
        <v>34.1</v>
      </c>
      <c r="I2009">
        <v>33.700000000000003</v>
      </c>
    </row>
    <row r="2010" spans="1:9" ht="24" customHeight="1">
      <c r="A2010" s="6" t="s">
        <v>3472</v>
      </c>
      <c r="B2010">
        <v>3334</v>
      </c>
      <c r="C2010">
        <v>2599</v>
      </c>
      <c r="D2010">
        <v>338796</v>
      </c>
      <c r="E2010">
        <v>303444</v>
      </c>
      <c r="F2010">
        <v>6.1</v>
      </c>
      <c r="G2010">
        <v>6.2</v>
      </c>
      <c r="H2010">
        <v>6.9</v>
      </c>
      <c r="I2010">
        <v>6.8</v>
      </c>
    </row>
    <row r="2011" spans="1:9" ht="24" customHeight="1">
      <c r="A2011" s="6" t="s">
        <v>636</v>
      </c>
      <c r="B2011">
        <v>507976</v>
      </c>
      <c r="C2011">
        <v>180845</v>
      </c>
      <c r="D2011">
        <v>533678</v>
      </c>
      <c r="E2011">
        <v>370189</v>
      </c>
      <c r="F2011">
        <v>16.7</v>
      </c>
      <c r="G2011">
        <v>10.7</v>
      </c>
      <c r="H2011">
        <v>13.6</v>
      </c>
      <c r="I2011">
        <v>9.4</v>
      </c>
    </row>
    <row r="2012" spans="1:9" ht="24" customHeight="1">
      <c r="A2012" s="6" t="s">
        <v>637</v>
      </c>
      <c r="B2012">
        <v>37092</v>
      </c>
      <c r="C2012">
        <v>23493</v>
      </c>
      <c r="D2012">
        <v>280164</v>
      </c>
      <c r="E2012">
        <v>252508</v>
      </c>
      <c r="F2012">
        <v>9</v>
      </c>
      <c r="G2012">
        <v>8.1</v>
      </c>
      <c r="H2012">
        <v>0</v>
      </c>
      <c r="I2012">
        <v>0</v>
      </c>
    </row>
    <row r="2013" spans="1:9" ht="24" customHeight="1">
      <c r="A2013" s="6" t="s">
        <v>3473</v>
      </c>
      <c r="B2013">
        <v>55291</v>
      </c>
      <c r="C2013">
        <v>25316</v>
      </c>
      <c r="D2013">
        <v>363143</v>
      </c>
      <c r="E2013">
        <v>288975</v>
      </c>
      <c r="F2013">
        <v>18.399999999999999</v>
      </c>
      <c r="G2013">
        <v>12.1</v>
      </c>
      <c r="H2013">
        <v>1.3</v>
      </c>
      <c r="I2013">
        <v>1.4</v>
      </c>
    </row>
    <row r="2014" spans="1:9" ht="24" customHeight="1">
      <c r="A2014" s="6" t="s">
        <v>3474</v>
      </c>
      <c r="B2014">
        <v>65428</v>
      </c>
      <c r="C2014">
        <v>19967</v>
      </c>
      <c r="D2014">
        <v>551381</v>
      </c>
      <c r="E2014">
        <v>386663</v>
      </c>
      <c r="F2014">
        <v>16</v>
      </c>
      <c r="G2014">
        <v>11.2</v>
      </c>
      <c r="H2014">
        <v>12</v>
      </c>
      <c r="I2014">
        <v>11.8</v>
      </c>
    </row>
    <row r="2015" spans="1:9" ht="24" customHeight="1">
      <c r="A2015" s="6" t="s">
        <v>3475</v>
      </c>
      <c r="B2015">
        <v>66542</v>
      </c>
      <c r="C2015">
        <v>22222</v>
      </c>
      <c r="D2015">
        <v>607974</v>
      </c>
      <c r="E2015">
        <v>445226</v>
      </c>
      <c r="F2015">
        <v>18.2</v>
      </c>
      <c r="G2015">
        <v>8.6</v>
      </c>
      <c r="H2015">
        <v>17</v>
      </c>
      <c r="I2015">
        <v>16.899999999999999</v>
      </c>
    </row>
    <row r="2016" spans="1:9" ht="24" customHeight="1">
      <c r="A2016" s="6" t="s">
        <v>3476</v>
      </c>
      <c r="B2016">
        <v>42998</v>
      </c>
      <c r="C2016">
        <v>9359</v>
      </c>
      <c r="D2016">
        <v>659630</v>
      </c>
      <c r="E2016">
        <v>412686</v>
      </c>
      <c r="F2016">
        <v>16.5</v>
      </c>
      <c r="G2016">
        <v>8.3000000000000007</v>
      </c>
      <c r="H2016">
        <v>21.8</v>
      </c>
      <c r="I2016">
        <v>21.6</v>
      </c>
    </row>
    <row r="2017" spans="1:9" ht="24" customHeight="1">
      <c r="A2017" s="6" t="s">
        <v>3477</v>
      </c>
      <c r="B2017">
        <v>35778</v>
      </c>
      <c r="C2017">
        <v>7817</v>
      </c>
      <c r="D2017">
        <v>690809</v>
      </c>
      <c r="E2017">
        <v>603665</v>
      </c>
      <c r="F2017">
        <v>15.1</v>
      </c>
      <c r="G2017">
        <v>6.1</v>
      </c>
      <c r="H2017">
        <v>26.8</v>
      </c>
      <c r="I2017">
        <v>26.9</v>
      </c>
    </row>
    <row r="2018" spans="1:9" ht="24" customHeight="1">
      <c r="A2018" s="6" t="s">
        <v>3478</v>
      </c>
      <c r="B2018">
        <v>46822</v>
      </c>
      <c r="C2018">
        <v>27635</v>
      </c>
      <c r="D2018">
        <v>402337</v>
      </c>
      <c r="E2018">
        <v>327457</v>
      </c>
      <c r="F2018">
        <v>18</v>
      </c>
      <c r="G2018">
        <v>11</v>
      </c>
      <c r="H2018">
        <v>3.5</v>
      </c>
      <c r="I2018">
        <v>3.5</v>
      </c>
    </row>
    <row r="2019" spans="1:9" ht="24" customHeight="1">
      <c r="A2019" s="6" t="s">
        <v>638</v>
      </c>
      <c r="B2019">
        <v>64503</v>
      </c>
      <c r="C2019">
        <v>9646</v>
      </c>
      <c r="D2019">
        <v>766174</v>
      </c>
      <c r="E2019">
        <v>605028</v>
      </c>
      <c r="F2019">
        <v>12.8</v>
      </c>
      <c r="G2019">
        <v>10.8</v>
      </c>
      <c r="H2019">
        <v>34.200000000000003</v>
      </c>
      <c r="I2019">
        <v>34.9</v>
      </c>
    </row>
    <row r="2020" spans="1:9" ht="24" customHeight="1">
      <c r="A2020" s="6" t="s">
        <v>3479</v>
      </c>
      <c r="B2020">
        <v>94402</v>
      </c>
      <c r="C2020">
        <v>40819</v>
      </c>
      <c r="D2020">
        <v>455503</v>
      </c>
      <c r="E2020">
        <v>345753</v>
      </c>
      <c r="F2020">
        <v>20.7</v>
      </c>
      <c r="G2020">
        <v>12.5</v>
      </c>
      <c r="H2020">
        <v>6.9</v>
      </c>
      <c r="I2020">
        <v>6.7</v>
      </c>
    </row>
    <row r="2021" spans="1:9" ht="24" customHeight="1">
      <c r="A2021" s="6" t="s">
        <v>3480</v>
      </c>
      <c r="B2021">
        <v>374029</v>
      </c>
      <c r="C2021">
        <v>127299</v>
      </c>
      <c r="D2021">
        <v>386561</v>
      </c>
      <c r="E2021">
        <v>324081</v>
      </c>
      <c r="F2021">
        <v>11.2</v>
      </c>
      <c r="G2021">
        <v>6.4</v>
      </c>
      <c r="H2021">
        <v>10.9</v>
      </c>
      <c r="I2021">
        <v>9.8000000000000007</v>
      </c>
    </row>
    <row r="2022" spans="1:9" ht="24" customHeight="1">
      <c r="A2022" s="6" t="s">
        <v>3481</v>
      </c>
      <c r="B2022">
        <v>26907</v>
      </c>
      <c r="C2022">
        <v>11032</v>
      </c>
      <c r="D2022">
        <v>274841</v>
      </c>
      <c r="E2022">
        <v>225035</v>
      </c>
      <c r="F2022">
        <v>8.9</v>
      </c>
      <c r="G2022">
        <v>3.8</v>
      </c>
      <c r="H2022">
        <v>0</v>
      </c>
      <c r="I2022">
        <v>0</v>
      </c>
    </row>
    <row r="2023" spans="1:9" ht="24" customHeight="1">
      <c r="A2023" s="6" t="s">
        <v>3482</v>
      </c>
      <c r="B2023">
        <v>50003</v>
      </c>
      <c r="C2023">
        <v>20098</v>
      </c>
      <c r="D2023">
        <v>310692</v>
      </c>
      <c r="E2023">
        <v>268233</v>
      </c>
      <c r="F2023">
        <v>11.4</v>
      </c>
      <c r="G2023">
        <v>6.8</v>
      </c>
      <c r="H2023">
        <v>1.5</v>
      </c>
      <c r="I2023">
        <v>1.5</v>
      </c>
    </row>
    <row r="2024" spans="1:9" ht="24" customHeight="1">
      <c r="A2024" s="6" t="s">
        <v>3483</v>
      </c>
      <c r="B2024">
        <v>57247</v>
      </c>
      <c r="C2024">
        <v>18114</v>
      </c>
      <c r="D2024">
        <v>383895</v>
      </c>
      <c r="E2024">
        <v>317966</v>
      </c>
      <c r="F2024">
        <v>12.4</v>
      </c>
      <c r="G2024">
        <v>5</v>
      </c>
      <c r="H2024">
        <v>11.9</v>
      </c>
      <c r="I2024">
        <v>11.9</v>
      </c>
    </row>
    <row r="2025" spans="1:9" ht="24" customHeight="1">
      <c r="A2025" s="6" t="s">
        <v>3484</v>
      </c>
      <c r="B2025">
        <v>43403</v>
      </c>
      <c r="C2025">
        <v>14468</v>
      </c>
      <c r="D2025">
        <v>442946</v>
      </c>
      <c r="E2025">
        <v>345635</v>
      </c>
      <c r="F2025">
        <v>10.1</v>
      </c>
      <c r="G2025">
        <v>5.6</v>
      </c>
      <c r="H2025">
        <v>16.8</v>
      </c>
      <c r="I2025">
        <v>16.7</v>
      </c>
    </row>
    <row r="2026" spans="1:9" ht="24" customHeight="1">
      <c r="A2026" s="6" t="s">
        <v>3485</v>
      </c>
      <c r="B2026">
        <v>28625</v>
      </c>
      <c r="C2026">
        <v>9934</v>
      </c>
      <c r="D2026">
        <v>446305</v>
      </c>
      <c r="E2026">
        <v>392779</v>
      </c>
      <c r="F2026">
        <v>9.6</v>
      </c>
      <c r="G2026">
        <v>5.8</v>
      </c>
      <c r="H2026">
        <v>21.8</v>
      </c>
      <c r="I2026">
        <v>21.8</v>
      </c>
    </row>
    <row r="2027" spans="1:9" ht="24" customHeight="1">
      <c r="A2027" s="6" t="s">
        <v>3486</v>
      </c>
      <c r="B2027">
        <v>20111</v>
      </c>
      <c r="C2027">
        <v>5100</v>
      </c>
      <c r="D2027">
        <v>491857</v>
      </c>
      <c r="E2027">
        <v>433780</v>
      </c>
      <c r="F2027">
        <v>8.8000000000000007</v>
      </c>
      <c r="G2027">
        <v>5.7</v>
      </c>
      <c r="H2027">
        <v>26.9</v>
      </c>
      <c r="I2027">
        <v>26.7</v>
      </c>
    </row>
    <row r="2028" spans="1:9" ht="24" customHeight="1">
      <c r="A2028" s="6" t="s">
        <v>3487</v>
      </c>
      <c r="B2028">
        <v>47725</v>
      </c>
      <c r="C2028">
        <v>18953</v>
      </c>
      <c r="D2028">
        <v>353427</v>
      </c>
      <c r="E2028">
        <v>282531</v>
      </c>
      <c r="F2028">
        <v>12.2</v>
      </c>
      <c r="G2028">
        <v>7.1</v>
      </c>
      <c r="H2028">
        <v>3.5</v>
      </c>
      <c r="I2028">
        <v>3.5</v>
      </c>
    </row>
    <row r="2029" spans="1:9" ht="24" customHeight="1">
      <c r="A2029" s="6" t="s">
        <v>3488</v>
      </c>
      <c r="B2029">
        <v>22061</v>
      </c>
      <c r="C2029">
        <v>5889</v>
      </c>
      <c r="D2029">
        <v>509887</v>
      </c>
      <c r="E2029">
        <v>440598</v>
      </c>
      <c r="F2029">
        <v>5.4</v>
      </c>
      <c r="G2029">
        <v>3.6</v>
      </c>
      <c r="H2029">
        <v>34.9</v>
      </c>
      <c r="I2029">
        <v>34.4</v>
      </c>
    </row>
    <row r="2030" spans="1:9" ht="24" customHeight="1">
      <c r="A2030" s="6" t="s">
        <v>3489</v>
      </c>
      <c r="B2030">
        <v>86780</v>
      </c>
      <c r="C2030">
        <v>32201</v>
      </c>
      <c r="D2030">
        <v>358794</v>
      </c>
      <c r="E2030">
        <v>305514</v>
      </c>
      <c r="F2030">
        <v>12.8</v>
      </c>
      <c r="G2030">
        <v>6.9</v>
      </c>
      <c r="H2030">
        <v>6.8</v>
      </c>
      <c r="I2030">
        <v>6.8</v>
      </c>
    </row>
    <row r="2031" spans="1:9" ht="24" customHeight="1">
      <c r="A2031" s="6" t="s">
        <v>3490</v>
      </c>
      <c r="B2031">
        <v>216798</v>
      </c>
      <c r="C2031">
        <v>72810</v>
      </c>
      <c r="D2031">
        <v>409607</v>
      </c>
      <c r="E2031">
        <v>351003</v>
      </c>
      <c r="F2031">
        <v>13.4</v>
      </c>
      <c r="G2031">
        <v>9.9</v>
      </c>
      <c r="H2031">
        <v>11.5</v>
      </c>
      <c r="I2031">
        <v>9.9</v>
      </c>
    </row>
    <row r="2032" spans="1:9" ht="24" customHeight="1">
      <c r="A2032" s="6" t="s">
        <v>3491</v>
      </c>
      <c r="B2032">
        <v>15963</v>
      </c>
      <c r="C2032">
        <v>6365</v>
      </c>
      <c r="D2032">
        <v>281218</v>
      </c>
      <c r="E2032">
        <v>232945</v>
      </c>
      <c r="F2032">
        <v>13.3</v>
      </c>
      <c r="G2032">
        <v>8.6</v>
      </c>
      <c r="H2032">
        <v>0</v>
      </c>
      <c r="I2032">
        <v>0</v>
      </c>
    </row>
    <row r="2033" spans="1:9" ht="24" customHeight="1">
      <c r="A2033" s="6" t="s">
        <v>3492</v>
      </c>
      <c r="B2033">
        <v>27820</v>
      </c>
      <c r="C2033">
        <v>9130</v>
      </c>
      <c r="D2033">
        <v>320238</v>
      </c>
      <c r="E2033">
        <v>284628</v>
      </c>
      <c r="F2033">
        <v>16.399999999999999</v>
      </c>
      <c r="G2033">
        <v>10.7</v>
      </c>
      <c r="H2033">
        <v>1.5</v>
      </c>
      <c r="I2033">
        <v>1.4</v>
      </c>
    </row>
    <row r="2034" spans="1:9" ht="24" customHeight="1">
      <c r="A2034" s="6" t="s">
        <v>3493</v>
      </c>
      <c r="B2034">
        <v>30372</v>
      </c>
      <c r="C2034">
        <v>11219</v>
      </c>
      <c r="D2034">
        <v>412113</v>
      </c>
      <c r="E2034">
        <v>362704</v>
      </c>
      <c r="F2034">
        <v>14.4</v>
      </c>
      <c r="G2034">
        <v>8.5</v>
      </c>
      <c r="H2034">
        <v>12</v>
      </c>
      <c r="I2034">
        <v>11.8</v>
      </c>
    </row>
    <row r="2035" spans="1:9" ht="24" customHeight="1">
      <c r="A2035" s="6" t="s">
        <v>3494</v>
      </c>
      <c r="B2035">
        <v>27160</v>
      </c>
      <c r="C2035">
        <v>7445</v>
      </c>
      <c r="D2035">
        <v>468887</v>
      </c>
      <c r="E2035">
        <v>373836</v>
      </c>
      <c r="F2035">
        <v>13.3</v>
      </c>
      <c r="G2035">
        <v>10.4</v>
      </c>
      <c r="H2035">
        <v>16.7</v>
      </c>
      <c r="I2035">
        <v>16.600000000000001</v>
      </c>
    </row>
    <row r="2036" spans="1:9" ht="24" customHeight="1">
      <c r="A2036" s="6" t="s">
        <v>3495</v>
      </c>
      <c r="B2036">
        <v>17036</v>
      </c>
      <c r="C2036">
        <v>5166</v>
      </c>
      <c r="D2036">
        <v>484990</v>
      </c>
      <c r="E2036">
        <v>411460</v>
      </c>
      <c r="F2036">
        <v>10.5</v>
      </c>
      <c r="G2036">
        <v>7</v>
      </c>
      <c r="H2036">
        <v>22</v>
      </c>
      <c r="I2036">
        <v>21.4</v>
      </c>
    </row>
    <row r="2037" spans="1:9" ht="24" customHeight="1">
      <c r="A2037" s="6" t="s">
        <v>3496</v>
      </c>
      <c r="B2037">
        <v>14714</v>
      </c>
      <c r="C2037">
        <v>1761</v>
      </c>
      <c r="D2037">
        <v>518150</v>
      </c>
      <c r="E2037">
        <v>483898</v>
      </c>
      <c r="F2037">
        <v>8.8000000000000007</v>
      </c>
      <c r="G2037">
        <v>7.6</v>
      </c>
      <c r="H2037">
        <v>26.7</v>
      </c>
      <c r="I2037">
        <v>27</v>
      </c>
    </row>
    <row r="2038" spans="1:9" ht="24" customHeight="1">
      <c r="A2038" s="6" t="s">
        <v>3497</v>
      </c>
      <c r="B2038">
        <v>27652</v>
      </c>
      <c r="C2038">
        <v>12036</v>
      </c>
      <c r="D2038">
        <v>361226</v>
      </c>
      <c r="E2038">
        <v>304824</v>
      </c>
      <c r="F2038">
        <v>16.100000000000001</v>
      </c>
      <c r="G2038">
        <v>11.1</v>
      </c>
      <c r="H2038">
        <v>3.4</v>
      </c>
      <c r="I2038">
        <v>3.5</v>
      </c>
    </row>
    <row r="2039" spans="1:9" ht="24" customHeight="1">
      <c r="A2039" s="6" t="s">
        <v>3498</v>
      </c>
      <c r="B2039">
        <v>14560</v>
      </c>
      <c r="C2039">
        <v>4879</v>
      </c>
      <c r="D2039">
        <v>555326</v>
      </c>
      <c r="E2039">
        <v>584492</v>
      </c>
      <c r="F2039">
        <v>6</v>
      </c>
      <c r="G2039">
        <v>17.100000000000001</v>
      </c>
      <c r="H2039">
        <v>33.4</v>
      </c>
      <c r="I2039">
        <v>32.9</v>
      </c>
    </row>
    <row r="2040" spans="1:9" ht="24" customHeight="1">
      <c r="A2040" s="6" t="s">
        <v>3499</v>
      </c>
      <c r="B2040">
        <v>43599</v>
      </c>
      <c r="C2040">
        <v>17148</v>
      </c>
      <c r="D2040">
        <v>380040</v>
      </c>
      <c r="E2040">
        <v>330676</v>
      </c>
      <c r="F2040">
        <v>14.2</v>
      </c>
      <c r="G2040">
        <v>7.9</v>
      </c>
      <c r="H2040">
        <v>6.8</v>
      </c>
      <c r="I2040">
        <v>6.8</v>
      </c>
    </row>
    <row r="2041" spans="1:9" ht="24" customHeight="1">
      <c r="A2041" s="6" t="s">
        <v>3500</v>
      </c>
      <c r="B2041">
        <v>182361</v>
      </c>
      <c r="C2041">
        <v>78531</v>
      </c>
      <c r="D2041">
        <v>434183</v>
      </c>
      <c r="E2041">
        <v>353738</v>
      </c>
      <c r="F2041">
        <v>18.399999999999999</v>
      </c>
      <c r="G2041">
        <v>9.6999999999999993</v>
      </c>
      <c r="H2041">
        <v>12.3</v>
      </c>
      <c r="I2041">
        <v>8.6</v>
      </c>
    </row>
    <row r="2042" spans="1:9" ht="24" customHeight="1">
      <c r="A2042" s="6" t="s">
        <v>3501</v>
      </c>
      <c r="B2042">
        <v>13572</v>
      </c>
      <c r="C2042">
        <v>9438</v>
      </c>
      <c r="D2042">
        <v>278412</v>
      </c>
      <c r="E2042">
        <v>222802</v>
      </c>
      <c r="F2042">
        <v>10.4</v>
      </c>
      <c r="G2042">
        <v>8.1999999999999993</v>
      </c>
      <c r="H2042">
        <v>0</v>
      </c>
      <c r="I2042">
        <v>0</v>
      </c>
    </row>
    <row r="2043" spans="1:9" ht="24" customHeight="1">
      <c r="A2043" s="6" t="s">
        <v>3502</v>
      </c>
      <c r="B2043">
        <v>21222</v>
      </c>
      <c r="C2043">
        <v>13016</v>
      </c>
      <c r="D2043">
        <v>352257</v>
      </c>
      <c r="E2043">
        <v>306895</v>
      </c>
      <c r="F2043">
        <v>20.3</v>
      </c>
      <c r="G2043">
        <v>12.3</v>
      </c>
      <c r="H2043">
        <v>1.5</v>
      </c>
      <c r="I2043">
        <v>1.5</v>
      </c>
    </row>
    <row r="2044" spans="1:9" ht="24" customHeight="1">
      <c r="A2044" s="6" t="s">
        <v>3503</v>
      </c>
      <c r="B2044">
        <v>24431</v>
      </c>
      <c r="C2044">
        <v>8940</v>
      </c>
      <c r="D2044">
        <v>423488</v>
      </c>
      <c r="E2044">
        <v>360854</v>
      </c>
      <c r="F2044">
        <v>21.3</v>
      </c>
      <c r="G2044">
        <v>9.4</v>
      </c>
      <c r="H2044">
        <v>12.2</v>
      </c>
      <c r="I2044">
        <v>11.9</v>
      </c>
    </row>
    <row r="2045" spans="1:9" ht="24" customHeight="1">
      <c r="A2045" s="6" t="s">
        <v>3504</v>
      </c>
      <c r="B2045">
        <v>26342</v>
      </c>
      <c r="C2045">
        <v>9862</v>
      </c>
      <c r="D2045">
        <v>473108</v>
      </c>
      <c r="E2045">
        <v>421068</v>
      </c>
      <c r="F2045">
        <v>20.7</v>
      </c>
      <c r="G2045">
        <v>9</v>
      </c>
      <c r="H2045">
        <v>16.899999999999999</v>
      </c>
      <c r="I2045">
        <v>16.5</v>
      </c>
    </row>
    <row r="2046" spans="1:9" ht="24" customHeight="1">
      <c r="A2046" s="6" t="s">
        <v>3505</v>
      </c>
      <c r="B2046">
        <v>13369</v>
      </c>
      <c r="C2046">
        <v>3392</v>
      </c>
      <c r="D2046">
        <v>512568</v>
      </c>
      <c r="E2046">
        <v>399107</v>
      </c>
      <c r="F2046">
        <v>16.3</v>
      </c>
      <c r="G2046">
        <v>11.6</v>
      </c>
      <c r="H2046">
        <v>21.9</v>
      </c>
      <c r="I2046">
        <v>21.9</v>
      </c>
    </row>
    <row r="2047" spans="1:9" ht="24" customHeight="1">
      <c r="A2047" s="6" t="s">
        <v>3506</v>
      </c>
      <c r="B2047">
        <v>10990</v>
      </c>
      <c r="C2047">
        <v>2332</v>
      </c>
      <c r="D2047">
        <v>579800</v>
      </c>
      <c r="E2047">
        <v>481853</v>
      </c>
      <c r="F2047">
        <v>14.4</v>
      </c>
      <c r="G2047">
        <v>9.1</v>
      </c>
      <c r="H2047">
        <v>26.9</v>
      </c>
      <c r="I2047">
        <v>26.7</v>
      </c>
    </row>
    <row r="2048" spans="1:9" ht="24" customHeight="1">
      <c r="A2048" s="6" t="s">
        <v>3507</v>
      </c>
      <c r="B2048">
        <v>24650</v>
      </c>
      <c r="C2048">
        <v>13365</v>
      </c>
      <c r="D2048">
        <v>376840</v>
      </c>
      <c r="E2048">
        <v>325399</v>
      </c>
      <c r="F2048">
        <v>21.8</v>
      </c>
      <c r="G2048">
        <v>9.3000000000000007</v>
      </c>
      <c r="H2048">
        <v>3.5</v>
      </c>
      <c r="I2048">
        <v>3.5</v>
      </c>
    </row>
    <row r="2049" spans="1:9" ht="24" customHeight="1">
      <c r="A2049" s="6" t="s">
        <v>3508</v>
      </c>
      <c r="B2049">
        <v>16713</v>
      </c>
      <c r="C2049">
        <v>3029</v>
      </c>
      <c r="D2049">
        <v>602783</v>
      </c>
      <c r="E2049">
        <v>555464</v>
      </c>
      <c r="F2049">
        <v>11.8</v>
      </c>
      <c r="G2049">
        <v>7.8</v>
      </c>
      <c r="H2049">
        <v>34.5</v>
      </c>
      <c r="I2049">
        <v>33</v>
      </c>
    </row>
    <row r="2050" spans="1:9" ht="24" customHeight="1">
      <c r="A2050" s="6" t="s">
        <v>3509</v>
      </c>
      <c r="B2050">
        <v>32503</v>
      </c>
      <c r="C2050">
        <v>18478</v>
      </c>
      <c r="D2050">
        <v>394446</v>
      </c>
      <c r="E2050">
        <v>346167</v>
      </c>
      <c r="F2050">
        <v>19.100000000000001</v>
      </c>
      <c r="G2050">
        <v>8.8000000000000007</v>
      </c>
      <c r="H2050">
        <v>6.8</v>
      </c>
      <c r="I2050">
        <v>6.6</v>
      </c>
    </row>
    <row r="2051" spans="1:9" ht="24" customHeight="1">
      <c r="A2051" s="6" t="s">
        <v>639</v>
      </c>
      <c r="B2051">
        <v>23409</v>
      </c>
      <c r="C2051">
        <v>20951</v>
      </c>
      <c r="D2051">
        <v>249116</v>
      </c>
      <c r="E2051">
        <v>203429</v>
      </c>
      <c r="F2051">
        <v>9.6999999999999993</v>
      </c>
      <c r="G2051">
        <v>5.2</v>
      </c>
      <c r="H2051">
        <v>0</v>
      </c>
      <c r="I2051">
        <v>0</v>
      </c>
    </row>
    <row r="2052" spans="1:9" ht="24" customHeight="1">
      <c r="A2052" s="6" t="s">
        <v>3510</v>
      </c>
      <c r="B2052">
        <v>33038</v>
      </c>
      <c r="C2052">
        <v>36057</v>
      </c>
      <c r="D2052">
        <v>323547</v>
      </c>
      <c r="E2052">
        <v>251126</v>
      </c>
      <c r="F2052">
        <v>16.2</v>
      </c>
      <c r="G2052">
        <v>16.899999999999999</v>
      </c>
      <c r="H2052">
        <v>1.6</v>
      </c>
      <c r="I2052">
        <v>1.5</v>
      </c>
    </row>
    <row r="2053" spans="1:9" ht="24" customHeight="1">
      <c r="A2053" s="6" t="s">
        <v>3511</v>
      </c>
      <c r="B2053">
        <v>70553</v>
      </c>
      <c r="C2053">
        <v>25973</v>
      </c>
      <c r="D2053">
        <v>413525</v>
      </c>
      <c r="E2053">
        <v>300442</v>
      </c>
      <c r="F2053">
        <v>19.8</v>
      </c>
      <c r="G2053">
        <v>10.3</v>
      </c>
      <c r="H2053">
        <v>12</v>
      </c>
      <c r="I2053">
        <v>12.2</v>
      </c>
    </row>
    <row r="2054" spans="1:9" ht="24" customHeight="1">
      <c r="A2054" s="6" t="s">
        <v>3512</v>
      </c>
      <c r="B2054">
        <v>62882</v>
      </c>
      <c r="C2054">
        <v>21940</v>
      </c>
      <c r="D2054">
        <v>474608</v>
      </c>
      <c r="E2054">
        <v>321483</v>
      </c>
      <c r="F2054">
        <v>17.8</v>
      </c>
      <c r="G2054">
        <v>10.6</v>
      </c>
      <c r="H2054">
        <v>16.8</v>
      </c>
      <c r="I2054">
        <v>16.7</v>
      </c>
    </row>
    <row r="2055" spans="1:9" ht="24" customHeight="1">
      <c r="A2055" s="6" t="s">
        <v>3513</v>
      </c>
      <c r="B2055">
        <v>41024</v>
      </c>
      <c r="C2055">
        <v>13372</v>
      </c>
      <c r="D2055">
        <v>540675</v>
      </c>
      <c r="E2055">
        <v>377000</v>
      </c>
      <c r="F2055">
        <v>18.3</v>
      </c>
      <c r="G2055">
        <v>9.8000000000000007</v>
      </c>
      <c r="H2055">
        <v>21.9</v>
      </c>
      <c r="I2055">
        <v>21.3</v>
      </c>
    </row>
    <row r="2056" spans="1:9" ht="24" customHeight="1">
      <c r="A2056" s="6" t="s">
        <v>3514</v>
      </c>
      <c r="B2056">
        <v>36393</v>
      </c>
      <c r="C2056">
        <v>8251</v>
      </c>
      <c r="D2056">
        <v>569704</v>
      </c>
      <c r="E2056">
        <v>425277</v>
      </c>
      <c r="F2056">
        <v>11.2</v>
      </c>
      <c r="G2056">
        <v>9.6999999999999993</v>
      </c>
      <c r="H2056">
        <v>26.9</v>
      </c>
      <c r="I2056">
        <v>26.9</v>
      </c>
    </row>
    <row r="2057" spans="1:9" ht="24" customHeight="1">
      <c r="A2057" s="6" t="s">
        <v>3515</v>
      </c>
      <c r="B2057">
        <v>37706</v>
      </c>
      <c r="C2057">
        <v>29245</v>
      </c>
      <c r="D2057">
        <v>326044</v>
      </c>
      <c r="E2057">
        <v>270166</v>
      </c>
      <c r="F2057">
        <v>17.399999999999999</v>
      </c>
      <c r="G2057">
        <v>13.2</v>
      </c>
      <c r="H2057">
        <v>3.4</v>
      </c>
      <c r="I2057">
        <v>3.5</v>
      </c>
    </row>
    <row r="2058" spans="1:9" ht="24" customHeight="1">
      <c r="A2058" s="6" t="s">
        <v>640</v>
      </c>
      <c r="B2058">
        <v>52549</v>
      </c>
      <c r="C2058">
        <v>10699</v>
      </c>
      <c r="D2058">
        <v>637355</v>
      </c>
      <c r="E2058">
        <v>397578</v>
      </c>
      <c r="F2058">
        <v>8.8000000000000007</v>
      </c>
      <c r="G2058">
        <v>13.4</v>
      </c>
      <c r="H2058">
        <v>33.9</v>
      </c>
      <c r="I2058">
        <v>32.4</v>
      </c>
    </row>
    <row r="2059" spans="1:9" ht="24" customHeight="1">
      <c r="A2059" s="6" t="s">
        <v>3516</v>
      </c>
      <c r="B2059">
        <v>70271</v>
      </c>
      <c r="C2059">
        <v>38895</v>
      </c>
      <c r="D2059">
        <v>367717</v>
      </c>
      <c r="E2059">
        <v>290880</v>
      </c>
      <c r="F2059">
        <v>17.899999999999999</v>
      </c>
      <c r="G2059">
        <v>15.8</v>
      </c>
      <c r="H2059">
        <v>7</v>
      </c>
      <c r="I2059">
        <v>6.6</v>
      </c>
    </row>
    <row r="2060" spans="1:9" ht="24" customHeight="1">
      <c r="A2060" s="6" t="s">
        <v>641</v>
      </c>
      <c r="B2060">
        <v>2608</v>
      </c>
      <c r="C2060">
        <v>1235</v>
      </c>
      <c r="D2060">
        <v>241717</v>
      </c>
      <c r="E2060">
        <v>208253</v>
      </c>
      <c r="F2060">
        <v>7.7</v>
      </c>
      <c r="G2060">
        <v>6.7</v>
      </c>
      <c r="H2060">
        <v>0</v>
      </c>
      <c r="I2060">
        <v>0</v>
      </c>
    </row>
    <row r="2061" spans="1:9" ht="24" customHeight="1">
      <c r="A2061" s="6" t="s">
        <v>3517</v>
      </c>
      <c r="B2061">
        <v>4850</v>
      </c>
      <c r="C2061">
        <v>1871</v>
      </c>
      <c r="D2061">
        <v>322265</v>
      </c>
      <c r="E2061">
        <v>286416</v>
      </c>
      <c r="F2061">
        <v>15.2</v>
      </c>
      <c r="G2061">
        <v>12</v>
      </c>
      <c r="H2061">
        <v>1.5</v>
      </c>
      <c r="I2061">
        <v>1.5</v>
      </c>
    </row>
    <row r="2062" spans="1:9" ht="24" customHeight="1">
      <c r="A2062" s="6" t="s">
        <v>3518</v>
      </c>
      <c r="B2062">
        <v>7989</v>
      </c>
      <c r="C2062">
        <v>2226</v>
      </c>
      <c r="D2062">
        <v>460797</v>
      </c>
      <c r="E2062">
        <v>337277</v>
      </c>
      <c r="F2062">
        <v>16.5</v>
      </c>
      <c r="G2062">
        <v>7.6</v>
      </c>
      <c r="H2062">
        <v>12</v>
      </c>
      <c r="I2062">
        <v>12.1</v>
      </c>
    </row>
    <row r="2063" spans="1:9" ht="24" customHeight="1">
      <c r="A2063" s="6" t="s">
        <v>3519</v>
      </c>
      <c r="B2063">
        <v>7942</v>
      </c>
      <c r="C2063">
        <v>2068</v>
      </c>
      <c r="D2063">
        <v>503472</v>
      </c>
      <c r="E2063">
        <v>373866</v>
      </c>
      <c r="F2063">
        <v>14.6</v>
      </c>
      <c r="G2063">
        <v>8.5</v>
      </c>
      <c r="H2063">
        <v>17</v>
      </c>
      <c r="I2063">
        <v>16.899999999999999</v>
      </c>
    </row>
    <row r="2064" spans="1:9" ht="24" customHeight="1">
      <c r="A2064" s="6" t="s">
        <v>3520</v>
      </c>
      <c r="B2064">
        <v>5757</v>
      </c>
      <c r="C2064">
        <v>1211</v>
      </c>
      <c r="D2064">
        <v>535875</v>
      </c>
      <c r="E2064">
        <v>386849</v>
      </c>
      <c r="F2064">
        <v>13.6</v>
      </c>
      <c r="G2064">
        <v>7.2</v>
      </c>
      <c r="H2064">
        <v>21.7</v>
      </c>
      <c r="I2064">
        <v>21.6</v>
      </c>
    </row>
    <row r="2065" spans="1:9" ht="24" customHeight="1">
      <c r="A2065" s="6" t="s">
        <v>3521</v>
      </c>
      <c r="B2065">
        <v>5473</v>
      </c>
      <c r="C2065">
        <v>1347</v>
      </c>
      <c r="D2065">
        <v>579408</v>
      </c>
      <c r="E2065">
        <v>384371</v>
      </c>
      <c r="F2065">
        <v>11.1</v>
      </c>
      <c r="G2065">
        <v>6.7</v>
      </c>
      <c r="H2065">
        <v>27</v>
      </c>
      <c r="I2065">
        <v>27</v>
      </c>
    </row>
    <row r="2066" spans="1:9" ht="24" customHeight="1">
      <c r="A2066" s="6" t="s">
        <v>3522</v>
      </c>
      <c r="B2066">
        <v>5392</v>
      </c>
      <c r="C2066">
        <v>2324</v>
      </c>
      <c r="D2066">
        <v>359811</v>
      </c>
      <c r="E2066">
        <v>312116</v>
      </c>
      <c r="F2066">
        <v>15.4</v>
      </c>
      <c r="G2066">
        <v>12.6</v>
      </c>
      <c r="H2066">
        <v>3.5</v>
      </c>
      <c r="I2066">
        <v>3.5</v>
      </c>
    </row>
    <row r="2067" spans="1:9" ht="24" customHeight="1">
      <c r="A2067" s="6" t="s">
        <v>642</v>
      </c>
      <c r="B2067">
        <v>7562</v>
      </c>
      <c r="C2067">
        <v>1303</v>
      </c>
      <c r="D2067">
        <v>590360</v>
      </c>
      <c r="E2067">
        <v>494681</v>
      </c>
      <c r="F2067">
        <v>7</v>
      </c>
      <c r="G2067">
        <v>7.6</v>
      </c>
      <c r="H2067">
        <v>34.299999999999997</v>
      </c>
      <c r="I2067">
        <v>33.799999999999997</v>
      </c>
    </row>
    <row r="2068" spans="1:9" ht="24" customHeight="1">
      <c r="A2068" s="6" t="s">
        <v>3523</v>
      </c>
      <c r="B2068">
        <v>9841</v>
      </c>
      <c r="C2068">
        <v>3257</v>
      </c>
      <c r="D2068">
        <v>409148</v>
      </c>
      <c r="E2068">
        <v>295389</v>
      </c>
      <c r="F2068">
        <v>15.9</v>
      </c>
      <c r="G2068">
        <v>10.199999999999999</v>
      </c>
      <c r="H2068">
        <v>6.7</v>
      </c>
      <c r="I2068">
        <v>6.6</v>
      </c>
    </row>
    <row r="2069" spans="1:9" ht="24" customHeight="1">
      <c r="A2069" s="6" t="s">
        <v>643</v>
      </c>
      <c r="B2069">
        <v>4227</v>
      </c>
      <c r="C2069">
        <v>4655</v>
      </c>
      <c r="D2069">
        <v>234415</v>
      </c>
      <c r="E2069">
        <v>183500</v>
      </c>
      <c r="F2069">
        <v>6.7</v>
      </c>
      <c r="G2069">
        <v>4.0999999999999996</v>
      </c>
      <c r="H2069">
        <v>0</v>
      </c>
      <c r="I2069">
        <v>0</v>
      </c>
    </row>
    <row r="2070" spans="1:9" ht="24" customHeight="1">
      <c r="A2070" s="6" t="s">
        <v>3524</v>
      </c>
      <c r="B2070">
        <v>6468</v>
      </c>
      <c r="C2070">
        <v>6730</v>
      </c>
      <c r="D2070">
        <v>299275</v>
      </c>
      <c r="E2070">
        <v>214227</v>
      </c>
      <c r="F2070">
        <v>9</v>
      </c>
      <c r="G2070">
        <v>5.7</v>
      </c>
      <c r="H2070">
        <v>1.6</v>
      </c>
      <c r="I2070">
        <v>1.5</v>
      </c>
    </row>
    <row r="2071" spans="1:9" ht="24" customHeight="1">
      <c r="A2071" s="6" t="s">
        <v>3525</v>
      </c>
      <c r="B2071">
        <v>10091</v>
      </c>
      <c r="C2071">
        <v>10674</v>
      </c>
      <c r="D2071">
        <v>402188</v>
      </c>
      <c r="E2071">
        <v>234628</v>
      </c>
      <c r="F2071">
        <v>11.2</v>
      </c>
      <c r="G2071">
        <v>6</v>
      </c>
      <c r="H2071">
        <v>11.9</v>
      </c>
      <c r="I2071">
        <v>11.9</v>
      </c>
    </row>
    <row r="2072" spans="1:9" ht="24" customHeight="1">
      <c r="A2072" s="6" t="s">
        <v>3526</v>
      </c>
      <c r="B2072">
        <v>9499</v>
      </c>
      <c r="C2072">
        <v>9588</v>
      </c>
      <c r="D2072">
        <v>415261</v>
      </c>
      <c r="E2072">
        <v>251869</v>
      </c>
      <c r="F2072">
        <v>9.6</v>
      </c>
      <c r="G2072">
        <v>4.5999999999999996</v>
      </c>
      <c r="H2072">
        <v>16.8</v>
      </c>
      <c r="I2072">
        <v>16.7</v>
      </c>
    </row>
    <row r="2073" spans="1:9" ht="24" customHeight="1">
      <c r="A2073" s="6" t="s">
        <v>3527</v>
      </c>
      <c r="B2073">
        <v>5783</v>
      </c>
      <c r="C2073">
        <v>6487</v>
      </c>
      <c r="D2073">
        <v>466714</v>
      </c>
      <c r="E2073">
        <v>264467</v>
      </c>
      <c r="F2073">
        <v>10.9</v>
      </c>
      <c r="G2073">
        <v>7.9</v>
      </c>
      <c r="H2073">
        <v>21.9</v>
      </c>
      <c r="I2073">
        <v>21.9</v>
      </c>
    </row>
    <row r="2074" spans="1:9" ht="24" customHeight="1">
      <c r="A2074" s="6" t="s">
        <v>3528</v>
      </c>
      <c r="B2074">
        <v>5645</v>
      </c>
      <c r="C2074">
        <v>6565</v>
      </c>
      <c r="D2074">
        <v>470222</v>
      </c>
      <c r="E2074">
        <v>268044</v>
      </c>
      <c r="F2074">
        <v>8.5</v>
      </c>
      <c r="G2074">
        <v>3.5</v>
      </c>
      <c r="H2074">
        <v>26.8</v>
      </c>
      <c r="I2074">
        <v>26.8</v>
      </c>
    </row>
    <row r="2075" spans="1:9" ht="24" customHeight="1">
      <c r="A2075" s="6" t="s">
        <v>3529</v>
      </c>
      <c r="B2075">
        <v>6450</v>
      </c>
      <c r="C2075">
        <v>6170</v>
      </c>
      <c r="D2075">
        <v>310023</v>
      </c>
      <c r="E2075">
        <v>222875</v>
      </c>
      <c r="F2075">
        <v>10.6</v>
      </c>
      <c r="G2075">
        <v>6</v>
      </c>
      <c r="H2075">
        <v>3.4</v>
      </c>
      <c r="I2075">
        <v>3.4</v>
      </c>
    </row>
    <row r="2076" spans="1:9" ht="24" customHeight="1">
      <c r="A2076" s="6" t="s">
        <v>644</v>
      </c>
      <c r="B2076">
        <v>10436</v>
      </c>
      <c r="C2076">
        <v>7425</v>
      </c>
      <c r="D2076">
        <v>502574</v>
      </c>
      <c r="E2076">
        <v>274713</v>
      </c>
      <c r="F2076">
        <v>5.8</v>
      </c>
      <c r="G2076">
        <v>6.2</v>
      </c>
      <c r="H2076">
        <v>35</v>
      </c>
      <c r="I2076">
        <v>34.700000000000003</v>
      </c>
    </row>
    <row r="2077" spans="1:9" ht="24" customHeight="1">
      <c r="A2077" s="6" t="s">
        <v>3530</v>
      </c>
      <c r="B2077">
        <v>14087</v>
      </c>
      <c r="C2077">
        <v>15388</v>
      </c>
      <c r="D2077">
        <v>347027</v>
      </c>
      <c r="E2077">
        <v>225638</v>
      </c>
      <c r="F2077">
        <v>12.6</v>
      </c>
      <c r="G2077">
        <v>5.6</v>
      </c>
      <c r="H2077">
        <v>6.9</v>
      </c>
      <c r="I2077">
        <v>6.9</v>
      </c>
    </row>
    <row r="2078" spans="1:9" ht="24" customHeight="1">
      <c r="A2078" s="6" t="s">
        <v>645</v>
      </c>
      <c r="B2078">
        <v>2896</v>
      </c>
      <c r="C2078">
        <v>944</v>
      </c>
      <c r="D2078">
        <v>243475</v>
      </c>
      <c r="E2078">
        <v>214920</v>
      </c>
      <c r="F2078">
        <v>12.4</v>
      </c>
      <c r="G2078">
        <v>3.1</v>
      </c>
      <c r="H2078">
        <v>0</v>
      </c>
      <c r="I2078">
        <v>0</v>
      </c>
    </row>
    <row r="2079" spans="1:9" ht="24" customHeight="1">
      <c r="A2079" s="6" t="s">
        <v>3531</v>
      </c>
      <c r="B2079">
        <v>5293</v>
      </c>
      <c r="C2079">
        <v>1161</v>
      </c>
      <c r="D2079">
        <v>305138</v>
      </c>
      <c r="E2079">
        <v>262017</v>
      </c>
      <c r="F2079">
        <v>15</v>
      </c>
      <c r="G2079">
        <v>8.4</v>
      </c>
      <c r="H2079">
        <v>1.5</v>
      </c>
      <c r="I2079">
        <v>1.4</v>
      </c>
    </row>
    <row r="2080" spans="1:9" ht="24" customHeight="1">
      <c r="A2080" s="6" t="s">
        <v>3532</v>
      </c>
      <c r="B2080">
        <v>7009</v>
      </c>
      <c r="C2080">
        <v>1670</v>
      </c>
      <c r="D2080">
        <v>393376</v>
      </c>
      <c r="E2080">
        <v>293420</v>
      </c>
      <c r="F2080">
        <v>13.7</v>
      </c>
      <c r="G2080">
        <v>3.6</v>
      </c>
      <c r="H2080">
        <v>11.8</v>
      </c>
      <c r="I2080">
        <v>11.5</v>
      </c>
    </row>
    <row r="2081" spans="1:9" ht="24" customHeight="1">
      <c r="A2081" s="6" t="s">
        <v>3533</v>
      </c>
      <c r="B2081">
        <v>6399</v>
      </c>
      <c r="C2081">
        <v>1347</v>
      </c>
      <c r="D2081">
        <v>423328</v>
      </c>
      <c r="E2081">
        <v>287503</v>
      </c>
      <c r="F2081">
        <v>14.3</v>
      </c>
      <c r="G2081">
        <v>5.7</v>
      </c>
      <c r="H2081">
        <v>16.8</v>
      </c>
      <c r="I2081">
        <v>16.600000000000001</v>
      </c>
    </row>
    <row r="2082" spans="1:9" ht="24" customHeight="1">
      <c r="A2082" s="6" t="s">
        <v>3534</v>
      </c>
      <c r="B2082">
        <v>4451</v>
      </c>
      <c r="C2082">
        <v>663</v>
      </c>
      <c r="D2082">
        <v>470878</v>
      </c>
      <c r="E2082">
        <v>294963</v>
      </c>
      <c r="F2082">
        <v>10.1</v>
      </c>
      <c r="G2082">
        <v>4.9000000000000004</v>
      </c>
      <c r="H2082">
        <v>21.8</v>
      </c>
      <c r="I2082">
        <v>21.4</v>
      </c>
    </row>
    <row r="2083" spans="1:9" ht="24" customHeight="1">
      <c r="A2083" s="6" t="s">
        <v>3535</v>
      </c>
      <c r="B2083">
        <v>3878</v>
      </c>
      <c r="C2083">
        <v>519</v>
      </c>
      <c r="D2083">
        <v>485953</v>
      </c>
      <c r="E2083">
        <v>314868</v>
      </c>
      <c r="F2083">
        <v>9.9</v>
      </c>
      <c r="G2083">
        <v>5.6</v>
      </c>
      <c r="H2083">
        <v>26.8</v>
      </c>
      <c r="I2083">
        <v>26.7</v>
      </c>
    </row>
    <row r="2084" spans="1:9" ht="24" customHeight="1">
      <c r="A2084" s="6" t="s">
        <v>3536</v>
      </c>
      <c r="B2084">
        <v>4523</v>
      </c>
      <c r="C2084">
        <v>1335</v>
      </c>
      <c r="D2084">
        <v>333243</v>
      </c>
      <c r="E2084">
        <v>277500</v>
      </c>
      <c r="F2084">
        <v>14.8</v>
      </c>
      <c r="G2084">
        <v>6.3</v>
      </c>
      <c r="H2084">
        <v>3.5</v>
      </c>
      <c r="I2084">
        <v>3.4</v>
      </c>
    </row>
    <row r="2085" spans="1:9" ht="24" customHeight="1">
      <c r="A2085" s="6" t="s">
        <v>646</v>
      </c>
      <c r="B2085">
        <v>4032</v>
      </c>
      <c r="C2085">
        <v>946</v>
      </c>
      <c r="D2085">
        <v>508315</v>
      </c>
      <c r="E2085">
        <v>301036</v>
      </c>
      <c r="F2085">
        <v>9.9</v>
      </c>
      <c r="G2085">
        <v>4.7</v>
      </c>
      <c r="H2085">
        <v>35.4</v>
      </c>
      <c r="I2085">
        <v>35.799999999999997</v>
      </c>
    </row>
    <row r="2086" spans="1:9" ht="24" customHeight="1">
      <c r="A2086" s="6" t="s">
        <v>3537</v>
      </c>
      <c r="B2086">
        <v>10032</v>
      </c>
      <c r="C2086">
        <v>2120</v>
      </c>
      <c r="D2086">
        <v>358512</v>
      </c>
      <c r="E2086">
        <v>290687</v>
      </c>
      <c r="F2086">
        <v>15.5</v>
      </c>
      <c r="G2086">
        <v>8</v>
      </c>
      <c r="H2086">
        <v>7.1</v>
      </c>
      <c r="I2086">
        <v>6.5</v>
      </c>
    </row>
    <row r="2087" spans="1:9" ht="24" customHeight="1">
      <c r="A2087" s="6" t="s">
        <v>647</v>
      </c>
      <c r="B2087">
        <v>2171</v>
      </c>
      <c r="C2087">
        <v>826</v>
      </c>
      <c r="D2087">
        <v>251602</v>
      </c>
      <c r="E2087">
        <v>218492</v>
      </c>
      <c r="F2087">
        <v>9.9</v>
      </c>
      <c r="G2087">
        <v>4.0999999999999996</v>
      </c>
      <c r="H2087">
        <v>0</v>
      </c>
      <c r="I2087">
        <v>0</v>
      </c>
    </row>
    <row r="2088" spans="1:9" ht="24" customHeight="1">
      <c r="A2088" s="6" t="s">
        <v>3538</v>
      </c>
      <c r="B2088">
        <v>4444</v>
      </c>
      <c r="C2088">
        <v>1635</v>
      </c>
      <c r="D2088">
        <v>312053</v>
      </c>
      <c r="E2088">
        <v>258878</v>
      </c>
      <c r="F2088">
        <v>14.2</v>
      </c>
      <c r="G2088">
        <v>7.8</v>
      </c>
      <c r="H2088">
        <v>1.5</v>
      </c>
      <c r="I2088">
        <v>1.5</v>
      </c>
    </row>
    <row r="2089" spans="1:9" ht="24" customHeight="1">
      <c r="A2089" s="6" t="s">
        <v>3539</v>
      </c>
      <c r="B2089">
        <v>4687</v>
      </c>
      <c r="C2089">
        <v>1418</v>
      </c>
      <c r="D2089">
        <v>400915</v>
      </c>
      <c r="E2089">
        <v>304303</v>
      </c>
      <c r="F2089">
        <v>12.7</v>
      </c>
      <c r="G2089">
        <v>9.6999999999999993</v>
      </c>
      <c r="H2089">
        <v>11.7</v>
      </c>
      <c r="I2089">
        <v>11.6</v>
      </c>
    </row>
    <row r="2090" spans="1:9" ht="24" customHeight="1">
      <c r="A2090" s="6" t="s">
        <v>3540</v>
      </c>
      <c r="B2090">
        <v>4629</v>
      </c>
      <c r="C2090">
        <v>1365</v>
      </c>
      <c r="D2090">
        <v>428611</v>
      </c>
      <c r="E2090">
        <v>348000</v>
      </c>
      <c r="F2090">
        <v>11.5</v>
      </c>
      <c r="G2090">
        <v>8.6</v>
      </c>
      <c r="H2090">
        <v>16.8</v>
      </c>
      <c r="I2090">
        <v>16.8</v>
      </c>
    </row>
    <row r="2091" spans="1:9" ht="24" customHeight="1">
      <c r="A2091" s="6" t="s">
        <v>3541</v>
      </c>
      <c r="B2091">
        <v>3691</v>
      </c>
      <c r="C2091">
        <v>967</v>
      </c>
      <c r="D2091">
        <v>476758</v>
      </c>
      <c r="E2091">
        <v>340436</v>
      </c>
      <c r="F2091">
        <v>11.8</v>
      </c>
      <c r="G2091">
        <v>9.3000000000000007</v>
      </c>
      <c r="H2091">
        <v>21.7</v>
      </c>
      <c r="I2091">
        <v>21.7</v>
      </c>
    </row>
    <row r="2092" spans="1:9" ht="24" customHeight="1">
      <c r="A2092" s="6" t="s">
        <v>3542</v>
      </c>
      <c r="B2092">
        <v>3983</v>
      </c>
      <c r="C2092">
        <v>887</v>
      </c>
      <c r="D2092">
        <v>483441</v>
      </c>
      <c r="E2092">
        <v>376575</v>
      </c>
      <c r="F2092">
        <v>12.1</v>
      </c>
      <c r="G2092">
        <v>5.9</v>
      </c>
      <c r="H2092">
        <v>26.8</v>
      </c>
      <c r="I2092">
        <v>26.8</v>
      </c>
    </row>
    <row r="2093" spans="1:9" ht="24" customHeight="1">
      <c r="A2093" s="6" t="s">
        <v>3543</v>
      </c>
      <c r="B2093">
        <v>3204</v>
      </c>
      <c r="C2093">
        <v>1243</v>
      </c>
      <c r="D2093">
        <v>317566</v>
      </c>
      <c r="E2093">
        <v>257297</v>
      </c>
      <c r="F2093">
        <v>12.1</v>
      </c>
      <c r="G2093">
        <v>6.1</v>
      </c>
      <c r="H2093">
        <v>3.4</v>
      </c>
      <c r="I2093">
        <v>3.6</v>
      </c>
    </row>
    <row r="2094" spans="1:9" ht="24" customHeight="1">
      <c r="A2094" s="6" t="s">
        <v>648</v>
      </c>
      <c r="B2094">
        <v>7643</v>
      </c>
      <c r="C2094">
        <v>1021</v>
      </c>
      <c r="D2094">
        <v>505437</v>
      </c>
      <c r="E2094">
        <v>425712</v>
      </c>
      <c r="F2094">
        <v>9</v>
      </c>
      <c r="G2094">
        <v>8.1</v>
      </c>
      <c r="H2094">
        <v>35.1</v>
      </c>
      <c r="I2094">
        <v>33.5</v>
      </c>
    </row>
    <row r="2095" spans="1:9" ht="24" customHeight="1">
      <c r="A2095" s="6" t="s">
        <v>3544</v>
      </c>
      <c r="B2095">
        <v>7580</v>
      </c>
      <c r="C2095">
        <v>2628</v>
      </c>
      <c r="D2095">
        <v>356115</v>
      </c>
      <c r="E2095">
        <v>294838</v>
      </c>
      <c r="F2095">
        <v>13.9</v>
      </c>
      <c r="G2095">
        <v>7.9</v>
      </c>
      <c r="H2095">
        <v>7</v>
      </c>
      <c r="I2095">
        <v>6.7</v>
      </c>
    </row>
    <row r="2096" spans="1:9" ht="24" customHeight="1">
      <c r="A2096" s="6" t="s">
        <v>649</v>
      </c>
      <c r="B2096">
        <v>4326</v>
      </c>
      <c r="C2096">
        <v>1914</v>
      </c>
      <c r="D2096">
        <v>241239</v>
      </c>
      <c r="E2096">
        <v>197737</v>
      </c>
      <c r="F2096">
        <v>5.9</v>
      </c>
      <c r="G2096">
        <v>1.5</v>
      </c>
      <c r="H2096">
        <v>0</v>
      </c>
      <c r="I2096">
        <v>0</v>
      </c>
    </row>
    <row r="2097" spans="1:9" ht="24" customHeight="1">
      <c r="A2097" s="6" t="s">
        <v>3545</v>
      </c>
      <c r="B2097">
        <v>8098</v>
      </c>
      <c r="C2097">
        <v>2988</v>
      </c>
      <c r="D2097">
        <v>305729</v>
      </c>
      <c r="E2097">
        <v>236940</v>
      </c>
      <c r="F2097">
        <v>13.4</v>
      </c>
      <c r="G2097">
        <v>5.4</v>
      </c>
      <c r="H2097">
        <v>1.4</v>
      </c>
      <c r="I2097">
        <v>1.3</v>
      </c>
    </row>
    <row r="2098" spans="1:9" ht="24" customHeight="1">
      <c r="A2098" s="6" t="s">
        <v>3546</v>
      </c>
      <c r="B2098">
        <v>13112</v>
      </c>
      <c r="C2098">
        <v>3125</v>
      </c>
      <c r="D2098">
        <v>417742</v>
      </c>
      <c r="E2098">
        <v>292775</v>
      </c>
      <c r="F2098">
        <v>14.7</v>
      </c>
      <c r="G2098">
        <v>4.8</v>
      </c>
      <c r="H2098">
        <v>12.1</v>
      </c>
      <c r="I2098">
        <v>12.1</v>
      </c>
    </row>
    <row r="2099" spans="1:9" ht="24" customHeight="1">
      <c r="A2099" s="6" t="s">
        <v>3547</v>
      </c>
      <c r="B2099">
        <v>13288</v>
      </c>
      <c r="C2099">
        <v>3648</v>
      </c>
      <c r="D2099">
        <v>445646</v>
      </c>
      <c r="E2099">
        <v>311376</v>
      </c>
      <c r="F2099">
        <v>13.2</v>
      </c>
      <c r="G2099">
        <v>5.2</v>
      </c>
      <c r="H2099">
        <v>16.899999999999999</v>
      </c>
      <c r="I2099">
        <v>17.2</v>
      </c>
    </row>
    <row r="2100" spans="1:9" ht="24" customHeight="1">
      <c r="A2100" s="6" t="s">
        <v>3548</v>
      </c>
      <c r="B2100">
        <v>9328</v>
      </c>
      <c r="C2100">
        <v>2030</v>
      </c>
      <c r="D2100">
        <v>472540</v>
      </c>
      <c r="E2100">
        <v>287231</v>
      </c>
      <c r="F2100">
        <v>11.3</v>
      </c>
      <c r="G2100">
        <v>3.7</v>
      </c>
      <c r="H2100">
        <v>21.7</v>
      </c>
      <c r="I2100">
        <v>22</v>
      </c>
    </row>
    <row r="2101" spans="1:9" ht="24" customHeight="1">
      <c r="A2101" s="6" t="s">
        <v>3549</v>
      </c>
      <c r="B2101">
        <v>9583</v>
      </c>
      <c r="C2101">
        <v>1656</v>
      </c>
      <c r="D2101">
        <v>515243</v>
      </c>
      <c r="E2101">
        <v>364628</v>
      </c>
      <c r="F2101">
        <v>12.8</v>
      </c>
      <c r="G2101">
        <v>5.8</v>
      </c>
      <c r="H2101">
        <v>26.9</v>
      </c>
      <c r="I2101">
        <v>26.8</v>
      </c>
    </row>
    <row r="2102" spans="1:9" ht="24" customHeight="1">
      <c r="A2102" s="6" t="s">
        <v>3550</v>
      </c>
      <c r="B2102">
        <v>11441</v>
      </c>
      <c r="C2102">
        <v>3697</v>
      </c>
      <c r="D2102">
        <v>363634</v>
      </c>
      <c r="E2102">
        <v>271444</v>
      </c>
      <c r="F2102">
        <v>12</v>
      </c>
      <c r="G2102">
        <v>7</v>
      </c>
      <c r="H2102">
        <v>3.4</v>
      </c>
      <c r="I2102">
        <v>3.5</v>
      </c>
    </row>
    <row r="2103" spans="1:9" ht="24" customHeight="1">
      <c r="A2103" s="6" t="s">
        <v>650</v>
      </c>
      <c r="B2103">
        <v>17655</v>
      </c>
      <c r="C2103">
        <v>1942</v>
      </c>
      <c r="D2103">
        <v>559862</v>
      </c>
      <c r="E2103">
        <v>386912</v>
      </c>
      <c r="F2103">
        <v>11.8</v>
      </c>
      <c r="G2103">
        <v>6.5</v>
      </c>
      <c r="H2103">
        <v>34.6</v>
      </c>
      <c r="I2103">
        <v>33.6</v>
      </c>
    </row>
    <row r="2104" spans="1:9" ht="24" customHeight="1">
      <c r="A2104" s="6" t="s">
        <v>3551</v>
      </c>
      <c r="B2104">
        <v>18551</v>
      </c>
      <c r="C2104">
        <v>4921</v>
      </c>
      <c r="D2104">
        <v>374429</v>
      </c>
      <c r="E2104">
        <v>268875</v>
      </c>
      <c r="F2104">
        <v>13.1</v>
      </c>
      <c r="G2104">
        <v>6.2</v>
      </c>
      <c r="H2104">
        <v>7</v>
      </c>
      <c r="I2104">
        <v>6.9</v>
      </c>
    </row>
    <row r="2105" spans="1:9" ht="24" customHeight="1">
      <c r="A2105" s="6" t="s">
        <v>651</v>
      </c>
      <c r="B2105">
        <v>5197</v>
      </c>
      <c r="C2105">
        <v>3529</v>
      </c>
      <c r="D2105">
        <v>265055</v>
      </c>
      <c r="E2105">
        <v>221844</v>
      </c>
      <c r="F2105">
        <v>12.7</v>
      </c>
      <c r="G2105">
        <v>9.5</v>
      </c>
      <c r="H2105">
        <v>0</v>
      </c>
      <c r="I2105">
        <v>0</v>
      </c>
    </row>
    <row r="2106" spans="1:9" ht="24" customHeight="1">
      <c r="A2106" s="6" t="s">
        <v>3552</v>
      </c>
      <c r="B2106">
        <v>7784</v>
      </c>
      <c r="C2106">
        <v>4963</v>
      </c>
      <c r="D2106">
        <v>338976</v>
      </c>
      <c r="E2106">
        <v>267888</v>
      </c>
      <c r="F2106">
        <v>19.3</v>
      </c>
      <c r="G2106">
        <v>12.3</v>
      </c>
      <c r="H2106">
        <v>1.4</v>
      </c>
      <c r="I2106">
        <v>1.5</v>
      </c>
    </row>
    <row r="2107" spans="1:9" ht="24" customHeight="1">
      <c r="A2107" s="6" t="s">
        <v>3553</v>
      </c>
      <c r="B2107">
        <v>14079</v>
      </c>
      <c r="C2107">
        <v>5409</v>
      </c>
      <c r="D2107">
        <v>398358</v>
      </c>
      <c r="E2107">
        <v>314899</v>
      </c>
      <c r="F2107">
        <v>14.5</v>
      </c>
      <c r="G2107">
        <v>11.5</v>
      </c>
      <c r="H2107">
        <v>12</v>
      </c>
      <c r="I2107">
        <v>11.8</v>
      </c>
    </row>
    <row r="2108" spans="1:9" ht="24" customHeight="1">
      <c r="A2108" s="6" t="s">
        <v>3554</v>
      </c>
      <c r="B2108">
        <v>17022</v>
      </c>
      <c r="C2108">
        <v>6838</v>
      </c>
      <c r="D2108">
        <v>464946</v>
      </c>
      <c r="E2108">
        <v>322180</v>
      </c>
      <c r="F2108">
        <v>18.399999999999999</v>
      </c>
      <c r="G2108">
        <v>8.8000000000000007</v>
      </c>
      <c r="H2108">
        <v>16.8</v>
      </c>
      <c r="I2108">
        <v>16.7</v>
      </c>
    </row>
    <row r="2109" spans="1:9" ht="24" customHeight="1">
      <c r="A2109" s="6" t="s">
        <v>3555</v>
      </c>
      <c r="B2109">
        <v>16208</v>
      </c>
      <c r="C2109">
        <v>4276</v>
      </c>
      <c r="D2109">
        <v>497631</v>
      </c>
      <c r="E2109">
        <v>354242</v>
      </c>
      <c r="F2109">
        <v>16.7</v>
      </c>
      <c r="G2109">
        <v>11.4</v>
      </c>
      <c r="H2109">
        <v>21.9</v>
      </c>
      <c r="I2109">
        <v>21.8</v>
      </c>
    </row>
    <row r="2110" spans="1:9" ht="24" customHeight="1">
      <c r="A2110" s="6" t="s">
        <v>3556</v>
      </c>
      <c r="B2110">
        <v>18701</v>
      </c>
      <c r="C2110">
        <v>3117</v>
      </c>
      <c r="D2110">
        <v>528311</v>
      </c>
      <c r="E2110">
        <v>342749</v>
      </c>
      <c r="F2110">
        <v>16.100000000000001</v>
      </c>
      <c r="G2110">
        <v>7.1</v>
      </c>
      <c r="H2110">
        <v>26.8</v>
      </c>
      <c r="I2110">
        <v>26.5</v>
      </c>
    </row>
    <row r="2111" spans="1:9" ht="24" customHeight="1">
      <c r="A2111" s="6" t="s">
        <v>3557</v>
      </c>
      <c r="B2111">
        <v>9663</v>
      </c>
      <c r="C2111">
        <v>6733</v>
      </c>
      <c r="D2111">
        <v>343026</v>
      </c>
      <c r="E2111">
        <v>287391</v>
      </c>
      <c r="F2111">
        <v>18.5</v>
      </c>
      <c r="G2111">
        <v>15.5</v>
      </c>
      <c r="H2111">
        <v>3.6</v>
      </c>
      <c r="I2111">
        <v>3.6</v>
      </c>
    </row>
    <row r="2112" spans="1:9" ht="24" customHeight="1">
      <c r="A2112" s="6" t="s">
        <v>652</v>
      </c>
      <c r="B2112">
        <v>24996</v>
      </c>
      <c r="C2112">
        <v>4904</v>
      </c>
      <c r="D2112">
        <v>527387</v>
      </c>
      <c r="E2112">
        <v>387606</v>
      </c>
      <c r="F2112">
        <v>13.3</v>
      </c>
      <c r="G2112">
        <v>9.4</v>
      </c>
      <c r="H2112">
        <v>34.299999999999997</v>
      </c>
      <c r="I2112">
        <v>33.1</v>
      </c>
    </row>
    <row r="2113" spans="1:9" ht="24" customHeight="1">
      <c r="A2113" s="6" t="s">
        <v>3558</v>
      </c>
      <c r="B2113">
        <v>19101</v>
      </c>
      <c r="C2113">
        <v>8453</v>
      </c>
      <c r="D2113">
        <v>388705</v>
      </c>
      <c r="E2113">
        <v>300304</v>
      </c>
      <c r="F2113">
        <v>17.5</v>
      </c>
      <c r="G2113">
        <v>12.4</v>
      </c>
      <c r="H2113">
        <v>6.8</v>
      </c>
      <c r="I2113">
        <v>6.6</v>
      </c>
    </row>
    <row r="2114" spans="1:9" ht="24" customHeight="1">
      <c r="A2114" s="6" t="s">
        <v>653</v>
      </c>
      <c r="B2114">
        <v>14590</v>
      </c>
      <c r="C2114">
        <v>6093</v>
      </c>
      <c r="D2114">
        <v>320956</v>
      </c>
      <c r="E2114">
        <v>287872</v>
      </c>
      <c r="F2114">
        <v>9.1999999999999993</v>
      </c>
      <c r="G2114">
        <v>4.5</v>
      </c>
      <c r="H2114">
        <v>0</v>
      </c>
      <c r="I2114">
        <v>0</v>
      </c>
    </row>
    <row r="2115" spans="1:9" ht="24" customHeight="1">
      <c r="A2115" s="6" t="s">
        <v>3559</v>
      </c>
      <c r="B2115">
        <v>25467</v>
      </c>
      <c r="C2115">
        <v>12955</v>
      </c>
      <c r="D2115">
        <v>428147</v>
      </c>
      <c r="E2115">
        <v>364436</v>
      </c>
      <c r="F2115">
        <v>14.7</v>
      </c>
      <c r="G2115">
        <v>12.5</v>
      </c>
      <c r="H2115">
        <v>1.5</v>
      </c>
      <c r="I2115">
        <v>1.5</v>
      </c>
    </row>
    <row r="2116" spans="1:9" ht="24" customHeight="1">
      <c r="A2116" s="6" t="s">
        <v>3560</v>
      </c>
      <c r="B2116">
        <v>34860</v>
      </c>
      <c r="C2116">
        <v>10240</v>
      </c>
      <c r="D2116">
        <v>558809</v>
      </c>
      <c r="E2116">
        <v>468078</v>
      </c>
      <c r="F2116">
        <v>15</v>
      </c>
      <c r="G2116">
        <v>8.5</v>
      </c>
      <c r="H2116">
        <v>12</v>
      </c>
      <c r="I2116">
        <v>11.8</v>
      </c>
    </row>
    <row r="2117" spans="1:9" ht="24" customHeight="1">
      <c r="A2117" s="6" t="s">
        <v>3561</v>
      </c>
      <c r="B2117">
        <v>36723</v>
      </c>
      <c r="C2117">
        <v>7900</v>
      </c>
      <c r="D2117">
        <v>657117</v>
      </c>
      <c r="E2117">
        <v>537561</v>
      </c>
      <c r="F2117">
        <v>13.1</v>
      </c>
      <c r="G2117">
        <v>9.4</v>
      </c>
      <c r="H2117">
        <v>16.600000000000001</v>
      </c>
      <c r="I2117">
        <v>16.899999999999999</v>
      </c>
    </row>
    <row r="2118" spans="1:9" ht="24" customHeight="1">
      <c r="A2118" s="6" t="s">
        <v>3562</v>
      </c>
      <c r="B2118">
        <v>22136</v>
      </c>
      <c r="C2118">
        <v>5255</v>
      </c>
      <c r="D2118">
        <v>732363</v>
      </c>
      <c r="E2118">
        <v>573862</v>
      </c>
      <c r="F2118">
        <v>9.6999999999999993</v>
      </c>
      <c r="G2118">
        <v>4</v>
      </c>
      <c r="H2118">
        <v>21.9</v>
      </c>
      <c r="I2118">
        <v>22</v>
      </c>
    </row>
    <row r="2119" spans="1:9" ht="24" customHeight="1">
      <c r="A2119" s="6" t="s">
        <v>3563</v>
      </c>
      <c r="B2119">
        <v>25000</v>
      </c>
      <c r="C2119">
        <v>5536</v>
      </c>
      <c r="D2119">
        <v>739988</v>
      </c>
      <c r="E2119">
        <v>561297</v>
      </c>
      <c r="F2119">
        <v>8.9</v>
      </c>
      <c r="G2119">
        <v>10</v>
      </c>
      <c r="H2119">
        <v>26.8</v>
      </c>
      <c r="I2119">
        <v>26.9</v>
      </c>
    </row>
    <row r="2120" spans="1:9" ht="24" customHeight="1">
      <c r="A2120" s="6" t="s">
        <v>3564</v>
      </c>
      <c r="B2120">
        <v>24077</v>
      </c>
      <c r="C2120">
        <v>10718</v>
      </c>
      <c r="D2120">
        <v>454149</v>
      </c>
      <c r="E2120">
        <v>387023</v>
      </c>
      <c r="F2120">
        <v>14.9</v>
      </c>
      <c r="G2120">
        <v>9.1</v>
      </c>
      <c r="H2120">
        <v>3.5</v>
      </c>
      <c r="I2120">
        <v>3.5</v>
      </c>
    </row>
    <row r="2121" spans="1:9" ht="24" customHeight="1">
      <c r="A2121" s="6" t="s">
        <v>654</v>
      </c>
      <c r="B2121">
        <v>48693</v>
      </c>
      <c r="C2121">
        <v>9947</v>
      </c>
      <c r="D2121">
        <v>763036</v>
      </c>
      <c r="E2121">
        <v>604291</v>
      </c>
      <c r="F2121">
        <v>8.9</v>
      </c>
      <c r="G2121">
        <v>7.9</v>
      </c>
      <c r="H2121">
        <v>34.200000000000003</v>
      </c>
      <c r="I2121">
        <v>33.799999999999997</v>
      </c>
    </row>
    <row r="2122" spans="1:9" ht="24" customHeight="1">
      <c r="A2122" s="6" t="s">
        <v>3565</v>
      </c>
      <c r="B2122">
        <v>46032</v>
      </c>
      <c r="C2122">
        <v>15367</v>
      </c>
      <c r="D2122">
        <v>504710</v>
      </c>
      <c r="E2122">
        <v>443533</v>
      </c>
      <c r="F2122">
        <v>15.5</v>
      </c>
      <c r="G2122">
        <v>11.6</v>
      </c>
      <c r="H2122">
        <v>6.8</v>
      </c>
      <c r="I2122">
        <v>6.6</v>
      </c>
    </row>
    <row r="2123" spans="1:9" ht="24" customHeight="1">
      <c r="A2123" s="6" t="s">
        <v>655</v>
      </c>
      <c r="B2123">
        <v>382</v>
      </c>
      <c r="C2123">
        <v>112</v>
      </c>
      <c r="D2123">
        <v>266779</v>
      </c>
      <c r="E2123">
        <v>266834</v>
      </c>
      <c r="F2123">
        <v>13.5</v>
      </c>
      <c r="G2123">
        <v>3.2</v>
      </c>
      <c r="H2123">
        <v>0</v>
      </c>
      <c r="I2123">
        <v>0</v>
      </c>
    </row>
    <row r="2124" spans="1:9" ht="24" customHeight="1">
      <c r="A2124" s="6" t="s">
        <v>3566</v>
      </c>
      <c r="B2124">
        <v>827</v>
      </c>
      <c r="C2124">
        <v>297</v>
      </c>
      <c r="D2124">
        <v>440277</v>
      </c>
      <c r="E2124">
        <v>358150</v>
      </c>
      <c r="F2124">
        <v>29.9</v>
      </c>
      <c r="G2124">
        <v>18.8</v>
      </c>
      <c r="H2124">
        <v>1.7</v>
      </c>
      <c r="I2124">
        <v>1.3</v>
      </c>
    </row>
    <row r="2125" spans="1:9" ht="24" customHeight="1">
      <c r="A2125" s="6" t="s">
        <v>3567</v>
      </c>
      <c r="B2125">
        <v>1874</v>
      </c>
      <c r="C2125">
        <v>104</v>
      </c>
      <c r="D2125">
        <v>558877</v>
      </c>
      <c r="E2125">
        <v>477734</v>
      </c>
      <c r="F2125">
        <v>23.5</v>
      </c>
      <c r="G2125">
        <v>12.3</v>
      </c>
      <c r="H2125">
        <v>11.9</v>
      </c>
      <c r="I2125">
        <v>13.5</v>
      </c>
    </row>
    <row r="2126" spans="1:9" ht="24" customHeight="1">
      <c r="A2126" s="6" t="s">
        <v>3568</v>
      </c>
      <c r="B2126">
        <v>1011</v>
      </c>
      <c r="C2126">
        <v>146</v>
      </c>
      <c r="D2126">
        <v>646607</v>
      </c>
      <c r="E2126">
        <v>357688</v>
      </c>
      <c r="F2126">
        <v>20.8</v>
      </c>
      <c r="G2126">
        <v>5.2</v>
      </c>
      <c r="H2126">
        <v>16.899999999999999</v>
      </c>
      <c r="I2126">
        <v>15.8</v>
      </c>
    </row>
    <row r="2127" spans="1:9" ht="24" customHeight="1">
      <c r="A2127" s="6" t="s">
        <v>3569</v>
      </c>
      <c r="B2127">
        <v>853</v>
      </c>
      <c r="C2127">
        <v>75</v>
      </c>
      <c r="D2127">
        <v>708090</v>
      </c>
      <c r="E2127">
        <v>606548</v>
      </c>
      <c r="F2127">
        <v>22.8</v>
      </c>
      <c r="G2127">
        <v>11.5</v>
      </c>
      <c r="H2127">
        <v>21.6</v>
      </c>
      <c r="I2127">
        <v>22.9</v>
      </c>
    </row>
    <row r="2128" spans="1:9" ht="24" customHeight="1">
      <c r="A2128" s="6" t="s">
        <v>3570</v>
      </c>
      <c r="B2128">
        <v>726</v>
      </c>
      <c r="C2128">
        <v>69</v>
      </c>
      <c r="D2128">
        <v>775305</v>
      </c>
      <c r="E2128">
        <v>555979</v>
      </c>
      <c r="F2128">
        <v>12.8</v>
      </c>
      <c r="G2128">
        <v>11.6</v>
      </c>
      <c r="H2128">
        <v>27.2</v>
      </c>
      <c r="I2128">
        <v>26.6</v>
      </c>
    </row>
    <row r="2129" spans="1:9" ht="24" customHeight="1">
      <c r="A2129" s="6" t="s">
        <v>3571</v>
      </c>
      <c r="B2129">
        <v>882</v>
      </c>
      <c r="C2129">
        <v>258</v>
      </c>
      <c r="D2129">
        <v>454059</v>
      </c>
      <c r="E2129">
        <v>374489</v>
      </c>
      <c r="F2129">
        <v>24.7</v>
      </c>
      <c r="G2129">
        <v>14.7</v>
      </c>
      <c r="H2129">
        <v>3.7</v>
      </c>
      <c r="I2129">
        <v>3.3</v>
      </c>
    </row>
    <row r="2130" spans="1:9" ht="24" customHeight="1">
      <c r="A2130" s="6" t="s">
        <v>656</v>
      </c>
      <c r="B2130">
        <v>1227</v>
      </c>
      <c r="C2130">
        <v>253</v>
      </c>
      <c r="D2130">
        <v>751763</v>
      </c>
      <c r="E2130">
        <v>501981</v>
      </c>
      <c r="F2130">
        <v>17.2</v>
      </c>
      <c r="G2130">
        <v>21.6</v>
      </c>
      <c r="H2130">
        <v>35.299999999999997</v>
      </c>
      <c r="I2130">
        <v>38.1</v>
      </c>
    </row>
    <row r="2131" spans="1:9" ht="24" customHeight="1">
      <c r="A2131" s="6" t="s">
        <v>3572</v>
      </c>
      <c r="B2131">
        <v>2024</v>
      </c>
      <c r="C2131">
        <v>297</v>
      </c>
      <c r="D2131">
        <v>491980</v>
      </c>
      <c r="E2131">
        <v>307121</v>
      </c>
      <c r="F2131">
        <v>24.1</v>
      </c>
      <c r="G2131">
        <v>7.3</v>
      </c>
      <c r="H2131">
        <v>6.7</v>
      </c>
      <c r="I2131">
        <v>6.5</v>
      </c>
    </row>
    <row r="2132" spans="1:9" ht="24" customHeight="1">
      <c r="A2132" s="6" t="s">
        <v>657</v>
      </c>
      <c r="B2132">
        <v>10502</v>
      </c>
      <c r="C2132">
        <v>4565</v>
      </c>
      <c r="D2132">
        <v>258591</v>
      </c>
      <c r="E2132">
        <v>213496</v>
      </c>
      <c r="F2132">
        <v>10.3</v>
      </c>
      <c r="G2132">
        <v>6.6</v>
      </c>
      <c r="H2132">
        <v>0</v>
      </c>
      <c r="I2132">
        <v>0</v>
      </c>
    </row>
    <row r="2133" spans="1:9" ht="24" customHeight="1">
      <c r="A2133" s="6" t="s">
        <v>3573</v>
      </c>
      <c r="B2133">
        <v>18813</v>
      </c>
      <c r="C2133">
        <v>7403</v>
      </c>
      <c r="D2133">
        <v>313265</v>
      </c>
      <c r="E2133">
        <v>261762</v>
      </c>
      <c r="F2133">
        <v>14.7</v>
      </c>
      <c r="G2133">
        <v>11</v>
      </c>
      <c r="H2133">
        <v>1.5</v>
      </c>
      <c r="I2133">
        <v>1.5</v>
      </c>
    </row>
    <row r="2134" spans="1:9" ht="24" customHeight="1">
      <c r="A2134" s="6" t="s">
        <v>3574</v>
      </c>
      <c r="B2134">
        <v>28155</v>
      </c>
      <c r="C2134">
        <v>10858</v>
      </c>
      <c r="D2134">
        <v>421956</v>
      </c>
      <c r="E2134">
        <v>298884</v>
      </c>
      <c r="F2134">
        <v>15.6</v>
      </c>
      <c r="G2134">
        <v>8.1</v>
      </c>
      <c r="H2134">
        <v>11.9</v>
      </c>
      <c r="I2134">
        <v>11.7</v>
      </c>
    </row>
    <row r="2135" spans="1:9" ht="24" customHeight="1">
      <c r="A2135" s="6" t="s">
        <v>3575</v>
      </c>
      <c r="B2135">
        <v>39159</v>
      </c>
      <c r="C2135">
        <v>8031</v>
      </c>
      <c r="D2135">
        <v>463836</v>
      </c>
      <c r="E2135">
        <v>316996</v>
      </c>
      <c r="F2135">
        <v>15.1</v>
      </c>
      <c r="G2135">
        <v>7.1</v>
      </c>
      <c r="H2135">
        <v>16.899999999999999</v>
      </c>
      <c r="I2135">
        <v>16.899999999999999</v>
      </c>
    </row>
    <row r="2136" spans="1:9" ht="24" customHeight="1">
      <c r="A2136" s="6" t="s">
        <v>3576</v>
      </c>
      <c r="B2136">
        <v>24015</v>
      </c>
      <c r="C2136">
        <v>5199</v>
      </c>
      <c r="D2136">
        <v>503263</v>
      </c>
      <c r="E2136">
        <v>322240</v>
      </c>
      <c r="F2136">
        <v>12.3</v>
      </c>
      <c r="G2136">
        <v>8.4</v>
      </c>
      <c r="H2136">
        <v>22</v>
      </c>
      <c r="I2136">
        <v>21.7</v>
      </c>
    </row>
    <row r="2137" spans="1:9" ht="24" customHeight="1">
      <c r="A2137" s="6" t="s">
        <v>3577</v>
      </c>
      <c r="B2137">
        <v>19633</v>
      </c>
      <c r="C2137">
        <v>4665</v>
      </c>
      <c r="D2137">
        <v>529928</v>
      </c>
      <c r="E2137">
        <v>363339</v>
      </c>
      <c r="F2137">
        <v>11.8</v>
      </c>
      <c r="G2137">
        <v>10.7</v>
      </c>
      <c r="H2137">
        <v>26.9</v>
      </c>
      <c r="I2137">
        <v>27</v>
      </c>
    </row>
    <row r="2138" spans="1:9" ht="24" customHeight="1">
      <c r="A2138" s="6" t="s">
        <v>3578</v>
      </c>
      <c r="B2138">
        <v>22580</v>
      </c>
      <c r="C2138">
        <v>8652</v>
      </c>
      <c r="D2138">
        <v>370280</v>
      </c>
      <c r="E2138">
        <v>273582</v>
      </c>
      <c r="F2138">
        <v>18.5</v>
      </c>
      <c r="G2138">
        <v>10.9</v>
      </c>
      <c r="H2138">
        <v>3.5</v>
      </c>
      <c r="I2138">
        <v>3.6</v>
      </c>
    </row>
    <row r="2139" spans="1:9" ht="24" customHeight="1">
      <c r="A2139" s="6" t="s">
        <v>658</v>
      </c>
      <c r="B2139">
        <v>28218</v>
      </c>
      <c r="C2139">
        <v>4805</v>
      </c>
      <c r="D2139">
        <v>563732</v>
      </c>
      <c r="E2139">
        <v>375539</v>
      </c>
      <c r="F2139">
        <v>9.4</v>
      </c>
      <c r="G2139">
        <v>8.1</v>
      </c>
      <c r="H2139">
        <v>34.200000000000003</v>
      </c>
      <c r="I2139">
        <v>34.9</v>
      </c>
    </row>
    <row r="2140" spans="1:9" ht="24" customHeight="1">
      <c r="A2140" s="6" t="s">
        <v>3579</v>
      </c>
      <c r="B2140">
        <v>39766</v>
      </c>
      <c r="C2140">
        <v>15873</v>
      </c>
      <c r="D2140">
        <v>369602</v>
      </c>
      <c r="E2140">
        <v>280545</v>
      </c>
      <c r="F2140">
        <v>16.100000000000001</v>
      </c>
      <c r="G2140">
        <v>8.1999999999999993</v>
      </c>
      <c r="H2140">
        <v>6.9</v>
      </c>
      <c r="I2140">
        <v>6.4</v>
      </c>
    </row>
    <row r="2141" spans="1:9" ht="24" customHeight="1">
      <c r="A2141" s="6" t="s">
        <v>659</v>
      </c>
      <c r="B2141">
        <v>2879</v>
      </c>
      <c r="C2141">
        <v>699</v>
      </c>
      <c r="D2141">
        <v>260021</v>
      </c>
      <c r="E2141">
        <v>216923</v>
      </c>
      <c r="F2141">
        <v>11.6</v>
      </c>
      <c r="G2141">
        <v>8.3000000000000007</v>
      </c>
      <c r="H2141">
        <v>0</v>
      </c>
      <c r="I2141">
        <v>0</v>
      </c>
    </row>
    <row r="2142" spans="1:9" ht="24" customHeight="1">
      <c r="A2142" s="6" t="s">
        <v>3580</v>
      </c>
      <c r="B2142">
        <v>4642</v>
      </c>
      <c r="C2142">
        <v>1800</v>
      </c>
      <c r="D2142">
        <v>339069</v>
      </c>
      <c r="E2142">
        <v>259776</v>
      </c>
      <c r="F2142">
        <v>17.899999999999999</v>
      </c>
      <c r="G2142">
        <v>9.6999999999999993</v>
      </c>
      <c r="H2142">
        <v>1.4</v>
      </c>
      <c r="I2142">
        <v>1.4</v>
      </c>
    </row>
    <row r="2143" spans="1:9" ht="24" customHeight="1">
      <c r="A2143" s="6" t="s">
        <v>3581</v>
      </c>
      <c r="B2143">
        <v>11304</v>
      </c>
      <c r="C2143">
        <v>2981</v>
      </c>
      <c r="D2143">
        <v>486721</v>
      </c>
      <c r="E2143">
        <v>349534</v>
      </c>
      <c r="F2143">
        <v>18.7</v>
      </c>
      <c r="G2143">
        <v>9</v>
      </c>
      <c r="H2143">
        <v>12.2</v>
      </c>
      <c r="I2143">
        <v>11.9</v>
      </c>
    </row>
    <row r="2144" spans="1:9" ht="24" customHeight="1">
      <c r="A2144" s="6" t="s">
        <v>3582</v>
      </c>
      <c r="B2144">
        <v>13486</v>
      </c>
      <c r="C2144">
        <v>2405</v>
      </c>
      <c r="D2144">
        <v>548886</v>
      </c>
      <c r="E2144">
        <v>368971</v>
      </c>
      <c r="F2144">
        <v>17</v>
      </c>
      <c r="G2144">
        <v>6.5</v>
      </c>
      <c r="H2144">
        <v>16.7</v>
      </c>
      <c r="I2144">
        <v>16.7</v>
      </c>
    </row>
    <row r="2145" spans="1:9" ht="24" customHeight="1">
      <c r="A2145" s="6" t="s">
        <v>3583</v>
      </c>
      <c r="B2145">
        <v>5697</v>
      </c>
      <c r="C2145">
        <v>1322</v>
      </c>
      <c r="D2145">
        <v>608176</v>
      </c>
      <c r="E2145">
        <v>331354</v>
      </c>
      <c r="F2145">
        <v>15.3</v>
      </c>
      <c r="G2145">
        <v>6.4</v>
      </c>
      <c r="H2145">
        <v>21.6</v>
      </c>
      <c r="I2145">
        <v>22</v>
      </c>
    </row>
    <row r="2146" spans="1:9" ht="24" customHeight="1">
      <c r="A2146" s="6" t="s">
        <v>3584</v>
      </c>
      <c r="B2146">
        <v>4883</v>
      </c>
      <c r="C2146">
        <v>1022</v>
      </c>
      <c r="D2146">
        <v>614303</v>
      </c>
      <c r="E2146">
        <v>395567</v>
      </c>
      <c r="F2146">
        <v>15.4</v>
      </c>
      <c r="G2146">
        <v>8.1</v>
      </c>
      <c r="H2146">
        <v>26.8</v>
      </c>
      <c r="I2146">
        <v>26.8</v>
      </c>
    </row>
    <row r="2147" spans="1:9" ht="24" customHeight="1">
      <c r="A2147" s="6" t="s">
        <v>3585</v>
      </c>
      <c r="B2147">
        <v>6335</v>
      </c>
      <c r="C2147">
        <v>1926</v>
      </c>
      <c r="D2147">
        <v>379994</v>
      </c>
      <c r="E2147">
        <v>301478</v>
      </c>
      <c r="F2147">
        <v>20.6</v>
      </c>
      <c r="G2147">
        <v>11.1</v>
      </c>
      <c r="H2147">
        <v>3.5</v>
      </c>
      <c r="I2147">
        <v>3.5</v>
      </c>
    </row>
    <row r="2148" spans="1:9" ht="24" customHeight="1">
      <c r="A2148" s="6" t="s">
        <v>660</v>
      </c>
      <c r="B2148">
        <v>10630</v>
      </c>
      <c r="C2148">
        <v>1791</v>
      </c>
      <c r="D2148">
        <v>623194</v>
      </c>
      <c r="E2148">
        <v>407303</v>
      </c>
      <c r="F2148">
        <v>11.8</v>
      </c>
      <c r="G2148">
        <v>9.6</v>
      </c>
      <c r="H2148">
        <v>34</v>
      </c>
      <c r="I2148">
        <v>34.9</v>
      </c>
    </row>
    <row r="2149" spans="1:9" ht="24" customHeight="1">
      <c r="A2149" s="6" t="s">
        <v>3586</v>
      </c>
      <c r="B2149">
        <v>11204</v>
      </c>
      <c r="C2149">
        <v>4232</v>
      </c>
      <c r="D2149">
        <v>403897</v>
      </c>
      <c r="E2149">
        <v>304239</v>
      </c>
      <c r="F2149">
        <v>19.399999999999999</v>
      </c>
      <c r="G2149">
        <v>9.1999999999999993</v>
      </c>
      <c r="H2149">
        <v>6.8</v>
      </c>
      <c r="I2149">
        <v>6.8</v>
      </c>
    </row>
    <row r="2150" spans="1:9" ht="24" customHeight="1">
      <c r="A2150" s="6" t="s">
        <v>661</v>
      </c>
      <c r="B2150">
        <v>307</v>
      </c>
      <c r="C2150">
        <v>254</v>
      </c>
      <c r="D2150">
        <v>225333</v>
      </c>
      <c r="E2150">
        <v>211692</v>
      </c>
      <c r="F2150">
        <v>2.8</v>
      </c>
      <c r="G2150">
        <v>4.4000000000000004</v>
      </c>
      <c r="H2150">
        <v>0</v>
      </c>
      <c r="I2150">
        <v>0</v>
      </c>
    </row>
    <row r="2151" spans="1:9" ht="24" customHeight="1">
      <c r="A2151" s="6" t="s">
        <v>3587</v>
      </c>
      <c r="B2151">
        <v>291</v>
      </c>
      <c r="C2151">
        <v>191</v>
      </c>
      <c r="D2151">
        <v>265978</v>
      </c>
      <c r="E2151">
        <v>213471</v>
      </c>
      <c r="F2151">
        <v>5.9</v>
      </c>
      <c r="G2151">
        <v>5.2</v>
      </c>
      <c r="H2151">
        <v>1.3</v>
      </c>
      <c r="I2151">
        <v>1.4</v>
      </c>
    </row>
    <row r="2152" spans="1:9" ht="24" customHeight="1">
      <c r="A2152" s="6" t="s">
        <v>3588</v>
      </c>
      <c r="B2152">
        <v>1107</v>
      </c>
      <c r="C2152">
        <v>733</v>
      </c>
      <c r="D2152">
        <v>363803</v>
      </c>
      <c r="E2152">
        <v>251044</v>
      </c>
      <c r="F2152">
        <v>5.5</v>
      </c>
      <c r="G2152">
        <v>1.4</v>
      </c>
      <c r="H2152">
        <v>12.2</v>
      </c>
      <c r="I2152">
        <v>12.1</v>
      </c>
    </row>
    <row r="2153" spans="1:9" ht="24" customHeight="1">
      <c r="A2153" s="6" t="s">
        <v>3589</v>
      </c>
      <c r="B2153">
        <v>924</v>
      </c>
      <c r="C2153">
        <v>424</v>
      </c>
      <c r="D2153">
        <v>399508</v>
      </c>
      <c r="E2153">
        <v>284503</v>
      </c>
      <c r="F2153">
        <v>4.8</v>
      </c>
      <c r="G2153">
        <v>6.3</v>
      </c>
      <c r="H2153">
        <v>16.100000000000001</v>
      </c>
      <c r="I2153">
        <v>16.8</v>
      </c>
    </row>
    <row r="2154" spans="1:9" ht="24" customHeight="1">
      <c r="A2154" s="6" t="s">
        <v>3590</v>
      </c>
      <c r="B2154">
        <v>477</v>
      </c>
      <c r="C2154">
        <v>523</v>
      </c>
      <c r="D2154">
        <v>430489</v>
      </c>
      <c r="E2154">
        <v>301611</v>
      </c>
      <c r="F2154">
        <v>2.8</v>
      </c>
      <c r="G2154">
        <v>2.1</v>
      </c>
      <c r="H2154">
        <v>22.1</v>
      </c>
      <c r="I2154">
        <v>21.4</v>
      </c>
    </row>
    <row r="2155" spans="1:9" ht="24" customHeight="1">
      <c r="A2155" s="6" t="s">
        <v>3591</v>
      </c>
      <c r="B2155">
        <v>218</v>
      </c>
      <c r="C2155">
        <v>356</v>
      </c>
      <c r="D2155">
        <v>431181</v>
      </c>
      <c r="E2155">
        <v>252386</v>
      </c>
      <c r="F2155">
        <v>2.8</v>
      </c>
      <c r="G2155">
        <v>0.9</v>
      </c>
      <c r="H2155">
        <v>27.2</v>
      </c>
      <c r="I2155">
        <v>26.7</v>
      </c>
    </row>
    <row r="2156" spans="1:9" ht="24" customHeight="1">
      <c r="A2156" s="6" t="s">
        <v>3592</v>
      </c>
      <c r="B2156">
        <v>451</v>
      </c>
      <c r="C2156">
        <v>768</v>
      </c>
      <c r="D2156">
        <v>296746</v>
      </c>
      <c r="E2156">
        <v>244574</v>
      </c>
      <c r="F2156">
        <v>6.8</v>
      </c>
      <c r="G2156">
        <v>2</v>
      </c>
      <c r="H2156">
        <v>3.7</v>
      </c>
      <c r="I2156">
        <v>3.4</v>
      </c>
    </row>
    <row r="2157" spans="1:9" ht="24" customHeight="1">
      <c r="A2157" s="6" t="s">
        <v>662</v>
      </c>
      <c r="B2157">
        <v>565</v>
      </c>
      <c r="C2157">
        <v>312</v>
      </c>
      <c r="D2157">
        <v>341480</v>
      </c>
      <c r="E2157">
        <v>222218</v>
      </c>
      <c r="F2157">
        <v>1.6</v>
      </c>
      <c r="G2157">
        <v>2.4</v>
      </c>
      <c r="H2157">
        <v>33.299999999999997</v>
      </c>
      <c r="I2157">
        <v>32.5</v>
      </c>
    </row>
    <row r="2158" spans="1:9" ht="24" customHeight="1">
      <c r="A2158" s="6" t="s">
        <v>3593</v>
      </c>
      <c r="B2158">
        <v>1509</v>
      </c>
      <c r="C2158">
        <v>901</v>
      </c>
      <c r="D2158">
        <v>313484</v>
      </c>
      <c r="E2158">
        <v>243192</v>
      </c>
      <c r="F2158">
        <v>5.2</v>
      </c>
      <c r="G2158">
        <v>3</v>
      </c>
      <c r="H2158">
        <v>7.5</v>
      </c>
      <c r="I2158">
        <v>6.7</v>
      </c>
    </row>
    <row r="2159" spans="1:9" ht="24" customHeight="1">
      <c r="A2159" s="6" t="s">
        <v>663</v>
      </c>
      <c r="B2159">
        <v>7490</v>
      </c>
      <c r="C2159">
        <v>1640</v>
      </c>
      <c r="D2159">
        <v>286388</v>
      </c>
      <c r="E2159">
        <v>242873</v>
      </c>
      <c r="F2159">
        <v>13.1</v>
      </c>
      <c r="G2159">
        <v>4.5999999999999996</v>
      </c>
      <c r="H2159">
        <v>0</v>
      </c>
      <c r="I2159">
        <v>0</v>
      </c>
    </row>
    <row r="2160" spans="1:9" ht="24" customHeight="1">
      <c r="A2160" s="6" t="s">
        <v>3594</v>
      </c>
      <c r="B2160">
        <v>14399</v>
      </c>
      <c r="C2160">
        <v>3161</v>
      </c>
      <c r="D2160">
        <v>334665</v>
      </c>
      <c r="E2160">
        <v>278357</v>
      </c>
      <c r="F2160">
        <v>14</v>
      </c>
      <c r="G2160">
        <v>9.1</v>
      </c>
      <c r="H2160">
        <v>1.5</v>
      </c>
      <c r="I2160">
        <v>1.4</v>
      </c>
    </row>
    <row r="2161" spans="1:9" ht="24" customHeight="1">
      <c r="A2161" s="6" t="s">
        <v>3595</v>
      </c>
      <c r="B2161">
        <v>20832</v>
      </c>
      <c r="C2161">
        <v>3712</v>
      </c>
      <c r="D2161">
        <v>447288</v>
      </c>
      <c r="E2161">
        <v>338898</v>
      </c>
      <c r="F2161">
        <v>15.3</v>
      </c>
      <c r="G2161">
        <v>6.7</v>
      </c>
      <c r="H2161">
        <v>12</v>
      </c>
      <c r="I2161">
        <v>11.8</v>
      </c>
    </row>
    <row r="2162" spans="1:9" ht="24" customHeight="1">
      <c r="A2162" s="6" t="s">
        <v>3596</v>
      </c>
      <c r="B2162">
        <v>18055</v>
      </c>
      <c r="C2162">
        <v>4137</v>
      </c>
      <c r="D2162">
        <v>505511</v>
      </c>
      <c r="E2162">
        <v>356947</v>
      </c>
      <c r="F2162">
        <v>16.8</v>
      </c>
      <c r="G2162">
        <v>6.2</v>
      </c>
      <c r="H2162">
        <v>16.7</v>
      </c>
      <c r="I2162">
        <v>16.5</v>
      </c>
    </row>
    <row r="2163" spans="1:9" ht="24" customHeight="1">
      <c r="A2163" s="6" t="s">
        <v>3597</v>
      </c>
      <c r="B2163">
        <v>13479</v>
      </c>
      <c r="C2163">
        <v>2367</v>
      </c>
      <c r="D2163">
        <v>533123</v>
      </c>
      <c r="E2163">
        <v>373067</v>
      </c>
      <c r="F2163">
        <v>10.7</v>
      </c>
      <c r="G2163">
        <v>4.8</v>
      </c>
      <c r="H2163">
        <v>21.8</v>
      </c>
      <c r="I2163">
        <v>21.7</v>
      </c>
    </row>
    <row r="2164" spans="1:9" ht="24" customHeight="1">
      <c r="A2164" s="6" t="s">
        <v>3598</v>
      </c>
      <c r="B2164">
        <v>11733</v>
      </c>
      <c r="C2164">
        <v>2322</v>
      </c>
      <c r="D2164">
        <v>558562</v>
      </c>
      <c r="E2164">
        <v>393600</v>
      </c>
      <c r="F2164">
        <v>12.4</v>
      </c>
      <c r="G2164">
        <v>9.3000000000000007</v>
      </c>
      <c r="H2164">
        <v>27</v>
      </c>
      <c r="I2164">
        <v>26.9</v>
      </c>
    </row>
    <row r="2165" spans="1:9" ht="24" customHeight="1">
      <c r="A2165" s="6" t="s">
        <v>3599</v>
      </c>
      <c r="B2165">
        <v>13558</v>
      </c>
      <c r="C2165">
        <v>2842</v>
      </c>
      <c r="D2165">
        <v>369027</v>
      </c>
      <c r="E2165">
        <v>323758</v>
      </c>
      <c r="F2165">
        <v>16.8</v>
      </c>
      <c r="G2165">
        <v>12.4</v>
      </c>
      <c r="H2165">
        <v>3.5</v>
      </c>
      <c r="I2165">
        <v>3.6</v>
      </c>
    </row>
    <row r="2166" spans="1:9" ht="24" customHeight="1">
      <c r="A2166" s="6" t="s">
        <v>664</v>
      </c>
      <c r="B2166">
        <v>22748</v>
      </c>
      <c r="C2166">
        <v>3271</v>
      </c>
      <c r="D2166">
        <v>579101</v>
      </c>
      <c r="E2166">
        <v>412843</v>
      </c>
      <c r="F2166">
        <v>8.6999999999999993</v>
      </c>
      <c r="G2166">
        <v>7.5</v>
      </c>
      <c r="H2166">
        <v>35.1</v>
      </c>
      <c r="I2166">
        <v>34.6</v>
      </c>
    </row>
    <row r="2167" spans="1:9" ht="24" customHeight="1">
      <c r="A2167" s="6" t="s">
        <v>3600</v>
      </c>
      <c r="B2167">
        <v>23864</v>
      </c>
      <c r="C2167">
        <v>5320</v>
      </c>
      <c r="D2167">
        <v>402545</v>
      </c>
      <c r="E2167">
        <v>304994</v>
      </c>
      <c r="F2167">
        <v>15.6</v>
      </c>
      <c r="G2167">
        <v>4.9000000000000004</v>
      </c>
      <c r="H2167">
        <v>6.9</v>
      </c>
      <c r="I2167">
        <v>6.4</v>
      </c>
    </row>
    <row r="2168" spans="1:9" ht="24" customHeight="1">
      <c r="A2168" s="6" t="s">
        <v>665</v>
      </c>
      <c r="B2168">
        <v>7152</v>
      </c>
      <c r="C2168">
        <v>1355</v>
      </c>
      <c r="D2168">
        <v>260338</v>
      </c>
      <c r="E2168">
        <v>216732</v>
      </c>
      <c r="F2168">
        <v>13.1</v>
      </c>
      <c r="G2168">
        <v>3.9</v>
      </c>
      <c r="H2168">
        <v>0</v>
      </c>
      <c r="I2168">
        <v>0</v>
      </c>
    </row>
    <row r="2169" spans="1:9" ht="24" customHeight="1">
      <c r="A2169" s="6" t="s">
        <v>3601</v>
      </c>
      <c r="B2169">
        <v>12495</v>
      </c>
      <c r="C2169">
        <v>1779</v>
      </c>
      <c r="D2169">
        <v>350703</v>
      </c>
      <c r="E2169">
        <v>293911</v>
      </c>
      <c r="F2169">
        <v>22.1</v>
      </c>
      <c r="G2169">
        <v>14.9</v>
      </c>
      <c r="H2169">
        <v>1.5</v>
      </c>
      <c r="I2169">
        <v>1.4</v>
      </c>
    </row>
    <row r="2170" spans="1:9" ht="24" customHeight="1">
      <c r="A2170" s="6" t="s">
        <v>3602</v>
      </c>
      <c r="B2170">
        <v>22480</v>
      </c>
      <c r="C2170">
        <v>2578</v>
      </c>
      <c r="D2170">
        <v>525084</v>
      </c>
      <c r="E2170">
        <v>383262</v>
      </c>
      <c r="F2170">
        <v>25.4</v>
      </c>
      <c r="G2170">
        <v>11.2</v>
      </c>
      <c r="H2170">
        <v>12.2</v>
      </c>
      <c r="I2170">
        <v>12.1</v>
      </c>
    </row>
    <row r="2171" spans="1:9" ht="24" customHeight="1">
      <c r="A2171" s="6" t="s">
        <v>3603</v>
      </c>
      <c r="B2171">
        <v>26691</v>
      </c>
      <c r="C2171">
        <v>2027</v>
      </c>
      <c r="D2171">
        <v>580077</v>
      </c>
      <c r="E2171">
        <v>419503</v>
      </c>
      <c r="F2171">
        <v>22.2</v>
      </c>
      <c r="G2171">
        <v>11.9</v>
      </c>
      <c r="H2171">
        <v>16.7</v>
      </c>
      <c r="I2171">
        <v>17.2</v>
      </c>
    </row>
    <row r="2172" spans="1:9" ht="24" customHeight="1">
      <c r="A2172" s="6" t="s">
        <v>3604</v>
      </c>
      <c r="B2172">
        <v>13384</v>
      </c>
      <c r="C2172">
        <v>859</v>
      </c>
      <c r="D2172">
        <v>606512</v>
      </c>
      <c r="E2172">
        <v>443478</v>
      </c>
      <c r="F2172">
        <v>17.3</v>
      </c>
      <c r="G2172">
        <v>10</v>
      </c>
      <c r="H2172">
        <v>22</v>
      </c>
      <c r="I2172">
        <v>21.9</v>
      </c>
    </row>
    <row r="2173" spans="1:9" ht="24" customHeight="1">
      <c r="A2173" s="6" t="s">
        <v>3605</v>
      </c>
      <c r="B2173">
        <v>12584</v>
      </c>
      <c r="C2173">
        <v>897</v>
      </c>
      <c r="D2173">
        <v>656808</v>
      </c>
      <c r="E2173">
        <v>464423</v>
      </c>
      <c r="F2173">
        <v>17.899999999999999</v>
      </c>
      <c r="G2173">
        <v>10.7</v>
      </c>
      <c r="H2173">
        <v>26.9</v>
      </c>
      <c r="I2173">
        <v>26.7</v>
      </c>
    </row>
    <row r="2174" spans="1:9" ht="24" customHeight="1">
      <c r="A2174" s="6" t="s">
        <v>3606</v>
      </c>
      <c r="B2174">
        <v>14489</v>
      </c>
      <c r="C2174">
        <v>2549</v>
      </c>
      <c r="D2174">
        <v>441374</v>
      </c>
      <c r="E2174">
        <v>342776</v>
      </c>
      <c r="F2174">
        <v>24.8</v>
      </c>
      <c r="G2174">
        <v>12.6</v>
      </c>
      <c r="H2174">
        <v>3.5</v>
      </c>
      <c r="I2174">
        <v>3.5</v>
      </c>
    </row>
    <row r="2175" spans="1:9" ht="24" customHeight="1">
      <c r="A2175" s="6" t="s">
        <v>666</v>
      </c>
      <c r="B2175">
        <v>25390</v>
      </c>
      <c r="C2175">
        <v>2783</v>
      </c>
      <c r="D2175">
        <v>741975</v>
      </c>
      <c r="E2175">
        <v>534668</v>
      </c>
      <c r="F2175">
        <v>16.600000000000001</v>
      </c>
      <c r="G2175">
        <v>9.1999999999999993</v>
      </c>
      <c r="H2175">
        <v>34.6</v>
      </c>
      <c r="I2175">
        <v>35</v>
      </c>
    </row>
    <row r="2176" spans="1:9" ht="24" customHeight="1">
      <c r="A2176" s="6" t="s">
        <v>3607</v>
      </c>
      <c r="B2176">
        <v>30401</v>
      </c>
      <c r="C2176">
        <v>3771</v>
      </c>
      <c r="D2176">
        <v>440339</v>
      </c>
      <c r="E2176">
        <v>363107</v>
      </c>
      <c r="F2176">
        <v>24.8</v>
      </c>
      <c r="G2176">
        <v>11.9</v>
      </c>
      <c r="H2176">
        <v>6.6</v>
      </c>
      <c r="I2176">
        <v>6.5</v>
      </c>
    </row>
    <row r="2177" spans="1:9" ht="24" customHeight="1">
      <c r="A2177" s="6" t="s">
        <v>667</v>
      </c>
      <c r="B2177">
        <v>3281</v>
      </c>
      <c r="C2177">
        <v>967</v>
      </c>
      <c r="D2177">
        <v>268013</v>
      </c>
      <c r="E2177">
        <v>225006</v>
      </c>
      <c r="F2177">
        <v>6.8</v>
      </c>
      <c r="G2177">
        <v>2.8</v>
      </c>
      <c r="H2177">
        <v>0</v>
      </c>
      <c r="I2177">
        <v>0</v>
      </c>
    </row>
    <row r="2178" spans="1:9" ht="24" customHeight="1">
      <c r="A2178" s="6" t="s">
        <v>3608</v>
      </c>
      <c r="B2178">
        <v>7292</v>
      </c>
      <c r="C2178">
        <v>1634</v>
      </c>
      <c r="D2178">
        <v>378256</v>
      </c>
      <c r="E2178">
        <v>287447</v>
      </c>
      <c r="F2178">
        <v>15.2</v>
      </c>
      <c r="G2178">
        <v>11</v>
      </c>
      <c r="H2178">
        <v>1.5</v>
      </c>
      <c r="I2178">
        <v>1.4</v>
      </c>
    </row>
    <row r="2179" spans="1:9" ht="24" customHeight="1">
      <c r="A2179" s="6" t="s">
        <v>3609</v>
      </c>
      <c r="B2179">
        <v>9934</v>
      </c>
      <c r="C2179">
        <v>1819</v>
      </c>
      <c r="D2179">
        <v>493566</v>
      </c>
      <c r="E2179">
        <v>357364</v>
      </c>
      <c r="F2179">
        <v>17.3</v>
      </c>
      <c r="G2179">
        <v>8.5</v>
      </c>
      <c r="H2179">
        <v>12</v>
      </c>
      <c r="I2179">
        <v>12.1</v>
      </c>
    </row>
    <row r="2180" spans="1:9" ht="24" customHeight="1">
      <c r="A2180" s="6" t="s">
        <v>3610</v>
      </c>
      <c r="B2180">
        <v>13498</v>
      </c>
      <c r="C2180">
        <v>2145</v>
      </c>
      <c r="D2180">
        <v>540442</v>
      </c>
      <c r="E2180">
        <v>348930</v>
      </c>
      <c r="F2180">
        <v>16.7</v>
      </c>
      <c r="G2180">
        <v>6.4</v>
      </c>
      <c r="H2180">
        <v>16.7</v>
      </c>
      <c r="I2180">
        <v>16.7</v>
      </c>
    </row>
    <row r="2181" spans="1:9" ht="24" customHeight="1">
      <c r="A2181" s="6" t="s">
        <v>3611</v>
      </c>
      <c r="B2181">
        <v>7288</v>
      </c>
      <c r="C2181">
        <v>1068</v>
      </c>
      <c r="D2181">
        <v>569025</v>
      </c>
      <c r="E2181">
        <v>411374</v>
      </c>
      <c r="F2181">
        <v>12.6</v>
      </c>
      <c r="G2181">
        <v>3.8</v>
      </c>
      <c r="H2181">
        <v>22</v>
      </c>
      <c r="I2181">
        <v>22.4</v>
      </c>
    </row>
    <row r="2182" spans="1:9" ht="24" customHeight="1">
      <c r="A2182" s="6" t="s">
        <v>3612</v>
      </c>
      <c r="B2182">
        <v>8482</v>
      </c>
      <c r="C2182">
        <v>875</v>
      </c>
      <c r="D2182">
        <v>614450</v>
      </c>
      <c r="E2182">
        <v>441393</v>
      </c>
      <c r="F2182">
        <v>13.6</v>
      </c>
      <c r="G2182">
        <v>8</v>
      </c>
      <c r="H2182">
        <v>26.8</v>
      </c>
      <c r="I2182">
        <v>26.7</v>
      </c>
    </row>
    <row r="2183" spans="1:9" ht="24" customHeight="1">
      <c r="A2183" s="6" t="s">
        <v>3613</v>
      </c>
      <c r="B2183">
        <v>6147</v>
      </c>
      <c r="C2183">
        <v>2018</v>
      </c>
      <c r="D2183">
        <v>419091</v>
      </c>
      <c r="E2183">
        <v>335553</v>
      </c>
      <c r="F2183">
        <v>18.3</v>
      </c>
      <c r="G2183">
        <v>10.7</v>
      </c>
      <c r="H2183">
        <v>3.5</v>
      </c>
      <c r="I2183">
        <v>3.5</v>
      </c>
    </row>
    <row r="2184" spans="1:9" ht="24" customHeight="1">
      <c r="A2184" s="6" t="s">
        <v>668</v>
      </c>
      <c r="B2184">
        <v>16020</v>
      </c>
      <c r="C2184">
        <v>1844</v>
      </c>
      <c r="D2184">
        <v>672731</v>
      </c>
      <c r="E2184">
        <v>469386</v>
      </c>
      <c r="F2184">
        <v>12.4</v>
      </c>
      <c r="G2184">
        <v>5.2</v>
      </c>
      <c r="H2184">
        <v>34.5</v>
      </c>
      <c r="I2184">
        <v>34.4</v>
      </c>
    </row>
    <row r="2185" spans="1:9" ht="24" customHeight="1">
      <c r="A2185" s="6" t="s">
        <v>3614</v>
      </c>
      <c r="B2185">
        <v>13012</v>
      </c>
      <c r="C2185">
        <v>3145</v>
      </c>
      <c r="D2185">
        <v>427746</v>
      </c>
      <c r="E2185">
        <v>341962</v>
      </c>
      <c r="F2185">
        <v>16.8</v>
      </c>
      <c r="G2185">
        <v>8.8000000000000007</v>
      </c>
      <c r="H2185">
        <v>6.7</v>
      </c>
      <c r="I2185">
        <v>6.6</v>
      </c>
    </row>
    <row r="2186" spans="1:9" ht="24" customHeight="1">
      <c r="A2186" s="6" t="s">
        <v>669</v>
      </c>
      <c r="B2186">
        <v>15780</v>
      </c>
      <c r="C2186">
        <v>5485</v>
      </c>
      <c r="D2186">
        <v>273763</v>
      </c>
      <c r="E2186">
        <v>203580</v>
      </c>
      <c r="F2186">
        <v>7.4</v>
      </c>
      <c r="G2186">
        <v>1.9</v>
      </c>
      <c r="H2186">
        <v>0</v>
      </c>
      <c r="I2186">
        <v>0</v>
      </c>
    </row>
    <row r="2187" spans="1:9" ht="24" customHeight="1">
      <c r="A2187" s="6" t="s">
        <v>3615</v>
      </c>
      <c r="B2187">
        <v>28435</v>
      </c>
      <c r="C2187">
        <v>9664</v>
      </c>
      <c r="D2187">
        <v>354396</v>
      </c>
      <c r="E2187">
        <v>272914</v>
      </c>
      <c r="F2187">
        <v>15.5</v>
      </c>
      <c r="G2187">
        <v>7.8</v>
      </c>
      <c r="H2187">
        <v>1.5</v>
      </c>
      <c r="I2187">
        <v>1.5</v>
      </c>
    </row>
    <row r="2188" spans="1:9" ht="24" customHeight="1">
      <c r="A2188" s="6" t="s">
        <v>3616</v>
      </c>
      <c r="B2188">
        <v>42167</v>
      </c>
      <c r="C2188">
        <v>8570</v>
      </c>
      <c r="D2188">
        <v>437015</v>
      </c>
      <c r="E2188">
        <v>347734</v>
      </c>
      <c r="F2188">
        <v>15</v>
      </c>
      <c r="G2188">
        <v>6.9</v>
      </c>
      <c r="H2188">
        <v>12</v>
      </c>
      <c r="I2188">
        <v>11.6</v>
      </c>
    </row>
    <row r="2189" spans="1:9" ht="24" customHeight="1">
      <c r="A2189" s="6" t="s">
        <v>3617</v>
      </c>
      <c r="B2189">
        <v>39101</v>
      </c>
      <c r="C2189">
        <v>9427</v>
      </c>
      <c r="D2189">
        <v>464716</v>
      </c>
      <c r="E2189">
        <v>347493</v>
      </c>
      <c r="F2189">
        <v>15.1</v>
      </c>
      <c r="G2189">
        <v>5.0999999999999996</v>
      </c>
      <c r="H2189">
        <v>16.8</v>
      </c>
      <c r="I2189">
        <v>16.899999999999999</v>
      </c>
    </row>
    <row r="2190" spans="1:9" ht="24" customHeight="1">
      <c r="A2190" s="6" t="s">
        <v>3618</v>
      </c>
      <c r="B2190">
        <v>28653</v>
      </c>
      <c r="C2190">
        <v>4847</v>
      </c>
      <c r="D2190">
        <v>492350</v>
      </c>
      <c r="E2190">
        <v>376521</v>
      </c>
      <c r="F2190">
        <v>13.5</v>
      </c>
      <c r="G2190">
        <v>4.9000000000000004</v>
      </c>
      <c r="H2190">
        <v>21.7</v>
      </c>
      <c r="I2190">
        <v>21.9</v>
      </c>
    </row>
    <row r="2191" spans="1:9" ht="24" customHeight="1">
      <c r="A2191" s="6" t="s">
        <v>3619</v>
      </c>
      <c r="B2191">
        <v>23123</v>
      </c>
      <c r="C2191">
        <v>4273</v>
      </c>
      <c r="D2191">
        <v>540605</v>
      </c>
      <c r="E2191">
        <v>366790</v>
      </c>
      <c r="F2191">
        <v>10.6</v>
      </c>
      <c r="G2191">
        <v>6.3</v>
      </c>
      <c r="H2191">
        <v>27</v>
      </c>
      <c r="I2191">
        <v>26.7</v>
      </c>
    </row>
    <row r="2192" spans="1:9" ht="24" customHeight="1">
      <c r="A2192" s="6" t="s">
        <v>3620</v>
      </c>
      <c r="B2192">
        <v>29299</v>
      </c>
      <c r="C2192">
        <v>10625</v>
      </c>
      <c r="D2192">
        <v>375950</v>
      </c>
      <c r="E2192">
        <v>289797</v>
      </c>
      <c r="F2192">
        <v>13.4</v>
      </c>
      <c r="G2192">
        <v>7.9</v>
      </c>
      <c r="H2192">
        <v>3.5</v>
      </c>
      <c r="I2192">
        <v>3.6</v>
      </c>
    </row>
    <row r="2193" spans="1:9" ht="24" customHeight="1">
      <c r="A2193" s="6" t="s">
        <v>670</v>
      </c>
      <c r="B2193">
        <v>40467</v>
      </c>
      <c r="C2193">
        <v>5560</v>
      </c>
      <c r="D2193">
        <v>546331</v>
      </c>
      <c r="E2193">
        <v>367819</v>
      </c>
      <c r="F2193">
        <v>10.4</v>
      </c>
      <c r="G2193">
        <v>6.2</v>
      </c>
      <c r="H2193">
        <v>35.200000000000003</v>
      </c>
      <c r="I2193">
        <v>32.9</v>
      </c>
    </row>
    <row r="2194" spans="1:9" ht="24" customHeight="1">
      <c r="A2194" s="6" t="s">
        <v>3621</v>
      </c>
      <c r="B2194">
        <v>67667</v>
      </c>
      <c r="C2194">
        <v>17579</v>
      </c>
      <c r="D2194">
        <v>399979</v>
      </c>
      <c r="E2194">
        <v>313608</v>
      </c>
      <c r="F2194">
        <v>15.3</v>
      </c>
      <c r="G2194">
        <v>8.3000000000000007</v>
      </c>
      <c r="H2194">
        <v>6.8</v>
      </c>
      <c r="I2194">
        <v>6.6</v>
      </c>
    </row>
    <row r="2195" spans="1:9" ht="24" customHeight="1">
      <c r="A2195" s="6" t="s">
        <v>671</v>
      </c>
      <c r="B2195">
        <v>10163</v>
      </c>
      <c r="C2195">
        <v>2330</v>
      </c>
      <c r="D2195">
        <v>285757</v>
      </c>
      <c r="E2195">
        <v>212770</v>
      </c>
      <c r="F2195">
        <v>11.4</v>
      </c>
      <c r="G2195">
        <v>9.3000000000000007</v>
      </c>
      <c r="H2195">
        <v>0</v>
      </c>
      <c r="I2195">
        <v>0</v>
      </c>
    </row>
    <row r="2196" spans="1:9" ht="24" customHeight="1">
      <c r="A2196" s="6" t="s">
        <v>3622</v>
      </c>
      <c r="B2196">
        <v>15792</v>
      </c>
      <c r="C2196">
        <v>4378</v>
      </c>
      <c r="D2196">
        <v>359494</v>
      </c>
      <c r="E2196">
        <v>270209</v>
      </c>
      <c r="F2196">
        <v>17.8</v>
      </c>
      <c r="G2196">
        <v>9.9</v>
      </c>
      <c r="H2196">
        <v>1.4</v>
      </c>
      <c r="I2196">
        <v>1.4</v>
      </c>
    </row>
    <row r="2197" spans="1:9" ht="24" customHeight="1">
      <c r="A2197" s="6" t="s">
        <v>3623</v>
      </c>
      <c r="B2197">
        <v>29627</v>
      </c>
      <c r="C2197">
        <v>6420</v>
      </c>
      <c r="D2197">
        <v>510906</v>
      </c>
      <c r="E2197">
        <v>365902</v>
      </c>
      <c r="F2197">
        <v>17</v>
      </c>
      <c r="G2197">
        <v>8</v>
      </c>
      <c r="H2197">
        <v>12</v>
      </c>
      <c r="I2197">
        <v>11.8</v>
      </c>
    </row>
    <row r="2198" spans="1:9" ht="24" customHeight="1">
      <c r="A2198" s="6" t="s">
        <v>3624</v>
      </c>
      <c r="B2198">
        <v>32096</v>
      </c>
      <c r="C2198">
        <v>5747</v>
      </c>
      <c r="D2198">
        <v>559858</v>
      </c>
      <c r="E2198">
        <v>393472</v>
      </c>
      <c r="F2198">
        <v>15.7</v>
      </c>
      <c r="G2198">
        <v>6.2</v>
      </c>
      <c r="H2198">
        <v>16.5</v>
      </c>
      <c r="I2198">
        <v>16.899999999999999</v>
      </c>
    </row>
    <row r="2199" spans="1:9" ht="24" customHeight="1">
      <c r="A2199" s="6" t="s">
        <v>3625</v>
      </c>
      <c r="B2199">
        <v>17022</v>
      </c>
      <c r="C2199">
        <v>3607</v>
      </c>
      <c r="D2199">
        <v>621739</v>
      </c>
      <c r="E2199">
        <v>458819</v>
      </c>
      <c r="F2199">
        <v>13.3</v>
      </c>
      <c r="G2199">
        <v>9.3000000000000007</v>
      </c>
      <c r="H2199">
        <v>21.9</v>
      </c>
      <c r="I2199">
        <v>22.1</v>
      </c>
    </row>
    <row r="2200" spans="1:9" ht="24" customHeight="1">
      <c r="A2200" s="6" t="s">
        <v>3626</v>
      </c>
      <c r="B2200">
        <v>17838</v>
      </c>
      <c r="C2200">
        <v>3537</v>
      </c>
      <c r="D2200">
        <v>671568</v>
      </c>
      <c r="E2200">
        <v>456894</v>
      </c>
      <c r="F2200">
        <v>11.8</v>
      </c>
      <c r="G2200">
        <v>7</v>
      </c>
      <c r="H2200">
        <v>27.1</v>
      </c>
      <c r="I2200">
        <v>26.9</v>
      </c>
    </row>
    <row r="2201" spans="1:9" ht="24" customHeight="1">
      <c r="A2201" s="6" t="s">
        <v>3627</v>
      </c>
      <c r="B2201">
        <v>20206</v>
      </c>
      <c r="C2201">
        <v>3946</v>
      </c>
      <c r="D2201">
        <v>428448</v>
      </c>
      <c r="E2201">
        <v>331942</v>
      </c>
      <c r="F2201">
        <v>18.399999999999999</v>
      </c>
      <c r="G2201">
        <v>13.1</v>
      </c>
      <c r="H2201">
        <v>3.6</v>
      </c>
      <c r="I2201">
        <v>3.5</v>
      </c>
    </row>
    <row r="2202" spans="1:9" ht="24" customHeight="1">
      <c r="A2202" s="6" t="s">
        <v>672</v>
      </c>
      <c r="B2202">
        <v>35330</v>
      </c>
      <c r="C2202">
        <v>3793</v>
      </c>
      <c r="D2202">
        <v>687280</v>
      </c>
      <c r="E2202">
        <v>527837</v>
      </c>
      <c r="F2202">
        <v>10.1</v>
      </c>
      <c r="G2202">
        <v>8.3000000000000007</v>
      </c>
      <c r="H2202">
        <v>34.200000000000003</v>
      </c>
      <c r="I2202">
        <v>33.9</v>
      </c>
    </row>
    <row r="2203" spans="1:9" ht="24" customHeight="1">
      <c r="A2203" s="6" t="s">
        <v>3628</v>
      </c>
      <c r="B2203">
        <v>33486</v>
      </c>
      <c r="C2203">
        <v>9660</v>
      </c>
      <c r="D2203">
        <v>445732</v>
      </c>
      <c r="E2203">
        <v>347501</v>
      </c>
      <c r="F2203">
        <v>19</v>
      </c>
      <c r="G2203">
        <v>12.1</v>
      </c>
      <c r="H2203">
        <v>6.8</v>
      </c>
      <c r="I2203">
        <v>6.7</v>
      </c>
    </row>
    <row r="2204" spans="1:9" ht="24" customHeight="1">
      <c r="A2204" s="6" t="s">
        <v>673</v>
      </c>
      <c r="B2204">
        <v>21579</v>
      </c>
      <c r="C2204">
        <v>6201</v>
      </c>
      <c r="D2204">
        <v>279796</v>
      </c>
      <c r="E2204">
        <v>246717</v>
      </c>
      <c r="F2204">
        <v>10.3</v>
      </c>
      <c r="G2204">
        <v>7.5</v>
      </c>
      <c r="H2204">
        <v>0</v>
      </c>
      <c r="I2204">
        <v>0</v>
      </c>
    </row>
    <row r="2205" spans="1:9" ht="24" customHeight="1">
      <c r="A2205" s="6" t="s">
        <v>3629</v>
      </c>
      <c r="B2205">
        <v>30797</v>
      </c>
      <c r="C2205">
        <v>8148</v>
      </c>
      <c r="D2205">
        <v>364284</v>
      </c>
      <c r="E2205">
        <v>294364</v>
      </c>
      <c r="F2205">
        <v>17.899999999999999</v>
      </c>
      <c r="G2205">
        <v>8.1999999999999993</v>
      </c>
      <c r="H2205">
        <v>1.4</v>
      </c>
      <c r="I2205">
        <v>1.4</v>
      </c>
    </row>
    <row r="2206" spans="1:9" ht="24" customHeight="1">
      <c r="A2206" s="6" t="s">
        <v>3630</v>
      </c>
      <c r="B2206">
        <v>43143</v>
      </c>
      <c r="C2206">
        <v>8493</v>
      </c>
      <c r="D2206">
        <v>505974</v>
      </c>
      <c r="E2206">
        <v>401219</v>
      </c>
      <c r="F2206">
        <v>16.899999999999999</v>
      </c>
      <c r="G2206">
        <v>9.6999999999999993</v>
      </c>
      <c r="H2206">
        <v>11.9</v>
      </c>
      <c r="I2206">
        <v>11.7</v>
      </c>
    </row>
    <row r="2207" spans="1:9" ht="24" customHeight="1">
      <c r="A2207" s="6" t="s">
        <v>3631</v>
      </c>
      <c r="B2207">
        <v>56313</v>
      </c>
      <c r="C2207">
        <v>8261</v>
      </c>
      <c r="D2207">
        <v>555983</v>
      </c>
      <c r="E2207">
        <v>399649</v>
      </c>
      <c r="F2207">
        <v>17.399999999999999</v>
      </c>
      <c r="G2207">
        <v>9.5</v>
      </c>
      <c r="H2207">
        <v>16.8</v>
      </c>
      <c r="I2207">
        <v>16.899999999999999</v>
      </c>
    </row>
    <row r="2208" spans="1:9" ht="24" customHeight="1">
      <c r="A2208" s="6" t="s">
        <v>3632</v>
      </c>
      <c r="B2208">
        <v>39282</v>
      </c>
      <c r="C2208">
        <v>4596</v>
      </c>
      <c r="D2208">
        <v>585538</v>
      </c>
      <c r="E2208">
        <v>476528</v>
      </c>
      <c r="F2208">
        <v>15.8</v>
      </c>
      <c r="G2208">
        <v>7</v>
      </c>
      <c r="H2208">
        <v>21.8</v>
      </c>
      <c r="I2208">
        <v>21.9</v>
      </c>
    </row>
    <row r="2209" spans="1:9" ht="24" customHeight="1">
      <c r="A2209" s="6" t="s">
        <v>3633</v>
      </c>
      <c r="B2209">
        <v>34131</v>
      </c>
      <c r="C2209">
        <v>3492</v>
      </c>
      <c r="D2209">
        <v>620726</v>
      </c>
      <c r="E2209">
        <v>470933</v>
      </c>
      <c r="F2209">
        <v>15.5</v>
      </c>
      <c r="G2209">
        <v>9.1999999999999993</v>
      </c>
      <c r="H2209">
        <v>26.8</v>
      </c>
      <c r="I2209">
        <v>26.4</v>
      </c>
    </row>
    <row r="2210" spans="1:9" ht="24" customHeight="1">
      <c r="A2210" s="6" t="s">
        <v>3634</v>
      </c>
      <c r="B2210">
        <v>27905</v>
      </c>
      <c r="C2210">
        <v>8415</v>
      </c>
      <c r="D2210">
        <v>415399</v>
      </c>
      <c r="E2210">
        <v>322441</v>
      </c>
      <c r="F2210">
        <v>17.2</v>
      </c>
      <c r="G2210">
        <v>9.1</v>
      </c>
      <c r="H2210">
        <v>3.5</v>
      </c>
      <c r="I2210">
        <v>3.6</v>
      </c>
    </row>
    <row r="2211" spans="1:9" ht="24" customHeight="1">
      <c r="A2211" s="6" t="s">
        <v>674</v>
      </c>
      <c r="B2211">
        <v>54597</v>
      </c>
      <c r="C2211">
        <v>7075</v>
      </c>
      <c r="D2211">
        <v>634444</v>
      </c>
      <c r="E2211">
        <v>462227</v>
      </c>
      <c r="F2211">
        <v>9.9</v>
      </c>
      <c r="G2211">
        <v>7.8</v>
      </c>
      <c r="H2211">
        <v>35.200000000000003</v>
      </c>
      <c r="I2211">
        <v>34.1</v>
      </c>
    </row>
    <row r="2212" spans="1:9" ht="24" customHeight="1">
      <c r="A2212" s="6" t="s">
        <v>3635</v>
      </c>
      <c r="B2212">
        <v>66596</v>
      </c>
      <c r="C2212">
        <v>16085</v>
      </c>
      <c r="D2212">
        <v>446722</v>
      </c>
      <c r="E2212">
        <v>349941</v>
      </c>
      <c r="F2212">
        <v>18.100000000000001</v>
      </c>
      <c r="G2212">
        <v>9.1</v>
      </c>
      <c r="H2212">
        <v>6.9</v>
      </c>
      <c r="I2212">
        <v>6.6</v>
      </c>
    </row>
    <row r="2213" spans="1:9" ht="24" customHeight="1">
      <c r="A2213" s="6" t="s">
        <v>675</v>
      </c>
      <c r="B2213">
        <v>4812</v>
      </c>
      <c r="C2213">
        <v>2517</v>
      </c>
      <c r="D2213">
        <v>281389</v>
      </c>
      <c r="E2213">
        <v>229637</v>
      </c>
      <c r="F2213">
        <v>7.2</v>
      </c>
      <c r="G2213">
        <v>3.2</v>
      </c>
      <c r="H2213">
        <v>0</v>
      </c>
      <c r="I2213">
        <v>0</v>
      </c>
    </row>
    <row r="2214" spans="1:9" ht="24" customHeight="1">
      <c r="A2214" s="6" t="s">
        <v>3636</v>
      </c>
      <c r="B2214">
        <v>10064</v>
      </c>
      <c r="C2214">
        <v>4186</v>
      </c>
      <c r="D2214">
        <v>357694</v>
      </c>
      <c r="E2214">
        <v>308320</v>
      </c>
      <c r="F2214">
        <v>15.9</v>
      </c>
      <c r="G2214">
        <v>12.2</v>
      </c>
      <c r="H2214">
        <v>1.4</v>
      </c>
      <c r="I2214">
        <v>1.5</v>
      </c>
    </row>
    <row r="2215" spans="1:9" ht="24" customHeight="1">
      <c r="A2215" s="6" t="s">
        <v>3637</v>
      </c>
      <c r="B2215">
        <v>18160</v>
      </c>
      <c r="C2215">
        <v>6148</v>
      </c>
      <c r="D2215">
        <v>507992</v>
      </c>
      <c r="E2215">
        <v>385596</v>
      </c>
      <c r="F2215">
        <v>13.7</v>
      </c>
      <c r="G2215">
        <v>7.7</v>
      </c>
      <c r="H2215">
        <v>12.1</v>
      </c>
      <c r="I2215">
        <v>12.1</v>
      </c>
    </row>
    <row r="2216" spans="1:9" ht="24" customHeight="1">
      <c r="A2216" s="6" t="s">
        <v>3638</v>
      </c>
      <c r="B2216">
        <v>19275</v>
      </c>
      <c r="C2216">
        <v>5273</v>
      </c>
      <c r="D2216">
        <v>564680</v>
      </c>
      <c r="E2216">
        <v>387051</v>
      </c>
      <c r="F2216">
        <v>13.8</v>
      </c>
      <c r="G2216">
        <v>7.1</v>
      </c>
      <c r="H2216">
        <v>16.8</v>
      </c>
      <c r="I2216">
        <v>16.5</v>
      </c>
    </row>
    <row r="2217" spans="1:9" ht="24" customHeight="1">
      <c r="A2217" s="6" t="s">
        <v>3639</v>
      </c>
      <c r="B2217">
        <v>10981</v>
      </c>
      <c r="C2217">
        <v>2469</v>
      </c>
      <c r="D2217">
        <v>667173</v>
      </c>
      <c r="E2217">
        <v>432092</v>
      </c>
      <c r="F2217">
        <v>11.6</v>
      </c>
      <c r="G2217">
        <v>8.9</v>
      </c>
      <c r="H2217">
        <v>22</v>
      </c>
      <c r="I2217">
        <v>21.8</v>
      </c>
    </row>
    <row r="2218" spans="1:9" ht="24" customHeight="1">
      <c r="A2218" s="6" t="s">
        <v>3640</v>
      </c>
      <c r="B2218">
        <v>10252</v>
      </c>
      <c r="C2218">
        <v>2358</v>
      </c>
      <c r="D2218">
        <v>654212</v>
      </c>
      <c r="E2218">
        <v>477809</v>
      </c>
      <c r="F2218">
        <v>9.6</v>
      </c>
      <c r="G2218">
        <v>7.4</v>
      </c>
      <c r="H2218">
        <v>26.9</v>
      </c>
      <c r="I2218">
        <v>26.8</v>
      </c>
    </row>
    <row r="2219" spans="1:9" ht="24" customHeight="1">
      <c r="A2219" s="6" t="s">
        <v>3641</v>
      </c>
      <c r="B2219">
        <v>9916</v>
      </c>
      <c r="C2219">
        <v>4312</v>
      </c>
      <c r="D2219">
        <v>410821</v>
      </c>
      <c r="E2219">
        <v>352270</v>
      </c>
      <c r="F2219">
        <v>19.100000000000001</v>
      </c>
      <c r="G2219">
        <v>11.2</v>
      </c>
      <c r="H2219">
        <v>3.5</v>
      </c>
      <c r="I2219">
        <v>3.5</v>
      </c>
    </row>
    <row r="2220" spans="1:9" ht="24" customHeight="1">
      <c r="A2220" s="6" t="s">
        <v>676</v>
      </c>
      <c r="B2220">
        <v>22108</v>
      </c>
      <c r="C2220">
        <v>5498</v>
      </c>
      <c r="D2220">
        <v>687894</v>
      </c>
      <c r="E2220">
        <v>473457</v>
      </c>
      <c r="F2220">
        <v>7.9</v>
      </c>
      <c r="G2220">
        <v>7.3</v>
      </c>
      <c r="H2220">
        <v>34</v>
      </c>
      <c r="I2220">
        <v>34.6</v>
      </c>
    </row>
    <row r="2221" spans="1:9" ht="24" customHeight="1">
      <c r="A2221" s="6" t="s">
        <v>3642</v>
      </c>
      <c r="B2221">
        <v>20575</v>
      </c>
      <c r="C2221">
        <v>7151</v>
      </c>
      <c r="D2221">
        <v>457728</v>
      </c>
      <c r="E2221">
        <v>349840</v>
      </c>
      <c r="F2221">
        <v>17.7</v>
      </c>
      <c r="G2221">
        <v>10.9</v>
      </c>
      <c r="H2221">
        <v>6.8</v>
      </c>
      <c r="I2221">
        <v>6.6</v>
      </c>
    </row>
    <row r="2222" spans="1:9" ht="24" customHeight="1">
      <c r="A2222" s="6" t="s">
        <v>677</v>
      </c>
      <c r="B2222">
        <v>9463</v>
      </c>
      <c r="C2222">
        <v>3702</v>
      </c>
      <c r="D2222">
        <v>285003</v>
      </c>
      <c r="E2222">
        <v>239864</v>
      </c>
      <c r="F2222">
        <v>10</v>
      </c>
      <c r="G2222">
        <v>4.9000000000000004</v>
      </c>
      <c r="H2222">
        <v>0</v>
      </c>
      <c r="I2222">
        <v>0</v>
      </c>
    </row>
    <row r="2223" spans="1:9" ht="24" customHeight="1">
      <c r="A2223" s="6" t="s">
        <v>3643</v>
      </c>
      <c r="B2223">
        <v>21439</v>
      </c>
      <c r="C2223">
        <v>6169</v>
      </c>
      <c r="D2223">
        <v>385052</v>
      </c>
      <c r="E2223">
        <v>322847</v>
      </c>
      <c r="F2223">
        <v>15</v>
      </c>
      <c r="G2223">
        <v>12.4</v>
      </c>
      <c r="H2223">
        <v>1.4</v>
      </c>
      <c r="I2223">
        <v>1.5</v>
      </c>
    </row>
    <row r="2224" spans="1:9" ht="24" customHeight="1">
      <c r="A2224" s="6" t="s">
        <v>3644</v>
      </c>
      <c r="B2224">
        <v>22138</v>
      </c>
      <c r="C2224">
        <v>9200</v>
      </c>
      <c r="D2224">
        <v>506623</v>
      </c>
      <c r="E2224">
        <v>349004</v>
      </c>
      <c r="F2224">
        <v>15.1</v>
      </c>
      <c r="G2224">
        <v>8.3000000000000007</v>
      </c>
      <c r="H2224">
        <v>12</v>
      </c>
      <c r="I2224">
        <v>12.2</v>
      </c>
    </row>
    <row r="2225" spans="1:9" ht="24" customHeight="1">
      <c r="A2225" s="6" t="s">
        <v>3645</v>
      </c>
      <c r="B2225">
        <v>32849</v>
      </c>
      <c r="C2225">
        <v>9693</v>
      </c>
      <c r="D2225">
        <v>559353</v>
      </c>
      <c r="E2225">
        <v>369344</v>
      </c>
      <c r="F2225">
        <v>15.1</v>
      </c>
      <c r="G2225">
        <v>6.8</v>
      </c>
      <c r="H2225">
        <v>16.8</v>
      </c>
      <c r="I2225">
        <v>16.600000000000001</v>
      </c>
    </row>
    <row r="2226" spans="1:9" ht="24" customHeight="1">
      <c r="A2226" s="6" t="s">
        <v>3646</v>
      </c>
      <c r="B2226">
        <v>20439</v>
      </c>
      <c r="C2226">
        <v>5183</v>
      </c>
      <c r="D2226">
        <v>611333</v>
      </c>
      <c r="E2226">
        <v>351150</v>
      </c>
      <c r="F2226">
        <v>13</v>
      </c>
      <c r="G2226">
        <v>9.5</v>
      </c>
      <c r="H2226">
        <v>22.1</v>
      </c>
      <c r="I2226">
        <v>22.2</v>
      </c>
    </row>
    <row r="2227" spans="1:9" ht="24" customHeight="1">
      <c r="A2227" s="6" t="s">
        <v>3647</v>
      </c>
      <c r="B2227">
        <v>20717</v>
      </c>
      <c r="C2227">
        <v>5657</v>
      </c>
      <c r="D2227">
        <v>621141</v>
      </c>
      <c r="E2227">
        <v>420575</v>
      </c>
      <c r="F2227">
        <v>10.6</v>
      </c>
      <c r="G2227">
        <v>6.5</v>
      </c>
      <c r="H2227">
        <v>26.9</v>
      </c>
      <c r="I2227">
        <v>26.9</v>
      </c>
    </row>
    <row r="2228" spans="1:9" ht="24" customHeight="1">
      <c r="A2228" s="6" t="s">
        <v>3648</v>
      </c>
      <c r="B2228">
        <v>18745</v>
      </c>
      <c r="C2228">
        <v>6303</v>
      </c>
      <c r="D2228">
        <v>403379</v>
      </c>
      <c r="E2228">
        <v>299165</v>
      </c>
      <c r="F2228">
        <v>16.3</v>
      </c>
      <c r="G2228">
        <v>8.5</v>
      </c>
      <c r="H2228">
        <v>3.5</v>
      </c>
      <c r="I2228">
        <v>3.6</v>
      </c>
    </row>
    <row r="2229" spans="1:9" ht="24" customHeight="1">
      <c r="A2229" s="6" t="s">
        <v>678</v>
      </c>
      <c r="B2229">
        <v>50229</v>
      </c>
      <c r="C2229">
        <v>11635</v>
      </c>
      <c r="D2229">
        <v>658578</v>
      </c>
      <c r="E2229">
        <v>444130</v>
      </c>
      <c r="F2229">
        <v>10.9</v>
      </c>
      <c r="G2229">
        <v>8.4</v>
      </c>
      <c r="H2229">
        <v>34.5</v>
      </c>
      <c r="I2229">
        <v>34.4</v>
      </c>
    </row>
    <row r="2230" spans="1:9" ht="24" customHeight="1">
      <c r="A2230" s="6" t="s">
        <v>3649</v>
      </c>
      <c r="B2230">
        <v>30784</v>
      </c>
      <c r="C2230">
        <v>11407</v>
      </c>
      <c r="D2230">
        <v>458617</v>
      </c>
      <c r="E2230">
        <v>320791</v>
      </c>
      <c r="F2230">
        <v>16.2</v>
      </c>
      <c r="G2230">
        <v>10.199999999999999</v>
      </c>
      <c r="H2230">
        <v>6.5</v>
      </c>
      <c r="I2230">
        <v>6.6</v>
      </c>
    </row>
    <row r="2231" spans="1:9" ht="24" customHeight="1">
      <c r="A2231" s="6" t="s">
        <v>679</v>
      </c>
      <c r="B2231">
        <v>10611</v>
      </c>
      <c r="C2231">
        <v>5714</v>
      </c>
      <c r="D2231">
        <v>299124</v>
      </c>
      <c r="E2231">
        <v>243559</v>
      </c>
      <c r="F2231">
        <v>7.8</v>
      </c>
      <c r="G2231">
        <v>6.4</v>
      </c>
      <c r="H2231">
        <v>0</v>
      </c>
      <c r="I2231">
        <v>0</v>
      </c>
    </row>
    <row r="2232" spans="1:9" ht="24" customHeight="1">
      <c r="A2232" s="6" t="s">
        <v>3650</v>
      </c>
      <c r="B2232">
        <v>20973</v>
      </c>
      <c r="C2232">
        <v>8619</v>
      </c>
      <c r="D2232">
        <v>372691</v>
      </c>
      <c r="E2232">
        <v>294708</v>
      </c>
      <c r="F2232">
        <v>17</v>
      </c>
      <c r="G2232">
        <v>11.5</v>
      </c>
      <c r="H2232">
        <v>1.4</v>
      </c>
      <c r="I2232">
        <v>1.5</v>
      </c>
    </row>
    <row r="2233" spans="1:9" ht="24" customHeight="1">
      <c r="A2233" s="6" t="s">
        <v>3651</v>
      </c>
      <c r="B2233">
        <v>35743</v>
      </c>
      <c r="C2233">
        <v>9269</v>
      </c>
      <c r="D2233">
        <v>534358</v>
      </c>
      <c r="E2233">
        <v>377527</v>
      </c>
      <c r="F2233">
        <v>16.8</v>
      </c>
      <c r="G2233">
        <v>7.9</v>
      </c>
      <c r="H2233">
        <v>11.9</v>
      </c>
      <c r="I2233">
        <v>11.9</v>
      </c>
    </row>
    <row r="2234" spans="1:9" ht="24" customHeight="1">
      <c r="A2234" s="6" t="s">
        <v>3652</v>
      </c>
      <c r="B2234">
        <v>38279</v>
      </c>
      <c r="C2234">
        <v>11248</v>
      </c>
      <c r="D2234">
        <v>581594</v>
      </c>
      <c r="E2234">
        <v>314524</v>
      </c>
      <c r="F2234">
        <v>12.8</v>
      </c>
      <c r="G2234">
        <v>5.5</v>
      </c>
      <c r="H2234">
        <v>16.8</v>
      </c>
      <c r="I2234">
        <v>16.8</v>
      </c>
    </row>
    <row r="2235" spans="1:9" ht="24" customHeight="1">
      <c r="A2235" s="6" t="s">
        <v>3653</v>
      </c>
      <c r="B2235">
        <v>23524</v>
      </c>
      <c r="C2235">
        <v>5396</v>
      </c>
      <c r="D2235">
        <v>636506</v>
      </c>
      <c r="E2235">
        <v>367339</v>
      </c>
      <c r="F2235">
        <v>11.2</v>
      </c>
      <c r="G2235">
        <v>7.8</v>
      </c>
      <c r="H2235">
        <v>21.8</v>
      </c>
      <c r="I2235">
        <v>21.9</v>
      </c>
    </row>
    <row r="2236" spans="1:9" ht="24" customHeight="1">
      <c r="A2236" s="6" t="s">
        <v>3654</v>
      </c>
      <c r="B2236">
        <v>21696</v>
      </c>
      <c r="C2236">
        <v>5860</v>
      </c>
      <c r="D2236">
        <v>662432</v>
      </c>
      <c r="E2236">
        <v>431496</v>
      </c>
      <c r="F2236">
        <v>12.2</v>
      </c>
      <c r="G2236">
        <v>7.1</v>
      </c>
      <c r="H2236">
        <v>26.8</v>
      </c>
      <c r="I2236">
        <v>26.8</v>
      </c>
    </row>
    <row r="2237" spans="1:9" ht="24" customHeight="1">
      <c r="A2237" s="6" t="s">
        <v>3655</v>
      </c>
      <c r="B2237">
        <v>22747</v>
      </c>
      <c r="C2237">
        <v>12177</v>
      </c>
      <c r="D2237">
        <v>415633</v>
      </c>
      <c r="E2237">
        <v>318167</v>
      </c>
      <c r="F2237">
        <v>18.899999999999999</v>
      </c>
      <c r="G2237">
        <v>11.1</v>
      </c>
      <c r="H2237">
        <v>3.5</v>
      </c>
      <c r="I2237">
        <v>3.5</v>
      </c>
    </row>
    <row r="2238" spans="1:9" ht="24" customHeight="1">
      <c r="A2238" s="6" t="s">
        <v>680</v>
      </c>
      <c r="B2238">
        <v>57984</v>
      </c>
      <c r="C2238">
        <v>15722</v>
      </c>
      <c r="D2238">
        <v>703599</v>
      </c>
      <c r="E2238">
        <v>460935</v>
      </c>
      <c r="F2238">
        <v>9.6999999999999993</v>
      </c>
      <c r="G2238">
        <v>8</v>
      </c>
      <c r="H2238">
        <v>34</v>
      </c>
      <c r="I2238">
        <v>34.200000000000003</v>
      </c>
    </row>
    <row r="2239" spans="1:9" ht="24" customHeight="1">
      <c r="A2239" s="6" t="s">
        <v>3656</v>
      </c>
      <c r="B2239">
        <v>46328</v>
      </c>
      <c r="C2239">
        <v>13820</v>
      </c>
      <c r="D2239">
        <v>459084</v>
      </c>
      <c r="E2239">
        <v>311157</v>
      </c>
      <c r="F2239">
        <v>17</v>
      </c>
      <c r="G2239">
        <v>8.9</v>
      </c>
      <c r="H2239">
        <v>6.9</v>
      </c>
      <c r="I2239">
        <v>6.9</v>
      </c>
    </row>
    <row r="2240" spans="1:9" ht="24" customHeight="1">
      <c r="A2240" s="6" t="s">
        <v>681</v>
      </c>
      <c r="B2240">
        <v>3557</v>
      </c>
      <c r="C2240">
        <v>1618</v>
      </c>
      <c r="D2240">
        <v>336613</v>
      </c>
      <c r="E2240">
        <v>268723</v>
      </c>
      <c r="F2240">
        <v>9.1</v>
      </c>
      <c r="G2240">
        <v>6.4</v>
      </c>
      <c r="H2240">
        <v>0</v>
      </c>
      <c r="I2240">
        <v>0</v>
      </c>
    </row>
    <row r="2241" spans="1:9" ht="24" customHeight="1">
      <c r="A2241" s="6" t="s">
        <v>3657</v>
      </c>
      <c r="B2241">
        <v>5638</v>
      </c>
      <c r="C2241">
        <v>2194</v>
      </c>
      <c r="D2241">
        <v>402571</v>
      </c>
      <c r="E2241">
        <v>352729</v>
      </c>
      <c r="F2241">
        <v>19.5</v>
      </c>
      <c r="G2241">
        <v>8.9</v>
      </c>
      <c r="H2241">
        <v>1.6</v>
      </c>
      <c r="I2241">
        <v>1.5</v>
      </c>
    </row>
    <row r="2242" spans="1:9" ht="24" customHeight="1">
      <c r="A2242" s="6" t="s">
        <v>3658</v>
      </c>
      <c r="B2242">
        <v>12135</v>
      </c>
      <c r="C2242">
        <v>3695</v>
      </c>
      <c r="D2242">
        <v>506340</v>
      </c>
      <c r="E2242">
        <v>359615</v>
      </c>
      <c r="F2242">
        <v>17.5</v>
      </c>
      <c r="G2242">
        <v>7.2</v>
      </c>
      <c r="H2242">
        <v>12.3</v>
      </c>
      <c r="I2242">
        <v>12.3</v>
      </c>
    </row>
    <row r="2243" spans="1:9" ht="24" customHeight="1">
      <c r="A2243" s="6" t="s">
        <v>3659</v>
      </c>
      <c r="B2243">
        <v>12584</v>
      </c>
      <c r="C2243">
        <v>3154</v>
      </c>
      <c r="D2243">
        <v>580434</v>
      </c>
      <c r="E2243">
        <v>408596</v>
      </c>
      <c r="F2243">
        <v>16.3</v>
      </c>
      <c r="G2243">
        <v>7.6</v>
      </c>
      <c r="H2243">
        <v>16.7</v>
      </c>
      <c r="I2243">
        <v>16.7</v>
      </c>
    </row>
    <row r="2244" spans="1:9" ht="24" customHeight="1">
      <c r="A2244" s="6" t="s">
        <v>3660</v>
      </c>
      <c r="B2244">
        <v>7475</v>
      </c>
      <c r="C2244">
        <v>1708</v>
      </c>
      <c r="D2244">
        <v>688453</v>
      </c>
      <c r="E2244">
        <v>377476</v>
      </c>
      <c r="F2244">
        <v>12.3</v>
      </c>
      <c r="G2244">
        <v>7.8</v>
      </c>
      <c r="H2244">
        <v>22</v>
      </c>
      <c r="I2244">
        <v>21.8</v>
      </c>
    </row>
    <row r="2245" spans="1:9" ht="24" customHeight="1">
      <c r="A2245" s="6" t="s">
        <v>3661</v>
      </c>
      <c r="B2245">
        <v>7500</v>
      </c>
      <c r="C2245">
        <v>1905</v>
      </c>
      <c r="D2245">
        <v>683301</v>
      </c>
      <c r="E2245">
        <v>432088</v>
      </c>
      <c r="F2245">
        <v>9.9</v>
      </c>
      <c r="G2245">
        <v>12.2</v>
      </c>
      <c r="H2245">
        <v>26.6</v>
      </c>
      <c r="I2245">
        <v>26.7</v>
      </c>
    </row>
    <row r="2246" spans="1:9" ht="24" customHeight="1">
      <c r="A2246" s="6" t="s">
        <v>3662</v>
      </c>
      <c r="B2246">
        <v>5175</v>
      </c>
      <c r="C2246">
        <v>1796</v>
      </c>
      <c r="D2246">
        <v>435991</v>
      </c>
      <c r="E2246">
        <v>388570</v>
      </c>
      <c r="F2246">
        <v>19</v>
      </c>
      <c r="G2246">
        <v>11.1</v>
      </c>
      <c r="H2246">
        <v>3.5</v>
      </c>
      <c r="I2246">
        <v>3.5</v>
      </c>
    </row>
    <row r="2247" spans="1:9" ht="24" customHeight="1">
      <c r="A2247" s="6" t="s">
        <v>682</v>
      </c>
      <c r="B2247">
        <v>22386</v>
      </c>
      <c r="C2247">
        <v>5183</v>
      </c>
      <c r="D2247">
        <v>711212</v>
      </c>
      <c r="E2247">
        <v>488271</v>
      </c>
      <c r="F2247">
        <v>9.8000000000000007</v>
      </c>
      <c r="G2247">
        <v>10.7</v>
      </c>
      <c r="H2247">
        <v>34.1</v>
      </c>
      <c r="I2247">
        <v>34.4</v>
      </c>
    </row>
    <row r="2248" spans="1:9" ht="24" customHeight="1">
      <c r="A2248" s="6" t="s">
        <v>3663</v>
      </c>
      <c r="B2248">
        <v>11914</v>
      </c>
      <c r="C2248">
        <v>3753</v>
      </c>
      <c r="D2248">
        <v>477396</v>
      </c>
      <c r="E2248">
        <v>362620</v>
      </c>
      <c r="F2248">
        <v>17.8</v>
      </c>
      <c r="G2248">
        <v>6.8</v>
      </c>
      <c r="H2248">
        <v>6.8</v>
      </c>
      <c r="I2248">
        <v>7</v>
      </c>
    </row>
    <row r="2249" spans="1:9" ht="24" customHeight="1">
      <c r="A2249" s="6" t="s">
        <v>683</v>
      </c>
      <c r="B2249">
        <v>26387</v>
      </c>
      <c r="C2249">
        <v>6934</v>
      </c>
      <c r="D2249">
        <v>266282</v>
      </c>
      <c r="E2249">
        <v>231340</v>
      </c>
      <c r="F2249">
        <v>10.3</v>
      </c>
      <c r="G2249">
        <v>9</v>
      </c>
      <c r="H2249">
        <v>0</v>
      </c>
      <c r="I2249">
        <v>0</v>
      </c>
    </row>
    <row r="2250" spans="1:9" ht="24" customHeight="1">
      <c r="A2250" s="6" t="s">
        <v>3664</v>
      </c>
      <c r="B2250">
        <v>37022</v>
      </c>
      <c r="C2250">
        <v>17950</v>
      </c>
      <c r="D2250">
        <v>332477</v>
      </c>
      <c r="E2250">
        <v>264045</v>
      </c>
      <c r="F2250">
        <v>19.5</v>
      </c>
      <c r="G2250">
        <v>5</v>
      </c>
      <c r="H2250">
        <v>1.5</v>
      </c>
      <c r="I2250">
        <v>1.6</v>
      </c>
    </row>
    <row r="2251" spans="1:9" ht="24" customHeight="1">
      <c r="A2251" s="6" t="s">
        <v>3665</v>
      </c>
      <c r="B2251">
        <v>70010</v>
      </c>
      <c r="C2251">
        <v>12305</v>
      </c>
      <c r="D2251">
        <v>481666</v>
      </c>
      <c r="E2251">
        <v>361097</v>
      </c>
      <c r="F2251">
        <v>21.9</v>
      </c>
      <c r="G2251">
        <v>6.9</v>
      </c>
      <c r="H2251">
        <v>12.1</v>
      </c>
      <c r="I2251">
        <v>12.2</v>
      </c>
    </row>
    <row r="2252" spans="1:9" ht="24" customHeight="1">
      <c r="A2252" s="6" t="s">
        <v>3666</v>
      </c>
      <c r="B2252">
        <v>122441</v>
      </c>
      <c r="C2252">
        <v>16188</v>
      </c>
      <c r="D2252">
        <v>553651</v>
      </c>
      <c r="E2252">
        <v>430567</v>
      </c>
      <c r="F2252">
        <v>20.8</v>
      </c>
      <c r="G2252">
        <v>9.6999999999999993</v>
      </c>
      <c r="H2252">
        <v>17</v>
      </c>
      <c r="I2252">
        <v>16.600000000000001</v>
      </c>
    </row>
    <row r="2253" spans="1:9" ht="24" customHeight="1">
      <c r="A2253" s="6" t="s">
        <v>3667</v>
      </c>
      <c r="B2253">
        <v>50066</v>
      </c>
      <c r="C2253">
        <v>8990</v>
      </c>
      <c r="D2253">
        <v>601349</v>
      </c>
      <c r="E2253">
        <v>383798</v>
      </c>
      <c r="F2253">
        <v>17.2</v>
      </c>
      <c r="G2253">
        <v>7</v>
      </c>
      <c r="H2253">
        <v>21.9</v>
      </c>
      <c r="I2253">
        <v>22.3</v>
      </c>
    </row>
    <row r="2254" spans="1:9" ht="24" customHeight="1">
      <c r="A2254" s="6" t="s">
        <v>3668</v>
      </c>
      <c r="B2254">
        <v>45800</v>
      </c>
      <c r="C2254">
        <v>4813</v>
      </c>
      <c r="D2254">
        <v>629968</v>
      </c>
      <c r="E2254">
        <v>438929</v>
      </c>
      <c r="F2254">
        <v>17.100000000000001</v>
      </c>
      <c r="G2254">
        <v>6.6</v>
      </c>
      <c r="H2254">
        <v>26.9</v>
      </c>
      <c r="I2254">
        <v>26.4</v>
      </c>
    </row>
    <row r="2255" spans="1:9" ht="24" customHeight="1">
      <c r="A2255" s="6" t="s">
        <v>3669</v>
      </c>
      <c r="B2255">
        <v>44370</v>
      </c>
      <c r="C2255">
        <v>12111</v>
      </c>
      <c r="D2255">
        <v>395496</v>
      </c>
      <c r="E2255">
        <v>316771</v>
      </c>
      <c r="F2255">
        <v>24.2</v>
      </c>
      <c r="G2255">
        <v>10</v>
      </c>
      <c r="H2255">
        <v>3.6</v>
      </c>
      <c r="I2255">
        <v>3.4</v>
      </c>
    </row>
    <row r="2256" spans="1:9" ht="24" customHeight="1">
      <c r="A2256" s="6" t="s">
        <v>684</v>
      </c>
      <c r="B2256">
        <v>111687</v>
      </c>
      <c r="C2256">
        <v>9959</v>
      </c>
      <c r="D2256">
        <v>694800</v>
      </c>
      <c r="E2256">
        <v>467454</v>
      </c>
      <c r="F2256">
        <v>14.7</v>
      </c>
      <c r="G2256">
        <v>10</v>
      </c>
      <c r="H2256">
        <v>34.799999999999997</v>
      </c>
      <c r="I2256">
        <v>33.9</v>
      </c>
    </row>
    <row r="2257" spans="1:9" ht="24" customHeight="1">
      <c r="A2257" s="6" t="s">
        <v>3670</v>
      </c>
      <c r="B2257">
        <v>101888</v>
      </c>
      <c r="C2257">
        <v>24390</v>
      </c>
      <c r="D2257">
        <v>425586</v>
      </c>
      <c r="E2257">
        <v>335772</v>
      </c>
      <c r="F2257">
        <v>22.1</v>
      </c>
      <c r="G2257">
        <v>9</v>
      </c>
      <c r="H2257">
        <v>6.9</v>
      </c>
      <c r="I2257">
        <v>6.5</v>
      </c>
    </row>
    <row r="2258" spans="1:9" ht="24" customHeight="1">
      <c r="A2258" s="6" t="s">
        <v>685</v>
      </c>
      <c r="B2258">
        <v>3908</v>
      </c>
      <c r="C2258">
        <v>2483</v>
      </c>
      <c r="D2258">
        <v>260812</v>
      </c>
      <c r="E2258">
        <v>225427</v>
      </c>
      <c r="F2258">
        <v>7</v>
      </c>
      <c r="G2258">
        <v>3.6</v>
      </c>
      <c r="H2258">
        <v>0</v>
      </c>
      <c r="I2258">
        <v>0</v>
      </c>
    </row>
    <row r="2259" spans="1:9" ht="24" customHeight="1">
      <c r="A2259" s="6" t="s">
        <v>3671</v>
      </c>
      <c r="B2259">
        <v>6074</v>
      </c>
      <c r="C2259">
        <v>3966</v>
      </c>
      <c r="D2259">
        <v>329529</v>
      </c>
      <c r="E2259">
        <v>294449</v>
      </c>
      <c r="F2259">
        <v>13.9</v>
      </c>
      <c r="G2259">
        <v>9.6</v>
      </c>
      <c r="H2259">
        <v>1.4</v>
      </c>
      <c r="I2259">
        <v>1.4</v>
      </c>
    </row>
    <row r="2260" spans="1:9" ht="24" customHeight="1">
      <c r="A2260" s="6" t="s">
        <v>3672</v>
      </c>
      <c r="B2260">
        <v>11155</v>
      </c>
      <c r="C2260">
        <v>4882</v>
      </c>
      <c r="D2260">
        <v>462816</v>
      </c>
      <c r="E2260">
        <v>347925</v>
      </c>
      <c r="F2260">
        <v>14.7</v>
      </c>
      <c r="G2260">
        <v>9</v>
      </c>
      <c r="H2260">
        <v>11.9</v>
      </c>
      <c r="I2260">
        <v>11.8</v>
      </c>
    </row>
    <row r="2261" spans="1:9" ht="24" customHeight="1">
      <c r="A2261" s="6" t="s">
        <v>3673</v>
      </c>
      <c r="B2261">
        <v>10255</v>
      </c>
      <c r="C2261">
        <v>3442</v>
      </c>
      <c r="D2261">
        <v>532045</v>
      </c>
      <c r="E2261">
        <v>372452</v>
      </c>
      <c r="F2261">
        <v>12.8</v>
      </c>
      <c r="G2261">
        <v>8.5</v>
      </c>
      <c r="H2261">
        <v>16.7</v>
      </c>
      <c r="I2261">
        <v>16.8</v>
      </c>
    </row>
    <row r="2262" spans="1:9" ht="24" customHeight="1">
      <c r="A2262" s="6" t="s">
        <v>3674</v>
      </c>
      <c r="B2262">
        <v>6159</v>
      </c>
      <c r="C2262">
        <v>2054</v>
      </c>
      <c r="D2262">
        <v>592894</v>
      </c>
      <c r="E2262">
        <v>405566</v>
      </c>
      <c r="F2262">
        <v>13.5</v>
      </c>
      <c r="G2262">
        <v>8.4</v>
      </c>
      <c r="H2262">
        <v>22</v>
      </c>
      <c r="I2262">
        <v>21.9</v>
      </c>
    </row>
    <row r="2263" spans="1:9" ht="24" customHeight="1">
      <c r="A2263" s="6" t="s">
        <v>3675</v>
      </c>
      <c r="B2263">
        <v>6715</v>
      </c>
      <c r="C2263">
        <v>1508</v>
      </c>
      <c r="D2263">
        <v>623146</v>
      </c>
      <c r="E2263">
        <v>434270</v>
      </c>
      <c r="F2263">
        <v>12.1</v>
      </c>
      <c r="G2263">
        <v>6.9</v>
      </c>
      <c r="H2263">
        <v>26.9</v>
      </c>
      <c r="I2263">
        <v>26.4</v>
      </c>
    </row>
    <row r="2264" spans="1:9" ht="24" customHeight="1">
      <c r="A2264" s="6" t="s">
        <v>3676</v>
      </c>
      <c r="B2264">
        <v>6362</v>
      </c>
      <c r="C2264">
        <v>3150</v>
      </c>
      <c r="D2264">
        <v>382254</v>
      </c>
      <c r="E2264">
        <v>327846</v>
      </c>
      <c r="F2264">
        <v>14.4</v>
      </c>
      <c r="G2264">
        <v>9.9</v>
      </c>
      <c r="H2264">
        <v>3.5</v>
      </c>
      <c r="I2264">
        <v>3.6</v>
      </c>
    </row>
    <row r="2265" spans="1:9" ht="24" customHeight="1">
      <c r="A2265" s="6" t="s">
        <v>686</v>
      </c>
      <c r="B2265">
        <v>12728</v>
      </c>
      <c r="C2265">
        <v>3142</v>
      </c>
      <c r="D2265">
        <v>617002</v>
      </c>
      <c r="E2265">
        <v>451228</v>
      </c>
      <c r="F2265">
        <v>6.7</v>
      </c>
      <c r="G2265">
        <v>4.7</v>
      </c>
      <c r="H2265">
        <v>34.200000000000003</v>
      </c>
      <c r="I2265">
        <v>34.200000000000003</v>
      </c>
    </row>
    <row r="2266" spans="1:9" ht="24" customHeight="1">
      <c r="A2266" s="6" t="s">
        <v>3677</v>
      </c>
      <c r="B2266">
        <v>13245</v>
      </c>
      <c r="C2266">
        <v>6833</v>
      </c>
      <c r="D2266">
        <v>411490</v>
      </c>
      <c r="E2266">
        <v>310304</v>
      </c>
      <c r="F2266">
        <v>12.6</v>
      </c>
      <c r="G2266">
        <v>8.9</v>
      </c>
      <c r="H2266">
        <v>6.9</v>
      </c>
      <c r="I2266">
        <v>6.8</v>
      </c>
    </row>
    <row r="2267" spans="1:9" ht="24" customHeight="1">
      <c r="A2267" s="6" t="s">
        <v>687</v>
      </c>
      <c r="B2267">
        <v>588</v>
      </c>
      <c r="C2267">
        <v>97</v>
      </c>
      <c r="D2267">
        <v>338712</v>
      </c>
      <c r="E2267">
        <v>276205</v>
      </c>
      <c r="F2267">
        <v>13.6</v>
      </c>
      <c r="G2267">
        <v>2.5</v>
      </c>
      <c r="H2267">
        <v>0</v>
      </c>
      <c r="I2267">
        <v>0</v>
      </c>
    </row>
    <row r="2268" spans="1:9" ht="24" customHeight="1">
      <c r="A2268" s="6" t="s">
        <v>3678</v>
      </c>
      <c r="B2268">
        <v>834</v>
      </c>
      <c r="C2268">
        <v>253</v>
      </c>
      <c r="D2268">
        <v>363049</v>
      </c>
      <c r="E2268">
        <v>351664</v>
      </c>
      <c r="F2268">
        <v>16.3</v>
      </c>
      <c r="G2268">
        <v>10.5</v>
      </c>
      <c r="H2268">
        <v>1.5</v>
      </c>
      <c r="I2268">
        <v>1.4</v>
      </c>
    </row>
    <row r="2269" spans="1:9" ht="24" customHeight="1">
      <c r="A2269" s="6" t="s">
        <v>3679</v>
      </c>
      <c r="B2269">
        <v>1261</v>
      </c>
      <c r="C2269">
        <v>264</v>
      </c>
      <c r="D2269">
        <v>537479</v>
      </c>
      <c r="E2269">
        <v>511484</v>
      </c>
      <c r="F2269">
        <v>12.8</v>
      </c>
      <c r="G2269">
        <v>7.5</v>
      </c>
      <c r="H2269">
        <v>11.9</v>
      </c>
      <c r="I2269">
        <v>12</v>
      </c>
    </row>
    <row r="2270" spans="1:9" ht="24" customHeight="1">
      <c r="A2270" s="6" t="s">
        <v>3680</v>
      </c>
      <c r="B2270">
        <v>876</v>
      </c>
      <c r="C2270">
        <v>123</v>
      </c>
      <c r="D2270">
        <v>682914</v>
      </c>
      <c r="E2270">
        <v>562794</v>
      </c>
      <c r="F2270">
        <v>9.6999999999999993</v>
      </c>
      <c r="G2270">
        <v>5.7</v>
      </c>
      <c r="H2270">
        <v>16.7</v>
      </c>
      <c r="I2270">
        <v>17.3</v>
      </c>
    </row>
    <row r="2271" spans="1:9" ht="24" customHeight="1">
      <c r="A2271" s="6" t="s">
        <v>3681</v>
      </c>
      <c r="B2271">
        <v>618</v>
      </c>
      <c r="C2271">
        <v>53</v>
      </c>
      <c r="D2271">
        <v>629734</v>
      </c>
      <c r="E2271">
        <v>538482</v>
      </c>
      <c r="F2271">
        <v>11.1</v>
      </c>
      <c r="G2271">
        <v>11.7</v>
      </c>
      <c r="H2271">
        <v>22.1</v>
      </c>
      <c r="I2271">
        <v>22</v>
      </c>
    </row>
    <row r="2272" spans="1:9" ht="24" customHeight="1">
      <c r="A2272" s="6" t="s">
        <v>3682</v>
      </c>
      <c r="B2272">
        <v>629</v>
      </c>
      <c r="C2272">
        <v>110</v>
      </c>
      <c r="D2272">
        <v>644984</v>
      </c>
      <c r="E2272">
        <v>581666</v>
      </c>
      <c r="F2272">
        <v>10.8</v>
      </c>
      <c r="G2272">
        <v>5</v>
      </c>
      <c r="H2272">
        <v>27</v>
      </c>
      <c r="I2272">
        <v>27.1</v>
      </c>
    </row>
    <row r="2273" spans="1:9" ht="24" customHeight="1">
      <c r="A2273" s="6" t="s">
        <v>3683</v>
      </c>
      <c r="B2273">
        <v>869</v>
      </c>
      <c r="C2273">
        <v>291</v>
      </c>
      <c r="D2273">
        <v>419555</v>
      </c>
      <c r="E2273">
        <v>427794</v>
      </c>
      <c r="F2273">
        <v>15.9</v>
      </c>
      <c r="G2273">
        <v>9</v>
      </c>
      <c r="H2273">
        <v>3.5</v>
      </c>
      <c r="I2273">
        <v>3.4</v>
      </c>
    </row>
    <row r="2274" spans="1:9" ht="24" customHeight="1">
      <c r="A2274" s="6" t="s">
        <v>688</v>
      </c>
      <c r="B2274">
        <v>1225</v>
      </c>
      <c r="C2274">
        <v>99</v>
      </c>
      <c r="D2274">
        <v>727067</v>
      </c>
      <c r="E2274">
        <v>477010</v>
      </c>
      <c r="F2274">
        <v>7.5</v>
      </c>
      <c r="G2274">
        <v>5.0999999999999996</v>
      </c>
      <c r="H2274">
        <v>35.200000000000003</v>
      </c>
      <c r="I2274">
        <v>35.6</v>
      </c>
    </row>
    <row r="2275" spans="1:9" ht="24" customHeight="1">
      <c r="A2275" s="6" t="s">
        <v>3684</v>
      </c>
      <c r="B2275">
        <v>1662</v>
      </c>
      <c r="C2275">
        <v>288</v>
      </c>
      <c r="D2275">
        <v>487821</v>
      </c>
      <c r="E2275">
        <v>356774</v>
      </c>
      <c r="F2275">
        <v>15.2</v>
      </c>
      <c r="G2275">
        <v>7.9</v>
      </c>
      <c r="H2275">
        <v>7.1</v>
      </c>
      <c r="I2275">
        <v>6.5</v>
      </c>
    </row>
    <row r="2276" spans="1:9" ht="24" customHeight="1">
      <c r="A2276" s="6" t="s">
        <v>689</v>
      </c>
      <c r="B2276">
        <v>88526</v>
      </c>
      <c r="C2276">
        <v>24133</v>
      </c>
      <c r="D2276">
        <v>300177</v>
      </c>
      <c r="E2276">
        <v>245544</v>
      </c>
      <c r="F2276">
        <v>9.5</v>
      </c>
      <c r="G2276">
        <v>5</v>
      </c>
      <c r="H2276">
        <v>0</v>
      </c>
      <c r="I2276">
        <v>0</v>
      </c>
    </row>
    <row r="2277" spans="1:9" ht="24" customHeight="1">
      <c r="A2277" s="6" t="s">
        <v>3685</v>
      </c>
      <c r="B2277">
        <v>150576</v>
      </c>
      <c r="C2277">
        <v>41906</v>
      </c>
      <c r="D2277">
        <v>373369</v>
      </c>
      <c r="E2277">
        <v>311700</v>
      </c>
      <c r="F2277">
        <v>16</v>
      </c>
      <c r="G2277">
        <v>11.3</v>
      </c>
      <c r="H2277">
        <v>1.5</v>
      </c>
      <c r="I2277">
        <v>1.5</v>
      </c>
    </row>
    <row r="2278" spans="1:9" ht="24" customHeight="1">
      <c r="A2278" s="6" t="s">
        <v>3686</v>
      </c>
      <c r="B2278">
        <v>196090</v>
      </c>
      <c r="C2278">
        <v>29796</v>
      </c>
      <c r="D2278">
        <v>490258</v>
      </c>
      <c r="E2278">
        <v>385254</v>
      </c>
      <c r="F2278">
        <v>14.7</v>
      </c>
      <c r="G2278">
        <v>6.7</v>
      </c>
      <c r="H2278">
        <v>11.8</v>
      </c>
      <c r="I2278">
        <v>11.9</v>
      </c>
    </row>
    <row r="2279" spans="1:9" ht="24" customHeight="1">
      <c r="A2279" s="6" t="s">
        <v>3687</v>
      </c>
      <c r="B2279">
        <v>151870</v>
      </c>
      <c r="C2279">
        <v>22170</v>
      </c>
      <c r="D2279">
        <v>562928</v>
      </c>
      <c r="E2279">
        <v>398141</v>
      </c>
      <c r="F2279">
        <v>16.5</v>
      </c>
      <c r="G2279">
        <v>8.1</v>
      </c>
      <c r="H2279">
        <v>16.7</v>
      </c>
      <c r="I2279">
        <v>16.8</v>
      </c>
    </row>
    <row r="2280" spans="1:9" ht="24" customHeight="1">
      <c r="A2280" s="6" t="s">
        <v>3688</v>
      </c>
      <c r="B2280">
        <v>114155</v>
      </c>
      <c r="C2280">
        <v>14996</v>
      </c>
      <c r="D2280">
        <v>591193</v>
      </c>
      <c r="E2280">
        <v>398154</v>
      </c>
      <c r="F2280">
        <v>11.4</v>
      </c>
      <c r="G2280">
        <v>4.7</v>
      </c>
      <c r="H2280">
        <v>21.9</v>
      </c>
      <c r="I2280">
        <v>21.8</v>
      </c>
    </row>
    <row r="2281" spans="1:9" ht="24" customHeight="1">
      <c r="A2281" s="6" t="s">
        <v>3689</v>
      </c>
      <c r="B2281">
        <v>115145</v>
      </c>
      <c r="C2281">
        <v>14037</v>
      </c>
      <c r="D2281">
        <v>646211</v>
      </c>
      <c r="E2281">
        <v>429302</v>
      </c>
      <c r="F2281">
        <v>10</v>
      </c>
      <c r="G2281">
        <v>6.9</v>
      </c>
      <c r="H2281">
        <v>27.1</v>
      </c>
      <c r="I2281">
        <v>27</v>
      </c>
    </row>
    <row r="2282" spans="1:9" ht="24" customHeight="1">
      <c r="A2282" s="6" t="s">
        <v>3690</v>
      </c>
      <c r="B2282">
        <v>136171</v>
      </c>
      <c r="C2282">
        <v>34755</v>
      </c>
      <c r="D2282">
        <v>406877</v>
      </c>
      <c r="E2282">
        <v>339224</v>
      </c>
      <c r="F2282">
        <v>17.399999999999999</v>
      </c>
      <c r="G2282">
        <v>11.2</v>
      </c>
      <c r="H2282">
        <v>3.4</v>
      </c>
      <c r="I2282">
        <v>3.5</v>
      </c>
    </row>
    <row r="2283" spans="1:9" ht="24" customHeight="1">
      <c r="A2283" s="6" t="s">
        <v>690</v>
      </c>
      <c r="B2283">
        <v>169747</v>
      </c>
      <c r="C2283">
        <v>21609</v>
      </c>
      <c r="D2283">
        <v>701915</v>
      </c>
      <c r="E2283">
        <v>475685</v>
      </c>
      <c r="F2283">
        <v>7.1</v>
      </c>
      <c r="G2283">
        <v>7.9</v>
      </c>
      <c r="H2283">
        <v>35.299999999999997</v>
      </c>
      <c r="I2283">
        <v>34.299999999999997</v>
      </c>
    </row>
    <row r="2284" spans="1:9" ht="24" customHeight="1">
      <c r="A2284" s="6" t="s">
        <v>3691</v>
      </c>
      <c r="B2284">
        <v>256544</v>
      </c>
      <c r="C2284">
        <v>61225</v>
      </c>
      <c r="D2284">
        <v>465923</v>
      </c>
      <c r="E2284">
        <v>357548</v>
      </c>
      <c r="F2284">
        <v>17.8</v>
      </c>
      <c r="G2284">
        <v>9.6999999999999993</v>
      </c>
      <c r="H2284">
        <v>6.9</v>
      </c>
      <c r="I2284">
        <v>6.7</v>
      </c>
    </row>
    <row r="2285" spans="1:9" ht="24" customHeight="1">
      <c r="A2285" s="6" t="s">
        <v>691</v>
      </c>
      <c r="B2285">
        <v>197678</v>
      </c>
      <c r="C2285">
        <v>86722</v>
      </c>
      <c r="D2285">
        <v>273474</v>
      </c>
      <c r="E2285">
        <v>223587</v>
      </c>
      <c r="F2285">
        <v>9.6999999999999993</v>
      </c>
      <c r="G2285">
        <v>5.6</v>
      </c>
      <c r="H2285">
        <v>0</v>
      </c>
      <c r="I2285">
        <v>0</v>
      </c>
    </row>
    <row r="2286" spans="1:9" ht="24" customHeight="1">
      <c r="A2286" s="6" t="s">
        <v>3692</v>
      </c>
      <c r="B2286">
        <v>330436</v>
      </c>
      <c r="C2286">
        <v>149900</v>
      </c>
      <c r="D2286">
        <v>351963</v>
      </c>
      <c r="E2286">
        <v>277962</v>
      </c>
      <c r="F2286">
        <v>16.5</v>
      </c>
      <c r="G2286">
        <v>11.2</v>
      </c>
      <c r="H2286">
        <v>1.5</v>
      </c>
      <c r="I2286">
        <v>1.5</v>
      </c>
    </row>
    <row r="2287" spans="1:9" ht="24" customHeight="1">
      <c r="A2287" s="6" t="s">
        <v>3693</v>
      </c>
      <c r="B2287">
        <v>542347</v>
      </c>
      <c r="C2287">
        <v>152503</v>
      </c>
      <c r="D2287">
        <v>473753</v>
      </c>
      <c r="E2287">
        <v>341612</v>
      </c>
      <c r="F2287">
        <v>17.399999999999999</v>
      </c>
      <c r="G2287">
        <v>8.3000000000000007</v>
      </c>
      <c r="H2287">
        <v>12</v>
      </c>
      <c r="I2287">
        <v>12</v>
      </c>
    </row>
    <row r="2288" spans="1:9" ht="24" customHeight="1">
      <c r="A2288" s="6" t="s">
        <v>3694</v>
      </c>
      <c r="B2288">
        <v>634404</v>
      </c>
      <c r="C2288">
        <v>146441</v>
      </c>
      <c r="D2288">
        <v>533513</v>
      </c>
      <c r="E2288">
        <v>361297</v>
      </c>
      <c r="F2288">
        <v>16.7</v>
      </c>
      <c r="G2288">
        <v>7.8</v>
      </c>
      <c r="H2288">
        <v>16.8</v>
      </c>
      <c r="I2288">
        <v>16.8</v>
      </c>
    </row>
    <row r="2289" spans="1:9" ht="24" customHeight="1">
      <c r="A2289" s="6" t="s">
        <v>3695</v>
      </c>
      <c r="B2289">
        <v>377174</v>
      </c>
      <c r="C2289">
        <v>84523</v>
      </c>
      <c r="D2289">
        <v>577208</v>
      </c>
      <c r="E2289">
        <v>382740</v>
      </c>
      <c r="F2289">
        <v>14.2</v>
      </c>
      <c r="G2289">
        <v>7.8</v>
      </c>
      <c r="H2289">
        <v>21.9</v>
      </c>
      <c r="I2289">
        <v>21.8</v>
      </c>
    </row>
    <row r="2290" spans="1:9" ht="24" customHeight="1">
      <c r="A2290" s="6" t="s">
        <v>3696</v>
      </c>
      <c r="B2290">
        <v>354687</v>
      </c>
      <c r="C2290">
        <v>71486</v>
      </c>
      <c r="D2290">
        <v>607725</v>
      </c>
      <c r="E2290">
        <v>412108</v>
      </c>
      <c r="F2290">
        <v>12.8</v>
      </c>
      <c r="G2290">
        <v>7.7</v>
      </c>
      <c r="H2290">
        <v>26.9</v>
      </c>
      <c r="I2290">
        <v>26.8</v>
      </c>
    </row>
    <row r="2291" spans="1:9" ht="24" customHeight="1">
      <c r="A2291" s="6" t="s">
        <v>3697</v>
      </c>
      <c r="B2291">
        <v>351626</v>
      </c>
      <c r="C2291">
        <v>143316</v>
      </c>
      <c r="D2291">
        <v>389720</v>
      </c>
      <c r="E2291">
        <v>303041</v>
      </c>
      <c r="F2291">
        <v>17.899999999999999</v>
      </c>
      <c r="G2291">
        <v>10.7</v>
      </c>
      <c r="H2291">
        <v>3.5</v>
      </c>
      <c r="I2291">
        <v>3.5</v>
      </c>
    </row>
    <row r="2292" spans="1:9" ht="24" customHeight="1">
      <c r="A2292" s="6" t="s">
        <v>692</v>
      </c>
      <c r="B2292">
        <v>685882</v>
      </c>
      <c r="C2292">
        <v>120814</v>
      </c>
      <c r="D2292">
        <v>652097</v>
      </c>
      <c r="E2292">
        <v>444434</v>
      </c>
      <c r="F2292">
        <v>10.8</v>
      </c>
      <c r="G2292">
        <v>8.5</v>
      </c>
      <c r="H2292">
        <v>34.5</v>
      </c>
      <c r="I2292">
        <v>34</v>
      </c>
    </row>
    <row r="2293" spans="1:9" ht="24" customHeight="1">
      <c r="A2293" s="6" t="s">
        <v>3698</v>
      </c>
      <c r="B2293">
        <v>709758</v>
      </c>
      <c r="C2293">
        <v>235242</v>
      </c>
      <c r="D2293">
        <v>421200</v>
      </c>
      <c r="E2293">
        <v>316967</v>
      </c>
      <c r="F2293">
        <v>17.7</v>
      </c>
      <c r="G2293">
        <v>10.199999999999999</v>
      </c>
      <c r="H2293">
        <v>6.8</v>
      </c>
      <c r="I2293">
        <v>6.6</v>
      </c>
    </row>
    <row r="2294" spans="1:9" ht="24" customHeight="1">
      <c r="A2294" s="6" t="s">
        <v>693</v>
      </c>
      <c r="B2294">
        <v>3417</v>
      </c>
      <c r="C2294">
        <v>854</v>
      </c>
      <c r="D2294">
        <v>301379</v>
      </c>
      <c r="E2294">
        <v>260007</v>
      </c>
      <c r="F2294">
        <v>8</v>
      </c>
      <c r="G2294">
        <v>7.9</v>
      </c>
      <c r="H2294">
        <v>0</v>
      </c>
      <c r="I2294">
        <v>0</v>
      </c>
    </row>
    <row r="2295" spans="1:9" ht="24" customHeight="1">
      <c r="A2295" s="6" t="s">
        <v>3699</v>
      </c>
      <c r="B2295">
        <v>8953</v>
      </c>
      <c r="C2295">
        <v>2043</v>
      </c>
      <c r="D2295">
        <v>381582</v>
      </c>
      <c r="E2295">
        <v>351047</v>
      </c>
      <c r="F2295">
        <v>17.399999999999999</v>
      </c>
      <c r="G2295">
        <v>15.6</v>
      </c>
      <c r="H2295">
        <v>1.5</v>
      </c>
      <c r="I2295">
        <v>1.5</v>
      </c>
    </row>
    <row r="2296" spans="1:9" ht="24" customHeight="1">
      <c r="A2296" s="6" t="s">
        <v>3700</v>
      </c>
      <c r="B2296">
        <v>14101</v>
      </c>
      <c r="C2296">
        <v>1868</v>
      </c>
      <c r="D2296">
        <v>568132</v>
      </c>
      <c r="E2296">
        <v>481867</v>
      </c>
      <c r="F2296">
        <v>20.399999999999999</v>
      </c>
      <c r="G2296">
        <v>9.4</v>
      </c>
      <c r="H2296">
        <v>12.1</v>
      </c>
      <c r="I2296">
        <v>12</v>
      </c>
    </row>
    <row r="2297" spans="1:9" ht="24" customHeight="1">
      <c r="A2297" s="6" t="s">
        <v>3701</v>
      </c>
      <c r="B2297">
        <v>8426</v>
      </c>
      <c r="C2297">
        <v>1404</v>
      </c>
      <c r="D2297">
        <v>635343</v>
      </c>
      <c r="E2297">
        <v>518566</v>
      </c>
      <c r="F2297">
        <v>18.7</v>
      </c>
      <c r="G2297">
        <v>9.6999999999999993</v>
      </c>
      <c r="H2297">
        <v>16.600000000000001</v>
      </c>
      <c r="I2297">
        <v>16.5</v>
      </c>
    </row>
    <row r="2298" spans="1:9" ht="24" customHeight="1">
      <c r="A2298" s="6" t="s">
        <v>3702</v>
      </c>
      <c r="B2298">
        <v>7268</v>
      </c>
      <c r="C2298">
        <v>1281</v>
      </c>
      <c r="D2298">
        <v>706433</v>
      </c>
      <c r="E2298">
        <v>581395</v>
      </c>
      <c r="F2298">
        <v>15.7</v>
      </c>
      <c r="G2298">
        <v>12.8</v>
      </c>
      <c r="H2298">
        <v>22.3</v>
      </c>
      <c r="I2298">
        <v>22</v>
      </c>
    </row>
    <row r="2299" spans="1:9" ht="24" customHeight="1">
      <c r="A2299" s="6" t="s">
        <v>3703</v>
      </c>
      <c r="B2299">
        <v>15777</v>
      </c>
      <c r="C2299">
        <v>2096</v>
      </c>
      <c r="D2299">
        <v>744576</v>
      </c>
      <c r="E2299">
        <v>609788</v>
      </c>
      <c r="F2299">
        <v>14.7</v>
      </c>
      <c r="G2299">
        <v>12.9</v>
      </c>
      <c r="H2299">
        <v>27.2</v>
      </c>
      <c r="I2299">
        <v>27.4</v>
      </c>
    </row>
    <row r="2300" spans="1:9" ht="24" customHeight="1">
      <c r="A2300" s="6" t="s">
        <v>3704</v>
      </c>
      <c r="B2300">
        <v>6917</v>
      </c>
      <c r="C2300">
        <v>1470</v>
      </c>
      <c r="D2300">
        <v>414845</v>
      </c>
      <c r="E2300">
        <v>381570</v>
      </c>
      <c r="F2300">
        <v>19.5</v>
      </c>
      <c r="G2300">
        <v>14.4</v>
      </c>
      <c r="H2300">
        <v>3.4</v>
      </c>
      <c r="I2300">
        <v>3.4</v>
      </c>
    </row>
    <row r="2301" spans="1:9" ht="24" customHeight="1">
      <c r="A2301" s="6" t="s">
        <v>694</v>
      </c>
      <c r="B2301">
        <v>32417</v>
      </c>
      <c r="C2301">
        <v>4165</v>
      </c>
      <c r="D2301">
        <v>766796</v>
      </c>
      <c r="E2301">
        <v>626577</v>
      </c>
      <c r="F2301">
        <v>11.8</v>
      </c>
      <c r="G2301">
        <v>11.7</v>
      </c>
      <c r="H2301">
        <v>34.700000000000003</v>
      </c>
      <c r="I2301">
        <v>34.299999999999997</v>
      </c>
    </row>
    <row r="2302" spans="1:9" ht="24" customHeight="1">
      <c r="A2302" s="6" t="s">
        <v>3705</v>
      </c>
      <c r="B2302">
        <v>13748</v>
      </c>
      <c r="C2302">
        <v>2348</v>
      </c>
      <c r="D2302">
        <v>473033</v>
      </c>
      <c r="E2302">
        <v>433000</v>
      </c>
      <c r="F2302">
        <v>19.2</v>
      </c>
      <c r="G2302">
        <v>14.7</v>
      </c>
      <c r="H2302">
        <v>6.9</v>
      </c>
      <c r="I2302">
        <v>6.7</v>
      </c>
    </row>
    <row r="2303" spans="1:9" ht="24" customHeight="1">
      <c r="A2303" s="6" t="s">
        <v>695</v>
      </c>
      <c r="B2303">
        <v>64883</v>
      </c>
      <c r="C2303">
        <v>45348</v>
      </c>
      <c r="D2303">
        <v>358661</v>
      </c>
      <c r="E2303">
        <v>281547</v>
      </c>
      <c r="F2303">
        <v>4.5999999999999996</v>
      </c>
      <c r="G2303">
        <v>5.4</v>
      </c>
      <c r="H2303">
        <v>0</v>
      </c>
      <c r="I2303">
        <v>0</v>
      </c>
    </row>
    <row r="2304" spans="1:9" ht="24" customHeight="1">
      <c r="A2304" s="6" t="s">
        <v>3706</v>
      </c>
      <c r="B2304">
        <v>111907</v>
      </c>
      <c r="C2304">
        <v>67690</v>
      </c>
      <c r="D2304">
        <v>424080</v>
      </c>
      <c r="E2304">
        <v>364441</v>
      </c>
      <c r="F2304">
        <v>12.7</v>
      </c>
      <c r="G2304">
        <v>10.5</v>
      </c>
      <c r="H2304">
        <v>1.5</v>
      </c>
      <c r="I2304">
        <v>1.4</v>
      </c>
    </row>
    <row r="2305" spans="1:9" ht="24" customHeight="1">
      <c r="A2305" s="6" t="s">
        <v>3707</v>
      </c>
      <c r="B2305">
        <v>106403</v>
      </c>
      <c r="C2305">
        <v>35736</v>
      </c>
      <c r="D2305">
        <v>562823</v>
      </c>
      <c r="E2305">
        <v>468757</v>
      </c>
      <c r="F2305">
        <v>12.7</v>
      </c>
      <c r="G2305">
        <v>8.5</v>
      </c>
      <c r="H2305">
        <v>11.9</v>
      </c>
      <c r="I2305">
        <v>12</v>
      </c>
    </row>
    <row r="2306" spans="1:9" ht="24" customHeight="1">
      <c r="A2306" s="6" t="s">
        <v>3708</v>
      </c>
      <c r="B2306">
        <v>119652</v>
      </c>
      <c r="C2306">
        <v>32631</v>
      </c>
      <c r="D2306">
        <v>633779</v>
      </c>
      <c r="E2306">
        <v>519446</v>
      </c>
      <c r="F2306">
        <v>12.6</v>
      </c>
      <c r="G2306">
        <v>9.8000000000000007</v>
      </c>
      <c r="H2306">
        <v>16.7</v>
      </c>
      <c r="I2306">
        <v>16.7</v>
      </c>
    </row>
    <row r="2307" spans="1:9" ht="24" customHeight="1">
      <c r="A2307" s="6" t="s">
        <v>3709</v>
      </c>
      <c r="B2307">
        <v>90034</v>
      </c>
      <c r="C2307">
        <v>19212</v>
      </c>
      <c r="D2307">
        <v>675132</v>
      </c>
      <c r="E2307">
        <v>583415</v>
      </c>
      <c r="F2307">
        <v>9.1999999999999993</v>
      </c>
      <c r="G2307">
        <v>9</v>
      </c>
      <c r="H2307">
        <v>21.8</v>
      </c>
      <c r="I2307">
        <v>22</v>
      </c>
    </row>
    <row r="2308" spans="1:9" ht="24" customHeight="1">
      <c r="A2308" s="6" t="s">
        <v>3710</v>
      </c>
      <c r="B2308">
        <v>60069</v>
      </c>
      <c r="C2308">
        <v>16103</v>
      </c>
      <c r="D2308">
        <v>688501</v>
      </c>
      <c r="E2308">
        <v>573688</v>
      </c>
      <c r="F2308">
        <v>10</v>
      </c>
      <c r="G2308">
        <v>7.6</v>
      </c>
      <c r="H2308">
        <v>26.7</v>
      </c>
      <c r="I2308">
        <v>26.5</v>
      </c>
    </row>
    <row r="2309" spans="1:9" ht="24" customHeight="1">
      <c r="A2309" s="6" t="s">
        <v>3711</v>
      </c>
      <c r="B2309">
        <v>112458</v>
      </c>
      <c r="C2309">
        <v>60707</v>
      </c>
      <c r="D2309">
        <v>460638</v>
      </c>
      <c r="E2309">
        <v>380787</v>
      </c>
      <c r="F2309">
        <v>11.1</v>
      </c>
      <c r="G2309">
        <v>9.9</v>
      </c>
      <c r="H2309">
        <v>3.5</v>
      </c>
      <c r="I2309">
        <v>3.5</v>
      </c>
    </row>
    <row r="2310" spans="1:9" ht="24" customHeight="1">
      <c r="A2310" s="6" t="s">
        <v>696</v>
      </c>
      <c r="B2310">
        <v>104966</v>
      </c>
      <c r="C2310">
        <v>22550</v>
      </c>
      <c r="D2310">
        <v>722535</v>
      </c>
      <c r="E2310">
        <v>578067</v>
      </c>
      <c r="F2310">
        <v>7.9</v>
      </c>
      <c r="G2310">
        <v>7.2</v>
      </c>
      <c r="H2310">
        <v>33.9</v>
      </c>
      <c r="I2310">
        <v>34.5</v>
      </c>
    </row>
    <row r="2311" spans="1:9" ht="24" customHeight="1">
      <c r="A2311" s="6" t="s">
        <v>3712</v>
      </c>
      <c r="B2311">
        <v>168534</v>
      </c>
      <c r="C2311">
        <v>75955</v>
      </c>
      <c r="D2311">
        <v>493619</v>
      </c>
      <c r="E2311">
        <v>427336</v>
      </c>
      <c r="F2311">
        <v>12.6</v>
      </c>
      <c r="G2311">
        <v>11.5</v>
      </c>
      <c r="H2311">
        <v>6.8</v>
      </c>
      <c r="I2311">
        <v>6.6</v>
      </c>
    </row>
    <row r="2312" spans="1:9" ht="24" customHeight="1">
      <c r="A2312" s="6" t="s">
        <v>697</v>
      </c>
      <c r="B2312">
        <v>84894</v>
      </c>
      <c r="C2312">
        <v>19803</v>
      </c>
      <c r="D2312">
        <v>312322</v>
      </c>
      <c r="E2312">
        <v>251220</v>
      </c>
      <c r="F2312">
        <v>26.8</v>
      </c>
      <c r="G2312">
        <v>9.1</v>
      </c>
      <c r="H2312">
        <v>0</v>
      </c>
      <c r="I2312">
        <v>0</v>
      </c>
    </row>
    <row r="2313" spans="1:9" ht="24" customHeight="1">
      <c r="A2313" s="6" t="s">
        <v>3713</v>
      </c>
      <c r="B2313">
        <v>167692</v>
      </c>
      <c r="C2313">
        <v>36512</v>
      </c>
      <c r="D2313">
        <v>342160</v>
      </c>
      <c r="E2313">
        <v>284369</v>
      </c>
      <c r="F2313">
        <v>28.9</v>
      </c>
      <c r="G2313">
        <v>14.7</v>
      </c>
      <c r="H2313">
        <v>1.5</v>
      </c>
      <c r="I2313">
        <v>1.5</v>
      </c>
    </row>
    <row r="2314" spans="1:9" ht="24" customHeight="1">
      <c r="A2314" s="6" t="s">
        <v>3714</v>
      </c>
      <c r="B2314">
        <v>248229</v>
      </c>
      <c r="C2314">
        <v>33418</v>
      </c>
      <c r="D2314">
        <v>418605</v>
      </c>
      <c r="E2314">
        <v>353453</v>
      </c>
      <c r="F2314">
        <v>27.2</v>
      </c>
      <c r="G2314">
        <v>13.8</v>
      </c>
      <c r="H2314">
        <v>11.9</v>
      </c>
      <c r="I2314">
        <v>11.8</v>
      </c>
    </row>
    <row r="2315" spans="1:9" ht="24" customHeight="1">
      <c r="A2315" s="6" t="s">
        <v>3715</v>
      </c>
      <c r="B2315">
        <v>249189</v>
      </c>
      <c r="C2315">
        <v>31373</v>
      </c>
      <c r="D2315">
        <v>464681</v>
      </c>
      <c r="E2315">
        <v>377054</v>
      </c>
      <c r="F2315">
        <v>29.1</v>
      </c>
      <c r="G2315">
        <v>13.8</v>
      </c>
      <c r="H2315">
        <v>16.8</v>
      </c>
      <c r="I2315">
        <v>16.600000000000001</v>
      </c>
    </row>
    <row r="2316" spans="1:9" ht="24" customHeight="1">
      <c r="A2316" s="6" t="s">
        <v>3716</v>
      </c>
      <c r="B2316">
        <v>145486</v>
      </c>
      <c r="C2316">
        <v>14564</v>
      </c>
      <c r="D2316">
        <v>492773</v>
      </c>
      <c r="E2316">
        <v>417640</v>
      </c>
      <c r="F2316">
        <v>27.5</v>
      </c>
      <c r="G2316">
        <v>13.6</v>
      </c>
      <c r="H2316">
        <v>21.8</v>
      </c>
      <c r="I2316">
        <v>21.7</v>
      </c>
    </row>
    <row r="2317" spans="1:9" ht="24" customHeight="1">
      <c r="A2317" s="6" t="s">
        <v>3717</v>
      </c>
      <c r="B2317">
        <v>107120</v>
      </c>
      <c r="C2317">
        <v>9050</v>
      </c>
      <c r="D2317">
        <v>541464</v>
      </c>
      <c r="E2317">
        <v>432324</v>
      </c>
      <c r="F2317">
        <v>24.6</v>
      </c>
      <c r="G2317">
        <v>10.8</v>
      </c>
      <c r="H2317">
        <v>26.9</v>
      </c>
      <c r="I2317">
        <v>26.8</v>
      </c>
    </row>
    <row r="2318" spans="1:9" ht="24" customHeight="1">
      <c r="A2318" s="6" t="s">
        <v>3718</v>
      </c>
      <c r="B2318">
        <v>165559</v>
      </c>
      <c r="C2318">
        <v>40044</v>
      </c>
      <c r="D2318">
        <v>373004</v>
      </c>
      <c r="E2318">
        <v>309443</v>
      </c>
      <c r="F2318">
        <v>29.7</v>
      </c>
      <c r="G2318">
        <v>15.4</v>
      </c>
      <c r="H2318">
        <v>3.5</v>
      </c>
      <c r="I2318">
        <v>3.5</v>
      </c>
    </row>
    <row r="2319" spans="1:9" ht="24" customHeight="1">
      <c r="A2319" s="6" t="s">
        <v>698</v>
      </c>
      <c r="B2319">
        <v>163431</v>
      </c>
      <c r="C2319">
        <v>15287</v>
      </c>
      <c r="D2319">
        <v>564675</v>
      </c>
      <c r="E2319">
        <v>495970</v>
      </c>
      <c r="F2319">
        <v>22.8</v>
      </c>
      <c r="G2319">
        <v>11.5</v>
      </c>
      <c r="H2319">
        <v>34.4</v>
      </c>
      <c r="I2319">
        <v>34.200000000000003</v>
      </c>
    </row>
    <row r="2320" spans="1:9" ht="24" customHeight="1">
      <c r="A2320" s="6" t="s">
        <v>3719</v>
      </c>
      <c r="B2320">
        <v>342518</v>
      </c>
      <c r="C2320">
        <v>61086</v>
      </c>
      <c r="D2320">
        <v>396744</v>
      </c>
      <c r="E2320">
        <v>322819</v>
      </c>
      <c r="F2320">
        <v>29.1</v>
      </c>
      <c r="G2320">
        <v>15.7</v>
      </c>
      <c r="H2320">
        <v>6.9</v>
      </c>
      <c r="I2320">
        <v>6.8</v>
      </c>
    </row>
    <row r="2321" spans="1:9" ht="24" customHeight="1">
      <c r="A2321" s="6" t="s">
        <v>699</v>
      </c>
      <c r="B2321">
        <v>170512</v>
      </c>
      <c r="C2321">
        <v>126931</v>
      </c>
      <c r="D2321">
        <v>312080</v>
      </c>
      <c r="E2321">
        <v>255800</v>
      </c>
      <c r="F2321">
        <v>8.6999999999999993</v>
      </c>
      <c r="G2321">
        <v>6.2</v>
      </c>
      <c r="H2321">
        <v>0</v>
      </c>
      <c r="I2321">
        <v>0</v>
      </c>
    </row>
    <row r="2322" spans="1:9" ht="24" customHeight="1">
      <c r="A2322" s="6" t="s">
        <v>3720</v>
      </c>
      <c r="B2322">
        <v>305587</v>
      </c>
      <c r="C2322">
        <v>195410</v>
      </c>
      <c r="D2322">
        <v>376023</v>
      </c>
      <c r="E2322">
        <v>313565</v>
      </c>
      <c r="F2322">
        <v>10.5</v>
      </c>
      <c r="G2322">
        <v>8.5</v>
      </c>
      <c r="H2322">
        <v>1.5</v>
      </c>
      <c r="I2322">
        <v>1.5</v>
      </c>
    </row>
    <row r="2323" spans="1:9" ht="24" customHeight="1">
      <c r="A2323" s="6" t="s">
        <v>3721</v>
      </c>
      <c r="B2323">
        <v>329980</v>
      </c>
      <c r="C2323">
        <v>155707</v>
      </c>
      <c r="D2323">
        <v>493946</v>
      </c>
      <c r="E2323">
        <v>368873</v>
      </c>
      <c r="F2323">
        <v>12.8</v>
      </c>
      <c r="G2323">
        <v>6.9</v>
      </c>
      <c r="H2323">
        <v>11.9</v>
      </c>
      <c r="I2323">
        <v>11.9</v>
      </c>
    </row>
    <row r="2324" spans="1:9" ht="24" customHeight="1">
      <c r="A2324" s="6" t="s">
        <v>3722</v>
      </c>
      <c r="B2324">
        <v>393942</v>
      </c>
      <c r="C2324">
        <v>149831</v>
      </c>
      <c r="D2324">
        <v>541336</v>
      </c>
      <c r="E2324">
        <v>410236</v>
      </c>
      <c r="F2324">
        <v>11.4</v>
      </c>
      <c r="G2324">
        <v>5.5</v>
      </c>
      <c r="H2324">
        <v>16.899999999999999</v>
      </c>
      <c r="I2324">
        <v>16.7</v>
      </c>
    </row>
    <row r="2325" spans="1:9" ht="24" customHeight="1">
      <c r="A2325" s="6" t="s">
        <v>3723</v>
      </c>
      <c r="B2325">
        <v>281834</v>
      </c>
      <c r="C2325">
        <v>83931</v>
      </c>
      <c r="D2325">
        <v>563082</v>
      </c>
      <c r="E2325">
        <v>411794</v>
      </c>
      <c r="F2325">
        <v>9.1999999999999993</v>
      </c>
      <c r="G2325">
        <v>7.3</v>
      </c>
      <c r="H2325">
        <v>21.9</v>
      </c>
      <c r="I2325">
        <v>21.6</v>
      </c>
    </row>
    <row r="2326" spans="1:9" ht="24" customHeight="1">
      <c r="A2326" s="6" t="s">
        <v>3724</v>
      </c>
      <c r="B2326">
        <v>260093</v>
      </c>
      <c r="C2326">
        <v>61144</v>
      </c>
      <c r="D2326">
        <v>611335</v>
      </c>
      <c r="E2326">
        <v>451291</v>
      </c>
      <c r="F2326">
        <v>10.3</v>
      </c>
      <c r="G2326">
        <v>8.6</v>
      </c>
      <c r="H2326">
        <v>26.9</v>
      </c>
      <c r="I2326">
        <v>26.9</v>
      </c>
    </row>
    <row r="2327" spans="1:9" ht="24" customHeight="1">
      <c r="A2327" s="6" t="s">
        <v>3725</v>
      </c>
      <c r="B2327">
        <v>309104</v>
      </c>
      <c r="C2327">
        <v>178349</v>
      </c>
      <c r="D2327">
        <v>401813</v>
      </c>
      <c r="E2327">
        <v>327547</v>
      </c>
      <c r="F2327">
        <v>13.9</v>
      </c>
      <c r="G2327">
        <v>8.5</v>
      </c>
      <c r="H2327">
        <v>3.5</v>
      </c>
      <c r="I2327">
        <v>3.5</v>
      </c>
    </row>
    <row r="2328" spans="1:9" ht="24" customHeight="1">
      <c r="A2328" s="6" t="s">
        <v>700</v>
      </c>
      <c r="B2328">
        <v>372734</v>
      </c>
      <c r="C2328">
        <v>75762</v>
      </c>
      <c r="D2328">
        <v>625446</v>
      </c>
      <c r="E2328">
        <v>474909</v>
      </c>
      <c r="F2328">
        <v>7.4</v>
      </c>
      <c r="G2328">
        <v>7.7</v>
      </c>
      <c r="H2328">
        <v>34.1</v>
      </c>
      <c r="I2328">
        <v>33.799999999999997</v>
      </c>
    </row>
    <row r="2329" spans="1:9" ht="24" customHeight="1">
      <c r="A2329" s="6" t="s">
        <v>3726</v>
      </c>
      <c r="B2329">
        <v>540997</v>
      </c>
      <c r="C2329">
        <v>284159</v>
      </c>
      <c r="D2329">
        <v>430163</v>
      </c>
      <c r="E2329">
        <v>345380</v>
      </c>
      <c r="F2329">
        <v>12.3</v>
      </c>
      <c r="G2329">
        <v>9.6</v>
      </c>
      <c r="H2329">
        <v>6.9</v>
      </c>
      <c r="I2329">
        <v>6.7</v>
      </c>
    </row>
    <row r="2330" spans="1:9" ht="24" customHeight="1">
      <c r="A2330" s="6" t="s">
        <v>701</v>
      </c>
      <c r="B2330">
        <v>23128</v>
      </c>
      <c r="C2330">
        <v>40418</v>
      </c>
      <c r="D2330">
        <v>382575</v>
      </c>
      <c r="E2330">
        <v>247606</v>
      </c>
      <c r="F2330">
        <v>7.1</v>
      </c>
      <c r="G2330">
        <v>3.1</v>
      </c>
      <c r="H2330">
        <v>0</v>
      </c>
      <c r="I2330">
        <v>0</v>
      </c>
    </row>
    <row r="2331" spans="1:9" ht="24" customHeight="1">
      <c r="A2331" s="6" t="s">
        <v>3727</v>
      </c>
      <c r="B2331">
        <v>38820</v>
      </c>
      <c r="C2331">
        <v>66631</v>
      </c>
      <c r="D2331">
        <v>490265</v>
      </c>
      <c r="E2331">
        <v>305747</v>
      </c>
      <c r="F2331">
        <v>17.7</v>
      </c>
      <c r="G2331">
        <v>7.5</v>
      </c>
      <c r="H2331">
        <v>1.5</v>
      </c>
      <c r="I2331">
        <v>1.5</v>
      </c>
    </row>
    <row r="2332" spans="1:9" ht="24" customHeight="1">
      <c r="A2332" s="6" t="s">
        <v>3728</v>
      </c>
      <c r="B2332">
        <v>53673</v>
      </c>
      <c r="C2332">
        <v>83457</v>
      </c>
      <c r="D2332">
        <v>758867</v>
      </c>
      <c r="E2332">
        <v>425906</v>
      </c>
      <c r="F2332">
        <v>17.3</v>
      </c>
      <c r="G2332">
        <v>8.6</v>
      </c>
      <c r="H2332">
        <v>12.2</v>
      </c>
      <c r="I2332">
        <v>12.2</v>
      </c>
    </row>
    <row r="2333" spans="1:9" ht="24" customHeight="1">
      <c r="A2333" s="6" t="s">
        <v>3729</v>
      </c>
      <c r="B2333">
        <v>60227</v>
      </c>
      <c r="C2333">
        <v>73176</v>
      </c>
      <c r="D2333">
        <v>880145</v>
      </c>
      <c r="E2333">
        <v>478073</v>
      </c>
      <c r="F2333">
        <v>12.6</v>
      </c>
      <c r="G2333">
        <v>9.1</v>
      </c>
      <c r="H2333">
        <v>16.7</v>
      </c>
      <c r="I2333">
        <v>16.600000000000001</v>
      </c>
    </row>
    <row r="2334" spans="1:9" ht="24" customHeight="1">
      <c r="A2334" s="6" t="s">
        <v>3730</v>
      </c>
      <c r="B2334">
        <v>40170</v>
      </c>
      <c r="C2334">
        <v>36525</v>
      </c>
      <c r="D2334">
        <v>892766</v>
      </c>
      <c r="E2334">
        <v>522792</v>
      </c>
      <c r="F2334">
        <v>7.4</v>
      </c>
      <c r="G2334">
        <v>8.5</v>
      </c>
      <c r="H2334">
        <v>22</v>
      </c>
      <c r="I2334">
        <v>21.8</v>
      </c>
    </row>
    <row r="2335" spans="1:9" ht="24" customHeight="1">
      <c r="A2335" s="6" t="s">
        <v>3731</v>
      </c>
      <c r="B2335">
        <v>40322</v>
      </c>
      <c r="C2335">
        <v>29208</v>
      </c>
      <c r="D2335">
        <v>910046</v>
      </c>
      <c r="E2335">
        <v>581430</v>
      </c>
      <c r="F2335">
        <v>5.7</v>
      </c>
      <c r="G2335">
        <v>9.3000000000000007</v>
      </c>
      <c r="H2335">
        <v>27.1</v>
      </c>
      <c r="I2335">
        <v>26.8</v>
      </c>
    </row>
    <row r="2336" spans="1:9" ht="24" customHeight="1">
      <c r="A2336" s="6" t="s">
        <v>3732</v>
      </c>
      <c r="B2336">
        <v>34309</v>
      </c>
      <c r="C2336">
        <v>54286</v>
      </c>
      <c r="D2336">
        <v>584508</v>
      </c>
      <c r="E2336">
        <v>336927</v>
      </c>
      <c r="F2336">
        <v>21.2</v>
      </c>
      <c r="G2336">
        <v>8.4</v>
      </c>
      <c r="H2336">
        <v>3.5</v>
      </c>
      <c r="I2336">
        <v>3.5</v>
      </c>
    </row>
    <row r="2337" spans="1:9" ht="24" customHeight="1">
      <c r="A2337" s="6" t="s">
        <v>702</v>
      </c>
      <c r="B2337">
        <v>71192</v>
      </c>
      <c r="C2337">
        <v>56707</v>
      </c>
      <c r="D2337">
        <v>807199</v>
      </c>
      <c r="E2337">
        <v>523596</v>
      </c>
      <c r="F2337">
        <v>7</v>
      </c>
      <c r="G2337">
        <v>9.8000000000000007</v>
      </c>
      <c r="H2337">
        <v>33.700000000000003</v>
      </c>
      <c r="I2337">
        <v>34.200000000000003</v>
      </c>
    </row>
    <row r="2338" spans="1:9" ht="24" customHeight="1">
      <c r="A2338" s="6" t="s">
        <v>3733</v>
      </c>
      <c r="B2338">
        <v>67467</v>
      </c>
      <c r="C2338">
        <v>107957</v>
      </c>
      <c r="D2338">
        <v>642848</v>
      </c>
      <c r="E2338">
        <v>388068</v>
      </c>
      <c r="F2338">
        <v>18.5</v>
      </c>
      <c r="G2338">
        <v>11.5</v>
      </c>
      <c r="H2338">
        <v>6.8</v>
      </c>
      <c r="I2338">
        <v>6.8</v>
      </c>
    </row>
    <row r="2339" spans="1:9" ht="24" customHeight="1">
      <c r="A2339" s="6" t="s">
        <v>703</v>
      </c>
      <c r="B2339">
        <v>24366</v>
      </c>
      <c r="C2339">
        <v>15545</v>
      </c>
      <c r="D2339">
        <v>318201</v>
      </c>
      <c r="E2339">
        <v>266149</v>
      </c>
      <c r="F2339">
        <v>8.3000000000000007</v>
      </c>
      <c r="G2339">
        <v>6.1</v>
      </c>
      <c r="H2339">
        <v>0</v>
      </c>
      <c r="I2339">
        <v>0</v>
      </c>
    </row>
    <row r="2340" spans="1:9" ht="24" customHeight="1">
      <c r="A2340" s="6" t="s">
        <v>3734</v>
      </c>
      <c r="B2340">
        <v>36367</v>
      </c>
      <c r="C2340">
        <v>25715</v>
      </c>
      <c r="D2340">
        <v>404104</v>
      </c>
      <c r="E2340">
        <v>312820</v>
      </c>
      <c r="F2340">
        <v>13.1</v>
      </c>
      <c r="G2340">
        <v>9</v>
      </c>
      <c r="H2340">
        <v>1.5</v>
      </c>
      <c r="I2340">
        <v>1.5</v>
      </c>
    </row>
    <row r="2341" spans="1:9" ht="24" customHeight="1">
      <c r="A2341" s="6" t="s">
        <v>3735</v>
      </c>
      <c r="B2341">
        <v>37097</v>
      </c>
      <c r="C2341">
        <v>18670</v>
      </c>
      <c r="D2341">
        <v>624270</v>
      </c>
      <c r="E2341">
        <v>425427</v>
      </c>
      <c r="F2341">
        <v>11.5</v>
      </c>
      <c r="G2341">
        <v>6.5</v>
      </c>
      <c r="H2341">
        <v>12</v>
      </c>
      <c r="I2341">
        <v>11.7</v>
      </c>
    </row>
    <row r="2342" spans="1:9" ht="24" customHeight="1">
      <c r="A2342" s="6" t="s">
        <v>3736</v>
      </c>
      <c r="B2342">
        <v>37733</v>
      </c>
      <c r="C2342">
        <v>16823</v>
      </c>
      <c r="D2342">
        <v>681525</v>
      </c>
      <c r="E2342">
        <v>473948</v>
      </c>
      <c r="F2342">
        <v>10.199999999999999</v>
      </c>
      <c r="G2342">
        <v>7.7</v>
      </c>
      <c r="H2342">
        <v>16.600000000000001</v>
      </c>
      <c r="I2342">
        <v>16.7</v>
      </c>
    </row>
    <row r="2343" spans="1:9" ht="24" customHeight="1">
      <c r="A2343" s="6" t="s">
        <v>3737</v>
      </c>
      <c r="B2343">
        <v>19567</v>
      </c>
      <c r="C2343">
        <v>7813</v>
      </c>
      <c r="D2343">
        <v>708140</v>
      </c>
      <c r="E2343">
        <v>574107</v>
      </c>
      <c r="F2343">
        <v>7.4</v>
      </c>
      <c r="G2343">
        <v>9.6</v>
      </c>
      <c r="H2343">
        <v>21.7</v>
      </c>
      <c r="I2343">
        <v>21.8</v>
      </c>
    </row>
    <row r="2344" spans="1:9" ht="24" customHeight="1">
      <c r="A2344" s="6" t="s">
        <v>3738</v>
      </c>
      <c r="B2344">
        <v>16707</v>
      </c>
      <c r="C2344">
        <v>6092</v>
      </c>
      <c r="D2344">
        <v>746936</v>
      </c>
      <c r="E2344">
        <v>588601</v>
      </c>
      <c r="F2344">
        <v>7.5</v>
      </c>
      <c r="G2344">
        <v>8.6</v>
      </c>
      <c r="H2344">
        <v>26.8</v>
      </c>
      <c r="I2344">
        <v>26.4</v>
      </c>
    </row>
    <row r="2345" spans="1:9" ht="24" customHeight="1">
      <c r="A2345" s="6" t="s">
        <v>3739</v>
      </c>
      <c r="B2345">
        <v>35898</v>
      </c>
      <c r="C2345">
        <v>25026</v>
      </c>
      <c r="D2345">
        <v>467162</v>
      </c>
      <c r="E2345">
        <v>349741</v>
      </c>
      <c r="F2345">
        <v>14.4</v>
      </c>
      <c r="G2345">
        <v>9.1999999999999993</v>
      </c>
      <c r="H2345">
        <v>3.4</v>
      </c>
      <c r="I2345">
        <v>3.5</v>
      </c>
    </row>
    <row r="2346" spans="1:9" ht="24" customHeight="1">
      <c r="A2346" s="6" t="s">
        <v>704</v>
      </c>
      <c r="B2346">
        <v>20250</v>
      </c>
      <c r="C2346">
        <v>5450</v>
      </c>
      <c r="D2346">
        <v>808271</v>
      </c>
      <c r="E2346">
        <v>660675</v>
      </c>
      <c r="F2346">
        <v>7.8</v>
      </c>
      <c r="G2346">
        <v>7.4</v>
      </c>
      <c r="H2346">
        <v>33.5</v>
      </c>
      <c r="I2346">
        <v>33.6</v>
      </c>
    </row>
    <row r="2347" spans="1:9" ht="24" customHeight="1">
      <c r="A2347" s="6" t="s">
        <v>3740</v>
      </c>
      <c r="B2347">
        <v>61688</v>
      </c>
      <c r="C2347">
        <v>38832</v>
      </c>
      <c r="D2347">
        <v>514749</v>
      </c>
      <c r="E2347">
        <v>382238</v>
      </c>
      <c r="F2347">
        <v>13.3</v>
      </c>
      <c r="G2347">
        <v>9.1</v>
      </c>
      <c r="H2347">
        <v>6.8</v>
      </c>
      <c r="I2347">
        <v>6.7</v>
      </c>
    </row>
    <row r="2348" spans="1:9" ht="24" customHeight="1">
      <c r="A2348" s="6" t="s">
        <v>705</v>
      </c>
      <c r="B2348">
        <v>53639</v>
      </c>
      <c r="C2348">
        <v>33290</v>
      </c>
      <c r="D2348">
        <v>358995</v>
      </c>
      <c r="E2348">
        <v>286211</v>
      </c>
      <c r="F2348">
        <v>9.3000000000000007</v>
      </c>
      <c r="G2348">
        <v>6.7</v>
      </c>
      <c r="H2348">
        <v>0</v>
      </c>
      <c r="I2348">
        <v>0</v>
      </c>
    </row>
    <row r="2349" spans="1:9" ht="24" customHeight="1">
      <c r="A2349" s="6" t="s">
        <v>3741</v>
      </c>
      <c r="B2349">
        <v>103304</v>
      </c>
      <c r="C2349">
        <v>59915</v>
      </c>
      <c r="D2349">
        <v>476517</v>
      </c>
      <c r="E2349">
        <v>371195</v>
      </c>
      <c r="F2349">
        <v>13.2</v>
      </c>
      <c r="G2349">
        <v>11</v>
      </c>
      <c r="H2349">
        <v>1.5</v>
      </c>
      <c r="I2349">
        <v>1.5</v>
      </c>
    </row>
    <row r="2350" spans="1:9" ht="24" customHeight="1">
      <c r="A2350" s="6" t="s">
        <v>3742</v>
      </c>
      <c r="B2350">
        <v>94505</v>
      </c>
      <c r="C2350">
        <v>33917</v>
      </c>
      <c r="D2350">
        <v>603743</v>
      </c>
      <c r="E2350">
        <v>450048</v>
      </c>
      <c r="F2350">
        <v>15</v>
      </c>
      <c r="G2350">
        <v>9.8000000000000007</v>
      </c>
      <c r="H2350">
        <v>11.9</v>
      </c>
      <c r="I2350">
        <v>11.9</v>
      </c>
    </row>
    <row r="2351" spans="1:9" ht="24" customHeight="1">
      <c r="A2351" s="6" t="s">
        <v>3743</v>
      </c>
      <c r="B2351">
        <v>90302</v>
      </c>
      <c r="C2351">
        <v>26167</v>
      </c>
      <c r="D2351">
        <v>680887</v>
      </c>
      <c r="E2351">
        <v>478289</v>
      </c>
      <c r="F2351">
        <v>15.4</v>
      </c>
      <c r="G2351">
        <v>8.3000000000000007</v>
      </c>
      <c r="H2351">
        <v>16.8</v>
      </c>
      <c r="I2351">
        <v>16.600000000000001</v>
      </c>
    </row>
    <row r="2352" spans="1:9" ht="24" customHeight="1">
      <c r="A2352" s="6" t="s">
        <v>3744</v>
      </c>
      <c r="B2352">
        <v>54385</v>
      </c>
      <c r="C2352">
        <v>15208</v>
      </c>
      <c r="D2352">
        <v>742961</v>
      </c>
      <c r="E2352">
        <v>533442</v>
      </c>
      <c r="F2352">
        <v>12.7</v>
      </c>
      <c r="G2352">
        <v>7.4</v>
      </c>
      <c r="H2352">
        <v>21.9</v>
      </c>
      <c r="I2352">
        <v>21.8</v>
      </c>
    </row>
    <row r="2353" spans="1:9" ht="24" customHeight="1">
      <c r="A2353" s="6" t="s">
        <v>3745</v>
      </c>
      <c r="B2353">
        <v>56054</v>
      </c>
      <c r="C2353">
        <v>11386</v>
      </c>
      <c r="D2353">
        <v>771384</v>
      </c>
      <c r="E2353">
        <v>528943</v>
      </c>
      <c r="F2353">
        <v>8.6</v>
      </c>
      <c r="G2353">
        <v>7.1</v>
      </c>
      <c r="H2353">
        <v>27</v>
      </c>
      <c r="I2353">
        <v>27.1</v>
      </c>
    </row>
    <row r="2354" spans="1:9" ht="24" customHeight="1">
      <c r="A2354" s="6" t="s">
        <v>3746</v>
      </c>
      <c r="B2354">
        <v>83153</v>
      </c>
      <c r="C2354">
        <v>42126</v>
      </c>
      <c r="D2354">
        <v>510031</v>
      </c>
      <c r="E2354">
        <v>379934</v>
      </c>
      <c r="F2354">
        <v>13.2</v>
      </c>
      <c r="G2354">
        <v>11.1</v>
      </c>
      <c r="H2354">
        <v>3.5</v>
      </c>
      <c r="I2354">
        <v>3.5</v>
      </c>
    </row>
    <row r="2355" spans="1:9" ht="24" customHeight="1">
      <c r="A2355" s="6" t="s">
        <v>706</v>
      </c>
      <c r="B2355">
        <v>85376</v>
      </c>
      <c r="C2355">
        <v>15448</v>
      </c>
      <c r="D2355">
        <v>777719</v>
      </c>
      <c r="E2355">
        <v>599903</v>
      </c>
      <c r="F2355">
        <v>8.3000000000000007</v>
      </c>
      <c r="G2355">
        <v>7.9</v>
      </c>
      <c r="H2355">
        <v>34.1</v>
      </c>
      <c r="I2355">
        <v>33.6</v>
      </c>
    </row>
    <row r="2356" spans="1:9" ht="24" customHeight="1">
      <c r="A2356" s="6" t="s">
        <v>3747</v>
      </c>
      <c r="B2356">
        <v>150422</v>
      </c>
      <c r="C2356">
        <v>80041</v>
      </c>
      <c r="D2356">
        <v>580095</v>
      </c>
      <c r="E2356">
        <v>435059</v>
      </c>
      <c r="F2356">
        <v>14.5</v>
      </c>
      <c r="G2356">
        <v>10.9</v>
      </c>
      <c r="H2356">
        <v>6.9</v>
      </c>
      <c r="I2356">
        <v>6.5</v>
      </c>
    </row>
    <row r="2357" spans="1:9" ht="24" customHeight="1">
      <c r="A2357" s="6" t="s">
        <v>707</v>
      </c>
      <c r="B2357">
        <v>29061</v>
      </c>
      <c r="C2357">
        <v>25675</v>
      </c>
      <c r="D2357">
        <v>287265</v>
      </c>
      <c r="E2357">
        <v>228123</v>
      </c>
      <c r="F2357">
        <v>13</v>
      </c>
      <c r="G2357">
        <v>7.1</v>
      </c>
      <c r="H2357">
        <v>0</v>
      </c>
      <c r="I2357">
        <v>0</v>
      </c>
    </row>
    <row r="2358" spans="1:9" ht="24" customHeight="1">
      <c r="A2358" s="6" t="s">
        <v>3748</v>
      </c>
      <c r="B2358">
        <v>38449</v>
      </c>
      <c r="C2358">
        <v>34218</v>
      </c>
      <c r="D2358">
        <v>304403</v>
      </c>
      <c r="E2358">
        <v>261234</v>
      </c>
      <c r="F2358">
        <v>16.8</v>
      </c>
      <c r="G2358">
        <v>13.4</v>
      </c>
      <c r="H2358">
        <v>1.4</v>
      </c>
      <c r="I2358">
        <v>1.4</v>
      </c>
    </row>
    <row r="2359" spans="1:9" ht="24" customHeight="1">
      <c r="A2359" s="6" t="s">
        <v>3749</v>
      </c>
      <c r="B2359">
        <v>52107</v>
      </c>
      <c r="C2359">
        <v>24904</v>
      </c>
      <c r="D2359">
        <v>385926</v>
      </c>
      <c r="E2359">
        <v>303304</v>
      </c>
      <c r="F2359">
        <v>13.6</v>
      </c>
      <c r="G2359">
        <v>12</v>
      </c>
      <c r="H2359">
        <v>11.7</v>
      </c>
      <c r="I2359">
        <v>11.8</v>
      </c>
    </row>
    <row r="2360" spans="1:9" ht="24" customHeight="1">
      <c r="A2360" s="6" t="s">
        <v>3750</v>
      </c>
      <c r="B2360">
        <v>40479</v>
      </c>
      <c r="C2360">
        <v>19909</v>
      </c>
      <c r="D2360">
        <v>421813</v>
      </c>
      <c r="E2360">
        <v>334889</v>
      </c>
      <c r="F2360">
        <v>14.6</v>
      </c>
      <c r="G2360">
        <v>12.3</v>
      </c>
      <c r="H2360">
        <v>16.8</v>
      </c>
      <c r="I2360">
        <v>16.5</v>
      </c>
    </row>
    <row r="2361" spans="1:9" ht="24" customHeight="1">
      <c r="A2361" s="6" t="s">
        <v>3751</v>
      </c>
      <c r="B2361">
        <v>29365</v>
      </c>
      <c r="C2361">
        <v>11180</v>
      </c>
      <c r="D2361">
        <v>467181</v>
      </c>
      <c r="E2361">
        <v>367179</v>
      </c>
      <c r="F2361">
        <v>17.5</v>
      </c>
      <c r="G2361">
        <v>10.8</v>
      </c>
      <c r="H2361">
        <v>21.8</v>
      </c>
      <c r="I2361">
        <v>21.7</v>
      </c>
    </row>
    <row r="2362" spans="1:9" ht="24" customHeight="1">
      <c r="A2362" s="6" t="s">
        <v>3752</v>
      </c>
      <c r="B2362">
        <v>19241</v>
      </c>
      <c r="C2362">
        <v>7313</v>
      </c>
      <c r="D2362">
        <v>478760</v>
      </c>
      <c r="E2362">
        <v>375409</v>
      </c>
      <c r="F2362">
        <v>12.8</v>
      </c>
      <c r="G2362">
        <v>10.4</v>
      </c>
      <c r="H2362">
        <v>26.6</v>
      </c>
      <c r="I2362">
        <v>26.6</v>
      </c>
    </row>
    <row r="2363" spans="1:9" ht="24" customHeight="1">
      <c r="A2363" s="6" t="s">
        <v>3753</v>
      </c>
      <c r="B2363">
        <v>41626</v>
      </c>
      <c r="C2363">
        <v>31772</v>
      </c>
      <c r="D2363">
        <v>332753</v>
      </c>
      <c r="E2363">
        <v>288361</v>
      </c>
      <c r="F2363">
        <v>15.3</v>
      </c>
      <c r="G2363">
        <v>12.1</v>
      </c>
      <c r="H2363">
        <v>3.5</v>
      </c>
      <c r="I2363">
        <v>3.5</v>
      </c>
    </row>
    <row r="2364" spans="1:9" ht="24" customHeight="1">
      <c r="A2364" s="6" t="s">
        <v>708</v>
      </c>
      <c r="B2364">
        <v>20751</v>
      </c>
      <c r="C2364">
        <v>5570</v>
      </c>
      <c r="D2364">
        <v>493146</v>
      </c>
      <c r="E2364">
        <v>370365</v>
      </c>
      <c r="F2364">
        <v>12.7</v>
      </c>
      <c r="G2364">
        <v>8.6</v>
      </c>
      <c r="H2364">
        <v>35.1</v>
      </c>
      <c r="I2364">
        <v>35.5</v>
      </c>
    </row>
    <row r="2365" spans="1:9" ht="24" customHeight="1">
      <c r="A2365" s="6" t="s">
        <v>3754</v>
      </c>
      <c r="B2365">
        <v>79314</v>
      </c>
      <c r="C2365">
        <v>46281</v>
      </c>
      <c r="D2365">
        <v>358057</v>
      </c>
      <c r="E2365">
        <v>301605</v>
      </c>
      <c r="F2365">
        <v>15.4</v>
      </c>
      <c r="G2365">
        <v>13</v>
      </c>
      <c r="H2365">
        <v>6.8</v>
      </c>
      <c r="I2365">
        <v>6.7</v>
      </c>
    </row>
    <row r="2366" spans="1:9" ht="24" customHeight="1">
      <c r="A2366" s="6" t="s">
        <v>709</v>
      </c>
      <c r="B2366">
        <v>14450</v>
      </c>
      <c r="C2366">
        <v>19446</v>
      </c>
      <c r="D2366">
        <v>275401</v>
      </c>
      <c r="E2366">
        <v>224467</v>
      </c>
      <c r="F2366">
        <v>7.2</v>
      </c>
      <c r="G2366">
        <v>5.4</v>
      </c>
      <c r="H2366">
        <v>0</v>
      </c>
      <c r="I2366">
        <v>0</v>
      </c>
    </row>
    <row r="2367" spans="1:9" ht="24" customHeight="1">
      <c r="A2367" s="6" t="s">
        <v>3755</v>
      </c>
      <c r="B2367">
        <v>24412</v>
      </c>
      <c r="C2367">
        <v>25041</v>
      </c>
      <c r="D2367">
        <v>316810</v>
      </c>
      <c r="E2367">
        <v>257574</v>
      </c>
      <c r="F2367">
        <v>9.1</v>
      </c>
      <c r="G2367">
        <v>6.1</v>
      </c>
      <c r="H2367">
        <v>1.5</v>
      </c>
      <c r="I2367">
        <v>1.5</v>
      </c>
    </row>
    <row r="2368" spans="1:9" ht="24" customHeight="1">
      <c r="A2368" s="6" t="s">
        <v>3756</v>
      </c>
      <c r="B2368">
        <v>37804</v>
      </c>
      <c r="C2368">
        <v>24750</v>
      </c>
      <c r="D2368">
        <v>417536</v>
      </c>
      <c r="E2368">
        <v>323630</v>
      </c>
      <c r="F2368">
        <v>9.6999999999999993</v>
      </c>
      <c r="G2368">
        <v>7.8</v>
      </c>
      <c r="H2368">
        <v>11.9</v>
      </c>
      <c r="I2368">
        <v>11.8</v>
      </c>
    </row>
    <row r="2369" spans="1:9" ht="24" customHeight="1">
      <c r="A2369" s="6" t="s">
        <v>3757</v>
      </c>
      <c r="B2369">
        <v>40232</v>
      </c>
      <c r="C2369">
        <v>19460</v>
      </c>
      <c r="D2369">
        <v>464975</v>
      </c>
      <c r="E2369">
        <v>351143</v>
      </c>
      <c r="F2369">
        <v>8.6</v>
      </c>
      <c r="G2369">
        <v>7.9</v>
      </c>
      <c r="H2369">
        <v>16.899999999999999</v>
      </c>
      <c r="I2369">
        <v>16.7</v>
      </c>
    </row>
    <row r="2370" spans="1:9" ht="24" customHeight="1">
      <c r="A2370" s="6" t="s">
        <v>3758</v>
      </c>
      <c r="B2370">
        <v>24455</v>
      </c>
      <c r="C2370">
        <v>10210</v>
      </c>
      <c r="D2370">
        <v>504876</v>
      </c>
      <c r="E2370">
        <v>392869</v>
      </c>
      <c r="F2370">
        <v>9.1999999999999993</v>
      </c>
      <c r="G2370">
        <v>8.4</v>
      </c>
      <c r="H2370">
        <v>21.8</v>
      </c>
      <c r="I2370">
        <v>21.7</v>
      </c>
    </row>
    <row r="2371" spans="1:9" ht="24" customHeight="1">
      <c r="A2371" s="6" t="s">
        <v>3759</v>
      </c>
      <c r="B2371">
        <v>15027</v>
      </c>
      <c r="C2371">
        <v>6078</v>
      </c>
      <c r="D2371">
        <v>532326</v>
      </c>
      <c r="E2371">
        <v>406496</v>
      </c>
      <c r="F2371">
        <v>8.1999999999999993</v>
      </c>
      <c r="G2371">
        <v>6.3</v>
      </c>
      <c r="H2371">
        <v>26.8</v>
      </c>
      <c r="I2371">
        <v>26.8</v>
      </c>
    </row>
    <row r="2372" spans="1:9" ht="24" customHeight="1">
      <c r="A2372" s="6" t="s">
        <v>3760</v>
      </c>
      <c r="B2372">
        <v>27223</v>
      </c>
      <c r="C2372">
        <v>27353</v>
      </c>
      <c r="D2372">
        <v>347766</v>
      </c>
      <c r="E2372">
        <v>290691</v>
      </c>
      <c r="F2372">
        <v>12.2</v>
      </c>
      <c r="G2372">
        <v>8.5</v>
      </c>
      <c r="H2372">
        <v>3.5</v>
      </c>
      <c r="I2372">
        <v>3.4</v>
      </c>
    </row>
    <row r="2373" spans="1:9" ht="24" customHeight="1">
      <c r="A2373" s="6" t="s">
        <v>710</v>
      </c>
      <c r="B2373">
        <v>21827</v>
      </c>
      <c r="C2373">
        <v>6757</v>
      </c>
      <c r="D2373">
        <v>568944</v>
      </c>
      <c r="E2373">
        <v>414744</v>
      </c>
      <c r="F2373">
        <v>8</v>
      </c>
      <c r="G2373">
        <v>6.9</v>
      </c>
      <c r="H2373">
        <v>33.700000000000003</v>
      </c>
      <c r="I2373">
        <v>34.200000000000003</v>
      </c>
    </row>
    <row r="2374" spans="1:9" ht="24" customHeight="1">
      <c r="A2374" s="6" t="s">
        <v>3761</v>
      </c>
      <c r="B2374">
        <v>54848</v>
      </c>
      <c r="C2374">
        <v>40492</v>
      </c>
      <c r="D2374">
        <v>368457</v>
      </c>
      <c r="E2374">
        <v>301294</v>
      </c>
      <c r="F2374">
        <v>10.5</v>
      </c>
      <c r="G2374">
        <v>7.8</v>
      </c>
      <c r="H2374">
        <v>6.9</v>
      </c>
      <c r="I2374">
        <v>6.8</v>
      </c>
    </row>
    <row r="2375" spans="1:9" ht="24" customHeight="1">
      <c r="A2375" s="6" t="s">
        <v>711</v>
      </c>
      <c r="B2375">
        <v>14836</v>
      </c>
      <c r="C2375">
        <v>23769</v>
      </c>
      <c r="D2375">
        <v>341569</v>
      </c>
      <c r="E2375">
        <v>269953</v>
      </c>
      <c r="F2375">
        <v>5.6</v>
      </c>
      <c r="G2375">
        <v>4.4000000000000004</v>
      </c>
      <c r="H2375">
        <v>0</v>
      </c>
      <c r="I2375">
        <v>0</v>
      </c>
    </row>
    <row r="2376" spans="1:9" ht="24" customHeight="1">
      <c r="A2376" s="6" t="s">
        <v>3762</v>
      </c>
      <c r="B2376">
        <v>30228</v>
      </c>
      <c r="C2376">
        <v>42270</v>
      </c>
      <c r="D2376">
        <v>447065</v>
      </c>
      <c r="E2376">
        <v>327072</v>
      </c>
      <c r="F2376">
        <v>8.8000000000000007</v>
      </c>
      <c r="G2376">
        <v>5.4</v>
      </c>
      <c r="H2376">
        <v>1.5</v>
      </c>
      <c r="I2376">
        <v>1.5</v>
      </c>
    </row>
    <row r="2377" spans="1:9" ht="24" customHeight="1">
      <c r="A2377" s="6" t="s">
        <v>3763</v>
      </c>
      <c r="B2377">
        <v>44832</v>
      </c>
      <c r="C2377">
        <v>39828</v>
      </c>
      <c r="D2377">
        <v>640921</v>
      </c>
      <c r="E2377">
        <v>453081</v>
      </c>
      <c r="F2377">
        <v>7.6</v>
      </c>
      <c r="G2377">
        <v>5</v>
      </c>
      <c r="H2377">
        <v>11.9</v>
      </c>
      <c r="I2377">
        <v>11.8</v>
      </c>
    </row>
    <row r="2378" spans="1:9" ht="24" customHeight="1">
      <c r="A2378" s="6" t="s">
        <v>3764</v>
      </c>
      <c r="B2378">
        <v>39688</v>
      </c>
      <c r="C2378">
        <v>30634</v>
      </c>
      <c r="D2378">
        <v>679866</v>
      </c>
      <c r="E2378">
        <v>520256</v>
      </c>
      <c r="F2378">
        <v>6.9</v>
      </c>
      <c r="G2378">
        <v>5</v>
      </c>
      <c r="H2378">
        <v>16.899999999999999</v>
      </c>
      <c r="I2378">
        <v>16.899999999999999</v>
      </c>
    </row>
    <row r="2379" spans="1:9" ht="24" customHeight="1">
      <c r="A2379" s="6" t="s">
        <v>3765</v>
      </c>
      <c r="B2379">
        <v>28675</v>
      </c>
      <c r="C2379">
        <v>19002</v>
      </c>
      <c r="D2379">
        <v>703832</v>
      </c>
      <c r="E2379">
        <v>552023</v>
      </c>
      <c r="F2379">
        <v>6</v>
      </c>
      <c r="G2379">
        <v>4</v>
      </c>
      <c r="H2379">
        <v>21.9</v>
      </c>
      <c r="I2379">
        <v>21.9</v>
      </c>
    </row>
    <row r="2380" spans="1:9" ht="24" customHeight="1">
      <c r="A2380" s="6" t="s">
        <v>3766</v>
      </c>
      <c r="B2380">
        <v>25593</v>
      </c>
      <c r="C2380">
        <v>15103</v>
      </c>
      <c r="D2380">
        <v>738663</v>
      </c>
      <c r="E2380">
        <v>594649</v>
      </c>
      <c r="F2380">
        <v>5.4</v>
      </c>
      <c r="G2380">
        <v>4.8</v>
      </c>
      <c r="H2380">
        <v>26.9</v>
      </c>
      <c r="I2380">
        <v>26.9</v>
      </c>
    </row>
    <row r="2381" spans="1:9" ht="24" customHeight="1">
      <c r="A2381" s="6" t="s">
        <v>3767</v>
      </c>
      <c r="B2381">
        <v>28878</v>
      </c>
      <c r="C2381">
        <v>38368</v>
      </c>
      <c r="D2381">
        <v>493228</v>
      </c>
      <c r="E2381">
        <v>369659</v>
      </c>
      <c r="F2381">
        <v>8.3000000000000007</v>
      </c>
      <c r="G2381">
        <v>5.2</v>
      </c>
      <c r="H2381">
        <v>3.5</v>
      </c>
      <c r="I2381">
        <v>3.5</v>
      </c>
    </row>
    <row r="2382" spans="1:9" ht="24" customHeight="1">
      <c r="A2382" s="6" t="s">
        <v>712</v>
      </c>
      <c r="B2382">
        <v>42525</v>
      </c>
      <c r="C2382">
        <v>22050</v>
      </c>
      <c r="D2382">
        <v>761352</v>
      </c>
      <c r="E2382">
        <v>646200</v>
      </c>
      <c r="F2382">
        <v>5.3</v>
      </c>
      <c r="G2382">
        <v>4.4000000000000004</v>
      </c>
      <c r="H2382">
        <v>34.1</v>
      </c>
      <c r="I2382">
        <v>34.799999999999997</v>
      </c>
    </row>
    <row r="2383" spans="1:9" ht="24" customHeight="1">
      <c r="A2383" s="6" t="s">
        <v>3768</v>
      </c>
      <c r="B2383">
        <v>56679</v>
      </c>
      <c r="C2383">
        <v>67245</v>
      </c>
      <c r="D2383">
        <v>541583</v>
      </c>
      <c r="E2383">
        <v>399877</v>
      </c>
      <c r="F2383">
        <v>7.3</v>
      </c>
      <c r="G2383">
        <v>5.0999999999999996</v>
      </c>
      <c r="H2383">
        <v>6.9</v>
      </c>
      <c r="I2383">
        <v>6.8</v>
      </c>
    </row>
    <row r="2384" spans="1:9" ht="24" customHeight="1">
      <c r="A2384" s="6" t="s">
        <v>713</v>
      </c>
      <c r="B2384">
        <v>97030</v>
      </c>
      <c r="C2384">
        <v>257513</v>
      </c>
      <c r="D2384">
        <v>366752</v>
      </c>
      <c r="E2384">
        <v>262557</v>
      </c>
      <c r="F2384">
        <v>6.6</v>
      </c>
      <c r="G2384">
        <v>4</v>
      </c>
      <c r="H2384">
        <v>0</v>
      </c>
      <c r="I2384">
        <v>0</v>
      </c>
    </row>
    <row r="2385" spans="1:9" ht="24" customHeight="1">
      <c r="A2385" s="6" t="s">
        <v>3769</v>
      </c>
      <c r="B2385">
        <v>188964</v>
      </c>
      <c r="C2385">
        <v>464763</v>
      </c>
      <c r="D2385">
        <v>396532</v>
      </c>
      <c r="E2385">
        <v>321849</v>
      </c>
      <c r="F2385">
        <v>6.9</v>
      </c>
      <c r="G2385">
        <v>5.4</v>
      </c>
      <c r="H2385">
        <v>1.5</v>
      </c>
      <c r="I2385">
        <v>1.5</v>
      </c>
    </row>
    <row r="2386" spans="1:9" ht="24" customHeight="1">
      <c r="A2386" s="6" t="s">
        <v>3770</v>
      </c>
      <c r="B2386">
        <v>191979</v>
      </c>
      <c r="C2386">
        <v>395060</v>
      </c>
      <c r="D2386">
        <v>491689</v>
      </c>
      <c r="E2386">
        <v>378462</v>
      </c>
      <c r="F2386">
        <v>7.6</v>
      </c>
      <c r="G2386">
        <v>5.6</v>
      </c>
      <c r="H2386">
        <v>11.8</v>
      </c>
      <c r="I2386">
        <v>11.8</v>
      </c>
    </row>
    <row r="2387" spans="1:9" ht="24" customHeight="1">
      <c r="A2387" s="6" t="s">
        <v>3771</v>
      </c>
      <c r="B2387">
        <v>133111</v>
      </c>
      <c r="C2387">
        <v>254616</v>
      </c>
      <c r="D2387">
        <v>517180</v>
      </c>
      <c r="E2387">
        <v>407923</v>
      </c>
      <c r="F2387">
        <v>7</v>
      </c>
      <c r="G2387">
        <v>5.5</v>
      </c>
      <c r="H2387">
        <v>16.8</v>
      </c>
      <c r="I2387">
        <v>16.8</v>
      </c>
    </row>
    <row r="2388" spans="1:9" ht="24" customHeight="1">
      <c r="A2388" s="6" t="s">
        <v>3772</v>
      </c>
      <c r="B2388">
        <v>72950</v>
      </c>
      <c r="C2388">
        <v>150618</v>
      </c>
      <c r="D2388">
        <v>586034</v>
      </c>
      <c r="E2388">
        <v>432816</v>
      </c>
      <c r="F2388">
        <v>6.4</v>
      </c>
      <c r="G2388">
        <v>5.5</v>
      </c>
      <c r="H2388">
        <v>21.6</v>
      </c>
      <c r="I2388">
        <v>21.7</v>
      </c>
    </row>
    <row r="2389" spans="1:9" ht="24" customHeight="1">
      <c r="A2389" s="6" t="s">
        <v>3773</v>
      </c>
      <c r="B2389">
        <v>42262</v>
      </c>
      <c r="C2389">
        <v>91860</v>
      </c>
      <c r="D2389">
        <v>638898</v>
      </c>
      <c r="E2389">
        <v>490828</v>
      </c>
      <c r="F2389">
        <v>6.8</v>
      </c>
      <c r="G2389">
        <v>6.4</v>
      </c>
      <c r="H2389">
        <v>26.7</v>
      </c>
      <c r="I2389">
        <v>26.8</v>
      </c>
    </row>
    <row r="2390" spans="1:9" ht="24" customHeight="1">
      <c r="A2390" s="6" t="s">
        <v>3774</v>
      </c>
      <c r="B2390">
        <v>150033</v>
      </c>
      <c r="C2390">
        <v>379078</v>
      </c>
      <c r="D2390">
        <v>426678</v>
      </c>
      <c r="E2390">
        <v>342786</v>
      </c>
      <c r="F2390">
        <v>8.1999999999999993</v>
      </c>
      <c r="G2390">
        <v>5.6</v>
      </c>
      <c r="H2390">
        <v>3.5</v>
      </c>
      <c r="I2390">
        <v>3.5</v>
      </c>
    </row>
    <row r="2391" spans="1:9" ht="24" customHeight="1">
      <c r="A2391" s="6" t="s">
        <v>714</v>
      </c>
      <c r="B2391">
        <v>48820</v>
      </c>
      <c r="C2391">
        <v>93619</v>
      </c>
      <c r="D2391">
        <v>659668</v>
      </c>
      <c r="E2391">
        <v>540677</v>
      </c>
      <c r="F2391">
        <v>5.5</v>
      </c>
      <c r="G2391">
        <v>6.4</v>
      </c>
      <c r="H2391">
        <v>34.1</v>
      </c>
      <c r="I2391">
        <v>34.299999999999997</v>
      </c>
    </row>
    <row r="2392" spans="1:9" ht="24" customHeight="1">
      <c r="A2392" s="6" t="s">
        <v>3775</v>
      </c>
      <c r="B2392">
        <v>283640</v>
      </c>
      <c r="C2392">
        <v>644023</v>
      </c>
      <c r="D2392">
        <v>435063</v>
      </c>
      <c r="E2392">
        <v>354501</v>
      </c>
      <c r="F2392">
        <v>7.7</v>
      </c>
      <c r="G2392">
        <v>5.6</v>
      </c>
      <c r="H2392">
        <v>6.9</v>
      </c>
      <c r="I2392">
        <v>6.8</v>
      </c>
    </row>
    <row r="2393" spans="1:9" ht="24" customHeight="1">
      <c r="A2393" s="6" t="s">
        <v>715</v>
      </c>
      <c r="B2393">
        <v>3171</v>
      </c>
      <c r="C2393">
        <v>2717</v>
      </c>
      <c r="D2393">
        <v>233938</v>
      </c>
      <c r="E2393">
        <v>201174</v>
      </c>
      <c r="F2393">
        <v>8.9</v>
      </c>
      <c r="G2393">
        <v>2.8</v>
      </c>
      <c r="H2393">
        <v>0</v>
      </c>
      <c r="I2393">
        <v>0</v>
      </c>
    </row>
    <row r="2394" spans="1:9" ht="24" customHeight="1">
      <c r="A2394" s="6" t="s">
        <v>3776</v>
      </c>
      <c r="B2394">
        <v>5505</v>
      </c>
      <c r="C2394">
        <v>5842</v>
      </c>
      <c r="D2394">
        <v>303084</v>
      </c>
      <c r="E2394">
        <v>272299</v>
      </c>
      <c r="F2394">
        <v>11.2</v>
      </c>
      <c r="G2394">
        <v>6.4</v>
      </c>
      <c r="H2394">
        <v>1.5</v>
      </c>
      <c r="I2394">
        <v>1.4</v>
      </c>
    </row>
    <row r="2395" spans="1:9" ht="24" customHeight="1">
      <c r="A2395" s="6" t="s">
        <v>3777</v>
      </c>
      <c r="B2395">
        <v>18868</v>
      </c>
      <c r="C2395">
        <v>9962</v>
      </c>
      <c r="D2395">
        <v>469691</v>
      </c>
      <c r="E2395">
        <v>380846</v>
      </c>
      <c r="F2395">
        <v>13.8</v>
      </c>
      <c r="G2395">
        <v>7.3</v>
      </c>
      <c r="H2395">
        <v>12.2</v>
      </c>
      <c r="I2395">
        <v>12.1</v>
      </c>
    </row>
    <row r="2396" spans="1:9" ht="24" customHeight="1">
      <c r="A2396" s="6" t="s">
        <v>3778</v>
      </c>
      <c r="B2396">
        <v>15327</v>
      </c>
      <c r="C2396">
        <v>6564</v>
      </c>
      <c r="D2396">
        <v>506878</v>
      </c>
      <c r="E2396">
        <v>404561</v>
      </c>
      <c r="F2396">
        <v>11.3</v>
      </c>
      <c r="G2396">
        <v>4.9000000000000004</v>
      </c>
      <c r="H2396">
        <v>16.600000000000001</v>
      </c>
      <c r="I2396">
        <v>16.600000000000001</v>
      </c>
    </row>
    <row r="2397" spans="1:9" ht="24" customHeight="1">
      <c r="A2397" s="6" t="s">
        <v>3779</v>
      </c>
      <c r="B2397">
        <v>14216</v>
      </c>
      <c r="C2397">
        <v>4322</v>
      </c>
      <c r="D2397">
        <v>562124</v>
      </c>
      <c r="E2397">
        <v>456303</v>
      </c>
      <c r="F2397">
        <v>10.9</v>
      </c>
      <c r="G2397">
        <v>6.1</v>
      </c>
      <c r="H2397">
        <v>22.2</v>
      </c>
      <c r="I2397">
        <v>22.1</v>
      </c>
    </row>
    <row r="2398" spans="1:9" ht="24" customHeight="1">
      <c r="A2398" s="6" t="s">
        <v>3780</v>
      </c>
      <c r="B2398">
        <v>15665</v>
      </c>
      <c r="C2398">
        <v>5062</v>
      </c>
      <c r="D2398">
        <v>591375</v>
      </c>
      <c r="E2398">
        <v>475429</v>
      </c>
      <c r="F2398">
        <v>8</v>
      </c>
      <c r="G2398">
        <v>3.9</v>
      </c>
      <c r="H2398">
        <v>26.9</v>
      </c>
      <c r="I2398">
        <v>27</v>
      </c>
    </row>
    <row r="2399" spans="1:9" ht="24" customHeight="1">
      <c r="A2399" s="6" t="s">
        <v>3781</v>
      </c>
      <c r="B2399">
        <v>8049</v>
      </c>
      <c r="C2399">
        <v>5938</v>
      </c>
      <c r="D2399">
        <v>327982</v>
      </c>
      <c r="E2399">
        <v>296186</v>
      </c>
      <c r="F2399">
        <v>13.8</v>
      </c>
      <c r="G2399">
        <v>6.2</v>
      </c>
      <c r="H2399">
        <v>3.6</v>
      </c>
      <c r="I2399">
        <v>3.5</v>
      </c>
    </row>
    <row r="2400" spans="1:9" ht="24" customHeight="1">
      <c r="A2400" s="6" t="s">
        <v>716</v>
      </c>
      <c r="B2400">
        <v>32566</v>
      </c>
      <c r="C2400">
        <v>7568</v>
      </c>
      <c r="D2400">
        <v>612032</v>
      </c>
      <c r="E2400">
        <v>508757</v>
      </c>
      <c r="F2400">
        <v>6.6</v>
      </c>
      <c r="G2400">
        <v>3</v>
      </c>
      <c r="H2400">
        <v>34.4</v>
      </c>
      <c r="I2400">
        <v>33.9</v>
      </c>
    </row>
    <row r="2401" spans="1:9" ht="24" customHeight="1">
      <c r="A2401" s="6" t="s">
        <v>3782</v>
      </c>
      <c r="B2401">
        <v>18105</v>
      </c>
      <c r="C2401">
        <v>10545</v>
      </c>
      <c r="D2401">
        <v>372304</v>
      </c>
      <c r="E2401">
        <v>327295</v>
      </c>
      <c r="F2401">
        <v>13.2</v>
      </c>
      <c r="G2401">
        <v>7.4</v>
      </c>
      <c r="H2401">
        <v>6.8</v>
      </c>
      <c r="I2401">
        <v>6.8</v>
      </c>
    </row>
    <row r="2402" spans="1:9" ht="24" customHeight="1">
      <c r="A2402" s="6" t="s">
        <v>717</v>
      </c>
      <c r="B2402">
        <v>93534</v>
      </c>
      <c r="C2402">
        <v>50329</v>
      </c>
      <c r="D2402">
        <v>278558</v>
      </c>
      <c r="E2402">
        <v>238441</v>
      </c>
      <c r="F2402">
        <v>9.9</v>
      </c>
      <c r="G2402">
        <v>7.3</v>
      </c>
      <c r="H2402">
        <v>0</v>
      </c>
      <c r="I2402">
        <v>0</v>
      </c>
    </row>
    <row r="2403" spans="1:9" ht="24" customHeight="1">
      <c r="A2403" s="6" t="s">
        <v>3783</v>
      </c>
      <c r="B2403">
        <v>154336</v>
      </c>
      <c r="C2403">
        <v>67561</v>
      </c>
      <c r="D2403">
        <v>336919</v>
      </c>
      <c r="E2403">
        <v>285669</v>
      </c>
      <c r="F2403">
        <v>16</v>
      </c>
      <c r="G2403">
        <v>10.4</v>
      </c>
      <c r="H2403">
        <v>1.4</v>
      </c>
      <c r="I2403">
        <v>1.5</v>
      </c>
    </row>
    <row r="2404" spans="1:9" ht="24" customHeight="1">
      <c r="A2404" s="6" t="s">
        <v>3784</v>
      </c>
      <c r="B2404">
        <v>177478</v>
      </c>
      <c r="C2404">
        <v>58240</v>
      </c>
      <c r="D2404">
        <v>455919</v>
      </c>
      <c r="E2404">
        <v>356720</v>
      </c>
      <c r="F2404">
        <v>15.3</v>
      </c>
      <c r="G2404">
        <v>8.5</v>
      </c>
      <c r="H2404">
        <v>12</v>
      </c>
      <c r="I2404">
        <v>11.8</v>
      </c>
    </row>
    <row r="2405" spans="1:9" ht="24" customHeight="1">
      <c r="A2405" s="6" t="s">
        <v>3785</v>
      </c>
      <c r="B2405">
        <v>163447</v>
      </c>
      <c r="C2405">
        <v>53996</v>
      </c>
      <c r="D2405">
        <v>519303</v>
      </c>
      <c r="E2405">
        <v>404286</v>
      </c>
      <c r="F2405">
        <v>15.6</v>
      </c>
      <c r="G2405">
        <v>8.1</v>
      </c>
      <c r="H2405">
        <v>16.899999999999999</v>
      </c>
      <c r="I2405">
        <v>16.7</v>
      </c>
    </row>
    <row r="2406" spans="1:9" ht="24" customHeight="1">
      <c r="A2406" s="6" t="s">
        <v>3786</v>
      </c>
      <c r="B2406">
        <v>102028</v>
      </c>
      <c r="C2406">
        <v>27851</v>
      </c>
      <c r="D2406">
        <v>551350</v>
      </c>
      <c r="E2406">
        <v>403704</v>
      </c>
      <c r="F2406">
        <v>13.5</v>
      </c>
      <c r="G2406">
        <v>7.6</v>
      </c>
      <c r="H2406">
        <v>21.8</v>
      </c>
      <c r="I2406">
        <v>21.7</v>
      </c>
    </row>
    <row r="2407" spans="1:9" ht="24" customHeight="1">
      <c r="A2407" s="6" t="s">
        <v>3787</v>
      </c>
      <c r="B2407">
        <v>81593</v>
      </c>
      <c r="C2407">
        <v>17010</v>
      </c>
      <c r="D2407">
        <v>595683</v>
      </c>
      <c r="E2407">
        <v>523631</v>
      </c>
      <c r="F2407">
        <v>12.3</v>
      </c>
      <c r="G2407">
        <v>6.5</v>
      </c>
      <c r="H2407">
        <v>26.8</v>
      </c>
      <c r="I2407">
        <v>26.9</v>
      </c>
    </row>
    <row r="2408" spans="1:9" ht="24" customHeight="1">
      <c r="A2408" s="6" t="s">
        <v>3788</v>
      </c>
      <c r="B2408">
        <v>146849</v>
      </c>
      <c r="C2408">
        <v>71990</v>
      </c>
      <c r="D2408">
        <v>374421</v>
      </c>
      <c r="E2408">
        <v>311463</v>
      </c>
      <c r="F2408">
        <v>16.399999999999999</v>
      </c>
      <c r="G2408">
        <v>9.6999999999999993</v>
      </c>
      <c r="H2408">
        <v>3.5</v>
      </c>
      <c r="I2408">
        <v>3.5</v>
      </c>
    </row>
    <row r="2409" spans="1:9" ht="24" customHeight="1">
      <c r="A2409" s="6" t="s">
        <v>718</v>
      </c>
      <c r="B2409">
        <v>117838</v>
      </c>
      <c r="C2409">
        <v>23442</v>
      </c>
      <c r="D2409">
        <v>668966</v>
      </c>
      <c r="E2409">
        <v>553042</v>
      </c>
      <c r="F2409">
        <v>10.4</v>
      </c>
      <c r="G2409">
        <v>9.9</v>
      </c>
      <c r="H2409">
        <v>34.299999999999997</v>
      </c>
      <c r="I2409">
        <v>34.1</v>
      </c>
    </row>
    <row r="2410" spans="1:9" ht="24" customHeight="1">
      <c r="A2410" s="6" t="s">
        <v>3789</v>
      </c>
      <c r="B2410">
        <v>257284</v>
      </c>
      <c r="C2410">
        <v>108647</v>
      </c>
      <c r="D2410">
        <v>402383</v>
      </c>
      <c r="E2410">
        <v>331518</v>
      </c>
      <c r="F2410">
        <v>16.7</v>
      </c>
      <c r="G2410">
        <v>9.5</v>
      </c>
      <c r="H2410">
        <v>6.9</v>
      </c>
      <c r="I2410">
        <v>6.8</v>
      </c>
    </row>
    <row r="2411" spans="1:9" ht="24" customHeight="1">
      <c r="A2411" s="6" t="s">
        <v>719</v>
      </c>
      <c r="B2411">
        <v>5540421</v>
      </c>
      <c r="C2411">
        <v>2460030</v>
      </c>
      <c r="D2411">
        <v>593577</v>
      </c>
      <c r="E2411">
        <v>422704</v>
      </c>
      <c r="F2411">
        <v>16.8</v>
      </c>
      <c r="G2411">
        <v>10.8</v>
      </c>
      <c r="H2411">
        <v>15.5</v>
      </c>
      <c r="I2411">
        <v>10.8</v>
      </c>
    </row>
    <row r="2412" spans="1:9" ht="24" customHeight="1">
      <c r="A2412" s="6" t="s">
        <v>720</v>
      </c>
      <c r="B2412">
        <v>273021</v>
      </c>
      <c r="C2412">
        <v>248161</v>
      </c>
      <c r="D2412">
        <v>332584</v>
      </c>
      <c r="E2412">
        <v>268607</v>
      </c>
      <c r="F2412">
        <v>11.6</v>
      </c>
      <c r="G2412">
        <v>7</v>
      </c>
      <c r="H2412">
        <v>0</v>
      </c>
      <c r="I2412">
        <v>0</v>
      </c>
    </row>
    <row r="2413" spans="1:9" ht="24" customHeight="1">
      <c r="A2413" s="6" t="s">
        <v>3790</v>
      </c>
      <c r="B2413">
        <v>488934</v>
      </c>
      <c r="C2413">
        <v>371825</v>
      </c>
      <c r="D2413">
        <v>420812</v>
      </c>
      <c r="E2413">
        <v>342571</v>
      </c>
      <c r="F2413">
        <v>17.8</v>
      </c>
      <c r="G2413">
        <v>11.6</v>
      </c>
      <c r="H2413">
        <v>1.5</v>
      </c>
      <c r="I2413">
        <v>1.5</v>
      </c>
    </row>
    <row r="2414" spans="1:9" ht="24" customHeight="1">
      <c r="A2414" s="6" t="s">
        <v>3791</v>
      </c>
      <c r="B2414">
        <v>665300</v>
      </c>
      <c r="C2414">
        <v>311207</v>
      </c>
      <c r="D2414">
        <v>583146</v>
      </c>
      <c r="E2414">
        <v>438177</v>
      </c>
      <c r="F2414">
        <v>20.2</v>
      </c>
      <c r="G2414">
        <v>10</v>
      </c>
      <c r="H2414">
        <v>12</v>
      </c>
      <c r="I2414">
        <v>12</v>
      </c>
    </row>
    <row r="2415" spans="1:9" ht="24" customHeight="1">
      <c r="A2415" s="6" t="s">
        <v>3792</v>
      </c>
      <c r="B2415">
        <v>775047</v>
      </c>
      <c r="C2415">
        <v>281259</v>
      </c>
      <c r="D2415">
        <v>641767</v>
      </c>
      <c r="E2415">
        <v>471844</v>
      </c>
      <c r="F2415">
        <v>18.3</v>
      </c>
      <c r="G2415">
        <v>9.3000000000000007</v>
      </c>
      <c r="H2415">
        <v>16.8</v>
      </c>
      <c r="I2415">
        <v>16.7</v>
      </c>
    </row>
    <row r="2416" spans="1:9" ht="24" customHeight="1">
      <c r="A2416" s="6" t="s">
        <v>3793</v>
      </c>
      <c r="B2416">
        <v>509920</v>
      </c>
      <c r="C2416">
        <v>157443</v>
      </c>
      <c r="D2416">
        <v>700760</v>
      </c>
      <c r="E2416">
        <v>513569</v>
      </c>
      <c r="F2416">
        <v>14.8</v>
      </c>
      <c r="G2416">
        <v>9.5</v>
      </c>
      <c r="H2416">
        <v>22</v>
      </c>
      <c r="I2416">
        <v>21.8</v>
      </c>
    </row>
    <row r="2417" spans="1:9" ht="24" customHeight="1">
      <c r="A2417" s="6" t="s">
        <v>3794</v>
      </c>
      <c r="B2417">
        <v>474298</v>
      </c>
      <c r="C2417">
        <v>128936</v>
      </c>
      <c r="D2417">
        <v>741932</v>
      </c>
      <c r="E2417">
        <v>574371</v>
      </c>
      <c r="F2417">
        <v>14.5</v>
      </c>
      <c r="G2417">
        <v>9.1999999999999993</v>
      </c>
      <c r="H2417">
        <v>26.9</v>
      </c>
      <c r="I2417">
        <v>26.9</v>
      </c>
    </row>
    <row r="2418" spans="1:9" ht="24" customHeight="1">
      <c r="A2418" s="6" t="s">
        <v>3795</v>
      </c>
      <c r="B2418">
        <v>495790</v>
      </c>
      <c r="C2418">
        <v>323316</v>
      </c>
      <c r="D2418">
        <v>445960</v>
      </c>
      <c r="E2418">
        <v>366998</v>
      </c>
      <c r="F2418">
        <v>20.7</v>
      </c>
      <c r="G2418">
        <v>11</v>
      </c>
      <c r="H2418">
        <v>3.5</v>
      </c>
      <c r="I2418">
        <v>3.5</v>
      </c>
    </row>
    <row r="2419" spans="1:9" ht="24" customHeight="1">
      <c r="A2419" s="6" t="s">
        <v>721</v>
      </c>
      <c r="B2419">
        <v>950295</v>
      </c>
      <c r="C2419">
        <v>218602</v>
      </c>
      <c r="D2419">
        <v>763550</v>
      </c>
      <c r="E2419">
        <v>572514</v>
      </c>
      <c r="F2419">
        <v>11.6</v>
      </c>
      <c r="G2419">
        <v>10.1</v>
      </c>
      <c r="H2419">
        <v>34</v>
      </c>
      <c r="I2419">
        <v>33.9</v>
      </c>
    </row>
    <row r="2420" spans="1:9" ht="24" customHeight="1">
      <c r="A2420" s="6" t="s">
        <v>3796</v>
      </c>
      <c r="B2420">
        <v>918406</v>
      </c>
      <c r="C2420">
        <v>516391</v>
      </c>
      <c r="D2420">
        <v>495917</v>
      </c>
      <c r="E2420">
        <v>402713</v>
      </c>
      <c r="F2420">
        <v>19.899999999999999</v>
      </c>
      <c r="G2420">
        <v>12.7</v>
      </c>
      <c r="H2420">
        <v>6.9</v>
      </c>
      <c r="I2420">
        <v>6.8</v>
      </c>
    </row>
    <row r="2421" spans="1:9" ht="24" customHeight="1">
      <c r="A2421" s="6" t="s">
        <v>3797</v>
      </c>
      <c r="B2421">
        <v>4922730</v>
      </c>
      <c r="C2421">
        <v>2544223</v>
      </c>
      <c r="D2421">
        <v>414230</v>
      </c>
      <c r="E2421">
        <v>321880</v>
      </c>
      <c r="F2421">
        <v>11.4</v>
      </c>
      <c r="G2421">
        <v>5.7</v>
      </c>
      <c r="H2421">
        <v>12</v>
      </c>
      <c r="I2421">
        <v>9.1999999999999993</v>
      </c>
    </row>
    <row r="2422" spans="1:9" ht="24" customHeight="1">
      <c r="A2422" s="6" t="s">
        <v>3798</v>
      </c>
      <c r="B2422">
        <v>332800</v>
      </c>
      <c r="C2422">
        <v>243597</v>
      </c>
      <c r="D2422">
        <v>294636</v>
      </c>
      <c r="E2422">
        <v>235827</v>
      </c>
      <c r="F2422">
        <v>9.9</v>
      </c>
      <c r="G2422">
        <v>4.3</v>
      </c>
      <c r="H2422">
        <v>0</v>
      </c>
      <c r="I2422">
        <v>0</v>
      </c>
    </row>
    <row r="2423" spans="1:9" ht="24" customHeight="1">
      <c r="A2423" s="6" t="s">
        <v>3799</v>
      </c>
      <c r="B2423">
        <v>605339</v>
      </c>
      <c r="C2423">
        <v>427169</v>
      </c>
      <c r="D2423">
        <v>345077</v>
      </c>
      <c r="E2423">
        <v>281526</v>
      </c>
      <c r="F2423">
        <v>11.9</v>
      </c>
      <c r="G2423">
        <v>5.6</v>
      </c>
      <c r="H2423">
        <v>1.5</v>
      </c>
      <c r="I2423">
        <v>1.5</v>
      </c>
    </row>
    <row r="2424" spans="1:9" ht="24" customHeight="1">
      <c r="A2424" s="6" t="s">
        <v>3800</v>
      </c>
      <c r="B2424">
        <v>719817</v>
      </c>
      <c r="C2424">
        <v>367114</v>
      </c>
      <c r="D2424">
        <v>422222</v>
      </c>
      <c r="E2424">
        <v>332568</v>
      </c>
      <c r="F2424">
        <v>11.6</v>
      </c>
      <c r="G2424">
        <v>5.5</v>
      </c>
      <c r="H2424">
        <v>11.8</v>
      </c>
      <c r="I2424">
        <v>11.8</v>
      </c>
    </row>
    <row r="2425" spans="1:9" ht="24" customHeight="1">
      <c r="A2425" s="6" t="s">
        <v>3801</v>
      </c>
      <c r="B2425">
        <v>592357</v>
      </c>
      <c r="C2425">
        <v>261521</v>
      </c>
      <c r="D2425">
        <v>456651</v>
      </c>
      <c r="E2425">
        <v>355271</v>
      </c>
      <c r="F2425">
        <v>12</v>
      </c>
      <c r="G2425">
        <v>5</v>
      </c>
      <c r="H2425">
        <v>16.8</v>
      </c>
      <c r="I2425">
        <v>16.7</v>
      </c>
    </row>
    <row r="2426" spans="1:9" ht="24" customHeight="1">
      <c r="A2426" s="6" t="s">
        <v>3802</v>
      </c>
      <c r="B2426">
        <v>408610</v>
      </c>
      <c r="C2426">
        <v>151664</v>
      </c>
      <c r="D2426">
        <v>473705</v>
      </c>
      <c r="E2426">
        <v>368817</v>
      </c>
      <c r="F2426">
        <v>10.8</v>
      </c>
      <c r="G2426">
        <v>5.5</v>
      </c>
      <c r="H2426">
        <v>21.8</v>
      </c>
      <c r="I2426">
        <v>21.7</v>
      </c>
    </row>
    <row r="2427" spans="1:9" ht="24" customHeight="1">
      <c r="A2427" s="6" t="s">
        <v>3803</v>
      </c>
      <c r="B2427">
        <v>307672</v>
      </c>
      <c r="C2427">
        <v>93378</v>
      </c>
      <c r="D2427">
        <v>498714</v>
      </c>
      <c r="E2427">
        <v>382293</v>
      </c>
      <c r="F2427">
        <v>9.8000000000000007</v>
      </c>
      <c r="G2427">
        <v>5.6</v>
      </c>
      <c r="H2427">
        <v>26.9</v>
      </c>
      <c r="I2427">
        <v>26.7</v>
      </c>
    </row>
    <row r="2428" spans="1:9" ht="24" customHeight="1">
      <c r="A2428" s="6" t="s">
        <v>3804</v>
      </c>
      <c r="B2428">
        <v>561553</v>
      </c>
      <c r="C2428">
        <v>377612</v>
      </c>
      <c r="D2428">
        <v>370747</v>
      </c>
      <c r="E2428">
        <v>299301</v>
      </c>
      <c r="F2428">
        <v>12.4</v>
      </c>
      <c r="G2428">
        <v>6</v>
      </c>
      <c r="H2428">
        <v>3.5</v>
      </c>
      <c r="I2428">
        <v>3.5</v>
      </c>
    </row>
    <row r="2429" spans="1:9" ht="24" customHeight="1">
      <c r="A2429" s="6" t="s">
        <v>3805</v>
      </c>
      <c r="B2429">
        <v>385544</v>
      </c>
      <c r="C2429">
        <v>112305</v>
      </c>
      <c r="D2429">
        <v>485543</v>
      </c>
      <c r="E2429">
        <v>394565</v>
      </c>
      <c r="F2429">
        <v>7.6</v>
      </c>
      <c r="G2429">
        <v>4</v>
      </c>
      <c r="H2429">
        <v>35.6</v>
      </c>
      <c r="I2429">
        <v>35.1</v>
      </c>
    </row>
    <row r="2430" spans="1:9" ht="24" customHeight="1">
      <c r="A2430" s="6" t="s">
        <v>3806</v>
      </c>
      <c r="B2430">
        <v>1067107</v>
      </c>
      <c r="C2430">
        <v>652104</v>
      </c>
      <c r="D2430">
        <v>399397</v>
      </c>
      <c r="E2430">
        <v>315070</v>
      </c>
      <c r="F2430">
        <v>12.2</v>
      </c>
      <c r="G2430">
        <v>6.2</v>
      </c>
      <c r="H2430">
        <v>6.9</v>
      </c>
      <c r="I2430">
        <v>6.8</v>
      </c>
    </row>
    <row r="2431" spans="1:9" ht="24" customHeight="1">
      <c r="A2431" s="6" t="s">
        <v>3807</v>
      </c>
      <c r="B2431">
        <v>2872191</v>
      </c>
      <c r="C2431">
        <v>1591030</v>
      </c>
      <c r="D2431">
        <v>458642</v>
      </c>
      <c r="E2431">
        <v>353630</v>
      </c>
      <c r="F2431">
        <v>13.1</v>
      </c>
      <c r="G2431">
        <v>6.7</v>
      </c>
      <c r="H2431">
        <v>13</v>
      </c>
      <c r="I2431">
        <v>9.9</v>
      </c>
    </row>
    <row r="2432" spans="1:9" ht="24" customHeight="1">
      <c r="A2432" s="6" t="s">
        <v>3808</v>
      </c>
      <c r="B2432">
        <v>186254</v>
      </c>
      <c r="C2432">
        <v>141106</v>
      </c>
      <c r="D2432">
        <v>303944</v>
      </c>
      <c r="E2432">
        <v>252675</v>
      </c>
      <c r="F2432">
        <v>9</v>
      </c>
      <c r="G2432">
        <v>4</v>
      </c>
      <c r="H2432">
        <v>0</v>
      </c>
      <c r="I2432">
        <v>0</v>
      </c>
    </row>
    <row r="2433" spans="1:9" ht="24" customHeight="1">
      <c r="A2433" s="6" t="s">
        <v>3809</v>
      </c>
      <c r="B2433">
        <v>326668</v>
      </c>
      <c r="C2433">
        <v>250907</v>
      </c>
      <c r="D2433">
        <v>365379</v>
      </c>
      <c r="E2433">
        <v>307941</v>
      </c>
      <c r="F2433">
        <v>14.2</v>
      </c>
      <c r="G2433">
        <v>6.9</v>
      </c>
      <c r="H2433">
        <v>1.5</v>
      </c>
      <c r="I2433">
        <v>1.5</v>
      </c>
    </row>
    <row r="2434" spans="1:9" ht="24" customHeight="1">
      <c r="A2434" s="6" t="s">
        <v>3810</v>
      </c>
      <c r="B2434">
        <v>394533</v>
      </c>
      <c r="C2434">
        <v>221901</v>
      </c>
      <c r="D2434">
        <v>459605</v>
      </c>
      <c r="E2434">
        <v>364578</v>
      </c>
      <c r="F2434">
        <v>14.1</v>
      </c>
      <c r="G2434">
        <v>6.4</v>
      </c>
      <c r="H2434">
        <v>11.9</v>
      </c>
      <c r="I2434">
        <v>11.9</v>
      </c>
    </row>
    <row r="2435" spans="1:9" ht="24" customHeight="1">
      <c r="A2435" s="6" t="s">
        <v>3811</v>
      </c>
      <c r="B2435">
        <v>381655</v>
      </c>
      <c r="C2435">
        <v>171563</v>
      </c>
      <c r="D2435">
        <v>499465</v>
      </c>
      <c r="E2435">
        <v>388495</v>
      </c>
      <c r="F2435">
        <v>14.1</v>
      </c>
      <c r="G2435">
        <v>6.5</v>
      </c>
      <c r="H2435">
        <v>16.8</v>
      </c>
      <c r="I2435">
        <v>16.8</v>
      </c>
    </row>
    <row r="2436" spans="1:9" ht="24" customHeight="1">
      <c r="A2436" s="6" t="s">
        <v>3812</v>
      </c>
      <c r="B2436">
        <v>243529</v>
      </c>
      <c r="C2436">
        <v>106668</v>
      </c>
      <c r="D2436">
        <v>531986</v>
      </c>
      <c r="E2436">
        <v>410339</v>
      </c>
      <c r="F2436">
        <v>11.3</v>
      </c>
      <c r="G2436">
        <v>5.9</v>
      </c>
      <c r="H2436">
        <v>21.8</v>
      </c>
      <c r="I2436">
        <v>21.8</v>
      </c>
    </row>
    <row r="2437" spans="1:9" ht="24" customHeight="1">
      <c r="A2437" s="6" t="s">
        <v>3813</v>
      </c>
      <c r="B2437">
        <v>212547</v>
      </c>
      <c r="C2437">
        <v>73844</v>
      </c>
      <c r="D2437">
        <v>576630</v>
      </c>
      <c r="E2437">
        <v>439995</v>
      </c>
      <c r="F2437">
        <v>9.8000000000000007</v>
      </c>
      <c r="G2437">
        <v>6.7</v>
      </c>
      <c r="H2437">
        <v>26.9</v>
      </c>
      <c r="I2437">
        <v>26.8</v>
      </c>
    </row>
    <row r="2438" spans="1:9" ht="24" customHeight="1">
      <c r="A2438" s="6" t="s">
        <v>3814</v>
      </c>
      <c r="B2438">
        <v>283497</v>
      </c>
      <c r="C2438">
        <v>219936</v>
      </c>
      <c r="D2438">
        <v>400311</v>
      </c>
      <c r="E2438">
        <v>324281</v>
      </c>
      <c r="F2438">
        <v>15.2</v>
      </c>
      <c r="G2438">
        <v>7.6</v>
      </c>
      <c r="H2438">
        <v>3.5</v>
      </c>
      <c r="I2438">
        <v>3.5</v>
      </c>
    </row>
    <row r="2439" spans="1:9" ht="24" customHeight="1">
      <c r="A2439" s="6" t="s">
        <v>3815</v>
      </c>
      <c r="B2439">
        <v>286882</v>
      </c>
      <c r="C2439">
        <v>79241</v>
      </c>
      <c r="D2439">
        <v>590316</v>
      </c>
      <c r="E2439">
        <v>485400</v>
      </c>
      <c r="F2439">
        <v>8.6999999999999993</v>
      </c>
      <c r="G2439">
        <v>7</v>
      </c>
      <c r="H2439">
        <v>34.200000000000003</v>
      </c>
      <c r="I2439">
        <v>33.799999999999997</v>
      </c>
    </row>
    <row r="2440" spans="1:9" ht="24" customHeight="1">
      <c r="A2440" s="6" t="s">
        <v>3816</v>
      </c>
      <c r="B2440">
        <v>568654</v>
      </c>
      <c r="C2440">
        <v>366895</v>
      </c>
      <c r="D2440">
        <v>418507</v>
      </c>
      <c r="E2440">
        <v>345026</v>
      </c>
      <c r="F2440">
        <v>15.5</v>
      </c>
      <c r="G2440">
        <v>7</v>
      </c>
      <c r="H2440">
        <v>6.8</v>
      </c>
      <c r="I2440">
        <v>6.7</v>
      </c>
    </row>
    <row r="2441" spans="1:9" ht="24" customHeight="1">
      <c r="A2441" s="6" t="s">
        <v>3817</v>
      </c>
      <c r="B2441">
        <v>2885594</v>
      </c>
      <c r="C2441">
        <v>1485310</v>
      </c>
      <c r="D2441">
        <v>511382</v>
      </c>
      <c r="E2441">
        <v>380409</v>
      </c>
      <c r="F2441">
        <v>15.2</v>
      </c>
      <c r="G2441">
        <v>8.1999999999999993</v>
      </c>
      <c r="H2441">
        <v>14.1</v>
      </c>
      <c r="I2441">
        <v>9.9</v>
      </c>
    </row>
    <row r="2442" spans="1:9" ht="24" customHeight="1">
      <c r="A2442" s="6" t="s">
        <v>3818</v>
      </c>
      <c r="B2442">
        <v>171637</v>
      </c>
      <c r="C2442">
        <v>139724</v>
      </c>
      <c r="D2442">
        <v>320605</v>
      </c>
      <c r="E2442">
        <v>261139</v>
      </c>
      <c r="F2442">
        <v>10.199999999999999</v>
      </c>
      <c r="G2442">
        <v>5</v>
      </c>
      <c r="H2442">
        <v>0</v>
      </c>
      <c r="I2442">
        <v>0</v>
      </c>
    </row>
    <row r="2443" spans="1:9" ht="24" customHeight="1">
      <c r="A2443" s="6" t="s">
        <v>3819</v>
      </c>
      <c r="B2443">
        <v>275428</v>
      </c>
      <c r="C2443">
        <v>235768</v>
      </c>
      <c r="D2443">
        <v>386639</v>
      </c>
      <c r="E2443">
        <v>327885</v>
      </c>
      <c r="F2443">
        <v>16.3</v>
      </c>
      <c r="G2443">
        <v>8.8000000000000007</v>
      </c>
      <c r="H2443">
        <v>1.5</v>
      </c>
      <c r="I2443">
        <v>1.4</v>
      </c>
    </row>
    <row r="2444" spans="1:9" ht="24" customHeight="1">
      <c r="A2444" s="6" t="s">
        <v>3820</v>
      </c>
      <c r="B2444">
        <v>367105</v>
      </c>
      <c r="C2444">
        <v>197857</v>
      </c>
      <c r="D2444">
        <v>504154</v>
      </c>
      <c r="E2444">
        <v>392709</v>
      </c>
      <c r="F2444">
        <v>17</v>
      </c>
      <c r="G2444">
        <v>7.3</v>
      </c>
      <c r="H2444">
        <v>12.1</v>
      </c>
      <c r="I2444">
        <v>11.9</v>
      </c>
    </row>
    <row r="2445" spans="1:9" ht="24" customHeight="1">
      <c r="A2445" s="6" t="s">
        <v>3821</v>
      </c>
      <c r="B2445">
        <v>429847</v>
      </c>
      <c r="C2445">
        <v>170977</v>
      </c>
      <c r="D2445">
        <v>560033</v>
      </c>
      <c r="E2445">
        <v>431437</v>
      </c>
      <c r="F2445">
        <v>16.8</v>
      </c>
      <c r="G2445">
        <v>7.7</v>
      </c>
      <c r="H2445">
        <v>16.8</v>
      </c>
      <c r="I2445">
        <v>16.7</v>
      </c>
    </row>
    <row r="2446" spans="1:9" ht="24" customHeight="1">
      <c r="A2446" s="6" t="s">
        <v>3822</v>
      </c>
      <c r="B2446">
        <v>240318</v>
      </c>
      <c r="C2446">
        <v>85516</v>
      </c>
      <c r="D2446">
        <v>602579</v>
      </c>
      <c r="E2446">
        <v>457095</v>
      </c>
      <c r="F2446">
        <v>14.8</v>
      </c>
      <c r="G2446">
        <v>7.1</v>
      </c>
      <c r="H2446">
        <v>21.8</v>
      </c>
      <c r="I2446">
        <v>21.7</v>
      </c>
    </row>
    <row r="2447" spans="1:9" ht="24" customHeight="1">
      <c r="A2447" s="6" t="s">
        <v>3823</v>
      </c>
      <c r="B2447">
        <v>231466</v>
      </c>
      <c r="C2447">
        <v>66979</v>
      </c>
      <c r="D2447">
        <v>630652</v>
      </c>
      <c r="E2447">
        <v>485450</v>
      </c>
      <c r="F2447">
        <v>11.6</v>
      </c>
      <c r="G2447">
        <v>8</v>
      </c>
      <c r="H2447">
        <v>27</v>
      </c>
      <c r="I2447">
        <v>26.9</v>
      </c>
    </row>
    <row r="2448" spans="1:9" ht="24" customHeight="1">
      <c r="A2448" s="6" t="s">
        <v>3824</v>
      </c>
      <c r="B2448">
        <v>297883</v>
      </c>
      <c r="C2448">
        <v>214007</v>
      </c>
      <c r="D2448">
        <v>433342</v>
      </c>
      <c r="E2448">
        <v>351871</v>
      </c>
      <c r="F2448">
        <v>17.2</v>
      </c>
      <c r="G2448">
        <v>9.4</v>
      </c>
      <c r="H2448">
        <v>3.5</v>
      </c>
      <c r="I2448">
        <v>3.5</v>
      </c>
    </row>
    <row r="2449" spans="1:9" ht="24" customHeight="1">
      <c r="A2449" s="6" t="s">
        <v>3825</v>
      </c>
      <c r="B2449">
        <v>368825</v>
      </c>
      <c r="C2449">
        <v>86751</v>
      </c>
      <c r="D2449">
        <v>643904</v>
      </c>
      <c r="E2449">
        <v>511884</v>
      </c>
      <c r="F2449">
        <v>9.6999999999999993</v>
      </c>
      <c r="G2449">
        <v>8.1999999999999993</v>
      </c>
      <c r="H2449">
        <v>34.1</v>
      </c>
      <c r="I2449">
        <v>33.799999999999997</v>
      </c>
    </row>
    <row r="2450" spans="1:9" ht="24" customHeight="1">
      <c r="A2450" s="6" t="s">
        <v>3826</v>
      </c>
      <c r="B2450">
        <v>509040</v>
      </c>
      <c r="C2450">
        <v>328977</v>
      </c>
      <c r="D2450">
        <v>458339</v>
      </c>
      <c r="E2450">
        <v>365607</v>
      </c>
      <c r="F2450">
        <v>18.100000000000001</v>
      </c>
      <c r="G2450">
        <v>8.6</v>
      </c>
      <c r="H2450">
        <v>6.9</v>
      </c>
      <c r="I2450">
        <v>6.8</v>
      </c>
    </row>
    <row r="2451" spans="1:9" ht="24" customHeight="1">
      <c r="A2451" s="6" t="s">
        <v>722</v>
      </c>
      <c r="B2451">
        <v>963713</v>
      </c>
      <c r="C2451">
        <v>772588</v>
      </c>
      <c r="D2451">
        <v>311811</v>
      </c>
      <c r="E2451">
        <v>254011</v>
      </c>
      <c r="F2451">
        <v>10.3</v>
      </c>
      <c r="G2451">
        <v>5.2</v>
      </c>
      <c r="H2451">
        <v>0</v>
      </c>
      <c r="I2451">
        <v>0</v>
      </c>
    </row>
    <row r="2452" spans="1:9" ht="24" customHeight="1">
      <c r="A2452" s="6" t="s">
        <v>3827</v>
      </c>
      <c r="B2452">
        <v>1696368</v>
      </c>
      <c r="C2452">
        <v>1285670</v>
      </c>
      <c r="D2452">
        <v>377563</v>
      </c>
      <c r="E2452">
        <v>312837</v>
      </c>
      <c r="F2452">
        <v>14.7</v>
      </c>
      <c r="G2452">
        <v>8.1999999999999993</v>
      </c>
      <c r="H2452">
        <v>1.5</v>
      </c>
      <c r="I2452">
        <v>1.5</v>
      </c>
    </row>
    <row r="2453" spans="1:9" ht="24" customHeight="1">
      <c r="A2453" s="6" t="s">
        <v>3828</v>
      </c>
      <c r="B2453">
        <v>2146755</v>
      </c>
      <c r="C2453">
        <v>1098079</v>
      </c>
      <c r="D2453">
        <v>492975</v>
      </c>
      <c r="E2453">
        <v>379804</v>
      </c>
      <c r="F2453">
        <v>15.6</v>
      </c>
      <c r="G2453">
        <v>7.3</v>
      </c>
      <c r="H2453">
        <v>11.9</v>
      </c>
      <c r="I2453">
        <v>11.9</v>
      </c>
    </row>
    <row r="2454" spans="1:9" ht="24" customHeight="1">
      <c r="A2454" s="6" t="s">
        <v>3829</v>
      </c>
      <c r="B2454">
        <v>2178905</v>
      </c>
      <c r="C2454">
        <v>885319</v>
      </c>
      <c r="D2454">
        <v>550392</v>
      </c>
      <c r="E2454">
        <v>413453</v>
      </c>
      <c r="F2454">
        <v>15.6</v>
      </c>
      <c r="G2454">
        <v>7.2</v>
      </c>
      <c r="H2454">
        <v>16.8</v>
      </c>
      <c r="I2454">
        <v>16.7</v>
      </c>
    </row>
    <row r="2455" spans="1:9" ht="24" customHeight="1">
      <c r="A2455" s="6" t="s">
        <v>3830</v>
      </c>
      <c r="B2455">
        <v>1402378</v>
      </c>
      <c r="C2455">
        <v>501291</v>
      </c>
      <c r="D2455">
        <v>588470</v>
      </c>
      <c r="E2455">
        <v>438175</v>
      </c>
      <c r="F2455">
        <v>13</v>
      </c>
      <c r="G2455">
        <v>7.1</v>
      </c>
      <c r="H2455">
        <v>21.9</v>
      </c>
      <c r="I2455">
        <v>21.7</v>
      </c>
    </row>
    <row r="2456" spans="1:9" ht="24" customHeight="1">
      <c r="A2456" s="6" t="s">
        <v>3831</v>
      </c>
      <c r="B2456">
        <v>1225983</v>
      </c>
      <c r="C2456">
        <v>363137</v>
      </c>
      <c r="D2456">
        <v>631226</v>
      </c>
      <c r="E2456">
        <v>481253</v>
      </c>
      <c r="F2456">
        <v>11.9</v>
      </c>
      <c r="G2456">
        <v>7.5</v>
      </c>
      <c r="H2456">
        <v>26.9</v>
      </c>
      <c r="I2456">
        <v>26.8</v>
      </c>
    </row>
    <row r="2457" spans="1:9" ht="24" customHeight="1">
      <c r="A2457" s="6" t="s">
        <v>3832</v>
      </c>
      <c r="B2457">
        <v>1638723</v>
      </c>
      <c r="C2457">
        <v>1134871</v>
      </c>
      <c r="D2457">
        <v>409995</v>
      </c>
      <c r="E2457">
        <v>333342</v>
      </c>
      <c r="F2457">
        <v>16.2</v>
      </c>
      <c r="G2457">
        <v>8.4</v>
      </c>
      <c r="H2457">
        <v>3.5</v>
      </c>
      <c r="I2457">
        <v>3.5</v>
      </c>
    </row>
    <row r="2458" spans="1:9" ht="24" customHeight="1">
      <c r="A2458" s="6" t="s">
        <v>723</v>
      </c>
      <c r="B2458">
        <v>1991546</v>
      </c>
      <c r="C2458">
        <v>496898</v>
      </c>
      <c r="D2458">
        <v>662618</v>
      </c>
      <c r="E2458">
        <v>507818</v>
      </c>
      <c r="F2458">
        <v>10.1</v>
      </c>
      <c r="G2458">
        <v>7.9</v>
      </c>
      <c r="H2458">
        <v>34.4</v>
      </c>
      <c r="I2458">
        <v>34.1</v>
      </c>
    </row>
    <row r="2459" spans="1:9" ht="24" customHeight="1">
      <c r="A2459" s="6" t="s">
        <v>3833</v>
      </c>
      <c r="B2459">
        <v>3063208</v>
      </c>
      <c r="C2459">
        <v>1864367</v>
      </c>
      <c r="D2459">
        <v>441678</v>
      </c>
      <c r="E2459">
        <v>354158</v>
      </c>
      <c r="F2459">
        <v>16.100000000000001</v>
      </c>
      <c r="G2459">
        <v>8.6</v>
      </c>
      <c r="H2459">
        <v>6.9</v>
      </c>
      <c r="I2459">
        <v>6.7</v>
      </c>
    </row>
    <row r="2460" spans="1:9" ht="24" customHeight="1">
      <c r="A2460" s="6" t="s">
        <v>724</v>
      </c>
      <c r="B2460">
        <v>2830</v>
      </c>
      <c r="C2460">
        <v>176</v>
      </c>
      <c r="D2460">
        <v>1048332</v>
      </c>
      <c r="E2460">
        <v>761012</v>
      </c>
      <c r="F2460">
        <v>0</v>
      </c>
      <c r="G2460">
        <v>0</v>
      </c>
      <c r="H2460">
        <v>30.5</v>
      </c>
      <c r="I2460">
        <v>20</v>
      </c>
    </row>
    <row r="2461" spans="1:9" ht="24" customHeight="1">
      <c r="A2461" s="6" t="s">
        <v>725</v>
      </c>
      <c r="B2461">
        <v>15385</v>
      </c>
      <c r="C2461">
        <v>496</v>
      </c>
      <c r="D2461">
        <v>631483</v>
      </c>
      <c r="E2461">
        <v>567214</v>
      </c>
      <c r="F2461">
        <v>1.2</v>
      </c>
      <c r="G2461">
        <v>0</v>
      </c>
      <c r="H2461">
        <v>20.7</v>
      </c>
      <c r="I2461">
        <v>22.9</v>
      </c>
    </row>
    <row r="2462" spans="1:9" ht="24" customHeight="1">
      <c r="A2462" s="6" t="s">
        <v>726</v>
      </c>
      <c r="B2462">
        <v>18500</v>
      </c>
      <c r="C2462">
        <v>5810</v>
      </c>
      <c r="D2462">
        <v>458827</v>
      </c>
      <c r="E2462">
        <v>386219</v>
      </c>
      <c r="F2462">
        <v>36.299999999999997</v>
      </c>
      <c r="G2462">
        <v>14.3</v>
      </c>
      <c r="H2462">
        <v>17.100000000000001</v>
      </c>
      <c r="I2462">
        <v>17.5</v>
      </c>
    </row>
    <row r="2463" spans="1:9" ht="24" customHeight="1">
      <c r="A2463" s="6" t="s">
        <v>727</v>
      </c>
      <c r="B2463">
        <v>19270</v>
      </c>
      <c r="C2463">
        <v>5632</v>
      </c>
      <c r="D2463">
        <v>410552</v>
      </c>
      <c r="E2463">
        <v>334908</v>
      </c>
      <c r="F2463">
        <v>34.4</v>
      </c>
      <c r="G2463">
        <v>25.4</v>
      </c>
      <c r="H2463">
        <v>12.6</v>
      </c>
      <c r="I2463">
        <v>6.5</v>
      </c>
    </row>
    <row r="2464" spans="1:9" ht="24" customHeight="1">
      <c r="A2464" s="6" t="s">
        <v>728</v>
      </c>
      <c r="B2464">
        <v>9659</v>
      </c>
      <c r="C2464">
        <v>375</v>
      </c>
      <c r="D2464">
        <v>716198</v>
      </c>
      <c r="E2464">
        <v>470172</v>
      </c>
      <c r="F2464">
        <v>4</v>
      </c>
      <c r="G2464">
        <v>3.9</v>
      </c>
      <c r="H2464">
        <v>26.3</v>
      </c>
      <c r="I2464">
        <v>21.9</v>
      </c>
    </row>
    <row r="2465" spans="1:9" ht="24" customHeight="1">
      <c r="A2465" s="6" t="s">
        <v>729</v>
      </c>
      <c r="B2465">
        <v>79640</v>
      </c>
      <c r="C2465">
        <v>57630</v>
      </c>
      <c r="D2465">
        <v>398612</v>
      </c>
      <c r="E2465">
        <v>299088</v>
      </c>
      <c r="F2465">
        <v>20.2</v>
      </c>
      <c r="G2465">
        <v>17.100000000000001</v>
      </c>
      <c r="H2465">
        <v>12.9</v>
      </c>
      <c r="I2465">
        <v>7.3</v>
      </c>
    </row>
    <row r="2466" spans="1:9" ht="24" customHeight="1">
      <c r="A2466" s="6" t="s">
        <v>3834</v>
      </c>
      <c r="B2466">
        <v>5861</v>
      </c>
      <c r="C2466">
        <v>451</v>
      </c>
      <c r="D2466">
        <v>499849</v>
      </c>
      <c r="E2466">
        <v>294576</v>
      </c>
      <c r="F2466">
        <v>3.7</v>
      </c>
      <c r="G2466">
        <v>2.2999999999999998</v>
      </c>
      <c r="H2466">
        <v>18.8</v>
      </c>
      <c r="I2466">
        <v>18.399999999999999</v>
      </c>
    </row>
    <row r="2467" spans="1:9" ht="24" customHeight="1">
      <c r="A2467" s="6" t="s">
        <v>3835</v>
      </c>
      <c r="B2467">
        <v>8016</v>
      </c>
      <c r="C2467">
        <v>728</v>
      </c>
      <c r="D2467">
        <v>422610</v>
      </c>
      <c r="E2467">
        <v>258043</v>
      </c>
      <c r="F2467">
        <v>5.4</v>
      </c>
      <c r="G2467">
        <v>2.5</v>
      </c>
      <c r="H2467">
        <v>17.899999999999999</v>
      </c>
      <c r="I2467">
        <v>19.899999999999999</v>
      </c>
    </row>
    <row r="2468" spans="1:9" ht="24" customHeight="1">
      <c r="A2468" s="6" t="s">
        <v>3836</v>
      </c>
      <c r="B2468">
        <v>4208</v>
      </c>
      <c r="C2468">
        <v>1046</v>
      </c>
      <c r="D2468">
        <v>390978</v>
      </c>
      <c r="E2468">
        <v>331512</v>
      </c>
      <c r="F2468">
        <v>12</v>
      </c>
      <c r="G2468">
        <v>15.2</v>
      </c>
      <c r="H2468">
        <v>14.8</v>
      </c>
      <c r="I2468">
        <v>18.8</v>
      </c>
    </row>
    <row r="2469" spans="1:9" ht="24" customHeight="1">
      <c r="A2469" s="6" t="s">
        <v>3837</v>
      </c>
      <c r="B2469">
        <v>8139</v>
      </c>
      <c r="C2469">
        <v>2812</v>
      </c>
      <c r="D2469">
        <v>370692</v>
      </c>
      <c r="E2469">
        <v>294631</v>
      </c>
      <c r="F2469">
        <v>10.8</v>
      </c>
      <c r="G2469">
        <v>7.7</v>
      </c>
      <c r="H2469">
        <v>13.2</v>
      </c>
      <c r="I2469">
        <v>12.4</v>
      </c>
    </row>
    <row r="2470" spans="1:9" ht="24" customHeight="1">
      <c r="A2470" s="6" t="s">
        <v>3838</v>
      </c>
      <c r="B2470">
        <v>5665</v>
      </c>
      <c r="C2470">
        <v>1027</v>
      </c>
      <c r="D2470">
        <v>392837</v>
      </c>
      <c r="E2470">
        <v>328035</v>
      </c>
      <c r="F2470">
        <v>9.6</v>
      </c>
      <c r="G2470">
        <v>2.5</v>
      </c>
      <c r="H2470">
        <v>16</v>
      </c>
      <c r="I2470">
        <v>14.6</v>
      </c>
    </row>
    <row r="2471" spans="1:9" ht="24" customHeight="1">
      <c r="A2471" s="6" t="s">
        <v>3839</v>
      </c>
      <c r="B2471">
        <v>70779</v>
      </c>
      <c r="C2471">
        <v>52718</v>
      </c>
      <c r="D2471">
        <v>315935</v>
      </c>
      <c r="E2471">
        <v>225351</v>
      </c>
      <c r="F2471">
        <v>12</v>
      </c>
      <c r="G2471">
        <v>5.6</v>
      </c>
      <c r="H2471">
        <v>9.6999999999999993</v>
      </c>
      <c r="I2471">
        <v>8.9</v>
      </c>
    </row>
    <row r="2472" spans="1:9" ht="24" customHeight="1">
      <c r="A2472" s="6" t="s">
        <v>3840</v>
      </c>
      <c r="B2472">
        <v>3576</v>
      </c>
      <c r="C2472">
        <v>208</v>
      </c>
      <c r="D2472">
        <v>676329</v>
      </c>
      <c r="E2472">
        <v>496792</v>
      </c>
      <c r="F2472">
        <v>1.2</v>
      </c>
      <c r="G2472">
        <v>0</v>
      </c>
      <c r="H2472">
        <v>23.3</v>
      </c>
      <c r="I2472">
        <v>17.7</v>
      </c>
    </row>
    <row r="2473" spans="1:9" ht="24" customHeight="1">
      <c r="A2473" s="6" t="s">
        <v>3841</v>
      </c>
      <c r="B2473">
        <v>9891</v>
      </c>
      <c r="C2473">
        <v>872</v>
      </c>
      <c r="D2473">
        <v>535344</v>
      </c>
      <c r="E2473">
        <v>408936</v>
      </c>
      <c r="F2473">
        <v>1.9</v>
      </c>
      <c r="G2473">
        <v>0.4</v>
      </c>
      <c r="H2473">
        <v>18</v>
      </c>
      <c r="I2473">
        <v>21</v>
      </c>
    </row>
    <row r="2474" spans="1:9" ht="24" customHeight="1">
      <c r="A2474" s="6" t="s">
        <v>3842</v>
      </c>
      <c r="B2474">
        <v>5905</v>
      </c>
      <c r="C2474">
        <v>1649</v>
      </c>
      <c r="D2474">
        <v>449642</v>
      </c>
      <c r="E2474">
        <v>401635</v>
      </c>
      <c r="F2474">
        <v>24.5</v>
      </c>
      <c r="G2474">
        <v>12.7</v>
      </c>
      <c r="H2474">
        <v>15.7</v>
      </c>
      <c r="I2474">
        <v>16.600000000000001</v>
      </c>
    </row>
    <row r="2475" spans="1:9" ht="24" customHeight="1">
      <c r="A2475" s="6" t="s">
        <v>3843</v>
      </c>
      <c r="B2475">
        <v>6045</v>
      </c>
      <c r="C2475">
        <v>1067</v>
      </c>
      <c r="D2475">
        <v>526235</v>
      </c>
      <c r="E2475">
        <v>331368</v>
      </c>
      <c r="F2475">
        <v>16.899999999999999</v>
      </c>
      <c r="G2475">
        <v>20.5</v>
      </c>
      <c r="H2475">
        <v>18</v>
      </c>
      <c r="I2475">
        <v>8.6999999999999993</v>
      </c>
    </row>
    <row r="2476" spans="1:9" ht="24" customHeight="1">
      <c r="A2476" s="6" t="s">
        <v>3844</v>
      </c>
      <c r="B2476">
        <v>4582</v>
      </c>
      <c r="C2476">
        <v>3110</v>
      </c>
      <c r="D2476">
        <v>477990</v>
      </c>
      <c r="E2476">
        <v>315443</v>
      </c>
      <c r="F2476">
        <v>13.7</v>
      </c>
      <c r="G2476">
        <v>15.6</v>
      </c>
      <c r="H2476">
        <v>17.100000000000001</v>
      </c>
      <c r="I2476">
        <v>16.7</v>
      </c>
    </row>
    <row r="2477" spans="1:9" ht="24" customHeight="1">
      <c r="A2477" s="6" t="s">
        <v>3845</v>
      </c>
      <c r="B2477">
        <v>37261</v>
      </c>
      <c r="C2477">
        <v>33824</v>
      </c>
      <c r="D2477">
        <v>344482</v>
      </c>
      <c r="E2477">
        <v>272665</v>
      </c>
      <c r="F2477">
        <v>17</v>
      </c>
      <c r="G2477">
        <v>13.4</v>
      </c>
      <c r="H2477">
        <v>11.3</v>
      </c>
      <c r="I2477">
        <v>9.4</v>
      </c>
    </row>
    <row r="2478" spans="1:9" ht="24" customHeight="1">
      <c r="A2478" s="6" t="s">
        <v>3846</v>
      </c>
      <c r="B2478">
        <v>11752</v>
      </c>
      <c r="C2478">
        <v>0</v>
      </c>
      <c r="D2478">
        <v>746722</v>
      </c>
      <c r="E2478"/>
      <c r="F2478">
        <v>6</v>
      </c>
      <c r="G2478"/>
      <c r="H2478">
        <v>29.8</v>
      </c>
      <c r="I2478"/>
    </row>
    <row r="2479" spans="1:9" ht="24" customHeight="1">
      <c r="A2479" s="6" t="s">
        <v>3847</v>
      </c>
      <c r="B2479">
        <v>14379</v>
      </c>
      <c r="C2479">
        <v>691</v>
      </c>
      <c r="D2479">
        <v>627367</v>
      </c>
      <c r="E2479">
        <v>593383</v>
      </c>
      <c r="F2479">
        <v>13.9</v>
      </c>
      <c r="G2479">
        <v>0</v>
      </c>
      <c r="H2479">
        <v>20.7</v>
      </c>
      <c r="I2479">
        <v>20.5</v>
      </c>
    </row>
    <row r="2480" spans="1:9" ht="24" customHeight="1">
      <c r="A2480" s="6" t="s">
        <v>3848</v>
      </c>
      <c r="B2480">
        <v>9395</v>
      </c>
      <c r="C2480">
        <v>2024</v>
      </c>
      <c r="D2480">
        <v>541420</v>
      </c>
      <c r="E2480">
        <v>448758</v>
      </c>
      <c r="F2480">
        <v>24.4</v>
      </c>
      <c r="G2480">
        <v>14.4</v>
      </c>
      <c r="H2480">
        <v>20.6</v>
      </c>
      <c r="I2480">
        <v>18.100000000000001</v>
      </c>
    </row>
    <row r="2481" spans="1:9" ht="24" customHeight="1">
      <c r="A2481" s="6" t="s">
        <v>3849</v>
      </c>
      <c r="B2481">
        <v>6507</v>
      </c>
      <c r="C2481">
        <v>992</v>
      </c>
      <c r="D2481">
        <v>551192</v>
      </c>
      <c r="E2481">
        <v>445659</v>
      </c>
      <c r="F2481">
        <v>22.6</v>
      </c>
      <c r="G2481">
        <v>14.6</v>
      </c>
      <c r="H2481">
        <v>17</v>
      </c>
      <c r="I2481">
        <v>19.7</v>
      </c>
    </row>
    <row r="2482" spans="1:9" ht="24" customHeight="1">
      <c r="A2482" s="6" t="s">
        <v>3850</v>
      </c>
      <c r="B2482">
        <v>11544</v>
      </c>
      <c r="C2482">
        <v>2864</v>
      </c>
      <c r="D2482">
        <v>711951</v>
      </c>
      <c r="E2482">
        <v>554648</v>
      </c>
      <c r="F2482">
        <v>8.1</v>
      </c>
      <c r="G2482">
        <v>13.5</v>
      </c>
      <c r="H2482">
        <v>21.9</v>
      </c>
      <c r="I2482">
        <v>14.5</v>
      </c>
    </row>
    <row r="2483" spans="1:9" ht="24" customHeight="1">
      <c r="A2483" s="6" t="s">
        <v>3851</v>
      </c>
      <c r="B2483">
        <v>59036</v>
      </c>
      <c r="C2483">
        <v>29181</v>
      </c>
      <c r="D2483">
        <v>398147</v>
      </c>
      <c r="E2483">
        <v>325311</v>
      </c>
      <c r="F2483">
        <v>16.899999999999999</v>
      </c>
      <c r="G2483">
        <v>13.6</v>
      </c>
      <c r="H2483">
        <v>10.7</v>
      </c>
      <c r="I2483">
        <v>9.1</v>
      </c>
    </row>
    <row r="2484" spans="1:9" ht="24" customHeight="1">
      <c r="A2484" s="6" t="s">
        <v>730</v>
      </c>
      <c r="B2484">
        <v>167</v>
      </c>
      <c r="C2484">
        <v>0</v>
      </c>
      <c r="D2484">
        <v>1162625</v>
      </c>
      <c r="E2484"/>
      <c r="F2484">
        <v>0</v>
      </c>
      <c r="G2484"/>
      <c r="H2484">
        <v>27.9</v>
      </c>
      <c r="I2484"/>
    </row>
    <row r="2485" spans="1:9" ht="24" customHeight="1">
      <c r="A2485" s="6" t="s">
        <v>731</v>
      </c>
      <c r="B2485">
        <v>652</v>
      </c>
      <c r="C2485">
        <v>21</v>
      </c>
      <c r="D2485">
        <v>994284</v>
      </c>
      <c r="E2485">
        <v>950921</v>
      </c>
      <c r="F2485">
        <v>4.2</v>
      </c>
      <c r="G2485">
        <v>0</v>
      </c>
      <c r="H2485">
        <v>21.5</v>
      </c>
      <c r="I2485">
        <v>29.2</v>
      </c>
    </row>
    <row r="2486" spans="1:9" ht="24" customHeight="1">
      <c r="A2486" s="6" t="s">
        <v>732</v>
      </c>
      <c r="B2486">
        <v>639</v>
      </c>
      <c r="C2486">
        <v>117</v>
      </c>
      <c r="D2486">
        <v>704063</v>
      </c>
      <c r="E2486">
        <v>593961</v>
      </c>
      <c r="F2486">
        <v>19.7</v>
      </c>
      <c r="G2486">
        <v>20.399999999999999</v>
      </c>
      <c r="H2486">
        <v>21</v>
      </c>
      <c r="I2486">
        <v>16</v>
      </c>
    </row>
    <row r="2487" spans="1:9" ht="24" customHeight="1">
      <c r="A2487" s="6" t="s">
        <v>733</v>
      </c>
      <c r="B2487">
        <v>412</v>
      </c>
      <c r="C2487">
        <v>8</v>
      </c>
      <c r="D2487">
        <v>541890</v>
      </c>
      <c r="E2487">
        <v>369937</v>
      </c>
      <c r="F2487">
        <v>28.8</v>
      </c>
      <c r="G2487">
        <v>7</v>
      </c>
      <c r="H2487">
        <v>17</v>
      </c>
      <c r="I2487">
        <v>12</v>
      </c>
    </row>
    <row r="2488" spans="1:9" ht="24" customHeight="1">
      <c r="A2488" s="6" t="s">
        <v>734</v>
      </c>
      <c r="B2488">
        <v>647</v>
      </c>
      <c r="C2488">
        <v>43</v>
      </c>
      <c r="D2488">
        <v>754258</v>
      </c>
      <c r="E2488">
        <v>542361</v>
      </c>
      <c r="F2488">
        <v>6</v>
      </c>
      <c r="G2488">
        <v>2.8</v>
      </c>
      <c r="H2488">
        <v>17.399999999999999</v>
      </c>
      <c r="I2488">
        <v>12.5</v>
      </c>
    </row>
    <row r="2489" spans="1:9" ht="24" customHeight="1">
      <c r="A2489" s="6" t="s">
        <v>735</v>
      </c>
      <c r="B2489">
        <v>8944</v>
      </c>
      <c r="C2489">
        <v>1639</v>
      </c>
      <c r="D2489">
        <v>528464</v>
      </c>
      <c r="E2489">
        <v>432053</v>
      </c>
      <c r="F2489">
        <v>18.100000000000001</v>
      </c>
      <c r="G2489">
        <v>12.4</v>
      </c>
      <c r="H2489">
        <v>15.6</v>
      </c>
      <c r="I2489">
        <v>14.2</v>
      </c>
    </row>
    <row r="2490" spans="1:9" ht="24" customHeight="1">
      <c r="A2490" s="6" t="s">
        <v>3852</v>
      </c>
      <c r="B2490">
        <v>1646</v>
      </c>
      <c r="C2490">
        <v>49</v>
      </c>
      <c r="D2490">
        <v>606094</v>
      </c>
      <c r="E2490">
        <v>429001</v>
      </c>
      <c r="F2490">
        <v>3.5</v>
      </c>
      <c r="G2490">
        <v>2</v>
      </c>
      <c r="H2490">
        <v>20.6</v>
      </c>
      <c r="I2490">
        <v>17.3</v>
      </c>
    </row>
    <row r="2491" spans="1:9" ht="24" customHeight="1">
      <c r="A2491" s="6" t="s">
        <v>3853</v>
      </c>
      <c r="B2491">
        <v>2225</v>
      </c>
      <c r="C2491">
        <v>328</v>
      </c>
      <c r="D2491">
        <v>477315</v>
      </c>
      <c r="E2491">
        <v>399091</v>
      </c>
      <c r="F2491">
        <v>4.0999999999999996</v>
      </c>
      <c r="G2491">
        <v>3.1</v>
      </c>
      <c r="H2491">
        <v>17.399999999999999</v>
      </c>
      <c r="I2491">
        <v>13.8</v>
      </c>
    </row>
    <row r="2492" spans="1:9" ht="24" customHeight="1">
      <c r="A2492" s="6" t="s">
        <v>3854</v>
      </c>
      <c r="B2492">
        <v>1631</v>
      </c>
      <c r="C2492">
        <v>324</v>
      </c>
      <c r="D2492">
        <v>407886</v>
      </c>
      <c r="E2492">
        <v>348911</v>
      </c>
      <c r="F2492">
        <v>8.6999999999999993</v>
      </c>
      <c r="G2492">
        <v>8.8000000000000007</v>
      </c>
      <c r="H2492">
        <v>18</v>
      </c>
      <c r="I2492">
        <v>15.5</v>
      </c>
    </row>
    <row r="2493" spans="1:9" ht="24" customHeight="1">
      <c r="A2493" s="6" t="s">
        <v>3855</v>
      </c>
      <c r="B2493">
        <v>778</v>
      </c>
      <c r="C2493">
        <v>78</v>
      </c>
      <c r="D2493">
        <v>397668</v>
      </c>
      <c r="E2493">
        <v>330084</v>
      </c>
      <c r="F2493">
        <v>12.3</v>
      </c>
      <c r="G2493">
        <v>5.6</v>
      </c>
      <c r="H2493">
        <v>16.899999999999999</v>
      </c>
      <c r="I2493">
        <v>17.2</v>
      </c>
    </row>
    <row r="2494" spans="1:9" ht="24" customHeight="1">
      <c r="A2494" s="6" t="s">
        <v>3856</v>
      </c>
      <c r="B2494">
        <v>1073</v>
      </c>
      <c r="C2494">
        <v>85</v>
      </c>
      <c r="D2494">
        <v>507934</v>
      </c>
      <c r="E2494">
        <v>399531</v>
      </c>
      <c r="F2494">
        <v>8.6</v>
      </c>
      <c r="G2494">
        <v>7.9</v>
      </c>
      <c r="H2494">
        <v>18.7</v>
      </c>
      <c r="I2494">
        <v>19.600000000000001</v>
      </c>
    </row>
    <row r="2495" spans="1:9" ht="24" customHeight="1">
      <c r="A2495" s="6" t="s">
        <v>3857</v>
      </c>
      <c r="B2495">
        <v>13414</v>
      </c>
      <c r="C2495">
        <v>5903</v>
      </c>
      <c r="D2495">
        <v>336269</v>
      </c>
      <c r="E2495">
        <v>275548</v>
      </c>
      <c r="F2495">
        <v>9.1999999999999993</v>
      </c>
      <c r="G2495">
        <v>6.6</v>
      </c>
      <c r="H2495">
        <v>10</v>
      </c>
      <c r="I2495">
        <v>9.5</v>
      </c>
    </row>
    <row r="2496" spans="1:9" ht="24" customHeight="1">
      <c r="A2496" s="6" t="s">
        <v>3858</v>
      </c>
      <c r="B2496">
        <v>377</v>
      </c>
      <c r="C2496">
        <v>10</v>
      </c>
      <c r="D2496">
        <v>716407</v>
      </c>
      <c r="E2496">
        <v>486000</v>
      </c>
      <c r="F2496">
        <v>0.3</v>
      </c>
      <c r="G2496">
        <v>0</v>
      </c>
      <c r="H2496">
        <v>28.2</v>
      </c>
      <c r="I2496">
        <v>15.5</v>
      </c>
    </row>
    <row r="2497" spans="1:9" ht="24" customHeight="1">
      <c r="A2497" s="6" t="s">
        <v>3859</v>
      </c>
      <c r="B2497">
        <v>1024</v>
      </c>
      <c r="C2497">
        <v>67</v>
      </c>
      <c r="D2497">
        <v>575343</v>
      </c>
      <c r="E2497">
        <v>598694</v>
      </c>
      <c r="F2497">
        <v>3.1</v>
      </c>
      <c r="G2497">
        <v>8.3000000000000007</v>
      </c>
      <c r="H2497">
        <v>23.9</v>
      </c>
      <c r="I2497">
        <v>24.8</v>
      </c>
    </row>
    <row r="2498" spans="1:9" ht="24" customHeight="1">
      <c r="A2498" s="6" t="s">
        <v>3860</v>
      </c>
      <c r="B2498">
        <v>1158</v>
      </c>
      <c r="C2498">
        <v>192</v>
      </c>
      <c r="D2498">
        <v>471093</v>
      </c>
      <c r="E2498">
        <v>395690</v>
      </c>
      <c r="F2498">
        <v>10.9</v>
      </c>
      <c r="G2498">
        <v>10.8</v>
      </c>
      <c r="H2498">
        <v>20.3</v>
      </c>
      <c r="I2498">
        <v>17.899999999999999</v>
      </c>
    </row>
    <row r="2499" spans="1:9" ht="24" customHeight="1">
      <c r="A2499" s="6" t="s">
        <v>3861</v>
      </c>
      <c r="B2499">
        <v>658</v>
      </c>
      <c r="C2499">
        <v>92</v>
      </c>
      <c r="D2499">
        <v>467740</v>
      </c>
      <c r="E2499">
        <v>296120</v>
      </c>
      <c r="F2499">
        <v>21.6</v>
      </c>
      <c r="G2499">
        <v>4.0999999999999996</v>
      </c>
      <c r="H2499">
        <v>17.3</v>
      </c>
      <c r="I2499">
        <v>14.8</v>
      </c>
    </row>
    <row r="2500" spans="1:9" ht="24" customHeight="1">
      <c r="A2500" s="6" t="s">
        <v>3862</v>
      </c>
      <c r="B2500">
        <v>658</v>
      </c>
      <c r="C2500">
        <v>223</v>
      </c>
      <c r="D2500">
        <v>533902</v>
      </c>
      <c r="E2500">
        <v>396706</v>
      </c>
      <c r="F2500">
        <v>8.8000000000000007</v>
      </c>
      <c r="G2500">
        <v>8.4</v>
      </c>
      <c r="H2500">
        <v>21.7</v>
      </c>
      <c r="I2500">
        <v>21.1</v>
      </c>
    </row>
    <row r="2501" spans="1:9" ht="24" customHeight="1">
      <c r="A2501" s="6" t="s">
        <v>3863</v>
      </c>
      <c r="B2501">
        <v>6047</v>
      </c>
      <c r="C2501">
        <v>3120</v>
      </c>
      <c r="D2501">
        <v>361043</v>
      </c>
      <c r="E2501">
        <v>286720</v>
      </c>
      <c r="F2501">
        <v>17.100000000000001</v>
      </c>
      <c r="G2501">
        <v>8.3000000000000007</v>
      </c>
      <c r="H2501">
        <v>9.5</v>
      </c>
      <c r="I2501">
        <v>9</v>
      </c>
    </row>
    <row r="2502" spans="1:9" ht="24" customHeight="1">
      <c r="A2502" s="6" t="s">
        <v>3864</v>
      </c>
      <c r="B2502">
        <v>646</v>
      </c>
      <c r="C2502">
        <v>36</v>
      </c>
      <c r="D2502">
        <v>753625</v>
      </c>
      <c r="E2502">
        <v>647717</v>
      </c>
      <c r="F2502">
        <v>0.3</v>
      </c>
      <c r="G2502">
        <v>0</v>
      </c>
      <c r="H2502">
        <v>30.6</v>
      </c>
      <c r="I2502">
        <v>11</v>
      </c>
    </row>
    <row r="2503" spans="1:9" ht="24" customHeight="1">
      <c r="A2503" s="6" t="s">
        <v>3865</v>
      </c>
      <c r="B2503">
        <v>1626</v>
      </c>
      <c r="C2503">
        <v>117</v>
      </c>
      <c r="D2503">
        <v>642000</v>
      </c>
      <c r="E2503">
        <v>640391</v>
      </c>
      <c r="F2503">
        <v>4.7</v>
      </c>
      <c r="G2503">
        <v>0</v>
      </c>
      <c r="H2503">
        <v>25.6</v>
      </c>
      <c r="I2503">
        <v>29.2</v>
      </c>
    </row>
    <row r="2504" spans="1:9" ht="24" customHeight="1">
      <c r="A2504" s="6" t="s">
        <v>3866</v>
      </c>
      <c r="B2504">
        <v>1030</v>
      </c>
      <c r="C2504">
        <v>316</v>
      </c>
      <c r="D2504">
        <v>518267</v>
      </c>
      <c r="E2504">
        <v>465431</v>
      </c>
      <c r="F2504">
        <v>27.7</v>
      </c>
      <c r="G2504">
        <v>8.4</v>
      </c>
      <c r="H2504">
        <v>17.7</v>
      </c>
      <c r="I2504">
        <v>21.2</v>
      </c>
    </row>
    <row r="2505" spans="1:9" ht="24" customHeight="1">
      <c r="A2505" s="6" t="s">
        <v>3867</v>
      </c>
      <c r="B2505">
        <v>1051</v>
      </c>
      <c r="C2505">
        <v>133</v>
      </c>
      <c r="D2505">
        <v>520603</v>
      </c>
      <c r="E2505">
        <v>473394</v>
      </c>
      <c r="F2505">
        <v>26.6</v>
      </c>
      <c r="G2505">
        <v>16.3</v>
      </c>
      <c r="H2505">
        <v>24.4</v>
      </c>
      <c r="I2505">
        <v>18.7</v>
      </c>
    </row>
    <row r="2506" spans="1:9" ht="24" customHeight="1">
      <c r="A2506" s="6" t="s">
        <v>3868</v>
      </c>
      <c r="B2506">
        <v>891</v>
      </c>
      <c r="C2506">
        <v>77</v>
      </c>
      <c r="D2506">
        <v>586469</v>
      </c>
      <c r="E2506">
        <v>439328</v>
      </c>
      <c r="F2506">
        <v>13.4</v>
      </c>
      <c r="G2506">
        <v>11.7</v>
      </c>
      <c r="H2506">
        <v>23.7</v>
      </c>
      <c r="I2506">
        <v>23.3</v>
      </c>
    </row>
    <row r="2507" spans="1:9" ht="24" customHeight="1">
      <c r="A2507" s="6" t="s">
        <v>3869</v>
      </c>
      <c r="B2507">
        <v>10020</v>
      </c>
      <c r="C2507">
        <v>3862</v>
      </c>
      <c r="D2507">
        <v>434991</v>
      </c>
      <c r="E2507">
        <v>358924</v>
      </c>
      <c r="F2507">
        <v>19.3</v>
      </c>
      <c r="G2507">
        <v>13.5</v>
      </c>
      <c r="H2507">
        <v>12.8</v>
      </c>
      <c r="I2507">
        <v>13.1</v>
      </c>
    </row>
    <row r="2508" spans="1:9" ht="24" customHeight="1">
      <c r="A2508" s="6" t="s">
        <v>736</v>
      </c>
      <c r="B2508">
        <v>399</v>
      </c>
      <c r="C2508">
        <v>0</v>
      </c>
      <c r="D2508">
        <v>1045895</v>
      </c>
      <c r="E2508"/>
      <c r="F2508">
        <v>0</v>
      </c>
      <c r="G2508"/>
      <c r="H2508">
        <v>29</v>
      </c>
      <c r="I2508"/>
    </row>
    <row r="2509" spans="1:9" ht="24" customHeight="1">
      <c r="A2509" s="6" t="s">
        <v>737</v>
      </c>
      <c r="B2509">
        <v>1089</v>
      </c>
      <c r="C2509">
        <v>87</v>
      </c>
      <c r="D2509">
        <v>899299</v>
      </c>
      <c r="E2509">
        <v>692307</v>
      </c>
      <c r="F2509">
        <v>0</v>
      </c>
      <c r="G2509">
        <v>0</v>
      </c>
      <c r="H2509">
        <v>26.2</v>
      </c>
      <c r="I2509">
        <v>26.1</v>
      </c>
    </row>
    <row r="2510" spans="1:9" ht="24" customHeight="1">
      <c r="A2510" s="6" t="s">
        <v>738</v>
      </c>
      <c r="B2510">
        <v>673</v>
      </c>
      <c r="C2510">
        <v>185</v>
      </c>
      <c r="D2510">
        <v>563117</v>
      </c>
      <c r="E2510">
        <v>351667</v>
      </c>
      <c r="F2510">
        <v>13.5</v>
      </c>
      <c r="G2510">
        <v>7.2</v>
      </c>
      <c r="H2510">
        <v>19.5</v>
      </c>
      <c r="I2510">
        <v>14</v>
      </c>
    </row>
    <row r="2511" spans="1:9" ht="24" customHeight="1">
      <c r="A2511" s="6" t="s">
        <v>739</v>
      </c>
      <c r="B2511">
        <v>382</v>
      </c>
      <c r="C2511">
        <v>67</v>
      </c>
      <c r="D2511">
        <v>450665</v>
      </c>
      <c r="E2511">
        <v>335394</v>
      </c>
      <c r="F2511">
        <v>10</v>
      </c>
      <c r="G2511">
        <v>14</v>
      </c>
      <c r="H2511">
        <v>17.600000000000001</v>
      </c>
      <c r="I2511">
        <v>16.600000000000001</v>
      </c>
    </row>
    <row r="2512" spans="1:9" ht="24" customHeight="1">
      <c r="A2512" s="6" t="s">
        <v>740</v>
      </c>
      <c r="B2512">
        <v>112</v>
      </c>
      <c r="C2512">
        <v>30</v>
      </c>
      <c r="D2512">
        <v>748252</v>
      </c>
      <c r="E2512">
        <v>281456</v>
      </c>
      <c r="F2512">
        <v>2.1</v>
      </c>
      <c r="G2512">
        <v>2.2999999999999998</v>
      </c>
      <c r="H2512">
        <v>26.6</v>
      </c>
      <c r="I2512">
        <v>17</v>
      </c>
    </row>
    <row r="2513" spans="1:9" ht="24" customHeight="1">
      <c r="A2513" s="6" t="s">
        <v>741</v>
      </c>
      <c r="B2513">
        <v>5297</v>
      </c>
      <c r="C2513">
        <v>4818</v>
      </c>
      <c r="D2513">
        <v>452808</v>
      </c>
      <c r="E2513">
        <v>304903</v>
      </c>
      <c r="F2513">
        <v>9.5</v>
      </c>
      <c r="G2513">
        <v>6.9</v>
      </c>
      <c r="H2513">
        <v>14.1</v>
      </c>
      <c r="I2513">
        <v>11.9</v>
      </c>
    </row>
    <row r="2514" spans="1:9" ht="24" customHeight="1">
      <c r="A2514" s="6" t="s">
        <v>3870</v>
      </c>
      <c r="B2514">
        <v>3524</v>
      </c>
      <c r="C2514">
        <v>222</v>
      </c>
      <c r="D2514">
        <v>513320</v>
      </c>
      <c r="E2514">
        <v>304438</v>
      </c>
      <c r="F2514">
        <v>4.0999999999999996</v>
      </c>
      <c r="G2514">
        <v>3.7</v>
      </c>
      <c r="H2514">
        <v>21.8</v>
      </c>
      <c r="I2514">
        <v>14.4</v>
      </c>
    </row>
    <row r="2515" spans="1:9" ht="24" customHeight="1">
      <c r="A2515" s="6" t="s">
        <v>3871</v>
      </c>
      <c r="B2515">
        <v>4276</v>
      </c>
      <c r="C2515">
        <v>327</v>
      </c>
      <c r="D2515">
        <v>428356</v>
      </c>
      <c r="E2515">
        <v>349404</v>
      </c>
      <c r="F2515">
        <v>11.1</v>
      </c>
      <c r="G2515">
        <v>2.6</v>
      </c>
      <c r="H2515">
        <v>18.8</v>
      </c>
      <c r="I2515">
        <v>19.899999999999999</v>
      </c>
    </row>
    <row r="2516" spans="1:9" ht="24" customHeight="1">
      <c r="A2516" s="6" t="s">
        <v>3872</v>
      </c>
      <c r="B2516">
        <v>2601</v>
      </c>
      <c r="C2516">
        <v>1588</v>
      </c>
      <c r="D2516">
        <v>393774</v>
      </c>
      <c r="E2516">
        <v>295267</v>
      </c>
      <c r="F2516">
        <v>11.9</v>
      </c>
      <c r="G2516">
        <v>8.4</v>
      </c>
      <c r="H2516">
        <v>18.600000000000001</v>
      </c>
      <c r="I2516">
        <v>19.3</v>
      </c>
    </row>
    <row r="2517" spans="1:9" ht="24" customHeight="1">
      <c r="A2517" s="6" t="s">
        <v>3873</v>
      </c>
      <c r="B2517">
        <v>1103</v>
      </c>
      <c r="C2517">
        <v>1883</v>
      </c>
      <c r="D2517">
        <v>398045</v>
      </c>
      <c r="E2517">
        <v>236073</v>
      </c>
      <c r="F2517">
        <v>3.7</v>
      </c>
      <c r="G2517">
        <v>6.7</v>
      </c>
      <c r="H2517">
        <v>25</v>
      </c>
      <c r="I2517">
        <v>19.5</v>
      </c>
    </row>
    <row r="2518" spans="1:9" ht="24" customHeight="1">
      <c r="A2518" s="6" t="s">
        <v>3874</v>
      </c>
      <c r="B2518">
        <v>2555</v>
      </c>
      <c r="C2518">
        <v>1009</v>
      </c>
      <c r="D2518">
        <v>419948</v>
      </c>
      <c r="E2518">
        <v>302110</v>
      </c>
      <c r="F2518">
        <v>10.4</v>
      </c>
      <c r="G2518">
        <v>4.3</v>
      </c>
      <c r="H2518">
        <v>19.8</v>
      </c>
      <c r="I2518">
        <v>17</v>
      </c>
    </row>
    <row r="2519" spans="1:9" ht="24" customHeight="1">
      <c r="A2519" s="6" t="s">
        <v>3875</v>
      </c>
      <c r="B2519">
        <v>29151</v>
      </c>
      <c r="C2519">
        <v>41365</v>
      </c>
      <c r="D2519">
        <v>307094</v>
      </c>
      <c r="E2519">
        <v>215123</v>
      </c>
      <c r="F2519">
        <v>10.9</v>
      </c>
      <c r="G2519">
        <v>5.2</v>
      </c>
      <c r="H2519">
        <v>9.4</v>
      </c>
      <c r="I2519">
        <v>11.9</v>
      </c>
    </row>
    <row r="2520" spans="1:9" ht="24" customHeight="1">
      <c r="A2520" s="6" t="s">
        <v>3876</v>
      </c>
      <c r="B2520">
        <v>953</v>
      </c>
      <c r="C2520">
        <v>132</v>
      </c>
      <c r="D2520">
        <v>634702</v>
      </c>
      <c r="E2520">
        <v>381550</v>
      </c>
      <c r="F2520">
        <v>2.4</v>
      </c>
      <c r="G2520">
        <v>3.9</v>
      </c>
      <c r="H2520">
        <v>20.399999999999999</v>
      </c>
      <c r="I2520">
        <v>15.1</v>
      </c>
    </row>
    <row r="2521" spans="1:9" ht="24" customHeight="1">
      <c r="A2521" s="6" t="s">
        <v>3877</v>
      </c>
      <c r="B2521">
        <v>1476</v>
      </c>
      <c r="C2521">
        <v>221</v>
      </c>
      <c r="D2521">
        <v>546508</v>
      </c>
      <c r="E2521">
        <v>394108</v>
      </c>
      <c r="F2521">
        <v>0.5</v>
      </c>
      <c r="G2521">
        <v>5.5</v>
      </c>
      <c r="H2521">
        <v>25.9</v>
      </c>
      <c r="I2521">
        <v>23.8</v>
      </c>
    </row>
    <row r="2522" spans="1:9" ht="24" customHeight="1">
      <c r="A2522" s="6" t="s">
        <v>3878</v>
      </c>
      <c r="B2522">
        <v>1373</v>
      </c>
      <c r="C2522">
        <v>416</v>
      </c>
      <c r="D2522">
        <v>440498</v>
      </c>
      <c r="E2522">
        <v>330647</v>
      </c>
      <c r="F2522">
        <v>10.3</v>
      </c>
      <c r="G2522">
        <v>11.9</v>
      </c>
      <c r="H2522">
        <v>15.9</v>
      </c>
      <c r="I2522">
        <v>17.5</v>
      </c>
    </row>
    <row r="2523" spans="1:9" ht="24" customHeight="1">
      <c r="A2523" s="6" t="s">
        <v>3879</v>
      </c>
      <c r="B2523">
        <v>1364</v>
      </c>
      <c r="C2523">
        <v>319</v>
      </c>
      <c r="D2523">
        <v>448694</v>
      </c>
      <c r="E2523">
        <v>255817</v>
      </c>
      <c r="F2523">
        <v>17.100000000000001</v>
      </c>
      <c r="G2523">
        <v>14.5</v>
      </c>
      <c r="H2523">
        <v>25.2</v>
      </c>
      <c r="I2523">
        <v>19.899999999999999</v>
      </c>
    </row>
    <row r="2524" spans="1:9" ht="24" customHeight="1">
      <c r="A2524" s="6" t="s">
        <v>3880</v>
      </c>
      <c r="B2524">
        <v>1208</v>
      </c>
      <c r="C2524">
        <v>490</v>
      </c>
      <c r="D2524">
        <v>422084</v>
      </c>
      <c r="E2524">
        <v>313565</v>
      </c>
      <c r="F2524">
        <v>8.9</v>
      </c>
      <c r="G2524">
        <v>3.5</v>
      </c>
      <c r="H2524">
        <v>23.7</v>
      </c>
      <c r="I2524">
        <v>25.9</v>
      </c>
    </row>
    <row r="2525" spans="1:9" ht="24" customHeight="1">
      <c r="A2525" s="6" t="s">
        <v>3881</v>
      </c>
      <c r="B2525">
        <v>10515</v>
      </c>
      <c r="C2525">
        <v>14881</v>
      </c>
      <c r="D2525">
        <v>350258</v>
      </c>
      <c r="E2525">
        <v>249160</v>
      </c>
      <c r="F2525">
        <v>10.8</v>
      </c>
      <c r="G2525">
        <v>6.6</v>
      </c>
      <c r="H2525">
        <v>13.4</v>
      </c>
      <c r="I2525">
        <v>15.4</v>
      </c>
    </row>
    <row r="2526" spans="1:9" ht="24" customHeight="1">
      <c r="A2526" s="6" t="s">
        <v>3882</v>
      </c>
      <c r="B2526">
        <v>167</v>
      </c>
      <c r="C2526">
        <v>0</v>
      </c>
      <c r="D2526">
        <v>695351</v>
      </c>
      <c r="E2526"/>
      <c r="F2526">
        <v>0</v>
      </c>
      <c r="G2526"/>
      <c r="H2526">
        <v>32.799999999999997</v>
      </c>
      <c r="I2526"/>
    </row>
    <row r="2527" spans="1:9" ht="24" customHeight="1">
      <c r="A2527" s="6" t="s">
        <v>3883</v>
      </c>
      <c r="B2527">
        <v>292</v>
      </c>
      <c r="C2527">
        <v>24</v>
      </c>
      <c r="D2527">
        <v>625971</v>
      </c>
      <c r="E2527">
        <v>436764</v>
      </c>
      <c r="F2527">
        <v>0</v>
      </c>
      <c r="G2527">
        <v>0</v>
      </c>
      <c r="H2527">
        <v>23.2</v>
      </c>
      <c r="I2527">
        <v>27.4</v>
      </c>
    </row>
    <row r="2528" spans="1:9" ht="24" customHeight="1">
      <c r="A2528" s="6" t="s">
        <v>3884</v>
      </c>
      <c r="B2528">
        <v>481</v>
      </c>
      <c r="C2528">
        <v>137</v>
      </c>
      <c r="D2528">
        <v>529018</v>
      </c>
      <c r="E2528">
        <v>349276</v>
      </c>
      <c r="F2528">
        <v>11.6</v>
      </c>
      <c r="G2528">
        <v>14.4</v>
      </c>
      <c r="H2528">
        <v>24.6</v>
      </c>
      <c r="I2528">
        <v>27</v>
      </c>
    </row>
    <row r="2529" spans="1:9" ht="24" customHeight="1">
      <c r="A2529" s="6" t="s">
        <v>3885</v>
      </c>
      <c r="B2529">
        <v>107</v>
      </c>
      <c r="C2529">
        <v>279</v>
      </c>
      <c r="D2529">
        <v>476269</v>
      </c>
      <c r="E2529">
        <v>303630</v>
      </c>
      <c r="F2529">
        <v>3.9</v>
      </c>
      <c r="G2529">
        <v>1.5</v>
      </c>
      <c r="H2529">
        <v>20.100000000000001</v>
      </c>
      <c r="I2529">
        <v>28.5</v>
      </c>
    </row>
    <row r="2530" spans="1:9" ht="24" customHeight="1">
      <c r="A2530" s="6" t="s">
        <v>3886</v>
      </c>
      <c r="B2530">
        <v>182</v>
      </c>
      <c r="C2530">
        <v>14</v>
      </c>
      <c r="D2530">
        <v>721160</v>
      </c>
      <c r="E2530">
        <v>283699</v>
      </c>
      <c r="F2530">
        <v>5.9</v>
      </c>
      <c r="G2530">
        <v>0</v>
      </c>
      <c r="H2530">
        <v>17.100000000000001</v>
      </c>
      <c r="I2530">
        <v>19.3</v>
      </c>
    </row>
    <row r="2531" spans="1:9" ht="24" customHeight="1">
      <c r="A2531" s="6" t="s">
        <v>3887</v>
      </c>
      <c r="B2531">
        <v>3407</v>
      </c>
      <c r="C2531">
        <v>5188</v>
      </c>
      <c r="D2531">
        <v>381776</v>
      </c>
      <c r="E2531">
        <v>248408</v>
      </c>
      <c r="F2531">
        <v>9.6</v>
      </c>
      <c r="G2531">
        <v>2.2999999999999998</v>
      </c>
      <c r="H2531">
        <v>13.1</v>
      </c>
      <c r="I2531">
        <v>14.3</v>
      </c>
    </row>
    <row r="2532" spans="1:9" ht="24" customHeight="1">
      <c r="A2532" s="6" t="s">
        <v>742</v>
      </c>
      <c r="B2532">
        <v>124</v>
      </c>
      <c r="C2532">
        <v>0</v>
      </c>
      <c r="D2532">
        <v>1035158</v>
      </c>
      <c r="E2532"/>
      <c r="F2532">
        <v>0</v>
      </c>
      <c r="G2532"/>
      <c r="H2532">
        <v>31.4</v>
      </c>
      <c r="I2532"/>
    </row>
    <row r="2533" spans="1:9" ht="24" customHeight="1">
      <c r="A2533" s="6" t="s">
        <v>743</v>
      </c>
      <c r="B2533">
        <v>198</v>
      </c>
      <c r="C2533">
        <v>13</v>
      </c>
      <c r="D2533">
        <v>757990</v>
      </c>
      <c r="E2533">
        <v>676559</v>
      </c>
      <c r="F2533">
        <v>0</v>
      </c>
      <c r="G2533">
        <v>0</v>
      </c>
      <c r="H2533">
        <v>28</v>
      </c>
      <c r="I2533">
        <v>29</v>
      </c>
    </row>
    <row r="2534" spans="1:9" ht="24" customHeight="1">
      <c r="A2534" s="6" t="s">
        <v>744</v>
      </c>
      <c r="B2534">
        <v>150</v>
      </c>
      <c r="C2534">
        <v>39</v>
      </c>
      <c r="D2534">
        <v>630299</v>
      </c>
      <c r="E2534">
        <v>510200</v>
      </c>
      <c r="F2534">
        <v>26.6</v>
      </c>
      <c r="G2534">
        <v>11.7</v>
      </c>
      <c r="H2534">
        <v>27.5</v>
      </c>
      <c r="I2534">
        <v>27.9</v>
      </c>
    </row>
    <row r="2535" spans="1:9" ht="24" customHeight="1">
      <c r="A2535" s="6" t="s">
        <v>745</v>
      </c>
      <c r="B2535">
        <v>508</v>
      </c>
      <c r="C2535">
        <v>8</v>
      </c>
      <c r="D2535">
        <v>486187</v>
      </c>
      <c r="E2535">
        <v>464154</v>
      </c>
      <c r="F2535">
        <v>25.6</v>
      </c>
      <c r="G2535">
        <v>11</v>
      </c>
      <c r="H2535">
        <v>17.2</v>
      </c>
      <c r="I2535">
        <v>40</v>
      </c>
    </row>
    <row r="2536" spans="1:9" ht="24" customHeight="1">
      <c r="A2536" s="6" t="s">
        <v>746</v>
      </c>
      <c r="B2536">
        <v>197</v>
      </c>
      <c r="C2536">
        <v>4</v>
      </c>
      <c r="D2536">
        <v>623982</v>
      </c>
      <c r="E2536">
        <v>556507</v>
      </c>
      <c r="F2536">
        <v>26.2</v>
      </c>
      <c r="G2536">
        <v>6</v>
      </c>
      <c r="H2536">
        <v>18.399999999999999</v>
      </c>
      <c r="I2536">
        <v>29</v>
      </c>
    </row>
    <row r="2537" spans="1:9" ht="24" customHeight="1">
      <c r="A2537" s="6" t="s">
        <v>747</v>
      </c>
      <c r="B2537">
        <v>3174</v>
      </c>
      <c r="C2537">
        <v>583</v>
      </c>
      <c r="D2537">
        <v>433187</v>
      </c>
      <c r="E2537">
        <v>329362</v>
      </c>
      <c r="F2537">
        <v>22.2</v>
      </c>
      <c r="G2537">
        <v>9.4</v>
      </c>
      <c r="H2537">
        <v>12.9</v>
      </c>
      <c r="I2537">
        <v>9.1</v>
      </c>
    </row>
    <row r="2538" spans="1:9" ht="24" customHeight="1">
      <c r="A2538" s="6" t="s">
        <v>3888</v>
      </c>
      <c r="B2538">
        <v>1342</v>
      </c>
      <c r="C2538">
        <v>61</v>
      </c>
      <c r="D2538">
        <v>597081</v>
      </c>
      <c r="E2538">
        <v>303812</v>
      </c>
      <c r="F2538">
        <v>1.2</v>
      </c>
      <c r="G2538">
        <v>1.9</v>
      </c>
      <c r="H2538">
        <v>24</v>
      </c>
      <c r="I2538">
        <v>22.3</v>
      </c>
    </row>
    <row r="2539" spans="1:9" ht="24" customHeight="1">
      <c r="A2539" s="6" t="s">
        <v>3889</v>
      </c>
      <c r="B2539">
        <v>1478</v>
      </c>
      <c r="C2539">
        <v>187</v>
      </c>
      <c r="D2539">
        <v>535169</v>
      </c>
      <c r="E2539">
        <v>380751</v>
      </c>
      <c r="F2539">
        <v>6.5</v>
      </c>
      <c r="G2539">
        <v>2.2000000000000002</v>
      </c>
      <c r="H2539">
        <v>21</v>
      </c>
      <c r="I2539">
        <v>13</v>
      </c>
    </row>
    <row r="2540" spans="1:9" ht="24" customHeight="1">
      <c r="A2540" s="6" t="s">
        <v>3890</v>
      </c>
      <c r="B2540">
        <v>1376</v>
      </c>
      <c r="C2540">
        <v>153</v>
      </c>
      <c r="D2540">
        <v>412685</v>
      </c>
      <c r="E2540">
        <v>354750</v>
      </c>
      <c r="F2540">
        <v>12.4</v>
      </c>
      <c r="G2540">
        <v>5.4</v>
      </c>
      <c r="H2540">
        <v>15.2</v>
      </c>
      <c r="I2540">
        <v>13.5</v>
      </c>
    </row>
    <row r="2541" spans="1:9" ht="24" customHeight="1">
      <c r="A2541" s="6" t="s">
        <v>3891</v>
      </c>
      <c r="B2541">
        <v>1614</v>
      </c>
      <c r="C2541">
        <v>97</v>
      </c>
      <c r="D2541">
        <v>408120</v>
      </c>
      <c r="E2541">
        <v>306975</v>
      </c>
      <c r="F2541">
        <v>13.2</v>
      </c>
      <c r="G2541">
        <v>8.5</v>
      </c>
      <c r="H2541">
        <v>16.7</v>
      </c>
      <c r="I2541">
        <v>12.8</v>
      </c>
    </row>
    <row r="2542" spans="1:9" ht="24" customHeight="1">
      <c r="A2542" s="6" t="s">
        <v>3892</v>
      </c>
      <c r="B2542">
        <v>794</v>
      </c>
      <c r="C2542">
        <v>48</v>
      </c>
      <c r="D2542">
        <v>464109</v>
      </c>
      <c r="E2542">
        <v>403805</v>
      </c>
      <c r="F2542">
        <v>4.5999999999999996</v>
      </c>
      <c r="G2542">
        <v>15.6</v>
      </c>
      <c r="H2542">
        <v>17.100000000000001</v>
      </c>
      <c r="I2542">
        <v>20.3</v>
      </c>
    </row>
    <row r="2543" spans="1:9" ht="24" customHeight="1">
      <c r="A2543" s="6" t="s">
        <v>3893</v>
      </c>
      <c r="B2543">
        <v>20613</v>
      </c>
      <c r="C2543">
        <v>6398</v>
      </c>
      <c r="D2543">
        <v>321798</v>
      </c>
      <c r="E2543">
        <v>253399</v>
      </c>
      <c r="F2543">
        <v>10.5</v>
      </c>
      <c r="G2543">
        <v>4.0999999999999996</v>
      </c>
      <c r="H2543">
        <v>10.3</v>
      </c>
      <c r="I2543">
        <v>11.8</v>
      </c>
    </row>
    <row r="2544" spans="1:9" ht="24" customHeight="1">
      <c r="A2544" s="6" t="s">
        <v>3894</v>
      </c>
      <c r="B2544">
        <v>397</v>
      </c>
      <c r="C2544">
        <v>20</v>
      </c>
      <c r="D2544">
        <v>643949</v>
      </c>
      <c r="E2544">
        <v>307883</v>
      </c>
      <c r="F2544">
        <v>0.9</v>
      </c>
      <c r="G2544">
        <v>0</v>
      </c>
      <c r="H2544">
        <v>22.9</v>
      </c>
      <c r="I2544">
        <v>13</v>
      </c>
    </row>
    <row r="2545" spans="1:9" ht="24" customHeight="1">
      <c r="A2545" s="6" t="s">
        <v>3895</v>
      </c>
      <c r="B2545">
        <v>797</v>
      </c>
      <c r="C2545">
        <v>100</v>
      </c>
      <c r="D2545">
        <v>491389</v>
      </c>
      <c r="E2545">
        <v>384850</v>
      </c>
      <c r="F2545">
        <v>6.5</v>
      </c>
      <c r="G2545">
        <v>3.5</v>
      </c>
      <c r="H2545">
        <v>20.9</v>
      </c>
      <c r="I2545">
        <v>16.3</v>
      </c>
    </row>
    <row r="2546" spans="1:9" ht="24" customHeight="1">
      <c r="A2546" s="6" t="s">
        <v>3896</v>
      </c>
      <c r="B2546">
        <v>1006</v>
      </c>
      <c r="C2546">
        <v>64</v>
      </c>
      <c r="D2546">
        <v>435128</v>
      </c>
      <c r="E2546">
        <v>364618</v>
      </c>
      <c r="F2546">
        <v>21.9</v>
      </c>
      <c r="G2546">
        <v>11.6</v>
      </c>
      <c r="H2546">
        <v>16.5</v>
      </c>
      <c r="I2546">
        <v>20.100000000000001</v>
      </c>
    </row>
    <row r="2547" spans="1:9" ht="24" customHeight="1">
      <c r="A2547" s="6" t="s">
        <v>3897</v>
      </c>
      <c r="B2547">
        <v>778</v>
      </c>
      <c r="C2547">
        <v>81</v>
      </c>
      <c r="D2547">
        <v>425821</v>
      </c>
      <c r="E2547">
        <v>344004</v>
      </c>
      <c r="F2547">
        <v>21.4</v>
      </c>
      <c r="G2547">
        <v>16.5</v>
      </c>
      <c r="H2547">
        <v>16.7</v>
      </c>
      <c r="I2547">
        <v>13.8</v>
      </c>
    </row>
    <row r="2548" spans="1:9" ht="24" customHeight="1">
      <c r="A2548" s="6" t="s">
        <v>3898</v>
      </c>
      <c r="B2548">
        <v>617</v>
      </c>
      <c r="C2548">
        <v>116</v>
      </c>
      <c r="D2548">
        <v>483655</v>
      </c>
      <c r="E2548">
        <v>327605</v>
      </c>
      <c r="F2548">
        <v>13.7</v>
      </c>
      <c r="G2548">
        <v>12.4</v>
      </c>
      <c r="H2548">
        <v>15.5</v>
      </c>
      <c r="I2548">
        <v>10.8</v>
      </c>
    </row>
    <row r="2549" spans="1:9" ht="24" customHeight="1">
      <c r="A2549" s="6" t="s">
        <v>3899</v>
      </c>
      <c r="B2549">
        <v>5969</v>
      </c>
      <c r="C2549">
        <v>1409</v>
      </c>
      <c r="D2549">
        <v>350395</v>
      </c>
      <c r="E2549">
        <v>284317</v>
      </c>
      <c r="F2549">
        <v>14.5</v>
      </c>
      <c r="G2549">
        <v>6.6</v>
      </c>
      <c r="H2549">
        <v>11.7</v>
      </c>
      <c r="I2549">
        <v>8.9</v>
      </c>
    </row>
    <row r="2550" spans="1:9" ht="24" customHeight="1">
      <c r="A2550" s="6" t="s">
        <v>3900</v>
      </c>
      <c r="B2550">
        <v>164</v>
      </c>
      <c r="C2550">
        <v>0</v>
      </c>
      <c r="D2550">
        <v>703009</v>
      </c>
      <c r="E2550"/>
      <c r="F2550">
        <v>0</v>
      </c>
      <c r="G2550"/>
      <c r="H2550">
        <v>26.1</v>
      </c>
      <c r="I2550"/>
    </row>
    <row r="2551" spans="1:9" ht="24" customHeight="1">
      <c r="A2551" s="6" t="s">
        <v>3901</v>
      </c>
      <c r="B2551">
        <v>492</v>
      </c>
      <c r="C2551">
        <v>5</v>
      </c>
      <c r="D2551">
        <v>561667</v>
      </c>
      <c r="E2551">
        <v>274167</v>
      </c>
      <c r="F2551">
        <v>5.2</v>
      </c>
      <c r="G2551">
        <v>0</v>
      </c>
      <c r="H2551">
        <v>18.600000000000001</v>
      </c>
      <c r="I2551">
        <v>15</v>
      </c>
    </row>
    <row r="2552" spans="1:9" ht="24" customHeight="1">
      <c r="A2552" s="6" t="s">
        <v>3902</v>
      </c>
      <c r="B2552">
        <v>617</v>
      </c>
      <c r="C2552">
        <v>13</v>
      </c>
      <c r="D2552">
        <v>527143</v>
      </c>
      <c r="E2552">
        <v>432807</v>
      </c>
      <c r="F2552">
        <v>31.6</v>
      </c>
      <c r="G2552">
        <v>0</v>
      </c>
      <c r="H2552">
        <v>18.100000000000001</v>
      </c>
      <c r="I2552">
        <v>12.5</v>
      </c>
    </row>
    <row r="2553" spans="1:9" ht="24" customHeight="1">
      <c r="A2553" s="6" t="s">
        <v>3903</v>
      </c>
      <c r="B2553">
        <v>999</v>
      </c>
      <c r="C2553">
        <v>73</v>
      </c>
      <c r="D2553">
        <v>455797</v>
      </c>
      <c r="E2553">
        <v>215614</v>
      </c>
      <c r="F2553">
        <v>28.6</v>
      </c>
      <c r="G2553">
        <v>2.6</v>
      </c>
      <c r="H2553">
        <v>13.8</v>
      </c>
      <c r="I2553">
        <v>6.7</v>
      </c>
    </row>
    <row r="2554" spans="1:9" ht="24" customHeight="1">
      <c r="A2554" s="6" t="s">
        <v>3904</v>
      </c>
      <c r="B2554">
        <v>372</v>
      </c>
      <c r="C2554">
        <v>39</v>
      </c>
      <c r="D2554">
        <v>534217</v>
      </c>
      <c r="E2554">
        <v>330683</v>
      </c>
      <c r="F2554">
        <v>13.8</v>
      </c>
      <c r="G2554">
        <v>0.4</v>
      </c>
      <c r="H2554">
        <v>15.4</v>
      </c>
      <c r="I2554">
        <v>14.7</v>
      </c>
    </row>
    <row r="2555" spans="1:9" ht="24" customHeight="1">
      <c r="A2555" s="6" t="s">
        <v>3905</v>
      </c>
      <c r="B2555">
        <v>4739</v>
      </c>
      <c r="C2555">
        <v>1196</v>
      </c>
      <c r="D2555">
        <v>381008</v>
      </c>
      <c r="E2555">
        <v>338086</v>
      </c>
      <c r="F2555">
        <v>19.100000000000001</v>
      </c>
      <c r="G2555">
        <v>11.6</v>
      </c>
      <c r="H2555">
        <v>9.6</v>
      </c>
      <c r="I2555">
        <v>11.3</v>
      </c>
    </row>
    <row r="2556" spans="1:9" ht="24" customHeight="1">
      <c r="A2556" s="6" t="s">
        <v>748</v>
      </c>
      <c r="B2556">
        <v>605</v>
      </c>
      <c r="C2556">
        <v>71</v>
      </c>
      <c r="D2556">
        <v>841072</v>
      </c>
      <c r="E2556">
        <v>711664</v>
      </c>
      <c r="F2556">
        <v>8.6</v>
      </c>
      <c r="G2556">
        <v>12.7</v>
      </c>
      <c r="H2556">
        <v>27.9</v>
      </c>
      <c r="I2556">
        <v>29</v>
      </c>
    </row>
    <row r="2557" spans="1:9" ht="24" customHeight="1">
      <c r="A2557" s="6" t="s">
        <v>749</v>
      </c>
      <c r="B2557">
        <v>706</v>
      </c>
      <c r="C2557">
        <v>0</v>
      </c>
      <c r="D2557">
        <v>754002</v>
      </c>
      <c r="E2557"/>
      <c r="F2557">
        <v>2.1</v>
      </c>
      <c r="G2557"/>
      <c r="H2557">
        <v>26.1</v>
      </c>
      <c r="I2557"/>
    </row>
    <row r="2558" spans="1:9" ht="24" customHeight="1">
      <c r="A2558" s="6" t="s">
        <v>750</v>
      </c>
      <c r="B2558">
        <v>495</v>
      </c>
      <c r="C2558">
        <v>40</v>
      </c>
      <c r="D2558">
        <v>663750</v>
      </c>
      <c r="E2558">
        <v>568715</v>
      </c>
      <c r="F2558">
        <v>18</v>
      </c>
      <c r="G2558">
        <v>5.9</v>
      </c>
      <c r="H2558">
        <v>22.3</v>
      </c>
      <c r="I2558">
        <v>27</v>
      </c>
    </row>
    <row r="2559" spans="1:9" ht="24" customHeight="1">
      <c r="A2559" s="6" t="s">
        <v>751</v>
      </c>
      <c r="B2559">
        <v>216</v>
      </c>
      <c r="C2559">
        <v>0</v>
      </c>
      <c r="D2559">
        <v>589974</v>
      </c>
      <c r="E2559"/>
      <c r="F2559">
        <v>24</v>
      </c>
      <c r="G2559"/>
      <c r="H2559">
        <v>23.1</v>
      </c>
      <c r="I2559"/>
    </row>
    <row r="2560" spans="1:9" ht="24" customHeight="1">
      <c r="A2560" s="6" t="s">
        <v>752</v>
      </c>
      <c r="B2560">
        <v>233</v>
      </c>
      <c r="C2560">
        <v>10</v>
      </c>
      <c r="D2560">
        <v>712343</v>
      </c>
      <c r="E2560">
        <v>689706</v>
      </c>
      <c r="F2560">
        <v>8.5</v>
      </c>
      <c r="G2560">
        <v>0</v>
      </c>
      <c r="H2560">
        <v>21.6</v>
      </c>
      <c r="I2560">
        <v>23</v>
      </c>
    </row>
    <row r="2561" spans="1:9" ht="24" customHeight="1">
      <c r="A2561" s="6" t="s">
        <v>753</v>
      </c>
      <c r="B2561">
        <v>6137</v>
      </c>
      <c r="C2561">
        <v>2037</v>
      </c>
      <c r="D2561">
        <v>462735</v>
      </c>
      <c r="E2561">
        <v>388297</v>
      </c>
      <c r="F2561">
        <v>21.6</v>
      </c>
      <c r="G2561">
        <v>13.8</v>
      </c>
      <c r="H2561">
        <v>15.7</v>
      </c>
      <c r="I2561">
        <v>13.5</v>
      </c>
    </row>
    <row r="2562" spans="1:9" ht="24" customHeight="1">
      <c r="A2562" s="6" t="s">
        <v>3906</v>
      </c>
      <c r="B2562">
        <v>1084</v>
      </c>
      <c r="C2562">
        <v>70</v>
      </c>
      <c r="D2562">
        <v>533767</v>
      </c>
      <c r="E2562">
        <v>552121</v>
      </c>
      <c r="F2562">
        <v>8.6999999999999993</v>
      </c>
      <c r="G2562">
        <v>0</v>
      </c>
      <c r="H2562">
        <v>24.4</v>
      </c>
      <c r="I2562">
        <v>32.4</v>
      </c>
    </row>
    <row r="2563" spans="1:9" ht="24" customHeight="1">
      <c r="A2563" s="6" t="s">
        <v>3907</v>
      </c>
      <c r="B2563">
        <v>1411</v>
      </c>
      <c r="C2563">
        <v>76</v>
      </c>
      <c r="D2563">
        <v>454300</v>
      </c>
      <c r="E2563">
        <v>427213</v>
      </c>
      <c r="F2563">
        <v>5.4</v>
      </c>
      <c r="G2563">
        <v>0.2</v>
      </c>
      <c r="H2563">
        <v>19.5</v>
      </c>
      <c r="I2563">
        <v>21.2</v>
      </c>
    </row>
    <row r="2564" spans="1:9" ht="24" customHeight="1">
      <c r="A2564" s="6" t="s">
        <v>3908</v>
      </c>
      <c r="B2564">
        <v>729</v>
      </c>
      <c r="C2564">
        <v>115</v>
      </c>
      <c r="D2564">
        <v>448389</v>
      </c>
      <c r="E2564">
        <v>287703</v>
      </c>
      <c r="F2564">
        <v>14.5</v>
      </c>
      <c r="G2564">
        <v>6.9</v>
      </c>
      <c r="H2564">
        <v>15.6</v>
      </c>
      <c r="I2564">
        <v>14.5</v>
      </c>
    </row>
    <row r="2565" spans="1:9" ht="24" customHeight="1">
      <c r="A2565" s="6" t="s">
        <v>3909</v>
      </c>
      <c r="B2565">
        <v>695</v>
      </c>
      <c r="C2565">
        <v>122</v>
      </c>
      <c r="D2565">
        <v>351361</v>
      </c>
      <c r="E2565">
        <v>283544</v>
      </c>
      <c r="F2565">
        <v>12.5</v>
      </c>
      <c r="G2565">
        <v>24.2</v>
      </c>
      <c r="H2565">
        <v>17</v>
      </c>
      <c r="I2565">
        <v>18</v>
      </c>
    </row>
    <row r="2566" spans="1:9" ht="24" customHeight="1">
      <c r="A2566" s="6" t="s">
        <v>3910</v>
      </c>
      <c r="B2566">
        <v>702</v>
      </c>
      <c r="C2566">
        <v>60</v>
      </c>
      <c r="D2566">
        <v>445110</v>
      </c>
      <c r="E2566">
        <v>343875</v>
      </c>
      <c r="F2566">
        <v>12.8</v>
      </c>
      <c r="G2566">
        <v>5.7</v>
      </c>
      <c r="H2566">
        <v>17.2</v>
      </c>
      <c r="I2566">
        <v>17.399999999999999</v>
      </c>
    </row>
    <row r="2567" spans="1:9" ht="24" customHeight="1">
      <c r="A2567" s="6" t="s">
        <v>3911</v>
      </c>
      <c r="B2567">
        <v>16049</v>
      </c>
      <c r="C2567">
        <v>5368</v>
      </c>
      <c r="D2567">
        <v>317219</v>
      </c>
      <c r="E2567">
        <v>253786</v>
      </c>
      <c r="F2567">
        <v>12.3</v>
      </c>
      <c r="G2567">
        <v>5.3</v>
      </c>
      <c r="H2567">
        <v>12.2</v>
      </c>
      <c r="I2567">
        <v>10.199999999999999</v>
      </c>
    </row>
    <row r="2568" spans="1:9" ht="24" customHeight="1">
      <c r="A2568" s="6" t="s">
        <v>3912</v>
      </c>
      <c r="B2568">
        <v>462</v>
      </c>
      <c r="C2568">
        <v>7</v>
      </c>
      <c r="D2568">
        <v>593351</v>
      </c>
      <c r="E2568">
        <v>407646</v>
      </c>
      <c r="F2568">
        <v>0</v>
      </c>
      <c r="G2568">
        <v>0</v>
      </c>
      <c r="H2568">
        <v>28.4</v>
      </c>
      <c r="I2568">
        <v>20</v>
      </c>
    </row>
    <row r="2569" spans="1:9" ht="24" customHeight="1">
      <c r="A2569" s="6" t="s">
        <v>3913</v>
      </c>
      <c r="B2569">
        <v>803</v>
      </c>
      <c r="C2569">
        <v>76</v>
      </c>
      <c r="D2569">
        <v>564018</v>
      </c>
      <c r="E2569">
        <v>464336</v>
      </c>
      <c r="F2569">
        <v>3.2</v>
      </c>
      <c r="G2569">
        <v>2.2000000000000002</v>
      </c>
      <c r="H2569">
        <v>22.4</v>
      </c>
      <c r="I2569">
        <v>19.5</v>
      </c>
    </row>
    <row r="2570" spans="1:9" ht="24" customHeight="1">
      <c r="A2570" s="6" t="s">
        <v>3914</v>
      </c>
      <c r="B2570">
        <v>1184</v>
      </c>
      <c r="C2570">
        <v>218</v>
      </c>
      <c r="D2570">
        <v>443312</v>
      </c>
      <c r="E2570">
        <v>415740</v>
      </c>
      <c r="F2570">
        <v>8.5</v>
      </c>
      <c r="G2570">
        <v>5.5</v>
      </c>
      <c r="H2570">
        <v>19.899999999999999</v>
      </c>
      <c r="I2570">
        <v>19.3</v>
      </c>
    </row>
    <row r="2571" spans="1:9" ht="24" customHeight="1">
      <c r="A2571" s="6" t="s">
        <v>3915</v>
      </c>
      <c r="B2571">
        <v>837</v>
      </c>
      <c r="C2571">
        <v>155</v>
      </c>
      <c r="D2571">
        <v>445627</v>
      </c>
      <c r="E2571">
        <v>308818</v>
      </c>
      <c r="F2571">
        <v>8.6999999999999993</v>
      </c>
      <c r="G2571">
        <v>2.9</v>
      </c>
      <c r="H2571">
        <v>21.1</v>
      </c>
      <c r="I2571">
        <v>16.399999999999999</v>
      </c>
    </row>
    <row r="2572" spans="1:9" ht="24" customHeight="1">
      <c r="A2572" s="6" t="s">
        <v>3916</v>
      </c>
      <c r="B2572">
        <v>756</v>
      </c>
      <c r="C2572">
        <v>214</v>
      </c>
      <c r="D2572">
        <v>532086</v>
      </c>
      <c r="E2572">
        <v>437943</v>
      </c>
      <c r="F2572">
        <v>7.8</v>
      </c>
      <c r="G2572">
        <v>17.8</v>
      </c>
      <c r="H2572">
        <v>17.8</v>
      </c>
      <c r="I2572">
        <v>16</v>
      </c>
    </row>
    <row r="2573" spans="1:9" ht="24" customHeight="1">
      <c r="A2573" s="6" t="s">
        <v>3917</v>
      </c>
      <c r="B2573">
        <v>5912</v>
      </c>
      <c r="C2573">
        <v>2144</v>
      </c>
      <c r="D2573">
        <v>351922</v>
      </c>
      <c r="E2573">
        <v>300009</v>
      </c>
      <c r="F2573">
        <v>9.5</v>
      </c>
      <c r="G2573">
        <v>9</v>
      </c>
      <c r="H2573">
        <v>14.2</v>
      </c>
      <c r="I2573">
        <v>9.1</v>
      </c>
    </row>
    <row r="2574" spans="1:9" ht="24" customHeight="1">
      <c r="A2574" s="6" t="s">
        <v>3918</v>
      </c>
      <c r="B2574">
        <v>108</v>
      </c>
      <c r="C2574">
        <v>0</v>
      </c>
      <c r="D2574">
        <v>641591</v>
      </c>
      <c r="E2574"/>
      <c r="F2574">
        <v>2</v>
      </c>
      <c r="G2574"/>
      <c r="H2574">
        <v>27.3</v>
      </c>
      <c r="I2574"/>
    </row>
    <row r="2575" spans="1:9" ht="24" customHeight="1">
      <c r="A2575" s="6" t="s">
        <v>3919</v>
      </c>
      <c r="B2575">
        <v>255</v>
      </c>
      <c r="C2575">
        <v>37</v>
      </c>
      <c r="D2575">
        <v>621847</v>
      </c>
      <c r="E2575">
        <v>530699</v>
      </c>
      <c r="F2575">
        <v>2</v>
      </c>
      <c r="G2575">
        <v>4.5999999999999996</v>
      </c>
      <c r="H2575">
        <v>23.6</v>
      </c>
      <c r="I2575">
        <v>18.899999999999999</v>
      </c>
    </row>
    <row r="2576" spans="1:9" ht="24" customHeight="1">
      <c r="A2576" s="6" t="s">
        <v>3920</v>
      </c>
      <c r="B2576">
        <v>226</v>
      </c>
      <c r="C2576">
        <v>14</v>
      </c>
      <c r="D2576">
        <v>517696</v>
      </c>
      <c r="E2576">
        <v>355395</v>
      </c>
      <c r="F2576">
        <v>13.8</v>
      </c>
      <c r="G2576">
        <v>4.5999999999999996</v>
      </c>
      <c r="H2576">
        <v>19.2</v>
      </c>
      <c r="I2576">
        <v>21.9</v>
      </c>
    </row>
    <row r="2577" spans="1:9" ht="24" customHeight="1">
      <c r="A2577" s="6" t="s">
        <v>3921</v>
      </c>
      <c r="B2577">
        <v>257</v>
      </c>
      <c r="C2577">
        <v>30</v>
      </c>
      <c r="D2577">
        <v>419207</v>
      </c>
      <c r="E2577">
        <v>377864</v>
      </c>
      <c r="F2577">
        <v>11.2</v>
      </c>
      <c r="G2577">
        <v>5.5</v>
      </c>
      <c r="H2577">
        <v>16.3</v>
      </c>
      <c r="I2577">
        <v>12.5</v>
      </c>
    </row>
    <row r="2578" spans="1:9" ht="24" customHeight="1">
      <c r="A2578" s="6" t="s">
        <v>3922</v>
      </c>
      <c r="B2578">
        <v>65</v>
      </c>
      <c r="C2578">
        <v>5</v>
      </c>
      <c r="D2578">
        <v>551178</v>
      </c>
      <c r="E2578">
        <v>376500</v>
      </c>
      <c r="F2578">
        <v>9.5</v>
      </c>
      <c r="G2578">
        <v>0</v>
      </c>
      <c r="H2578">
        <v>21.9</v>
      </c>
      <c r="I2578">
        <v>18</v>
      </c>
    </row>
    <row r="2579" spans="1:9" ht="24" customHeight="1">
      <c r="A2579" s="6" t="s">
        <v>3923</v>
      </c>
      <c r="B2579">
        <v>2109</v>
      </c>
      <c r="C2579">
        <v>1121</v>
      </c>
      <c r="D2579">
        <v>364976</v>
      </c>
      <c r="E2579">
        <v>319529</v>
      </c>
      <c r="F2579">
        <v>7.1</v>
      </c>
      <c r="G2579">
        <v>4.9000000000000004</v>
      </c>
      <c r="H2579">
        <v>15</v>
      </c>
      <c r="I2579">
        <v>14</v>
      </c>
    </row>
    <row r="2580" spans="1:9" ht="24" customHeight="1">
      <c r="A2580" s="6" t="s">
        <v>754</v>
      </c>
      <c r="B2580">
        <v>871</v>
      </c>
      <c r="C2580">
        <v>0</v>
      </c>
      <c r="D2580">
        <v>921687</v>
      </c>
      <c r="E2580"/>
      <c r="F2580">
        <v>0</v>
      </c>
      <c r="G2580"/>
      <c r="H2580">
        <v>29.6</v>
      </c>
      <c r="I2580"/>
    </row>
    <row r="2581" spans="1:9" ht="24" customHeight="1">
      <c r="A2581" s="6" t="s">
        <v>755</v>
      </c>
      <c r="B2581">
        <v>1045</v>
      </c>
      <c r="C2581">
        <v>62</v>
      </c>
      <c r="D2581">
        <v>769067</v>
      </c>
      <c r="E2581">
        <v>689280</v>
      </c>
      <c r="F2581">
        <v>0.6</v>
      </c>
      <c r="G2581">
        <v>0</v>
      </c>
      <c r="H2581">
        <v>29.1</v>
      </c>
      <c r="I2581">
        <v>19.899999999999999</v>
      </c>
    </row>
    <row r="2582" spans="1:9" ht="24" customHeight="1">
      <c r="A2582" s="6" t="s">
        <v>756</v>
      </c>
      <c r="B2582">
        <v>832</v>
      </c>
      <c r="C2582">
        <v>42</v>
      </c>
      <c r="D2582">
        <v>619474</v>
      </c>
      <c r="E2582">
        <v>583410</v>
      </c>
      <c r="F2582">
        <v>19.3</v>
      </c>
      <c r="G2582">
        <v>18.8</v>
      </c>
      <c r="H2582">
        <v>31.8</v>
      </c>
      <c r="I2582">
        <v>30.1</v>
      </c>
    </row>
    <row r="2583" spans="1:9" ht="24" customHeight="1">
      <c r="A2583" s="6" t="s">
        <v>757</v>
      </c>
      <c r="B2583">
        <v>3114</v>
      </c>
      <c r="C2583">
        <v>83</v>
      </c>
      <c r="D2583">
        <v>612090</v>
      </c>
      <c r="E2583">
        <v>470193</v>
      </c>
      <c r="F2583">
        <v>21.6</v>
      </c>
      <c r="G2583">
        <v>10</v>
      </c>
      <c r="H2583">
        <v>27.4</v>
      </c>
      <c r="I2583">
        <v>29.8</v>
      </c>
    </row>
    <row r="2584" spans="1:9" ht="24" customHeight="1">
      <c r="A2584" s="6" t="s">
        <v>758</v>
      </c>
      <c r="B2584">
        <v>2007</v>
      </c>
      <c r="C2584">
        <v>115</v>
      </c>
      <c r="D2584">
        <v>674597</v>
      </c>
      <c r="E2584">
        <v>493441</v>
      </c>
      <c r="F2584">
        <v>11</v>
      </c>
      <c r="G2584">
        <v>4.5</v>
      </c>
      <c r="H2584">
        <v>25.1</v>
      </c>
      <c r="I2584">
        <v>29.5</v>
      </c>
    </row>
    <row r="2585" spans="1:9" ht="24" customHeight="1">
      <c r="A2585" s="6" t="s">
        <v>759</v>
      </c>
      <c r="B2585">
        <v>14226</v>
      </c>
      <c r="C2585">
        <v>2196</v>
      </c>
      <c r="D2585">
        <v>482732</v>
      </c>
      <c r="E2585">
        <v>384761</v>
      </c>
      <c r="F2585">
        <v>18.2</v>
      </c>
      <c r="G2585">
        <v>10.9</v>
      </c>
      <c r="H2585">
        <v>16.8</v>
      </c>
      <c r="I2585">
        <v>13.6</v>
      </c>
    </row>
    <row r="2586" spans="1:9" ht="24" customHeight="1">
      <c r="A2586" s="6" t="s">
        <v>3924</v>
      </c>
      <c r="B2586">
        <v>2158</v>
      </c>
      <c r="C2586">
        <v>189</v>
      </c>
      <c r="D2586">
        <v>543024</v>
      </c>
      <c r="E2586">
        <v>498892</v>
      </c>
      <c r="F2586">
        <v>1.2</v>
      </c>
      <c r="G2586">
        <v>1.2</v>
      </c>
      <c r="H2586">
        <v>23.3</v>
      </c>
      <c r="I2586">
        <v>25.1</v>
      </c>
    </row>
    <row r="2587" spans="1:9" ht="24" customHeight="1">
      <c r="A2587" s="6" t="s">
        <v>3925</v>
      </c>
      <c r="B2587">
        <v>3374</v>
      </c>
      <c r="C2587">
        <v>364</v>
      </c>
      <c r="D2587">
        <v>497849</v>
      </c>
      <c r="E2587">
        <v>411956</v>
      </c>
      <c r="F2587">
        <v>2.5</v>
      </c>
      <c r="G2587">
        <v>3.1</v>
      </c>
      <c r="H2587">
        <v>17.3</v>
      </c>
      <c r="I2587">
        <v>18.399999999999999</v>
      </c>
    </row>
    <row r="2588" spans="1:9" ht="24" customHeight="1">
      <c r="A2588" s="6" t="s">
        <v>3926</v>
      </c>
      <c r="B2588">
        <v>2173</v>
      </c>
      <c r="C2588">
        <v>144</v>
      </c>
      <c r="D2588">
        <v>444493</v>
      </c>
      <c r="E2588">
        <v>308261</v>
      </c>
      <c r="F2588">
        <v>9.1</v>
      </c>
      <c r="G2588">
        <v>5.3</v>
      </c>
      <c r="H2588">
        <v>18.899999999999999</v>
      </c>
      <c r="I2588">
        <v>15.4</v>
      </c>
    </row>
    <row r="2589" spans="1:9" ht="24" customHeight="1">
      <c r="A2589" s="6" t="s">
        <v>3927</v>
      </c>
      <c r="B2589">
        <v>2845</v>
      </c>
      <c r="C2589">
        <v>364</v>
      </c>
      <c r="D2589">
        <v>438381</v>
      </c>
      <c r="E2589">
        <v>306023</v>
      </c>
      <c r="F2589">
        <v>12.4</v>
      </c>
      <c r="G2589">
        <v>1.2</v>
      </c>
      <c r="H2589">
        <v>16.399999999999999</v>
      </c>
      <c r="I2589">
        <v>18</v>
      </c>
    </row>
    <row r="2590" spans="1:9" ht="24" customHeight="1">
      <c r="A2590" s="6" t="s">
        <v>3928</v>
      </c>
      <c r="B2590">
        <v>1638</v>
      </c>
      <c r="C2590">
        <v>124</v>
      </c>
      <c r="D2590">
        <v>569979</v>
      </c>
      <c r="E2590">
        <v>279726</v>
      </c>
      <c r="F2590">
        <v>6.6</v>
      </c>
      <c r="G2590">
        <v>1</v>
      </c>
      <c r="H2590">
        <v>13.9</v>
      </c>
      <c r="I2590">
        <v>19.100000000000001</v>
      </c>
    </row>
    <row r="2591" spans="1:9" ht="24" customHeight="1">
      <c r="A2591" s="6" t="s">
        <v>3929</v>
      </c>
      <c r="B2591">
        <v>32056</v>
      </c>
      <c r="C2591">
        <v>13069</v>
      </c>
      <c r="D2591">
        <v>344011</v>
      </c>
      <c r="E2591">
        <v>252728</v>
      </c>
      <c r="F2591">
        <v>11.4</v>
      </c>
      <c r="G2591">
        <v>3.6</v>
      </c>
      <c r="H2591">
        <v>10.7</v>
      </c>
      <c r="I2591">
        <v>10.3</v>
      </c>
    </row>
    <row r="2592" spans="1:9" ht="24" customHeight="1">
      <c r="A2592" s="6" t="s">
        <v>3930</v>
      </c>
      <c r="B2592">
        <v>1043</v>
      </c>
      <c r="C2592">
        <v>14</v>
      </c>
      <c r="D2592">
        <v>625732</v>
      </c>
      <c r="E2592">
        <v>550230</v>
      </c>
      <c r="F2592">
        <v>0</v>
      </c>
      <c r="G2592">
        <v>0</v>
      </c>
      <c r="H2592">
        <v>24.5</v>
      </c>
      <c r="I2592">
        <v>12</v>
      </c>
    </row>
    <row r="2593" spans="1:9" ht="24" customHeight="1">
      <c r="A2593" s="6" t="s">
        <v>3931</v>
      </c>
      <c r="B2593">
        <v>1805</v>
      </c>
      <c r="C2593">
        <v>93</v>
      </c>
      <c r="D2593">
        <v>504483</v>
      </c>
      <c r="E2593">
        <v>411880</v>
      </c>
      <c r="F2593">
        <v>1.4</v>
      </c>
      <c r="G2593">
        <v>0</v>
      </c>
      <c r="H2593">
        <v>26.6</v>
      </c>
      <c r="I2593">
        <v>27.6</v>
      </c>
    </row>
    <row r="2594" spans="1:9" ht="24" customHeight="1">
      <c r="A2594" s="6" t="s">
        <v>3932</v>
      </c>
      <c r="B2594">
        <v>2726</v>
      </c>
      <c r="C2594">
        <v>258</v>
      </c>
      <c r="D2594">
        <v>410264</v>
      </c>
      <c r="E2594">
        <v>378312</v>
      </c>
      <c r="F2594">
        <v>14.7</v>
      </c>
      <c r="G2594">
        <v>11.7</v>
      </c>
      <c r="H2594">
        <v>19.7</v>
      </c>
      <c r="I2594">
        <v>30.1</v>
      </c>
    </row>
    <row r="2595" spans="1:9" ht="24" customHeight="1">
      <c r="A2595" s="6" t="s">
        <v>3933</v>
      </c>
      <c r="B2595">
        <v>2495</v>
      </c>
      <c r="C2595">
        <v>85</v>
      </c>
      <c r="D2595">
        <v>430657</v>
      </c>
      <c r="E2595">
        <v>332493</v>
      </c>
      <c r="F2595">
        <v>15.5</v>
      </c>
      <c r="G2595">
        <v>6.7</v>
      </c>
      <c r="H2595">
        <v>18.8</v>
      </c>
      <c r="I2595">
        <v>22.7</v>
      </c>
    </row>
    <row r="2596" spans="1:9" ht="24" customHeight="1">
      <c r="A2596" s="6" t="s">
        <v>3934</v>
      </c>
      <c r="B2596">
        <v>1100</v>
      </c>
      <c r="C2596">
        <v>115</v>
      </c>
      <c r="D2596">
        <v>535904</v>
      </c>
      <c r="E2596">
        <v>386870</v>
      </c>
      <c r="F2596">
        <v>10.5</v>
      </c>
      <c r="G2596">
        <v>9.4</v>
      </c>
      <c r="H2596">
        <v>26.5</v>
      </c>
      <c r="I2596">
        <v>23.2</v>
      </c>
    </row>
    <row r="2597" spans="1:9" ht="24" customHeight="1">
      <c r="A2597" s="6" t="s">
        <v>3935</v>
      </c>
      <c r="B2597">
        <v>15031</v>
      </c>
      <c r="C2597">
        <v>4878</v>
      </c>
      <c r="D2597">
        <v>338262</v>
      </c>
      <c r="E2597">
        <v>271161</v>
      </c>
      <c r="F2597">
        <v>13.5</v>
      </c>
      <c r="G2597">
        <v>7.2</v>
      </c>
      <c r="H2597">
        <v>11.3</v>
      </c>
      <c r="I2597">
        <v>10.6</v>
      </c>
    </row>
    <row r="2598" spans="1:9" ht="24" customHeight="1">
      <c r="A2598" s="6" t="s">
        <v>3936</v>
      </c>
      <c r="B2598">
        <v>393</v>
      </c>
      <c r="C2598">
        <v>8</v>
      </c>
      <c r="D2598">
        <v>752575</v>
      </c>
      <c r="E2598">
        <v>1158333</v>
      </c>
      <c r="F2598">
        <v>0</v>
      </c>
      <c r="G2598">
        <v>0</v>
      </c>
      <c r="H2598">
        <v>29.1</v>
      </c>
      <c r="I2598">
        <v>18</v>
      </c>
    </row>
    <row r="2599" spans="1:9" ht="24" customHeight="1">
      <c r="A2599" s="6" t="s">
        <v>3937</v>
      </c>
      <c r="B2599">
        <v>898</v>
      </c>
      <c r="C2599">
        <v>31</v>
      </c>
      <c r="D2599">
        <v>619738</v>
      </c>
      <c r="E2599">
        <v>503999</v>
      </c>
      <c r="F2599">
        <v>1.7</v>
      </c>
      <c r="G2599">
        <v>0</v>
      </c>
      <c r="H2599">
        <v>28.3</v>
      </c>
      <c r="I2599">
        <v>30.4</v>
      </c>
    </row>
    <row r="2600" spans="1:9" ht="24" customHeight="1">
      <c r="A2600" s="6" t="s">
        <v>3938</v>
      </c>
      <c r="B2600">
        <v>1304</v>
      </c>
      <c r="C2600">
        <v>27</v>
      </c>
      <c r="D2600">
        <v>544343</v>
      </c>
      <c r="E2600">
        <v>481829</v>
      </c>
      <c r="F2600">
        <v>21.1</v>
      </c>
      <c r="G2600">
        <v>25.6</v>
      </c>
      <c r="H2600">
        <v>23</v>
      </c>
      <c r="I2600">
        <v>27.9</v>
      </c>
    </row>
    <row r="2601" spans="1:9" ht="24" customHeight="1">
      <c r="A2601" s="6" t="s">
        <v>3939</v>
      </c>
      <c r="B2601">
        <v>739</v>
      </c>
      <c r="C2601">
        <v>79</v>
      </c>
      <c r="D2601">
        <v>469017</v>
      </c>
      <c r="E2601">
        <v>361520</v>
      </c>
      <c r="F2601">
        <v>10.199999999999999</v>
      </c>
      <c r="G2601">
        <v>6</v>
      </c>
      <c r="H2601">
        <v>18.399999999999999</v>
      </c>
      <c r="I2601">
        <v>22.4</v>
      </c>
    </row>
    <row r="2602" spans="1:9" ht="24" customHeight="1">
      <c r="A2602" s="6" t="s">
        <v>3940</v>
      </c>
      <c r="B2602">
        <v>658</v>
      </c>
      <c r="C2602">
        <v>198</v>
      </c>
      <c r="D2602">
        <v>531941</v>
      </c>
      <c r="E2602">
        <v>397327</v>
      </c>
      <c r="F2602">
        <v>10.8</v>
      </c>
      <c r="G2602">
        <v>6.2</v>
      </c>
      <c r="H2602">
        <v>20.5</v>
      </c>
      <c r="I2602">
        <v>23.3</v>
      </c>
    </row>
    <row r="2603" spans="1:9" ht="24" customHeight="1">
      <c r="A2603" s="6" t="s">
        <v>3941</v>
      </c>
      <c r="B2603">
        <v>10853</v>
      </c>
      <c r="C2603">
        <v>3386</v>
      </c>
      <c r="D2603">
        <v>395469</v>
      </c>
      <c r="E2603">
        <v>287543</v>
      </c>
      <c r="F2603">
        <v>16</v>
      </c>
      <c r="G2603">
        <v>6.2</v>
      </c>
      <c r="H2603">
        <v>13.7</v>
      </c>
      <c r="I2603">
        <v>10.6</v>
      </c>
    </row>
    <row r="2604" spans="1:9" ht="24" customHeight="1">
      <c r="A2604" s="6" t="s">
        <v>760</v>
      </c>
      <c r="B2604">
        <v>766</v>
      </c>
      <c r="C2604">
        <v>30</v>
      </c>
      <c r="D2604">
        <v>1004398</v>
      </c>
      <c r="E2604">
        <v>978027</v>
      </c>
      <c r="F2604">
        <v>0</v>
      </c>
      <c r="G2604">
        <v>0</v>
      </c>
      <c r="H2604">
        <v>29.7</v>
      </c>
      <c r="I2604">
        <v>24.7</v>
      </c>
    </row>
    <row r="2605" spans="1:9" ht="24" customHeight="1">
      <c r="A2605" s="6" t="s">
        <v>761</v>
      </c>
      <c r="B2605">
        <v>2306</v>
      </c>
      <c r="C2605">
        <v>75</v>
      </c>
      <c r="D2605">
        <v>719657</v>
      </c>
      <c r="E2605">
        <v>788470</v>
      </c>
      <c r="F2605">
        <v>0</v>
      </c>
      <c r="G2605">
        <v>0</v>
      </c>
      <c r="H2605">
        <v>27</v>
      </c>
      <c r="I2605">
        <v>22.3</v>
      </c>
    </row>
    <row r="2606" spans="1:9" ht="24" customHeight="1">
      <c r="A2606" s="6" t="s">
        <v>762</v>
      </c>
      <c r="B2606">
        <v>2559</v>
      </c>
      <c r="C2606">
        <v>277</v>
      </c>
      <c r="D2606">
        <v>622175</v>
      </c>
      <c r="E2606">
        <v>524451</v>
      </c>
      <c r="F2606">
        <v>28.8</v>
      </c>
      <c r="G2606">
        <v>24</v>
      </c>
      <c r="H2606">
        <v>22.7</v>
      </c>
      <c r="I2606">
        <v>18.7</v>
      </c>
    </row>
    <row r="2607" spans="1:9" ht="24" customHeight="1">
      <c r="A2607" s="6" t="s">
        <v>763</v>
      </c>
      <c r="B2607">
        <v>3629</v>
      </c>
      <c r="C2607">
        <v>127</v>
      </c>
      <c r="D2607">
        <v>582590</v>
      </c>
      <c r="E2607">
        <v>471463</v>
      </c>
      <c r="F2607">
        <v>33.4</v>
      </c>
      <c r="G2607">
        <v>16.3</v>
      </c>
      <c r="H2607">
        <v>23.5</v>
      </c>
      <c r="I2607">
        <v>17.5</v>
      </c>
    </row>
    <row r="2608" spans="1:9" ht="24" customHeight="1">
      <c r="A2608" s="6" t="s">
        <v>764</v>
      </c>
      <c r="B2608">
        <v>1471</v>
      </c>
      <c r="C2608">
        <v>30</v>
      </c>
      <c r="D2608">
        <v>778855</v>
      </c>
      <c r="E2608">
        <v>765236</v>
      </c>
      <c r="F2608">
        <v>2.1</v>
      </c>
      <c r="G2608">
        <v>0</v>
      </c>
      <c r="H2608">
        <v>25.8</v>
      </c>
      <c r="I2608">
        <v>15</v>
      </c>
    </row>
    <row r="2609" spans="1:9" ht="24" customHeight="1">
      <c r="A2609" s="6" t="s">
        <v>765</v>
      </c>
      <c r="B2609">
        <v>22870</v>
      </c>
      <c r="C2609">
        <v>9951</v>
      </c>
      <c r="D2609">
        <v>498176</v>
      </c>
      <c r="E2609">
        <v>382902</v>
      </c>
      <c r="F2609">
        <v>25.6</v>
      </c>
      <c r="G2609">
        <v>16.8</v>
      </c>
      <c r="H2609">
        <v>21.6</v>
      </c>
      <c r="I2609">
        <v>12.3</v>
      </c>
    </row>
    <row r="2610" spans="1:9" ht="24" customHeight="1">
      <c r="A2610" s="6" t="s">
        <v>3942</v>
      </c>
      <c r="B2610">
        <v>6395</v>
      </c>
      <c r="C2610">
        <v>167</v>
      </c>
      <c r="D2610">
        <v>546843</v>
      </c>
      <c r="E2610">
        <v>415409</v>
      </c>
      <c r="F2610">
        <v>2.6</v>
      </c>
      <c r="G2610">
        <v>1.8</v>
      </c>
      <c r="H2610">
        <v>18.7</v>
      </c>
      <c r="I2610">
        <v>20.399999999999999</v>
      </c>
    </row>
    <row r="2611" spans="1:9" ht="24" customHeight="1">
      <c r="A2611" s="6" t="s">
        <v>3943</v>
      </c>
      <c r="B2611">
        <v>4583</v>
      </c>
      <c r="C2611">
        <v>480</v>
      </c>
      <c r="D2611">
        <v>449361</v>
      </c>
      <c r="E2611">
        <v>382021</v>
      </c>
      <c r="F2611">
        <v>3.5</v>
      </c>
      <c r="G2611">
        <v>7.8</v>
      </c>
      <c r="H2611">
        <v>19.3</v>
      </c>
      <c r="I2611">
        <v>20.9</v>
      </c>
    </row>
    <row r="2612" spans="1:9" ht="24" customHeight="1">
      <c r="A2612" s="6" t="s">
        <v>3944</v>
      </c>
      <c r="B2612">
        <v>4889</v>
      </c>
      <c r="C2612">
        <v>655</v>
      </c>
      <c r="D2612">
        <v>371871</v>
      </c>
      <c r="E2612">
        <v>338294</v>
      </c>
      <c r="F2612">
        <v>8.3000000000000007</v>
      </c>
      <c r="G2612">
        <v>4.7</v>
      </c>
      <c r="H2612">
        <v>16</v>
      </c>
      <c r="I2612">
        <v>21.3</v>
      </c>
    </row>
    <row r="2613" spans="1:9" ht="24" customHeight="1">
      <c r="A2613" s="6" t="s">
        <v>3945</v>
      </c>
      <c r="B2613">
        <v>1203</v>
      </c>
      <c r="C2613">
        <v>287</v>
      </c>
      <c r="D2613">
        <v>371556</v>
      </c>
      <c r="E2613">
        <v>293011</v>
      </c>
      <c r="F2613">
        <v>17.7</v>
      </c>
      <c r="G2613">
        <v>14</v>
      </c>
      <c r="H2613">
        <v>20.399999999999999</v>
      </c>
      <c r="I2613">
        <v>12.4</v>
      </c>
    </row>
    <row r="2614" spans="1:9" ht="24" customHeight="1">
      <c r="A2614" s="6" t="s">
        <v>3946</v>
      </c>
      <c r="B2614">
        <v>2916</v>
      </c>
      <c r="C2614">
        <v>377</v>
      </c>
      <c r="D2614">
        <v>456537</v>
      </c>
      <c r="E2614">
        <v>292903</v>
      </c>
      <c r="F2614">
        <v>2.2000000000000002</v>
      </c>
      <c r="G2614">
        <v>5.6</v>
      </c>
      <c r="H2614">
        <v>18.899999999999999</v>
      </c>
      <c r="I2614">
        <v>17</v>
      </c>
    </row>
    <row r="2615" spans="1:9" ht="24" customHeight="1">
      <c r="A2615" s="6" t="s">
        <v>3947</v>
      </c>
      <c r="B2615">
        <v>32017</v>
      </c>
      <c r="C2615">
        <v>19279</v>
      </c>
      <c r="D2615">
        <v>327535</v>
      </c>
      <c r="E2615">
        <v>253638</v>
      </c>
      <c r="F2615">
        <v>9.1999999999999993</v>
      </c>
      <c r="G2615">
        <v>6.3</v>
      </c>
      <c r="H2615">
        <v>13.2</v>
      </c>
      <c r="I2615">
        <v>11.7</v>
      </c>
    </row>
    <row r="2616" spans="1:9" ht="24" customHeight="1">
      <c r="A2616" s="6" t="s">
        <v>3948</v>
      </c>
      <c r="B2616">
        <v>2162</v>
      </c>
      <c r="C2616">
        <v>19</v>
      </c>
      <c r="D2616">
        <v>717057</v>
      </c>
      <c r="E2616">
        <v>490361</v>
      </c>
      <c r="F2616">
        <v>1.3</v>
      </c>
      <c r="G2616">
        <v>3</v>
      </c>
      <c r="H2616">
        <v>25.9</v>
      </c>
      <c r="I2616">
        <v>23</v>
      </c>
    </row>
    <row r="2617" spans="1:9" ht="24" customHeight="1">
      <c r="A2617" s="6" t="s">
        <v>3949</v>
      </c>
      <c r="B2617">
        <v>3199</v>
      </c>
      <c r="C2617">
        <v>97</v>
      </c>
      <c r="D2617">
        <v>568805</v>
      </c>
      <c r="E2617">
        <v>409249</v>
      </c>
      <c r="F2617">
        <v>1.9</v>
      </c>
      <c r="G2617">
        <v>8.6</v>
      </c>
      <c r="H2617">
        <v>21.4</v>
      </c>
      <c r="I2617">
        <v>18.5</v>
      </c>
    </row>
    <row r="2618" spans="1:9" ht="24" customHeight="1">
      <c r="A2618" s="6" t="s">
        <v>3950</v>
      </c>
      <c r="B2618">
        <v>5376</v>
      </c>
      <c r="C2618">
        <v>428</v>
      </c>
      <c r="D2618">
        <v>456206</v>
      </c>
      <c r="E2618">
        <v>358240</v>
      </c>
      <c r="F2618">
        <v>31.4</v>
      </c>
      <c r="G2618">
        <v>17.2</v>
      </c>
      <c r="H2618">
        <v>19</v>
      </c>
      <c r="I2618">
        <v>26.1</v>
      </c>
    </row>
    <row r="2619" spans="1:9" ht="24" customHeight="1">
      <c r="A2619" s="6" t="s">
        <v>3951</v>
      </c>
      <c r="B2619">
        <v>1082</v>
      </c>
      <c r="C2619">
        <v>17</v>
      </c>
      <c r="D2619">
        <v>440192</v>
      </c>
      <c r="E2619">
        <v>312464</v>
      </c>
      <c r="F2619">
        <v>27.1</v>
      </c>
      <c r="G2619">
        <v>3</v>
      </c>
      <c r="H2619">
        <v>15.6</v>
      </c>
      <c r="I2619">
        <v>24.5</v>
      </c>
    </row>
    <row r="2620" spans="1:9" ht="24" customHeight="1">
      <c r="A2620" s="6" t="s">
        <v>3952</v>
      </c>
      <c r="B2620">
        <v>1681</v>
      </c>
      <c r="C2620">
        <v>330</v>
      </c>
      <c r="D2620">
        <v>428294</v>
      </c>
      <c r="E2620">
        <v>339636</v>
      </c>
      <c r="F2620">
        <v>14.1</v>
      </c>
      <c r="G2620">
        <v>22.6</v>
      </c>
      <c r="H2620">
        <v>23.2</v>
      </c>
      <c r="I2620">
        <v>14.2</v>
      </c>
    </row>
    <row r="2621" spans="1:9" ht="24" customHeight="1">
      <c r="A2621" s="6" t="s">
        <v>3953</v>
      </c>
      <c r="B2621">
        <v>19952</v>
      </c>
      <c r="C2621">
        <v>9899</v>
      </c>
      <c r="D2621">
        <v>374962</v>
      </c>
      <c r="E2621">
        <v>299549</v>
      </c>
      <c r="F2621">
        <v>26.6</v>
      </c>
      <c r="G2621">
        <v>16.399999999999999</v>
      </c>
      <c r="H2621">
        <v>12.8</v>
      </c>
      <c r="I2621">
        <v>10.9</v>
      </c>
    </row>
    <row r="2622" spans="1:9" ht="24" customHeight="1">
      <c r="A2622" s="6" t="s">
        <v>3954</v>
      </c>
      <c r="B2622">
        <v>1197</v>
      </c>
      <c r="C2622">
        <v>5</v>
      </c>
      <c r="D2622">
        <v>773242</v>
      </c>
      <c r="E2622">
        <v>633952</v>
      </c>
      <c r="F2622">
        <v>0.2</v>
      </c>
      <c r="G2622">
        <v>0</v>
      </c>
      <c r="H2622">
        <v>24.7</v>
      </c>
      <c r="I2622">
        <v>5</v>
      </c>
    </row>
    <row r="2623" spans="1:9" ht="24" customHeight="1">
      <c r="A2623" s="6" t="s">
        <v>3955</v>
      </c>
      <c r="B2623">
        <v>1775</v>
      </c>
      <c r="C2623">
        <v>243</v>
      </c>
      <c r="D2623">
        <v>582245</v>
      </c>
      <c r="E2623">
        <v>545040</v>
      </c>
      <c r="F2623">
        <v>0.4</v>
      </c>
      <c r="G2623">
        <v>3.3</v>
      </c>
      <c r="H2623">
        <v>27</v>
      </c>
      <c r="I2623">
        <v>26.6</v>
      </c>
    </row>
    <row r="2624" spans="1:9" ht="24" customHeight="1">
      <c r="A2624" s="6" t="s">
        <v>3956</v>
      </c>
      <c r="B2624">
        <v>1827</v>
      </c>
      <c r="C2624">
        <v>274</v>
      </c>
      <c r="D2624">
        <v>472412</v>
      </c>
      <c r="E2624">
        <v>382271</v>
      </c>
      <c r="F2624">
        <v>14.7</v>
      </c>
      <c r="G2624">
        <v>6.9</v>
      </c>
      <c r="H2624">
        <v>26.2</v>
      </c>
      <c r="I2624">
        <v>24.3</v>
      </c>
    </row>
    <row r="2625" spans="1:9" ht="24" customHeight="1">
      <c r="A2625" s="6" t="s">
        <v>3957</v>
      </c>
      <c r="B2625">
        <v>1113</v>
      </c>
      <c r="C2625">
        <v>330</v>
      </c>
      <c r="D2625">
        <v>451842</v>
      </c>
      <c r="E2625">
        <v>313944</v>
      </c>
      <c r="F2625">
        <v>24.7</v>
      </c>
      <c r="G2625">
        <v>3.6</v>
      </c>
      <c r="H2625">
        <v>18.899999999999999</v>
      </c>
      <c r="I2625">
        <v>7.5</v>
      </c>
    </row>
    <row r="2626" spans="1:9" ht="24" customHeight="1">
      <c r="A2626" s="6" t="s">
        <v>3958</v>
      </c>
      <c r="B2626">
        <v>839</v>
      </c>
      <c r="C2626">
        <v>191</v>
      </c>
      <c r="D2626">
        <v>489082</v>
      </c>
      <c r="E2626">
        <v>405570</v>
      </c>
      <c r="F2626">
        <v>16.2</v>
      </c>
      <c r="G2626">
        <v>15.5</v>
      </c>
      <c r="H2626">
        <v>20.5</v>
      </c>
      <c r="I2626">
        <v>21.7</v>
      </c>
    </row>
    <row r="2627" spans="1:9" ht="24" customHeight="1">
      <c r="A2627" s="6" t="s">
        <v>3959</v>
      </c>
      <c r="B2627">
        <v>6946</v>
      </c>
      <c r="C2627">
        <v>4654</v>
      </c>
      <c r="D2627">
        <v>411489</v>
      </c>
      <c r="E2627">
        <v>340311</v>
      </c>
      <c r="F2627">
        <v>20.8</v>
      </c>
      <c r="G2627">
        <v>9.9</v>
      </c>
      <c r="H2627">
        <v>14.3</v>
      </c>
      <c r="I2627">
        <v>13.1</v>
      </c>
    </row>
    <row r="2628" spans="1:9" ht="24" customHeight="1">
      <c r="A2628" s="6" t="s">
        <v>766</v>
      </c>
      <c r="B2628">
        <v>4928</v>
      </c>
      <c r="C2628">
        <v>498</v>
      </c>
      <c r="D2628">
        <v>1389675</v>
      </c>
      <c r="E2628">
        <v>1262739</v>
      </c>
      <c r="F2628">
        <v>0.8</v>
      </c>
      <c r="G2628">
        <v>0</v>
      </c>
      <c r="H2628">
        <v>26.8</v>
      </c>
      <c r="I2628">
        <v>20.100000000000001</v>
      </c>
    </row>
    <row r="2629" spans="1:9" ht="24" customHeight="1">
      <c r="A2629" s="6" t="s">
        <v>767</v>
      </c>
      <c r="B2629">
        <v>11617</v>
      </c>
      <c r="C2629">
        <v>1484</v>
      </c>
      <c r="D2629">
        <v>993592</v>
      </c>
      <c r="E2629">
        <v>1028821</v>
      </c>
      <c r="F2629">
        <v>1.8</v>
      </c>
      <c r="G2629">
        <v>1.6</v>
      </c>
      <c r="H2629">
        <v>24.3</v>
      </c>
      <c r="I2629">
        <v>18</v>
      </c>
    </row>
    <row r="2630" spans="1:9" ht="24" customHeight="1">
      <c r="A2630" s="6" t="s">
        <v>768</v>
      </c>
      <c r="B2630">
        <v>9049</v>
      </c>
      <c r="C2630">
        <v>2240</v>
      </c>
      <c r="D2630">
        <v>753037</v>
      </c>
      <c r="E2630">
        <v>688070</v>
      </c>
      <c r="F2630">
        <v>18.100000000000001</v>
      </c>
      <c r="G2630">
        <v>8.4</v>
      </c>
      <c r="H2630">
        <v>20.399999999999999</v>
      </c>
      <c r="I2630">
        <v>20.100000000000001</v>
      </c>
    </row>
    <row r="2631" spans="1:9" ht="24" customHeight="1">
      <c r="A2631" s="6" t="s">
        <v>769</v>
      </c>
      <c r="B2631">
        <v>5312</v>
      </c>
      <c r="C2631">
        <v>733</v>
      </c>
      <c r="D2631">
        <v>670895</v>
      </c>
      <c r="E2631">
        <v>510388</v>
      </c>
      <c r="F2631">
        <v>20.3</v>
      </c>
      <c r="G2631">
        <v>11.8</v>
      </c>
      <c r="H2631">
        <v>22.4</v>
      </c>
      <c r="I2631">
        <v>17.899999999999999</v>
      </c>
    </row>
    <row r="2632" spans="1:9" ht="24" customHeight="1">
      <c r="A2632" s="6" t="s">
        <v>770</v>
      </c>
      <c r="B2632">
        <v>6435</v>
      </c>
      <c r="C2632">
        <v>565</v>
      </c>
      <c r="D2632">
        <v>1020281</v>
      </c>
      <c r="E2632">
        <v>857793</v>
      </c>
      <c r="F2632">
        <v>3.3</v>
      </c>
      <c r="G2632">
        <v>4.2</v>
      </c>
      <c r="H2632">
        <v>22.7</v>
      </c>
      <c r="I2632">
        <v>25.8</v>
      </c>
    </row>
    <row r="2633" spans="1:9" ht="24" customHeight="1">
      <c r="A2633" s="6" t="s">
        <v>771</v>
      </c>
      <c r="B2633">
        <v>82422</v>
      </c>
      <c r="C2633">
        <v>26236</v>
      </c>
      <c r="D2633">
        <v>605070</v>
      </c>
      <c r="E2633">
        <v>520204</v>
      </c>
      <c r="F2633">
        <v>13.6</v>
      </c>
      <c r="G2633">
        <v>9.1</v>
      </c>
      <c r="H2633">
        <v>14.6</v>
      </c>
      <c r="I2633">
        <v>13.6</v>
      </c>
    </row>
    <row r="2634" spans="1:9" ht="24" customHeight="1">
      <c r="A2634" s="6" t="s">
        <v>3960</v>
      </c>
      <c r="B2634">
        <v>2663</v>
      </c>
      <c r="C2634">
        <v>100</v>
      </c>
      <c r="D2634">
        <v>687191</v>
      </c>
      <c r="E2634">
        <v>421655</v>
      </c>
      <c r="F2634">
        <v>0.8</v>
      </c>
      <c r="G2634">
        <v>2.4</v>
      </c>
      <c r="H2634">
        <v>20.2</v>
      </c>
      <c r="I2634">
        <v>20.399999999999999</v>
      </c>
    </row>
    <row r="2635" spans="1:9" ht="24" customHeight="1">
      <c r="A2635" s="6" t="s">
        <v>3961</v>
      </c>
      <c r="B2635">
        <v>3161</v>
      </c>
      <c r="C2635">
        <v>848</v>
      </c>
      <c r="D2635">
        <v>578385</v>
      </c>
      <c r="E2635">
        <v>474516</v>
      </c>
      <c r="F2635">
        <v>1.6</v>
      </c>
      <c r="G2635">
        <v>0.1</v>
      </c>
      <c r="H2635">
        <v>21.8</v>
      </c>
      <c r="I2635">
        <v>15.9</v>
      </c>
    </row>
    <row r="2636" spans="1:9" ht="24" customHeight="1">
      <c r="A2636" s="6" t="s">
        <v>3962</v>
      </c>
      <c r="B2636">
        <v>2075</v>
      </c>
      <c r="C2636">
        <v>643</v>
      </c>
      <c r="D2636">
        <v>469067</v>
      </c>
      <c r="E2636">
        <v>462957</v>
      </c>
      <c r="F2636">
        <v>13.3</v>
      </c>
      <c r="G2636">
        <v>4.5999999999999996</v>
      </c>
      <c r="H2636">
        <v>13.9</v>
      </c>
      <c r="I2636">
        <v>12</v>
      </c>
    </row>
    <row r="2637" spans="1:9" ht="24" customHeight="1">
      <c r="A2637" s="6" t="s">
        <v>3963</v>
      </c>
      <c r="B2637">
        <v>922</v>
      </c>
      <c r="C2637">
        <v>665</v>
      </c>
      <c r="D2637">
        <v>499741</v>
      </c>
      <c r="E2637">
        <v>327775</v>
      </c>
      <c r="F2637">
        <v>7.1</v>
      </c>
      <c r="G2637">
        <v>3</v>
      </c>
      <c r="H2637">
        <v>19</v>
      </c>
      <c r="I2637">
        <v>15.4</v>
      </c>
    </row>
    <row r="2638" spans="1:9" ht="24" customHeight="1">
      <c r="A2638" s="6" t="s">
        <v>3964</v>
      </c>
      <c r="B2638">
        <v>2486</v>
      </c>
      <c r="C2638">
        <v>743</v>
      </c>
      <c r="D2638">
        <v>645006</v>
      </c>
      <c r="E2638">
        <v>533658</v>
      </c>
      <c r="F2638">
        <v>9</v>
      </c>
      <c r="G2638">
        <v>9.1999999999999993</v>
      </c>
      <c r="H2638">
        <v>12.1</v>
      </c>
      <c r="I2638">
        <v>14.1</v>
      </c>
    </row>
    <row r="2639" spans="1:9" ht="24" customHeight="1">
      <c r="A2639" s="6" t="s">
        <v>3965</v>
      </c>
      <c r="B2639">
        <v>23061</v>
      </c>
      <c r="C2639">
        <v>12640</v>
      </c>
      <c r="D2639">
        <v>421690</v>
      </c>
      <c r="E2639">
        <v>357724</v>
      </c>
      <c r="F2639">
        <v>12</v>
      </c>
      <c r="G2639">
        <v>10</v>
      </c>
      <c r="H2639">
        <v>9.6</v>
      </c>
      <c r="I2639">
        <v>8.8000000000000007</v>
      </c>
    </row>
    <row r="2640" spans="1:9" ht="24" customHeight="1">
      <c r="A2640" s="6" t="s">
        <v>3966</v>
      </c>
      <c r="B2640">
        <v>2656</v>
      </c>
      <c r="C2640">
        <v>94</v>
      </c>
      <c r="D2640">
        <v>873391</v>
      </c>
      <c r="E2640">
        <v>737555</v>
      </c>
      <c r="F2640">
        <v>0.1</v>
      </c>
      <c r="G2640">
        <v>0</v>
      </c>
      <c r="H2640">
        <v>25.5</v>
      </c>
      <c r="I2640">
        <v>28.3</v>
      </c>
    </row>
    <row r="2641" spans="1:9" ht="24" customHeight="1">
      <c r="A2641" s="6" t="s">
        <v>3967</v>
      </c>
      <c r="B2641">
        <v>7085</v>
      </c>
      <c r="C2641">
        <v>776</v>
      </c>
      <c r="D2641">
        <v>623533</v>
      </c>
      <c r="E2641">
        <v>696234</v>
      </c>
      <c r="F2641">
        <v>0.5</v>
      </c>
      <c r="G2641">
        <v>0.1</v>
      </c>
      <c r="H2641">
        <v>24</v>
      </c>
      <c r="I2641">
        <v>26.6</v>
      </c>
    </row>
    <row r="2642" spans="1:9" ht="24" customHeight="1">
      <c r="A2642" s="6" t="s">
        <v>3968</v>
      </c>
      <c r="B2642">
        <v>4608</v>
      </c>
      <c r="C2642">
        <v>893</v>
      </c>
      <c r="D2642">
        <v>531144</v>
      </c>
      <c r="E2642">
        <v>487716</v>
      </c>
      <c r="F2642">
        <v>13.1</v>
      </c>
      <c r="G2642">
        <v>10.3</v>
      </c>
      <c r="H2642">
        <v>20</v>
      </c>
      <c r="I2642">
        <v>23.3</v>
      </c>
    </row>
    <row r="2643" spans="1:9" ht="24" customHeight="1">
      <c r="A2643" s="6" t="s">
        <v>3969</v>
      </c>
      <c r="B2643">
        <v>3871</v>
      </c>
      <c r="C2643">
        <v>458</v>
      </c>
      <c r="D2643">
        <v>531380</v>
      </c>
      <c r="E2643">
        <v>557851</v>
      </c>
      <c r="F2643">
        <v>11.7</v>
      </c>
      <c r="G2643">
        <v>7.6</v>
      </c>
      <c r="H2643">
        <v>18.600000000000001</v>
      </c>
      <c r="I2643">
        <v>17.399999999999999</v>
      </c>
    </row>
    <row r="2644" spans="1:9" ht="24" customHeight="1">
      <c r="A2644" s="6" t="s">
        <v>3970</v>
      </c>
      <c r="B2644">
        <v>2552</v>
      </c>
      <c r="C2644">
        <v>349</v>
      </c>
      <c r="D2644">
        <v>576429</v>
      </c>
      <c r="E2644">
        <v>420250</v>
      </c>
      <c r="F2644">
        <v>10.4</v>
      </c>
      <c r="G2644">
        <v>4.9000000000000004</v>
      </c>
      <c r="H2644">
        <v>21.3</v>
      </c>
      <c r="I2644">
        <v>17.8</v>
      </c>
    </row>
    <row r="2645" spans="1:9" ht="24" customHeight="1">
      <c r="A2645" s="6" t="s">
        <v>3971</v>
      </c>
      <c r="B2645">
        <v>41866</v>
      </c>
      <c r="C2645">
        <v>16152</v>
      </c>
      <c r="D2645">
        <v>406354</v>
      </c>
      <c r="E2645">
        <v>315976</v>
      </c>
      <c r="F2645">
        <v>15.6</v>
      </c>
      <c r="G2645">
        <v>10.6</v>
      </c>
      <c r="H2645">
        <v>10.6</v>
      </c>
      <c r="I2645">
        <v>7.6</v>
      </c>
    </row>
    <row r="2646" spans="1:9" ht="24" customHeight="1">
      <c r="A2646" s="6" t="s">
        <v>3972</v>
      </c>
      <c r="B2646">
        <v>2401</v>
      </c>
      <c r="C2646">
        <v>113</v>
      </c>
      <c r="D2646">
        <v>1061288</v>
      </c>
      <c r="E2646">
        <v>1022747</v>
      </c>
      <c r="F2646">
        <v>0</v>
      </c>
      <c r="G2646">
        <v>0</v>
      </c>
      <c r="H2646">
        <v>26.7</v>
      </c>
      <c r="I2646">
        <v>27.4</v>
      </c>
    </row>
    <row r="2647" spans="1:9" ht="24" customHeight="1">
      <c r="A2647" s="6" t="s">
        <v>3973</v>
      </c>
      <c r="B2647">
        <v>5323</v>
      </c>
      <c r="C2647">
        <v>1225</v>
      </c>
      <c r="D2647">
        <v>786718</v>
      </c>
      <c r="E2647">
        <v>730046</v>
      </c>
      <c r="F2647">
        <v>6.4</v>
      </c>
      <c r="G2647">
        <v>2.2000000000000002</v>
      </c>
      <c r="H2647">
        <v>24</v>
      </c>
      <c r="I2647">
        <v>24.5</v>
      </c>
    </row>
    <row r="2648" spans="1:9" ht="24" customHeight="1">
      <c r="A2648" s="6" t="s">
        <v>3974</v>
      </c>
      <c r="B2648">
        <v>3157</v>
      </c>
      <c r="C2648">
        <v>698</v>
      </c>
      <c r="D2648">
        <v>614087</v>
      </c>
      <c r="E2648">
        <v>541698</v>
      </c>
      <c r="F2648">
        <v>21.6</v>
      </c>
      <c r="G2648">
        <v>9.5</v>
      </c>
      <c r="H2648">
        <v>18.600000000000001</v>
      </c>
      <c r="I2648">
        <v>14.1</v>
      </c>
    </row>
    <row r="2649" spans="1:9" ht="24" customHeight="1">
      <c r="A2649" s="6" t="s">
        <v>3975</v>
      </c>
      <c r="B2649">
        <v>4468</v>
      </c>
      <c r="C2649">
        <v>820</v>
      </c>
      <c r="D2649">
        <v>575661</v>
      </c>
      <c r="E2649">
        <v>493200</v>
      </c>
      <c r="F2649">
        <v>19.5</v>
      </c>
      <c r="G2649">
        <v>21.1</v>
      </c>
      <c r="H2649">
        <v>17</v>
      </c>
      <c r="I2649">
        <v>11.9</v>
      </c>
    </row>
    <row r="2650" spans="1:9" ht="24" customHeight="1">
      <c r="A2650" s="6" t="s">
        <v>3976</v>
      </c>
      <c r="B2650">
        <v>2429</v>
      </c>
      <c r="C2650">
        <v>409</v>
      </c>
      <c r="D2650">
        <v>747043</v>
      </c>
      <c r="E2650">
        <v>601867</v>
      </c>
      <c r="F2650">
        <v>4.5999999999999996</v>
      </c>
      <c r="G2650">
        <v>5.3</v>
      </c>
      <c r="H2650">
        <v>22.8</v>
      </c>
      <c r="I2650">
        <v>25.3</v>
      </c>
    </row>
    <row r="2651" spans="1:9" ht="24" customHeight="1">
      <c r="A2651" s="6" t="s">
        <v>3977</v>
      </c>
      <c r="B2651">
        <v>43032</v>
      </c>
      <c r="C2651">
        <v>14630</v>
      </c>
      <c r="D2651">
        <v>483812</v>
      </c>
      <c r="E2651">
        <v>406157</v>
      </c>
      <c r="F2651">
        <v>16</v>
      </c>
      <c r="G2651">
        <v>10.7</v>
      </c>
      <c r="H2651">
        <v>11.9</v>
      </c>
      <c r="I2651">
        <v>10.199999999999999</v>
      </c>
    </row>
    <row r="2652" spans="1:9" ht="24" customHeight="1">
      <c r="A2652" s="6" t="s">
        <v>772</v>
      </c>
      <c r="B2652">
        <v>52</v>
      </c>
      <c r="C2652">
        <v>0</v>
      </c>
      <c r="D2652">
        <v>864902</v>
      </c>
      <c r="E2652"/>
      <c r="F2652">
        <v>0</v>
      </c>
      <c r="G2652"/>
      <c r="H2652">
        <v>21.5</v>
      </c>
      <c r="I2652"/>
    </row>
    <row r="2653" spans="1:9" ht="24" customHeight="1">
      <c r="A2653" s="6" t="s">
        <v>773</v>
      </c>
      <c r="B2653">
        <v>259</v>
      </c>
      <c r="C2653">
        <v>5</v>
      </c>
      <c r="D2653">
        <v>965974</v>
      </c>
      <c r="E2653">
        <v>556715</v>
      </c>
      <c r="F2653">
        <v>0.2</v>
      </c>
      <c r="G2653">
        <v>0</v>
      </c>
      <c r="H2653">
        <v>24.6</v>
      </c>
      <c r="I2653">
        <v>19</v>
      </c>
    </row>
    <row r="2654" spans="1:9" ht="24" customHeight="1">
      <c r="A2654" s="6" t="s">
        <v>774</v>
      </c>
      <c r="B2654">
        <v>116</v>
      </c>
      <c r="C2654">
        <v>0</v>
      </c>
      <c r="D2654">
        <v>808975</v>
      </c>
      <c r="E2654"/>
      <c r="F2654">
        <v>23.3</v>
      </c>
      <c r="G2654"/>
      <c r="H2654">
        <v>26.9</v>
      </c>
      <c r="I2654"/>
    </row>
    <row r="2655" spans="1:9" ht="24" customHeight="1">
      <c r="A2655" s="6" t="s">
        <v>775</v>
      </c>
      <c r="B2655">
        <v>400</v>
      </c>
      <c r="C2655">
        <v>0</v>
      </c>
      <c r="D2655">
        <v>663655</v>
      </c>
      <c r="E2655"/>
      <c r="F2655">
        <v>28.1</v>
      </c>
      <c r="G2655"/>
      <c r="H2655">
        <v>18.8</v>
      </c>
      <c r="I2655"/>
    </row>
    <row r="2656" spans="1:9" ht="24" customHeight="1">
      <c r="A2656" s="6" t="s">
        <v>776</v>
      </c>
      <c r="B2656">
        <v>70</v>
      </c>
      <c r="C2656">
        <v>0</v>
      </c>
      <c r="D2656">
        <v>720067</v>
      </c>
      <c r="E2656"/>
      <c r="F2656">
        <v>0</v>
      </c>
      <c r="G2656"/>
      <c r="H2656">
        <v>24.8</v>
      </c>
      <c r="I2656"/>
    </row>
    <row r="2657" spans="1:9" ht="24" customHeight="1">
      <c r="A2657" s="6" t="s">
        <v>777</v>
      </c>
      <c r="B2657">
        <v>4145</v>
      </c>
      <c r="C2657">
        <v>743</v>
      </c>
      <c r="D2657">
        <v>558853</v>
      </c>
      <c r="E2657">
        <v>413437</v>
      </c>
      <c r="F2657">
        <v>29.1</v>
      </c>
      <c r="G2657">
        <v>18.5</v>
      </c>
      <c r="H2657">
        <v>13</v>
      </c>
      <c r="I2657">
        <v>15.8</v>
      </c>
    </row>
    <row r="2658" spans="1:9" ht="24" customHeight="1">
      <c r="A2658" s="6" t="s">
        <v>3978</v>
      </c>
      <c r="B2658">
        <v>120</v>
      </c>
      <c r="C2658">
        <v>0</v>
      </c>
      <c r="D2658">
        <v>587395</v>
      </c>
      <c r="E2658"/>
      <c r="F2658">
        <v>11</v>
      </c>
      <c r="G2658"/>
      <c r="H2658">
        <v>21</v>
      </c>
      <c r="I2658"/>
    </row>
    <row r="2659" spans="1:9" ht="24" customHeight="1">
      <c r="A2659" s="6" t="s">
        <v>3979</v>
      </c>
      <c r="B2659">
        <v>326</v>
      </c>
      <c r="C2659">
        <v>41</v>
      </c>
      <c r="D2659">
        <v>549745</v>
      </c>
      <c r="E2659">
        <v>421265</v>
      </c>
      <c r="F2659">
        <v>16.600000000000001</v>
      </c>
      <c r="G2659">
        <v>6.4</v>
      </c>
      <c r="H2659">
        <v>14.3</v>
      </c>
      <c r="I2659">
        <v>16.3</v>
      </c>
    </row>
    <row r="2660" spans="1:9" ht="24" customHeight="1">
      <c r="A2660" s="6" t="s">
        <v>3980</v>
      </c>
      <c r="B2660">
        <v>305</v>
      </c>
      <c r="C2660">
        <v>127</v>
      </c>
      <c r="D2660">
        <v>511972</v>
      </c>
      <c r="E2660">
        <v>479349</v>
      </c>
      <c r="F2660">
        <v>15.2</v>
      </c>
      <c r="G2660">
        <v>6.8</v>
      </c>
      <c r="H2660">
        <v>12.3</v>
      </c>
      <c r="I2660">
        <v>19.3</v>
      </c>
    </row>
    <row r="2661" spans="1:9" ht="24" customHeight="1">
      <c r="A2661" s="6" t="s">
        <v>3981</v>
      </c>
      <c r="B2661">
        <v>65</v>
      </c>
      <c r="C2661">
        <v>17</v>
      </c>
      <c r="D2661">
        <v>463412</v>
      </c>
      <c r="E2661">
        <v>530220</v>
      </c>
      <c r="F2661">
        <v>7.7</v>
      </c>
      <c r="G2661">
        <v>11</v>
      </c>
      <c r="H2661">
        <v>14.1</v>
      </c>
      <c r="I2661">
        <v>27</v>
      </c>
    </row>
    <row r="2662" spans="1:9" ht="24" customHeight="1">
      <c r="A2662" s="6" t="s">
        <v>3982</v>
      </c>
      <c r="B2662">
        <v>3</v>
      </c>
      <c r="C2662">
        <v>0</v>
      </c>
      <c r="D2662">
        <v>615885</v>
      </c>
      <c r="E2662"/>
      <c r="F2662">
        <v>16</v>
      </c>
      <c r="G2662"/>
      <c r="H2662">
        <v>15</v>
      </c>
      <c r="I2662"/>
    </row>
    <row r="2663" spans="1:9" ht="24" customHeight="1">
      <c r="A2663" s="6" t="s">
        <v>3983</v>
      </c>
      <c r="B2663">
        <v>1289</v>
      </c>
      <c r="C2663">
        <v>330</v>
      </c>
      <c r="D2663">
        <v>402699</v>
      </c>
      <c r="E2663">
        <v>283004</v>
      </c>
      <c r="F2663">
        <v>18.3</v>
      </c>
      <c r="G2663">
        <v>6.2</v>
      </c>
      <c r="H2663">
        <v>9.1999999999999993</v>
      </c>
      <c r="I2663">
        <v>7.9</v>
      </c>
    </row>
    <row r="2664" spans="1:9" ht="24" customHeight="1">
      <c r="A2664" s="6" t="s">
        <v>3984</v>
      </c>
      <c r="B2664">
        <v>15</v>
      </c>
      <c r="C2664">
        <v>0</v>
      </c>
      <c r="D2664">
        <v>565232</v>
      </c>
      <c r="E2664"/>
      <c r="F2664">
        <v>0</v>
      </c>
      <c r="G2664"/>
      <c r="H2664">
        <v>17</v>
      </c>
      <c r="I2664"/>
    </row>
    <row r="2665" spans="1:9" ht="24" customHeight="1">
      <c r="A2665" s="6" t="s">
        <v>3985</v>
      </c>
      <c r="B2665">
        <v>29</v>
      </c>
      <c r="C2665">
        <v>0</v>
      </c>
      <c r="D2665">
        <v>509157</v>
      </c>
      <c r="E2665"/>
      <c r="F2665">
        <v>17</v>
      </c>
      <c r="G2665"/>
      <c r="H2665">
        <v>13.5</v>
      </c>
      <c r="I2665"/>
    </row>
    <row r="2666" spans="1:9" ht="24" customHeight="1">
      <c r="A2666" s="6" t="s">
        <v>3986</v>
      </c>
      <c r="B2666">
        <v>15</v>
      </c>
      <c r="C2666">
        <v>0</v>
      </c>
      <c r="D2666">
        <v>685664</v>
      </c>
      <c r="E2666"/>
      <c r="F2666">
        <v>0</v>
      </c>
      <c r="G2666"/>
      <c r="H2666">
        <v>31</v>
      </c>
      <c r="I2666"/>
    </row>
    <row r="2667" spans="1:9" ht="24" customHeight="1">
      <c r="A2667" s="6" t="s">
        <v>3987</v>
      </c>
      <c r="B2667">
        <v>279</v>
      </c>
      <c r="C2667">
        <v>15</v>
      </c>
      <c r="D2667">
        <v>377650</v>
      </c>
      <c r="E2667">
        <v>402162</v>
      </c>
      <c r="F2667">
        <v>12.5</v>
      </c>
      <c r="G2667">
        <v>7</v>
      </c>
      <c r="H2667">
        <v>9.1</v>
      </c>
      <c r="I2667">
        <v>16</v>
      </c>
    </row>
    <row r="2668" spans="1:9" ht="24" customHeight="1">
      <c r="A2668" s="6" t="s">
        <v>3988</v>
      </c>
      <c r="B2668">
        <v>184</v>
      </c>
      <c r="C2668">
        <v>0</v>
      </c>
      <c r="D2668">
        <v>1053720</v>
      </c>
      <c r="E2668"/>
      <c r="F2668">
        <v>0</v>
      </c>
      <c r="G2668"/>
      <c r="H2668">
        <v>30.2</v>
      </c>
      <c r="I2668"/>
    </row>
    <row r="2669" spans="1:9" ht="24" customHeight="1">
      <c r="A2669" s="6" t="s">
        <v>3989</v>
      </c>
      <c r="B2669">
        <v>32</v>
      </c>
      <c r="C2669">
        <v>0</v>
      </c>
      <c r="D2669">
        <v>856514</v>
      </c>
      <c r="E2669"/>
      <c r="F2669">
        <v>0</v>
      </c>
      <c r="G2669"/>
      <c r="H2669">
        <v>29.8</v>
      </c>
      <c r="I2669"/>
    </row>
    <row r="2670" spans="1:9" ht="24" customHeight="1">
      <c r="A2670" s="6" t="s">
        <v>3990</v>
      </c>
      <c r="B2670">
        <v>78</v>
      </c>
      <c r="C2670">
        <v>0</v>
      </c>
      <c r="D2670">
        <v>926736</v>
      </c>
      <c r="E2670"/>
      <c r="F2670">
        <v>39</v>
      </c>
      <c r="G2670"/>
      <c r="H2670">
        <v>20.5</v>
      </c>
      <c r="I2670"/>
    </row>
    <row r="2671" spans="1:9" ht="24" customHeight="1">
      <c r="A2671" s="6" t="s">
        <v>3991</v>
      </c>
      <c r="B2671">
        <v>150</v>
      </c>
      <c r="C2671">
        <v>0</v>
      </c>
      <c r="D2671">
        <v>614185</v>
      </c>
      <c r="E2671"/>
      <c r="F2671">
        <v>14.8</v>
      </c>
      <c r="G2671"/>
      <c r="H2671">
        <v>33.6</v>
      </c>
      <c r="I2671"/>
    </row>
    <row r="2672" spans="1:9" ht="24" customHeight="1">
      <c r="A2672" s="6" t="s">
        <v>3992</v>
      </c>
      <c r="B2672">
        <v>119</v>
      </c>
      <c r="C2672">
        <v>0</v>
      </c>
      <c r="D2672">
        <v>878133</v>
      </c>
      <c r="E2672"/>
      <c r="F2672">
        <v>14.8</v>
      </c>
      <c r="G2672"/>
      <c r="H2672">
        <v>14.4</v>
      </c>
      <c r="I2672"/>
    </row>
    <row r="2673" spans="1:9" ht="24" customHeight="1">
      <c r="A2673" s="6" t="s">
        <v>3993</v>
      </c>
      <c r="B2673">
        <v>1756</v>
      </c>
      <c r="C2673">
        <v>333</v>
      </c>
      <c r="D2673">
        <v>595729</v>
      </c>
      <c r="E2673">
        <v>421752</v>
      </c>
      <c r="F2673">
        <v>19.399999999999999</v>
      </c>
      <c r="G2673">
        <v>11.7</v>
      </c>
      <c r="H2673">
        <v>13.2</v>
      </c>
      <c r="I2673">
        <v>5.5</v>
      </c>
    </row>
    <row r="2674" spans="1:9" ht="24" customHeight="1">
      <c r="A2674" s="6" t="s">
        <v>778</v>
      </c>
      <c r="B2674">
        <v>647</v>
      </c>
      <c r="C2674">
        <v>0</v>
      </c>
      <c r="D2674">
        <v>1003656</v>
      </c>
      <c r="E2674"/>
      <c r="F2674">
        <v>0.1</v>
      </c>
      <c r="G2674"/>
      <c r="H2674">
        <v>30.7</v>
      </c>
      <c r="I2674"/>
    </row>
    <row r="2675" spans="1:9" ht="24" customHeight="1">
      <c r="A2675" s="6" t="s">
        <v>779</v>
      </c>
      <c r="B2675">
        <v>2322</v>
      </c>
      <c r="C2675">
        <v>54</v>
      </c>
      <c r="D2675">
        <v>932270</v>
      </c>
      <c r="E2675">
        <v>710937</v>
      </c>
      <c r="F2675">
        <v>0.4</v>
      </c>
      <c r="G2675">
        <v>0</v>
      </c>
      <c r="H2675">
        <v>26.6</v>
      </c>
      <c r="I2675">
        <v>16.5</v>
      </c>
    </row>
    <row r="2676" spans="1:9" ht="24" customHeight="1">
      <c r="A2676" s="6" t="s">
        <v>780</v>
      </c>
      <c r="B2676">
        <v>2553</v>
      </c>
      <c r="C2676">
        <v>92</v>
      </c>
      <c r="D2676">
        <v>658211</v>
      </c>
      <c r="E2676">
        <v>487679</v>
      </c>
      <c r="F2676">
        <v>12.6</v>
      </c>
      <c r="G2676">
        <v>10.3</v>
      </c>
      <c r="H2676">
        <v>22.7</v>
      </c>
      <c r="I2676">
        <v>15.5</v>
      </c>
    </row>
    <row r="2677" spans="1:9" ht="24" customHeight="1">
      <c r="A2677" s="6" t="s">
        <v>781</v>
      </c>
      <c r="B2677">
        <v>3195</v>
      </c>
      <c r="C2677">
        <v>16</v>
      </c>
      <c r="D2677">
        <v>571877</v>
      </c>
      <c r="E2677">
        <v>434348</v>
      </c>
      <c r="F2677">
        <v>16.8</v>
      </c>
      <c r="G2677">
        <v>13.5</v>
      </c>
      <c r="H2677">
        <v>20.7</v>
      </c>
      <c r="I2677">
        <v>18</v>
      </c>
    </row>
    <row r="2678" spans="1:9" ht="24" customHeight="1">
      <c r="A2678" s="6" t="s">
        <v>782</v>
      </c>
      <c r="B2678">
        <v>1042</v>
      </c>
      <c r="C2678">
        <v>15</v>
      </c>
      <c r="D2678">
        <v>677451</v>
      </c>
      <c r="E2678">
        <v>938095</v>
      </c>
      <c r="F2678">
        <v>6.3</v>
      </c>
      <c r="G2678">
        <v>15</v>
      </c>
      <c r="H2678">
        <v>24.1</v>
      </c>
      <c r="I2678">
        <v>13</v>
      </c>
    </row>
    <row r="2679" spans="1:9" ht="24" customHeight="1">
      <c r="A2679" s="6" t="s">
        <v>783</v>
      </c>
      <c r="B2679">
        <v>29671</v>
      </c>
      <c r="C2679">
        <v>6922</v>
      </c>
      <c r="D2679">
        <v>494880</v>
      </c>
      <c r="E2679">
        <v>408917</v>
      </c>
      <c r="F2679">
        <v>12.8</v>
      </c>
      <c r="G2679">
        <v>10.3</v>
      </c>
      <c r="H2679">
        <v>14.5</v>
      </c>
      <c r="I2679">
        <v>12</v>
      </c>
    </row>
    <row r="2680" spans="1:9" ht="24" customHeight="1">
      <c r="A2680" s="6" t="s">
        <v>3994</v>
      </c>
      <c r="B2680">
        <v>4105</v>
      </c>
      <c r="C2680">
        <v>227</v>
      </c>
      <c r="D2680">
        <v>574589</v>
      </c>
      <c r="E2680">
        <v>462095</v>
      </c>
      <c r="F2680">
        <v>2.9</v>
      </c>
      <c r="G2680">
        <v>4.0999999999999996</v>
      </c>
      <c r="H2680">
        <v>20.2</v>
      </c>
      <c r="I2680">
        <v>16.399999999999999</v>
      </c>
    </row>
    <row r="2681" spans="1:9" ht="24" customHeight="1">
      <c r="A2681" s="6" t="s">
        <v>3995</v>
      </c>
      <c r="B2681">
        <v>7116</v>
      </c>
      <c r="C2681">
        <v>447</v>
      </c>
      <c r="D2681">
        <v>475903</v>
      </c>
      <c r="E2681">
        <v>405657</v>
      </c>
      <c r="F2681">
        <v>8.6</v>
      </c>
      <c r="G2681">
        <v>2.8</v>
      </c>
      <c r="H2681">
        <v>21.1</v>
      </c>
      <c r="I2681">
        <v>22.7</v>
      </c>
    </row>
    <row r="2682" spans="1:9" ht="24" customHeight="1">
      <c r="A2682" s="6" t="s">
        <v>3996</v>
      </c>
      <c r="B2682">
        <v>6749</v>
      </c>
      <c r="C2682">
        <v>1625</v>
      </c>
      <c r="D2682">
        <v>446262</v>
      </c>
      <c r="E2682">
        <v>387882</v>
      </c>
      <c r="F2682">
        <v>12</v>
      </c>
      <c r="G2682">
        <v>14.4</v>
      </c>
      <c r="H2682">
        <v>20</v>
      </c>
      <c r="I2682">
        <v>19.100000000000001</v>
      </c>
    </row>
    <row r="2683" spans="1:9" ht="24" customHeight="1">
      <c r="A2683" s="6" t="s">
        <v>3997</v>
      </c>
      <c r="B2683">
        <v>6849</v>
      </c>
      <c r="C2683">
        <v>1524</v>
      </c>
      <c r="D2683">
        <v>457749</v>
      </c>
      <c r="E2683">
        <v>291844</v>
      </c>
      <c r="F2683">
        <v>20.9</v>
      </c>
      <c r="G2683">
        <v>4.8</v>
      </c>
      <c r="H2683">
        <v>17.399999999999999</v>
      </c>
      <c r="I2683">
        <v>16.2</v>
      </c>
    </row>
    <row r="2684" spans="1:9" ht="24" customHeight="1">
      <c r="A2684" s="6" t="s">
        <v>3998</v>
      </c>
      <c r="B2684">
        <v>3614</v>
      </c>
      <c r="C2684">
        <v>403</v>
      </c>
      <c r="D2684">
        <v>464739</v>
      </c>
      <c r="E2684">
        <v>342020</v>
      </c>
      <c r="F2684">
        <v>9</v>
      </c>
      <c r="G2684">
        <v>0.1</v>
      </c>
      <c r="H2684">
        <v>19.8</v>
      </c>
      <c r="I2684">
        <v>27.6</v>
      </c>
    </row>
    <row r="2685" spans="1:9" ht="24" customHeight="1">
      <c r="A2685" s="6" t="s">
        <v>3999</v>
      </c>
      <c r="B2685">
        <v>55929</v>
      </c>
      <c r="C2685">
        <v>29913</v>
      </c>
      <c r="D2685">
        <v>330482</v>
      </c>
      <c r="E2685">
        <v>244619</v>
      </c>
      <c r="F2685">
        <v>12.6</v>
      </c>
      <c r="G2685">
        <v>6.6</v>
      </c>
      <c r="H2685">
        <v>10.1</v>
      </c>
      <c r="I2685">
        <v>9.9</v>
      </c>
    </row>
    <row r="2686" spans="1:9" ht="24" customHeight="1">
      <c r="A2686" s="6" t="s">
        <v>4000</v>
      </c>
      <c r="B2686">
        <v>1654</v>
      </c>
      <c r="C2686">
        <v>0</v>
      </c>
      <c r="D2686">
        <v>643977</v>
      </c>
      <c r="E2686"/>
      <c r="F2686">
        <v>3.7</v>
      </c>
      <c r="G2686"/>
      <c r="H2686">
        <v>23.7</v>
      </c>
      <c r="I2686"/>
    </row>
    <row r="2687" spans="1:9" ht="24" customHeight="1">
      <c r="A2687" s="6" t="s">
        <v>4001</v>
      </c>
      <c r="B2687">
        <v>4323</v>
      </c>
      <c r="C2687">
        <v>447</v>
      </c>
      <c r="D2687">
        <v>529838</v>
      </c>
      <c r="E2687">
        <v>531817</v>
      </c>
      <c r="F2687">
        <v>1.9</v>
      </c>
      <c r="G2687">
        <v>0</v>
      </c>
      <c r="H2687">
        <v>21.2</v>
      </c>
      <c r="I2687">
        <v>22.1</v>
      </c>
    </row>
    <row r="2688" spans="1:9" ht="24" customHeight="1">
      <c r="A2688" s="6" t="s">
        <v>4002</v>
      </c>
      <c r="B2688">
        <v>4545</v>
      </c>
      <c r="C2688">
        <v>589</v>
      </c>
      <c r="D2688">
        <v>426264</v>
      </c>
      <c r="E2688">
        <v>377540</v>
      </c>
      <c r="F2688">
        <v>11.6</v>
      </c>
      <c r="G2688">
        <v>9.4</v>
      </c>
      <c r="H2688">
        <v>21</v>
      </c>
      <c r="I2688">
        <v>19.7</v>
      </c>
    </row>
    <row r="2689" spans="1:9" ht="24" customHeight="1">
      <c r="A2689" s="6" t="s">
        <v>4003</v>
      </c>
      <c r="B2689">
        <v>3987</v>
      </c>
      <c r="C2689">
        <v>648</v>
      </c>
      <c r="D2689">
        <v>445701</v>
      </c>
      <c r="E2689">
        <v>346848</v>
      </c>
      <c r="F2689">
        <v>25.4</v>
      </c>
      <c r="G2689">
        <v>9.1</v>
      </c>
      <c r="H2689">
        <v>17.100000000000001</v>
      </c>
      <c r="I2689">
        <v>18.600000000000001</v>
      </c>
    </row>
    <row r="2690" spans="1:9" ht="24" customHeight="1">
      <c r="A2690" s="6" t="s">
        <v>4004</v>
      </c>
      <c r="B2690">
        <v>2850</v>
      </c>
      <c r="C2690">
        <v>469</v>
      </c>
      <c r="D2690">
        <v>411517</v>
      </c>
      <c r="E2690">
        <v>329069</v>
      </c>
      <c r="F2690">
        <v>9</v>
      </c>
      <c r="G2690">
        <v>11.8</v>
      </c>
      <c r="H2690">
        <v>15.9</v>
      </c>
      <c r="I2690">
        <v>13.2</v>
      </c>
    </row>
    <row r="2691" spans="1:9" ht="24" customHeight="1">
      <c r="A2691" s="6" t="s">
        <v>4005</v>
      </c>
      <c r="B2691">
        <v>39482</v>
      </c>
      <c r="C2691">
        <v>14745</v>
      </c>
      <c r="D2691">
        <v>376198</v>
      </c>
      <c r="E2691">
        <v>278972</v>
      </c>
      <c r="F2691">
        <v>17.600000000000001</v>
      </c>
      <c r="G2691">
        <v>10.6</v>
      </c>
      <c r="H2691">
        <v>12.7</v>
      </c>
      <c r="I2691">
        <v>11.2</v>
      </c>
    </row>
    <row r="2692" spans="1:9" ht="24" customHeight="1">
      <c r="A2692" s="6" t="s">
        <v>4006</v>
      </c>
      <c r="B2692">
        <v>1676</v>
      </c>
      <c r="C2692">
        <v>41</v>
      </c>
      <c r="D2692">
        <v>801084</v>
      </c>
      <c r="E2692">
        <v>836341</v>
      </c>
      <c r="F2692">
        <v>0</v>
      </c>
      <c r="G2692">
        <v>2</v>
      </c>
      <c r="H2692">
        <v>25.7</v>
      </c>
      <c r="I2692">
        <v>19</v>
      </c>
    </row>
    <row r="2693" spans="1:9" ht="24" customHeight="1">
      <c r="A2693" s="6" t="s">
        <v>4007</v>
      </c>
      <c r="B2693">
        <v>3723</v>
      </c>
      <c r="C2693">
        <v>26</v>
      </c>
      <c r="D2693">
        <v>618384</v>
      </c>
      <c r="E2693">
        <v>751568</v>
      </c>
      <c r="F2693">
        <v>1.9</v>
      </c>
      <c r="G2693">
        <v>0</v>
      </c>
      <c r="H2693">
        <v>24.8</v>
      </c>
      <c r="I2693">
        <v>16.100000000000001</v>
      </c>
    </row>
    <row r="2694" spans="1:9" ht="24" customHeight="1">
      <c r="A2694" s="6" t="s">
        <v>4008</v>
      </c>
      <c r="B2694">
        <v>3503</v>
      </c>
      <c r="C2694">
        <v>259</v>
      </c>
      <c r="D2694">
        <v>556412</v>
      </c>
      <c r="E2694">
        <v>469574</v>
      </c>
      <c r="F2694">
        <v>21.1</v>
      </c>
      <c r="G2694">
        <v>3.4</v>
      </c>
      <c r="H2694">
        <v>22.3</v>
      </c>
      <c r="I2694">
        <v>20.100000000000001</v>
      </c>
    </row>
    <row r="2695" spans="1:9" ht="24" customHeight="1">
      <c r="A2695" s="6" t="s">
        <v>4009</v>
      </c>
      <c r="B2695">
        <v>4668</v>
      </c>
      <c r="C2695">
        <v>614</v>
      </c>
      <c r="D2695">
        <v>462929</v>
      </c>
      <c r="E2695">
        <v>375437</v>
      </c>
      <c r="F2695">
        <v>25</v>
      </c>
      <c r="G2695">
        <v>14.6</v>
      </c>
      <c r="H2695">
        <v>17.899999999999999</v>
      </c>
      <c r="I2695">
        <v>20.5</v>
      </c>
    </row>
    <row r="2696" spans="1:9" ht="24" customHeight="1">
      <c r="A2696" s="6" t="s">
        <v>4010</v>
      </c>
      <c r="B2696">
        <v>2599</v>
      </c>
      <c r="C2696">
        <v>236</v>
      </c>
      <c r="D2696">
        <v>558701</v>
      </c>
      <c r="E2696">
        <v>240369</v>
      </c>
      <c r="F2696">
        <v>11.1</v>
      </c>
      <c r="G2696">
        <v>0.4</v>
      </c>
      <c r="H2696">
        <v>21.1</v>
      </c>
      <c r="I2696">
        <v>20</v>
      </c>
    </row>
    <row r="2697" spans="1:9" ht="24" customHeight="1">
      <c r="A2697" s="6" t="s">
        <v>4011</v>
      </c>
      <c r="B2697">
        <v>34042</v>
      </c>
      <c r="C2697">
        <v>10740</v>
      </c>
      <c r="D2697">
        <v>412461</v>
      </c>
      <c r="E2697">
        <v>328866</v>
      </c>
      <c r="F2697">
        <v>18.8</v>
      </c>
      <c r="G2697">
        <v>11.8</v>
      </c>
      <c r="H2697">
        <v>12.3</v>
      </c>
      <c r="I2697">
        <v>11.5</v>
      </c>
    </row>
    <row r="2698" spans="1:9" ht="24" customHeight="1">
      <c r="A2698" s="6" t="s">
        <v>784</v>
      </c>
      <c r="B2698">
        <v>810</v>
      </c>
      <c r="C2698">
        <v>0</v>
      </c>
      <c r="D2698">
        <v>1311224</v>
      </c>
      <c r="E2698"/>
      <c r="F2698">
        <v>0</v>
      </c>
      <c r="G2698"/>
      <c r="H2698">
        <v>27.4</v>
      </c>
      <c r="I2698"/>
    </row>
    <row r="2699" spans="1:9" ht="24" customHeight="1">
      <c r="A2699" s="6" t="s">
        <v>785</v>
      </c>
      <c r="B2699">
        <v>2380</v>
      </c>
      <c r="C2699">
        <v>5</v>
      </c>
      <c r="D2699">
        <v>923685</v>
      </c>
      <c r="E2699">
        <v>715962</v>
      </c>
      <c r="F2699">
        <v>0.7</v>
      </c>
      <c r="G2699">
        <v>0</v>
      </c>
      <c r="H2699">
        <v>21.9</v>
      </c>
      <c r="I2699">
        <v>29</v>
      </c>
    </row>
    <row r="2700" spans="1:9" ht="24" customHeight="1">
      <c r="A2700" s="6" t="s">
        <v>786</v>
      </c>
      <c r="B2700">
        <v>660</v>
      </c>
      <c r="C2700">
        <v>25</v>
      </c>
      <c r="D2700">
        <v>657703</v>
      </c>
      <c r="E2700">
        <v>679967</v>
      </c>
      <c r="F2700">
        <v>23.7</v>
      </c>
      <c r="G2700">
        <v>57</v>
      </c>
      <c r="H2700">
        <v>25.4</v>
      </c>
      <c r="I2700">
        <v>27</v>
      </c>
    </row>
    <row r="2701" spans="1:9" ht="24" customHeight="1">
      <c r="A2701" s="6" t="s">
        <v>787</v>
      </c>
      <c r="B2701">
        <v>1696</v>
      </c>
      <c r="C2701">
        <v>14</v>
      </c>
      <c r="D2701">
        <v>657683</v>
      </c>
      <c r="E2701">
        <v>396321</v>
      </c>
      <c r="F2701">
        <v>28.9</v>
      </c>
      <c r="G2701">
        <v>18</v>
      </c>
      <c r="H2701">
        <v>21</v>
      </c>
      <c r="I2701">
        <v>8</v>
      </c>
    </row>
    <row r="2702" spans="1:9" ht="24" customHeight="1">
      <c r="A2702" s="6" t="s">
        <v>788</v>
      </c>
      <c r="B2702">
        <v>1987</v>
      </c>
      <c r="C2702">
        <v>122</v>
      </c>
      <c r="D2702">
        <v>719568</v>
      </c>
      <c r="E2702">
        <v>499616</v>
      </c>
      <c r="F2702">
        <v>14.2</v>
      </c>
      <c r="G2702">
        <v>4.4000000000000004</v>
      </c>
      <c r="H2702">
        <v>22.3</v>
      </c>
      <c r="I2702">
        <v>13</v>
      </c>
    </row>
    <row r="2703" spans="1:9" ht="24" customHeight="1">
      <c r="A2703" s="6" t="s">
        <v>789</v>
      </c>
      <c r="B2703">
        <v>26198</v>
      </c>
      <c r="C2703">
        <v>4547</v>
      </c>
      <c r="D2703">
        <v>519510</v>
      </c>
      <c r="E2703">
        <v>426674</v>
      </c>
      <c r="F2703">
        <v>21.7</v>
      </c>
      <c r="G2703">
        <v>13.1</v>
      </c>
      <c r="H2703">
        <v>14.3</v>
      </c>
      <c r="I2703">
        <v>13.8</v>
      </c>
    </row>
    <row r="2704" spans="1:9" ht="24" customHeight="1">
      <c r="A2704" s="6" t="s">
        <v>4012</v>
      </c>
      <c r="B2704">
        <v>976</v>
      </c>
      <c r="C2704">
        <v>81</v>
      </c>
      <c r="D2704">
        <v>566088</v>
      </c>
      <c r="E2704">
        <v>621708</v>
      </c>
      <c r="F2704">
        <v>2.4</v>
      </c>
      <c r="G2704">
        <v>0</v>
      </c>
      <c r="H2704">
        <v>22.7</v>
      </c>
      <c r="I2704">
        <v>23.6</v>
      </c>
    </row>
    <row r="2705" spans="1:9" ht="24" customHeight="1">
      <c r="A2705" s="6" t="s">
        <v>4013</v>
      </c>
      <c r="B2705">
        <v>977</v>
      </c>
      <c r="C2705">
        <v>55</v>
      </c>
      <c r="D2705">
        <v>486471</v>
      </c>
      <c r="E2705">
        <v>429125</v>
      </c>
      <c r="F2705">
        <v>8.6</v>
      </c>
      <c r="G2705">
        <v>4.5</v>
      </c>
      <c r="H2705">
        <v>16.899999999999999</v>
      </c>
      <c r="I2705">
        <v>19.899999999999999</v>
      </c>
    </row>
    <row r="2706" spans="1:9" ht="24" customHeight="1">
      <c r="A2706" s="6" t="s">
        <v>4014</v>
      </c>
      <c r="B2706">
        <v>864</v>
      </c>
      <c r="C2706">
        <v>108</v>
      </c>
      <c r="D2706">
        <v>427983</v>
      </c>
      <c r="E2706">
        <v>370362</v>
      </c>
      <c r="F2706">
        <v>21.8</v>
      </c>
      <c r="G2706">
        <v>4.7</v>
      </c>
      <c r="H2706">
        <v>14.7</v>
      </c>
      <c r="I2706">
        <v>15.9</v>
      </c>
    </row>
    <row r="2707" spans="1:9" ht="24" customHeight="1">
      <c r="A2707" s="6" t="s">
        <v>4015</v>
      </c>
      <c r="B2707">
        <v>403</v>
      </c>
      <c r="C2707">
        <v>122</v>
      </c>
      <c r="D2707">
        <v>406649</v>
      </c>
      <c r="E2707">
        <v>304422</v>
      </c>
      <c r="F2707">
        <v>22.3</v>
      </c>
      <c r="G2707">
        <v>14</v>
      </c>
      <c r="H2707">
        <v>16.399999999999999</v>
      </c>
      <c r="I2707">
        <v>15.4</v>
      </c>
    </row>
    <row r="2708" spans="1:9" ht="24" customHeight="1">
      <c r="A2708" s="6" t="s">
        <v>4016</v>
      </c>
      <c r="B2708">
        <v>466</v>
      </c>
      <c r="C2708">
        <v>112</v>
      </c>
      <c r="D2708">
        <v>509978</v>
      </c>
      <c r="E2708">
        <v>376611</v>
      </c>
      <c r="F2708">
        <v>12.8</v>
      </c>
      <c r="G2708">
        <v>9.5</v>
      </c>
      <c r="H2708">
        <v>15.9</v>
      </c>
      <c r="I2708">
        <v>16.3</v>
      </c>
    </row>
    <row r="2709" spans="1:9" ht="24" customHeight="1">
      <c r="A2709" s="6" t="s">
        <v>4017</v>
      </c>
      <c r="B2709">
        <v>10703</v>
      </c>
      <c r="C2709">
        <v>5975</v>
      </c>
      <c r="D2709">
        <v>326136</v>
      </c>
      <c r="E2709">
        <v>269497</v>
      </c>
      <c r="F2709">
        <v>13.2</v>
      </c>
      <c r="G2709">
        <v>6.6</v>
      </c>
      <c r="H2709">
        <v>11.3</v>
      </c>
      <c r="I2709">
        <v>11.7</v>
      </c>
    </row>
    <row r="2710" spans="1:9" ht="24" customHeight="1">
      <c r="A2710" s="6" t="s">
        <v>4018</v>
      </c>
      <c r="B2710">
        <v>363</v>
      </c>
      <c r="C2710">
        <v>0</v>
      </c>
      <c r="D2710">
        <v>699470</v>
      </c>
      <c r="E2710"/>
      <c r="F2710">
        <v>0.8</v>
      </c>
      <c r="G2710"/>
      <c r="H2710">
        <v>24.6</v>
      </c>
      <c r="I2710"/>
    </row>
    <row r="2711" spans="1:9" ht="24" customHeight="1">
      <c r="A2711" s="6" t="s">
        <v>4019</v>
      </c>
      <c r="B2711">
        <v>774</v>
      </c>
      <c r="C2711">
        <v>208</v>
      </c>
      <c r="D2711">
        <v>620615</v>
      </c>
      <c r="E2711">
        <v>421649</v>
      </c>
      <c r="F2711">
        <v>1.9</v>
      </c>
      <c r="G2711">
        <v>3.8</v>
      </c>
      <c r="H2711">
        <v>23.6</v>
      </c>
      <c r="I2711">
        <v>15.8</v>
      </c>
    </row>
    <row r="2712" spans="1:9" ht="24" customHeight="1">
      <c r="A2712" s="6" t="s">
        <v>4020</v>
      </c>
      <c r="B2712">
        <v>872</v>
      </c>
      <c r="C2712">
        <v>90</v>
      </c>
      <c r="D2712">
        <v>464768</v>
      </c>
      <c r="E2712">
        <v>342717</v>
      </c>
      <c r="F2712">
        <v>16.5</v>
      </c>
      <c r="G2712">
        <v>6.1</v>
      </c>
      <c r="H2712">
        <v>17.7</v>
      </c>
      <c r="I2712">
        <v>18.8</v>
      </c>
    </row>
    <row r="2713" spans="1:9" ht="24" customHeight="1">
      <c r="A2713" s="6" t="s">
        <v>4021</v>
      </c>
      <c r="B2713">
        <v>743</v>
      </c>
      <c r="C2713">
        <v>149</v>
      </c>
      <c r="D2713">
        <v>414460</v>
      </c>
      <c r="E2713">
        <v>352539</v>
      </c>
      <c r="F2713">
        <v>21.3</v>
      </c>
      <c r="G2713">
        <v>13.3</v>
      </c>
      <c r="H2713">
        <v>13.2</v>
      </c>
      <c r="I2713">
        <v>17.2</v>
      </c>
    </row>
    <row r="2714" spans="1:9" ht="24" customHeight="1">
      <c r="A2714" s="6" t="s">
        <v>4022</v>
      </c>
      <c r="B2714">
        <v>502</v>
      </c>
      <c r="C2714">
        <v>48</v>
      </c>
      <c r="D2714">
        <v>434604</v>
      </c>
      <c r="E2714">
        <v>352554</v>
      </c>
      <c r="F2714">
        <v>8.6</v>
      </c>
      <c r="G2714">
        <v>5.9</v>
      </c>
      <c r="H2714">
        <v>16.8</v>
      </c>
      <c r="I2714">
        <v>19.8</v>
      </c>
    </row>
    <row r="2715" spans="1:9" ht="24" customHeight="1">
      <c r="A2715" s="6" t="s">
        <v>4023</v>
      </c>
      <c r="B2715">
        <v>6745</v>
      </c>
      <c r="C2715">
        <v>4166</v>
      </c>
      <c r="D2715">
        <v>347611</v>
      </c>
      <c r="E2715">
        <v>272641</v>
      </c>
      <c r="F2715">
        <v>14.1</v>
      </c>
      <c r="G2715">
        <v>7.4</v>
      </c>
      <c r="H2715">
        <v>12</v>
      </c>
      <c r="I2715">
        <v>10.9</v>
      </c>
    </row>
    <row r="2716" spans="1:9" ht="24" customHeight="1">
      <c r="A2716" s="6" t="s">
        <v>4024</v>
      </c>
      <c r="B2716">
        <v>338</v>
      </c>
      <c r="C2716">
        <v>15</v>
      </c>
      <c r="D2716">
        <v>850691</v>
      </c>
      <c r="E2716">
        <v>891814</v>
      </c>
      <c r="F2716">
        <v>0.1</v>
      </c>
      <c r="G2716">
        <v>0</v>
      </c>
      <c r="H2716">
        <v>29.6</v>
      </c>
      <c r="I2716">
        <v>32</v>
      </c>
    </row>
    <row r="2717" spans="1:9" ht="24" customHeight="1">
      <c r="A2717" s="6" t="s">
        <v>4025</v>
      </c>
      <c r="B2717">
        <v>1122</v>
      </c>
      <c r="C2717">
        <v>35</v>
      </c>
      <c r="D2717">
        <v>665691</v>
      </c>
      <c r="E2717">
        <v>632236</v>
      </c>
      <c r="F2717">
        <v>1.5</v>
      </c>
      <c r="G2717">
        <v>0</v>
      </c>
      <c r="H2717">
        <v>25.9</v>
      </c>
      <c r="I2717">
        <v>22.9</v>
      </c>
    </row>
    <row r="2718" spans="1:9" ht="24" customHeight="1">
      <c r="A2718" s="6" t="s">
        <v>4026</v>
      </c>
      <c r="B2718">
        <v>869</v>
      </c>
      <c r="C2718">
        <v>26</v>
      </c>
      <c r="D2718">
        <v>567062</v>
      </c>
      <c r="E2718">
        <v>608551</v>
      </c>
      <c r="F2718">
        <v>22.1</v>
      </c>
      <c r="G2718">
        <v>5.7</v>
      </c>
      <c r="H2718">
        <v>23.8</v>
      </c>
      <c r="I2718">
        <v>31.7</v>
      </c>
    </row>
    <row r="2719" spans="1:9" ht="24" customHeight="1">
      <c r="A2719" s="6" t="s">
        <v>4027</v>
      </c>
      <c r="B2719">
        <v>1102</v>
      </c>
      <c r="C2719">
        <v>119</v>
      </c>
      <c r="D2719">
        <v>504658</v>
      </c>
      <c r="E2719">
        <v>392050</v>
      </c>
      <c r="F2719">
        <v>24.9</v>
      </c>
      <c r="G2719">
        <v>14</v>
      </c>
      <c r="H2719">
        <v>20.2</v>
      </c>
      <c r="I2719">
        <v>17.8</v>
      </c>
    </row>
    <row r="2720" spans="1:9" ht="24" customHeight="1">
      <c r="A2720" s="6" t="s">
        <v>4028</v>
      </c>
      <c r="B2720">
        <v>695</v>
      </c>
      <c r="C2720">
        <v>24</v>
      </c>
      <c r="D2720">
        <v>590723</v>
      </c>
      <c r="E2720">
        <v>469973</v>
      </c>
      <c r="F2720">
        <v>19.5</v>
      </c>
      <c r="G2720">
        <v>0</v>
      </c>
      <c r="H2720">
        <v>21</v>
      </c>
      <c r="I2720">
        <v>15.5</v>
      </c>
    </row>
    <row r="2721" spans="1:9" ht="24" customHeight="1">
      <c r="A2721" s="6" t="s">
        <v>4029</v>
      </c>
      <c r="B2721">
        <v>8815</v>
      </c>
      <c r="C2721">
        <v>2132</v>
      </c>
      <c r="D2721">
        <v>408935</v>
      </c>
      <c r="E2721">
        <v>340164</v>
      </c>
      <c r="F2721">
        <v>17.100000000000001</v>
      </c>
      <c r="G2721">
        <v>8.8000000000000007</v>
      </c>
      <c r="H2721">
        <v>13.1</v>
      </c>
      <c r="I2721">
        <v>14.5</v>
      </c>
    </row>
    <row r="2722" spans="1:9" ht="24" customHeight="1">
      <c r="A2722" s="6" t="s">
        <v>790</v>
      </c>
      <c r="B2722">
        <v>1</v>
      </c>
      <c r="C2722">
        <v>0</v>
      </c>
      <c r="D2722">
        <v>361380</v>
      </c>
      <c r="E2722"/>
      <c r="F2722">
        <v>11</v>
      </c>
      <c r="G2722"/>
      <c r="H2722">
        <v>20</v>
      </c>
      <c r="I2722"/>
    </row>
    <row r="2723" spans="1:9" ht="24" customHeight="1">
      <c r="A2723" s="6" t="s">
        <v>791</v>
      </c>
      <c r="B2723">
        <v>4</v>
      </c>
      <c r="C2723">
        <v>5</v>
      </c>
      <c r="D2723">
        <v>289854</v>
      </c>
      <c r="E2723">
        <v>293273</v>
      </c>
      <c r="F2723">
        <v>3</v>
      </c>
      <c r="G2723">
        <v>4.3</v>
      </c>
      <c r="H2723">
        <v>17</v>
      </c>
      <c r="I2723">
        <v>17.8</v>
      </c>
    </row>
    <row r="2724" spans="1:9" ht="24" customHeight="1">
      <c r="A2724" s="6" t="s">
        <v>792</v>
      </c>
      <c r="B2724">
        <v>41</v>
      </c>
      <c r="C2724">
        <v>28</v>
      </c>
      <c r="D2724">
        <v>263552</v>
      </c>
      <c r="E2724">
        <v>241078</v>
      </c>
      <c r="F2724">
        <v>0.5</v>
      </c>
      <c r="G2724">
        <v>0</v>
      </c>
      <c r="H2724">
        <v>18</v>
      </c>
      <c r="I2724">
        <v>14.6</v>
      </c>
    </row>
    <row r="2725" spans="1:9" ht="24" customHeight="1">
      <c r="A2725" s="6" t="s">
        <v>4030</v>
      </c>
      <c r="B2725">
        <v>301</v>
      </c>
      <c r="C2725">
        <v>29</v>
      </c>
      <c r="D2725">
        <v>435547</v>
      </c>
      <c r="E2725">
        <v>416574</v>
      </c>
      <c r="F2725">
        <v>0.2</v>
      </c>
      <c r="G2725">
        <v>4.9000000000000004</v>
      </c>
      <c r="H2725">
        <v>16</v>
      </c>
      <c r="I2725">
        <v>15.8</v>
      </c>
    </row>
    <row r="2726" spans="1:9" ht="24" customHeight="1">
      <c r="A2726" s="6" t="s">
        <v>4031</v>
      </c>
      <c r="B2726">
        <v>343</v>
      </c>
      <c r="C2726">
        <v>23</v>
      </c>
      <c r="D2726">
        <v>447737</v>
      </c>
      <c r="E2726">
        <v>320841</v>
      </c>
      <c r="F2726">
        <v>0.5</v>
      </c>
      <c r="G2726">
        <v>2.1</v>
      </c>
      <c r="H2726">
        <v>22.5</v>
      </c>
      <c r="I2726">
        <v>20.6</v>
      </c>
    </row>
    <row r="2727" spans="1:9" ht="24" customHeight="1">
      <c r="A2727" s="6" t="s">
        <v>4032</v>
      </c>
      <c r="B2727">
        <v>384</v>
      </c>
      <c r="C2727">
        <v>36</v>
      </c>
      <c r="D2727">
        <v>345129</v>
      </c>
      <c r="E2727">
        <v>297490</v>
      </c>
      <c r="F2727">
        <v>2.2999999999999998</v>
      </c>
      <c r="G2727">
        <v>2.5</v>
      </c>
      <c r="H2727">
        <v>12.9</v>
      </c>
      <c r="I2727">
        <v>18.7</v>
      </c>
    </row>
    <row r="2728" spans="1:9" ht="24" customHeight="1">
      <c r="A2728" s="6" t="s">
        <v>4033</v>
      </c>
      <c r="B2728">
        <v>118</v>
      </c>
      <c r="C2728">
        <v>48</v>
      </c>
      <c r="D2728">
        <v>387018</v>
      </c>
      <c r="E2728">
        <v>227723</v>
      </c>
      <c r="F2728">
        <v>14.6</v>
      </c>
      <c r="G2728">
        <v>3.6</v>
      </c>
      <c r="H2728">
        <v>16.7</v>
      </c>
      <c r="I2728">
        <v>18.8</v>
      </c>
    </row>
    <row r="2729" spans="1:9" ht="24" customHeight="1">
      <c r="A2729" s="6" t="s">
        <v>4034</v>
      </c>
      <c r="B2729">
        <v>79</v>
      </c>
      <c r="C2729">
        <v>10</v>
      </c>
      <c r="D2729">
        <v>409835</v>
      </c>
      <c r="E2729">
        <v>305383</v>
      </c>
      <c r="F2729">
        <v>1.3</v>
      </c>
      <c r="G2729">
        <v>8.1999999999999993</v>
      </c>
      <c r="H2729">
        <v>20.2</v>
      </c>
      <c r="I2729">
        <v>14.4</v>
      </c>
    </row>
    <row r="2730" spans="1:9" ht="24" customHeight="1">
      <c r="A2730" s="6" t="s">
        <v>4035</v>
      </c>
      <c r="B2730">
        <v>2419</v>
      </c>
      <c r="C2730">
        <v>2874</v>
      </c>
      <c r="D2730">
        <v>283532</v>
      </c>
      <c r="E2730">
        <v>232115</v>
      </c>
      <c r="F2730">
        <v>1.9</v>
      </c>
      <c r="G2730">
        <v>1.3</v>
      </c>
      <c r="H2730">
        <v>11.2</v>
      </c>
      <c r="I2730">
        <v>11.7</v>
      </c>
    </row>
    <row r="2731" spans="1:9" ht="24" customHeight="1">
      <c r="A2731" s="6" t="s">
        <v>4036</v>
      </c>
      <c r="B2731">
        <v>38</v>
      </c>
      <c r="C2731">
        <v>0</v>
      </c>
      <c r="D2731">
        <v>623706</v>
      </c>
      <c r="E2731"/>
      <c r="F2731">
        <v>0</v>
      </c>
      <c r="G2731"/>
      <c r="H2731">
        <v>30.4</v>
      </c>
      <c r="I2731"/>
    </row>
    <row r="2732" spans="1:9" ht="24" customHeight="1">
      <c r="A2732" s="6" t="s">
        <v>4037</v>
      </c>
      <c r="B2732">
        <v>122</v>
      </c>
      <c r="C2732">
        <v>24</v>
      </c>
      <c r="D2732">
        <v>503525</v>
      </c>
      <c r="E2732">
        <v>432033</v>
      </c>
      <c r="F2732">
        <v>0.5</v>
      </c>
      <c r="G2732">
        <v>0</v>
      </c>
      <c r="H2732">
        <v>20.7</v>
      </c>
      <c r="I2732">
        <v>24</v>
      </c>
    </row>
    <row r="2733" spans="1:9" ht="24" customHeight="1">
      <c r="A2733" s="6" t="s">
        <v>4038</v>
      </c>
      <c r="B2733">
        <v>158</v>
      </c>
      <c r="C2733">
        <v>29</v>
      </c>
      <c r="D2733">
        <v>421056</v>
      </c>
      <c r="E2733">
        <v>359468</v>
      </c>
      <c r="F2733">
        <v>12.3</v>
      </c>
      <c r="G2733">
        <v>7</v>
      </c>
      <c r="H2733">
        <v>17.2</v>
      </c>
      <c r="I2733">
        <v>18.5</v>
      </c>
    </row>
    <row r="2734" spans="1:9" ht="24" customHeight="1">
      <c r="A2734" s="6" t="s">
        <v>4039</v>
      </c>
      <c r="B2734">
        <v>156</v>
      </c>
      <c r="C2734">
        <v>67</v>
      </c>
      <c r="D2734">
        <v>385646</v>
      </c>
      <c r="E2734">
        <v>310889</v>
      </c>
      <c r="F2734">
        <v>12.8</v>
      </c>
      <c r="G2734">
        <v>1.2</v>
      </c>
      <c r="H2734">
        <v>14.5</v>
      </c>
      <c r="I2734">
        <v>15.5</v>
      </c>
    </row>
    <row r="2735" spans="1:9" ht="24" customHeight="1">
      <c r="A2735" s="6" t="s">
        <v>4040</v>
      </c>
      <c r="B2735">
        <v>89</v>
      </c>
      <c r="C2735">
        <v>7</v>
      </c>
      <c r="D2735">
        <v>511862</v>
      </c>
      <c r="E2735">
        <v>504421</v>
      </c>
      <c r="F2735">
        <v>7.6</v>
      </c>
      <c r="G2735">
        <v>0</v>
      </c>
      <c r="H2735">
        <v>17.5</v>
      </c>
      <c r="I2735">
        <v>17.899999999999999</v>
      </c>
    </row>
    <row r="2736" spans="1:9" ht="24" customHeight="1">
      <c r="A2736" s="6" t="s">
        <v>4041</v>
      </c>
      <c r="B2736">
        <v>1474</v>
      </c>
      <c r="C2736">
        <v>1124</v>
      </c>
      <c r="D2736">
        <v>348602</v>
      </c>
      <c r="E2736">
        <v>275323</v>
      </c>
      <c r="F2736">
        <v>7.3</v>
      </c>
      <c r="G2736">
        <v>4.4000000000000004</v>
      </c>
      <c r="H2736">
        <v>11.1</v>
      </c>
      <c r="I2736">
        <v>13.6</v>
      </c>
    </row>
    <row r="2737" spans="1:9" ht="24" customHeight="1">
      <c r="A2737" s="6" t="s">
        <v>4042</v>
      </c>
      <c r="B2737">
        <v>2</v>
      </c>
      <c r="C2737">
        <v>0</v>
      </c>
      <c r="D2737">
        <v>382783</v>
      </c>
      <c r="E2737"/>
      <c r="F2737">
        <v>0</v>
      </c>
      <c r="G2737"/>
      <c r="H2737">
        <v>31</v>
      </c>
      <c r="I2737"/>
    </row>
    <row r="2738" spans="1:9" ht="24" customHeight="1">
      <c r="A2738" s="6" t="s">
        <v>4043</v>
      </c>
      <c r="B2738">
        <v>9</v>
      </c>
      <c r="C2738">
        <v>0</v>
      </c>
      <c r="D2738">
        <v>551301</v>
      </c>
      <c r="E2738"/>
      <c r="F2738">
        <v>0</v>
      </c>
      <c r="G2738"/>
      <c r="H2738">
        <v>9.8000000000000007</v>
      </c>
      <c r="I2738"/>
    </row>
    <row r="2739" spans="1:9" ht="24" customHeight="1">
      <c r="A2739" s="6" t="s">
        <v>4044</v>
      </c>
      <c r="B2739">
        <v>9</v>
      </c>
      <c r="C2739">
        <v>0</v>
      </c>
      <c r="D2739">
        <v>511739</v>
      </c>
      <c r="E2739"/>
      <c r="F2739">
        <v>21.3</v>
      </c>
      <c r="G2739"/>
      <c r="H2739">
        <v>19.100000000000001</v>
      </c>
      <c r="I2739"/>
    </row>
    <row r="2740" spans="1:9" ht="24" customHeight="1">
      <c r="A2740" s="6" t="s">
        <v>4045</v>
      </c>
      <c r="B2740">
        <v>32</v>
      </c>
      <c r="C2740">
        <v>0</v>
      </c>
      <c r="D2740">
        <v>472780</v>
      </c>
      <c r="E2740"/>
      <c r="F2740">
        <v>43.3</v>
      </c>
      <c r="G2740"/>
      <c r="H2740">
        <v>15.6</v>
      </c>
      <c r="I2740"/>
    </row>
    <row r="2741" spans="1:9" ht="24" customHeight="1">
      <c r="A2741" s="6" t="s">
        <v>4046</v>
      </c>
      <c r="B2741">
        <v>68</v>
      </c>
      <c r="C2741">
        <v>157</v>
      </c>
      <c r="D2741">
        <v>392273</v>
      </c>
      <c r="E2741">
        <v>310156</v>
      </c>
      <c r="F2741">
        <v>32.6</v>
      </c>
      <c r="G2741">
        <v>18.399999999999999</v>
      </c>
      <c r="H2741">
        <v>8.6999999999999993</v>
      </c>
      <c r="I2741">
        <v>9.8000000000000007</v>
      </c>
    </row>
    <row r="2742" spans="1:9" ht="24" customHeight="1">
      <c r="A2742" s="6" t="s">
        <v>793</v>
      </c>
      <c r="B2742">
        <v>974</v>
      </c>
      <c r="C2742">
        <v>46</v>
      </c>
      <c r="D2742">
        <v>1200209</v>
      </c>
      <c r="E2742">
        <v>1553298</v>
      </c>
      <c r="F2742">
        <v>0</v>
      </c>
      <c r="G2742">
        <v>0</v>
      </c>
      <c r="H2742">
        <v>27.7</v>
      </c>
      <c r="I2742">
        <v>13.8</v>
      </c>
    </row>
    <row r="2743" spans="1:9" ht="24" customHeight="1">
      <c r="A2743" s="6" t="s">
        <v>794</v>
      </c>
      <c r="B2743">
        <v>2529</v>
      </c>
      <c r="C2743">
        <v>117</v>
      </c>
      <c r="D2743">
        <v>934634</v>
      </c>
      <c r="E2743">
        <v>910770</v>
      </c>
      <c r="F2743">
        <v>0.6</v>
      </c>
      <c r="G2743">
        <v>0</v>
      </c>
      <c r="H2743">
        <v>25.5</v>
      </c>
      <c r="I2743">
        <v>22.7</v>
      </c>
    </row>
    <row r="2744" spans="1:9" ht="24" customHeight="1">
      <c r="A2744" s="6" t="s">
        <v>795</v>
      </c>
      <c r="B2744">
        <v>2825</v>
      </c>
      <c r="C2744">
        <v>156</v>
      </c>
      <c r="D2744">
        <v>747526</v>
      </c>
      <c r="E2744">
        <v>628209</v>
      </c>
      <c r="F2744">
        <v>11.5</v>
      </c>
      <c r="G2744">
        <v>1.1000000000000001</v>
      </c>
      <c r="H2744">
        <v>20.7</v>
      </c>
      <c r="I2744">
        <v>15.2</v>
      </c>
    </row>
    <row r="2745" spans="1:9" ht="24" customHeight="1">
      <c r="A2745" s="6" t="s">
        <v>796</v>
      </c>
      <c r="B2745">
        <v>2999</v>
      </c>
      <c r="C2745">
        <v>113</v>
      </c>
      <c r="D2745">
        <v>586919</v>
      </c>
      <c r="E2745">
        <v>401097</v>
      </c>
      <c r="F2745">
        <v>31.5</v>
      </c>
      <c r="G2745">
        <v>21</v>
      </c>
      <c r="H2745">
        <v>18.399999999999999</v>
      </c>
      <c r="I2745">
        <v>8</v>
      </c>
    </row>
    <row r="2746" spans="1:9" ht="24" customHeight="1">
      <c r="A2746" s="6" t="s">
        <v>797</v>
      </c>
      <c r="B2746">
        <v>2266</v>
      </c>
      <c r="C2746">
        <v>330</v>
      </c>
      <c r="D2746">
        <v>745196</v>
      </c>
      <c r="E2746">
        <v>497434</v>
      </c>
      <c r="F2746">
        <v>10.5</v>
      </c>
      <c r="G2746">
        <v>9.8000000000000007</v>
      </c>
      <c r="H2746">
        <v>24.3</v>
      </c>
      <c r="I2746">
        <v>20.5</v>
      </c>
    </row>
    <row r="2747" spans="1:9" ht="24" customHeight="1">
      <c r="A2747" s="6" t="s">
        <v>798</v>
      </c>
      <c r="B2747">
        <v>24060</v>
      </c>
      <c r="C2747">
        <v>4724</v>
      </c>
      <c r="D2747">
        <v>504926</v>
      </c>
      <c r="E2747">
        <v>411049</v>
      </c>
      <c r="F2747">
        <v>22.2</v>
      </c>
      <c r="G2747">
        <v>10.8</v>
      </c>
      <c r="H2747">
        <v>14.5</v>
      </c>
      <c r="I2747">
        <v>14</v>
      </c>
    </row>
    <row r="2748" spans="1:9" ht="24" customHeight="1">
      <c r="A2748" s="6" t="s">
        <v>4047</v>
      </c>
      <c r="B2748">
        <v>3703</v>
      </c>
      <c r="C2748">
        <v>51</v>
      </c>
      <c r="D2748">
        <v>561594</v>
      </c>
      <c r="E2748">
        <v>351880</v>
      </c>
      <c r="F2748">
        <v>2.7</v>
      </c>
      <c r="G2748">
        <v>0</v>
      </c>
      <c r="H2748">
        <v>19.899999999999999</v>
      </c>
      <c r="I2748">
        <v>30.4</v>
      </c>
    </row>
    <row r="2749" spans="1:9" ht="24" customHeight="1">
      <c r="A2749" s="6" t="s">
        <v>4048</v>
      </c>
      <c r="B2749">
        <v>4701</v>
      </c>
      <c r="C2749">
        <v>375</v>
      </c>
      <c r="D2749">
        <v>494213</v>
      </c>
      <c r="E2749">
        <v>384375</v>
      </c>
      <c r="F2749">
        <v>9.6999999999999993</v>
      </c>
      <c r="G2749">
        <v>8.6</v>
      </c>
      <c r="H2749">
        <v>18.2</v>
      </c>
      <c r="I2749">
        <v>16.8</v>
      </c>
    </row>
    <row r="2750" spans="1:9" ht="24" customHeight="1">
      <c r="A2750" s="6" t="s">
        <v>4049</v>
      </c>
      <c r="B2750">
        <v>3315</v>
      </c>
      <c r="C2750">
        <v>494</v>
      </c>
      <c r="D2750">
        <v>447694</v>
      </c>
      <c r="E2750">
        <v>368384</v>
      </c>
      <c r="F2750">
        <v>20.399999999999999</v>
      </c>
      <c r="G2750">
        <v>3.2</v>
      </c>
      <c r="H2750">
        <v>16.8</v>
      </c>
      <c r="I2750">
        <v>17.899999999999999</v>
      </c>
    </row>
    <row r="2751" spans="1:9" ht="24" customHeight="1">
      <c r="A2751" s="6" t="s">
        <v>4050</v>
      </c>
      <c r="B2751">
        <v>4216</v>
      </c>
      <c r="C2751">
        <v>597</v>
      </c>
      <c r="D2751">
        <v>431028</v>
      </c>
      <c r="E2751">
        <v>293460</v>
      </c>
      <c r="F2751">
        <v>10.6</v>
      </c>
      <c r="G2751">
        <v>11.6</v>
      </c>
      <c r="H2751">
        <v>18</v>
      </c>
      <c r="I2751">
        <v>15.2</v>
      </c>
    </row>
    <row r="2752" spans="1:9" ht="24" customHeight="1">
      <c r="A2752" s="6" t="s">
        <v>4051</v>
      </c>
      <c r="B2752">
        <v>2069</v>
      </c>
      <c r="C2752">
        <v>64</v>
      </c>
      <c r="D2752">
        <v>464367</v>
      </c>
      <c r="E2752">
        <v>462218</v>
      </c>
      <c r="F2752">
        <v>8</v>
      </c>
      <c r="G2752">
        <v>0</v>
      </c>
      <c r="H2752">
        <v>21.4</v>
      </c>
      <c r="I2752">
        <v>9.8000000000000007</v>
      </c>
    </row>
    <row r="2753" spans="1:9" ht="24" customHeight="1">
      <c r="A2753" s="6" t="s">
        <v>4052</v>
      </c>
      <c r="B2753">
        <v>46185</v>
      </c>
      <c r="C2753">
        <v>12949</v>
      </c>
      <c r="D2753">
        <v>343416</v>
      </c>
      <c r="E2753">
        <v>279445</v>
      </c>
      <c r="F2753">
        <v>12.3</v>
      </c>
      <c r="G2753">
        <v>5</v>
      </c>
      <c r="H2753">
        <v>11.7</v>
      </c>
      <c r="I2753">
        <v>12.6</v>
      </c>
    </row>
    <row r="2754" spans="1:9" ht="24" customHeight="1">
      <c r="A2754" s="6" t="s">
        <v>4053</v>
      </c>
      <c r="B2754">
        <v>2169</v>
      </c>
      <c r="C2754">
        <v>10</v>
      </c>
      <c r="D2754">
        <v>650250</v>
      </c>
      <c r="E2754">
        <v>653117</v>
      </c>
      <c r="F2754">
        <v>2.5</v>
      </c>
      <c r="G2754">
        <v>13.9</v>
      </c>
      <c r="H2754">
        <v>21.6</v>
      </c>
      <c r="I2754">
        <v>19</v>
      </c>
    </row>
    <row r="2755" spans="1:9" ht="24" customHeight="1">
      <c r="A2755" s="6" t="s">
        <v>4054</v>
      </c>
      <c r="B2755">
        <v>2824</v>
      </c>
      <c r="C2755">
        <v>122</v>
      </c>
      <c r="D2755">
        <v>540144</v>
      </c>
      <c r="E2755">
        <v>519898</v>
      </c>
      <c r="F2755">
        <v>2.2000000000000002</v>
      </c>
      <c r="G2755">
        <v>0</v>
      </c>
      <c r="H2755">
        <v>22.7</v>
      </c>
      <c r="I2755">
        <v>17.100000000000001</v>
      </c>
    </row>
    <row r="2756" spans="1:9" ht="24" customHeight="1">
      <c r="A2756" s="6" t="s">
        <v>4055</v>
      </c>
      <c r="B2756">
        <v>1832</v>
      </c>
      <c r="C2756">
        <v>202</v>
      </c>
      <c r="D2756">
        <v>504417</v>
      </c>
      <c r="E2756">
        <v>390382</v>
      </c>
      <c r="F2756">
        <v>11.4</v>
      </c>
      <c r="G2756">
        <v>6.2</v>
      </c>
      <c r="H2756">
        <v>18.2</v>
      </c>
      <c r="I2756">
        <v>24.2</v>
      </c>
    </row>
    <row r="2757" spans="1:9" ht="24" customHeight="1">
      <c r="A2757" s="6" t="s">
        <v>4056</v>
      </c>
      <c r="B2757">
        <v>1895</v>
      </c>
      <c r="C2757">
        <v>52</v>
      </c>
      <c r="D2757">
        <v>442137</v>
      </c>
      <c r="E2757">
        <v>279189</v>
      </c>
      <c r="F2757">
        <v>15.2</v>
      </c>
      <c r="G2757">
        <v>1.8</v>
      </c>
      <c r="H2757">
        <v>16.399999999999999</v>
      </c>
      <c r="I2757">
        <v>16.5</v>
      </c>
    </row>
    <row r="2758" spans="1:9" ht="24" customHeight="1">
      <c r="A2758" s="6" t="s">
        <v>4057</v>
      </c>
      <c r="B2758">
        <v>2777</v>
      </c>
      <c r="C2758">
        <v>470</v>
      </c>
      <c r="D2758">
        <v>469244</v>
      </c>
      <c r="E2758">
        <v>419618</v>
      </c>
      <c r="F2758">
        <v>22.5</v>
      </c>
      <c r="G2758">
        <v>24.4</v>
      </c>
      <c r="H2758">
        <v>13.7</v>
      </c>
      <c r="I2758">
        <v>26.1</v>
      </c>
    </row>
    <row r="2759" spans="1:9" ht="24" customHeight="1">
      <c r="A2759" s="6" t="s">
        <v>4058</v>
      </c>
      <c r="B2759">
        <v>17800</v>
      </c>
      <c r="C2759">
        <v>5287</v>
      </c>
      <c r="D2759">
        <v>379954</v>
      </c>
      <c r="E2759">
        <v>324761</v>
      </c>
      <c r="F2759">
        <v>11.7</v>
      </c>
      <c r="G2759">
        <v>6.2</v>
      </c>
      <c r="H2759">
        <v>11</v>
      </c>
      <c r="I2759">
        <v>10.9</v>
      </c>
    </row>
    <row r="2760" spans="1:9" ht="24" customHeight="1">
      <c r="A2760" s="6" t="s">
        <v>4059</v>
      </c>
      <c r="B2760">
        <v>529</v>
      </c>
      <c r="C2760">
        <v>5</v>
      </c>
      <c r="D2760">
        <v>887497</v>
      </c>
      <c r="E2760">
        <v>704142</v>
      </c>
      <c r="F2760">
        <v>0</v>
      </c>
      <c r="G2760">
        <v>0</v>
      </c>
      <c r="H2760">
        <v>24.4</v>
      </c>
      <c r="I2760">
        <v>24</v>
      </c>
    </row>
    <row r="2761" spans="1:9" ht="24" customHeight="1">
      <c r="A2761" s="6" t="s">
        <v>4060</v>
      </c>
      <c r="B2761">
        <v>1510</v>
      </c>
      <c r="C2761">
        <v>56</v>
      </c>
      <c r="D2761">
        <v>676714</v>
      </c>
      <c r="E2761">
        <v>878135</v>
      </c>
      <c r="F2761">
        <v>2</v>
      </c>
      <c r="G2761">
        <v>0</v>
      </c>
      <c r="H2761">
        <v>20</v>
      </c>
      <c r="I2761">
        <v>19.899999999999999</v>
      </c>
    </row>
    <row r="2762" spans="1:9" ht="24" customHeight="1">
      <c r="A2762" s="6" t="s">
        <v>4061</v>
      </c>
      <c r="B2762">
        <v>929</v>
      </c>
      <c r="C2762">
        <v>139</v>
      </c>
      <c r="D2762">
        <v>498022</v>
      </c>
      <c r="E2762">
        <v>513415</v>
      </c>
      <c r="F2762">
        <v>17</v>
      </c>
      <c r="G2762">
        <v>14.5</v>
      </c>
      <c r="H2762">
        <v>15.1</v>
      </c>
      <c r="I2762">
        <v>18.600000000000001</v>
      </c>
    </row>
    <row r="2763" spans="1:9" ht="24" customHeight="1">
      <c r="A2763" s="6" t="s">
        <v>4062</v>
      </c>
      <c r="B2763">
        <v>1467</v>
      </c>
      <c r="C2763">
        <v>60</v>
      </c>
      <c r="D2763">
        <v>505103</v>
      </c>
      <c r="E2763">
        <v>418496</v>
      </c>
      <c r="F2763">
        <v>15.1</v>
      </c>
      <c r="G2763">
        <v>18.5</v>
      </c>
      <c r="H2763">
        <v>21.7</v>
      </c>
      <c r="I2763">
        <v>16.899999999999999</v>
      </c>
    </row>
    <row r="2764" spans="1:9" ht="24" customHeight="1">
      <c r="A2764" s="6" t="s">
        <v>4063</v>
      </c>
      <c r="B2764">
        <v>830</v>
      </c>
      <c r="C2764">
        <v>80</v>
      </c>
      <c r="D2764">
        <v>649179</v>
      </c>
      <c r="E2764">
        <v>520191</v>
      </c>
      <c r="F2764">
        <v>22.3</v>
      </c>
      <c r="G2764">
        <v>17.5</v>
      </c>
      <c r="H2764">
        <v>21.3</v>
      </c>
      <c r="I2764">
        <v>25.3</v>
      </c>
    </row>
    <row r="2765" spans="1:9" ht="24" customHeight="1">
      <c r="A2765" s="6" t="s">
        <v>4064</v>
      </c>
      <c r="B2765">
        <v>11752</v>
      </c>
      <c r="C2765">
        <v>2274</v>
      </c>
      <c r="D2765">
        <v>439475</v>
      </c>
      <c r="E2765">
        <v>369423</v>
      </c>
      <c r="F2765">
        <v>15</v>
      </c>
      <c r="G2765">
        <v>9.6999999999999993</v>
      </c>
      <c r="H2765">
        <v>16.5</v>
      </c>
      <c r="I2765">
        <v>15.1</v>
      </c>
    </row>
    <row r="2766" spans="1:9" ht="24" customHeight="1">
      <c r="A2766" s="6" t="s">
        <v>799</v>
      </c>
      <c r="B2766">
        <v>1399</v>
      </c>
      <c r="C2766">
        <v>0</v>
      </c>
      <c r="D2766">
        <v>1281689</v>
      </c>
      <c r="E2766"/>
      <c r="F2766">
        <v>0</v>
      </c>
      <c r="G2766"/>
      <c r="H2766">
        <v>29</v>
      </c>
      <c r="I2766"/>
    </row>
    <row r="2767" spans="1:9" ht="24" customHeight="1">
      <c r="A2767" s="6" t="s">
        <v>800</v>
      </c>
      <c r="B2767">
        <v>3441</v>
      </c>
      <c r="C2767">
        <v>138</v>
      </c>
      <c r="D2767">
        <v>1059026</v>
      </c>
      <c r="E2767">
        <v>1075485</v>
      </c>
      <c r="F2767">
        <v>0</v>
      </c>
      <c r="G2767">
        <v>0</v>
      </c>
      <c r="H2767">
        <v>24.4</v>
      </c>
      <c r="I2767">
        <v>29.5</v>
      </c>
    </row>
    <row r="2768" spans="1:9" ht="24" customHeight="1">
      <c r="A2768" s="6" t="s">
        <v>801</v>
      </c>
      <c r="B2768">
        <v>3663</v>
      </c>
      <c r="C2768">
        <v>260</v>
      </c>
      <c r="D2768">
        <v>834200</v>
      </c>
      <c r="E2768">
        <v>695358</v>
      </c>
      <c r="F2768">
        <v>26.7</v>
      </c>
      <c r="G2768">
        <v>19.8</v>
      </c>
      <c r="H2768">
        <v>25.1</v>
      </c>
      <c r="I2768">
        <v>16.899999999999999</v>
      </c>
    </row>
    <row r="2769" spans="1:9" ht="24" customHeight="1">
      <c r="A2769" s="6" t="s">
        <v>802</v>
      </c>
      <c r="B2769">
        <v>7074</v>
      </c>
      <c r="C2769">
        <v>69</v>
      </c>
      <c r="D2769">
        <v>702471</v>
      </c>
      <c r="E2769">
        <v>723956</v>
      </c>
      <c r="F2769">
        <v>30.1</v>
      </c>
      <c r="G2769">
        <v>13</v>
      </c>
      <c r="H2769">
        <v>22.2</v>
      </c>
      <c r="I2769">
        <v>35</v>
      </c>
    </row>
    <row r="2770" spans="1:9" ht="24" customHeight="1">
      <c r="A2770" s="6" t="s">
        <v>803</v>
      </c>
      <c r="B2770">
        <v>3425</v>
      </c>
      <c r="C2770">
        <v>104</v>
      </c>
      <c r="D2770">
        <v>1016899</v>
      </c>
      <c r="E2770">
        <v>922500</v>
      </c>
      <c r="F2770">
        <v>7.4</v>
      </c>
      <c r="G2770">
        <v>10.3</v>
      </c>
      <c r="H2770">
        <v>23.3</v>
      </c>
      <c r="I2770">
        <v>23.7</v>
      </c>
    </row>
    <row r="2771" spans="1:9" ht="24" customHeight="1">
      <c r="A2771" s="6" t="s">
        <v>804</v>
      </c>
      <c r="B2771">
        <v>42488</v>
      </c>
      <c r="C2771">
        <v>5296</v>
      </c>
      <c r="D2771">
        <v>547451</v>
      </c>
      <c r="E2771">
        <v>459176</v>
      </c>
      <c r="F2771">
        <v>23.7</v>
      </c>
      <c r="G2771">
        <v>12.2</v>
      </c>
      <c r="H2771">
        <v>13.9</v>
      </c>
      <c r="I2771">
        <v>15.5</v>
      </c>
    </row>
    <row r="2772" spans="1:9" ht="24" customHeight="1">
      <c r="A2772" s="6" t="s">
        <v>4065</v>
      </c>
      <c r="B2772">
        <v>746</v>
      </c>
      <c r="C2772">
        <v>56</v>
      </c>
      <c r="D2772">
        <v>605470</v>
      </c>
      <c r="E2772">
        <v>513095</v>
      </c>
      <c r="F2772">
        <v>2.6</v>
      </c>
      <c r="G2772">
        <v>36.4</v>
      </c>
      <c r="H2772">
        <v>22.7</v>
      </c>
      <c r="I2772">
        <v>2.4</v>
      </c>
    </row>
    <row r="2773" spans="1:9" ht="24" customHeight="1">
      <c r="A2773" s="6" t="s">
        <v>4066</v>
      </c>
      <c r="B2773">
        <v>2027</v>
      </c>
      <c r="C2773">
        <v>164</v>
      </c>
      <c r="D2773">
        <v>539003</v>
      </c>
      <c r="E2773">
        <v>438695</v>
      </c>
      <c r="F2773">
        <v>7</v>
      </c>
      <c r="G2773">
        <v>0.7</v>
      </c>
      <c r="H2773">
        <v>19.899999999999999</v>
      </c>
      <c r="I2773">
        <v>16</v>
      </c>
    </row>
    <row r="2774" spans="1:9" ht="24" customHeight="1">
      <c r="A2774" s="6" t="s">
        <v>4067</v>
      </c>
      <c r="B2774">
        <v>2432</v>
      </c>
      <c r="C2774">
        <v>86</v>
      </c>
      <c r="D2774">
        <v>519279</v>
      </c>
      <c r="E2774">
        <v>376199</v>
      </c>
      <c r="F2774">
        <v>24.6</v>
      </c>
      <c r="G2774">
        <v>5.8</v>
      </c>
      <c r="H2774">
        <v>17.100000000000001</v>
      </c>
      <c r="I2774">
        <v>24</v>
      </c>
    </row>
    <row r="2775" spans="1:9" ht="24" customHeight="1">
      <c r="A2775" s="6" t="s">
        <v>4068</v>
      </c>
      <c r="B2775">
        <v>2250</v>
      </c>
      <c r="C2775">
        <v>351</v>
      </c>
      <c r="D2775">
        <v>445787</v>
      </c>
      <c r="E2775">
        <v>353453</v>
      </c>
      <c r="F2775">
        <v>23.6</v>
      </c>
      <c r="G2775">
        <v>18</v>
      </c>
      <c r="H2775">
        <v>15.2</v>
      </c>
      <c r="I2775">
        <v>17.899999999999999</v>
      </c>
    </row>
    <row r="2776" spans="1:9" ht="24" customHeight="1">
      <c r="A2776" s="6" t="s">
        <v>4069</v>
      </c>
      <c r="B2776">
        <v>754</v>
      </c>
      <c r="C2776">
        <v>267</v>
      </c>
      <c r="D2776">
        <v>465710</v>
      </c>
      <c r="E2776">
        <v>369764</v>
      </c>
      <c r="F2776">
        <v>12.6</v>
      </c>
      <c r="G2776">
        <v>16.3</v>
      </c>
      <c r="H2776">
        <v>16.8</v>
      </c>
      <c r="I2776">
        <v>15.8</v>
      </c>
    </row>
    <row r="2777" spans="1:9" ht="24" customHeight="1">
      <c r="A2777" s="6" t="s">
        <v>4070</v>
      </c>
      <c r="B2777">
        <v>21419</v>
      </c>
      <c r="C2777">
        <v>3837</v>
      </c>
      <c r="D2777">
        <v>370399</v>
      </c>
      <c r="E2777">
        <v>282582</v>
      </c>
      <c r="F2777">
        <v>18.899999999999999</v>
      </c>
      <c r="G2777">
        <v>8.4</v>
      </c>
      <c r="H2777">
        <v>10.1</v>
      </c>
      <c r="I2777">
        <v>9.8000000000000007</v>
      </c>
    </row>
    <row r="2778" spans="1:9" ht="24" customHeight="1">
      <c r="A2778" s="6" t="s">
        <v>4071</v>
      </c>
      <c r="B2778">
        <v>1101</v>
      </c>
      <c r="C2778">
        <v>2</v>
      </c>
      <c r="D2778">
        <v>982707</v>
      </c>
      <c r="E2778">
        <v>638558</v>
      </c>
      <c r="F2778">
        <v>0.5</v>
      </c>
      <c r="G2778">
        <v>0</v>
      </c>
      <c r="H2778">
        <v>24.4</v>
      </c>
      <c r="I2778">
        <v>11</v>
      </c>
    </row>
    <row r="2779" spans="1:9" ht="24" customHeight="1">
      <c r="A2779" s="6" t="s">
        <v>4072</v>
      </c>
      <c r="B2779">
        <v>2176</v>
      </c>
      <c r="C2779">
        <v>134</v>
      </c>
      <c r="D2779">
        <v>681604</v>
      </c>
      <c r="E2779">
        <v>603257</v>
      </c>
      <c r="F2779">
        <v>1</v>
      </c>
      <c r="G2779">
        <v>0</v>
      </c>
      <c r="H2779">
        <v>21.4</v>
      </c>
      <c r="I2779">
        <v>13.9</v>
      </c>
    </row>
    <row r="2780" spans="1:9" ht="24" customHeight="1">
      <c r="A2780" s="6" t="s">
        <v>4073</v>
      </c>
      <c r="B2780">
        <v>3666</v>
      </c>
      <c r="C2780">
        <v>293</v>
      </c>
      <c r="D2780">
        <v>542554</v>
      </c>
      <c r="E2780">
        <v>477704</v>
      </c>
      <c r="F2780">
        <v>18.7</v>
      </c>
      <c r="G2780">
        <v>10.5</v>
      </c>
      <c r="H2780">
        <v>19.2</v>
      </c>
      <c r="I2780">
        <v>19.600000000000001</v>
      </c>
    </row>
    <row r="2781" spans="1:9" ht="24" customHeight="1">
      <c r="A2781" s="6" t="s">
        <v>4074</v>
      </c>
      <c r="B2781">
        <v>3721</v>
      </c>
      <c r="C2781">
        <v>127</v>
      </c>
      <c r="D2781">
        <v>625217</v>
      </c>
      <c r="E2781">
        <v>406529</v>
      </c>
      <c r="F2781">
        <v>17</v>
      </c>
      <c r="G2781">
        <v>15.2</v>
      </c>
      <c r="H2781">
        <v>21.6</v>
      </c>
      <c r="I2781">
        <v>19.5</v>
      </c>
    </row>
    <row r="2782" spans="1:9" ht="24" customHeight="1">
      <c r="A2782" s="6" t="s">
        <v>4075</v>
      </c>
      <c r="B2782">
        <v>1278</v>
      </c>
      <c r="C2782">
        <v>53</v>
      </c>
      <c r="D2782">
        <v>556623</v>
      </c>
      <c r="E2782">
        <v>401318</v>
      </c>
      <c r="F2782">
        <v>22.4</v>
      </c>
      <c r="G2782">
        <v>13.5</v>
      </c>
      <c r="H2782">
        <v>25.1</v>
      </c>
      <c r="I2782">
        <v>20.399999999999999</v>
      </c>
    </row>
    <row r="2783" spans="1:9" ht="24" customHeight="1">
      <c r="A2783" s="6" t="s">
        <v>4076</v>
      </c>
      <c r="B2783">
        <v>25308</v>
      </c>
      <c r="C2783">
        <v>4632</v>
      </c>
      <c r="D2783">
        <v>437070</v>
      </c>
      <c r="E2783">
        <v>332583</v>
      </c>
      <c r="F2783">
        <v>24.4</v>
      </c>
      <c r="G2783">
        <v>9.4</v>
      </c>
      <c r="H2783">
        <v>10.5</v>
      </c>
      <c r="I2783">
        <v>10.199999999999999</v>
      </c>
    </row>
    <row r="2784" spans="1:9" ht="24" customHeight="1">
      <c r="A2784" s="6" t="s">
        <v>4077</v>
      </c>
      <c r="B2784">
        <v>887</v>
      </c>
      <c r="C2784">
        <v>0</v>
      </c>
      <c r="D2784">
        <v>852262</v>
      </c>
      <c r="E2784"/>
      <c r="F2784">
        <v>0.2</v>
      </c>
      <c r="G2784"/>
      <c r="H2784">
        <v>27.3</v>
      </c>
      <c r="I2784"/>
    </row>
    <row r="2785" spans="1:9" ht="24" customHeight="1">
      <c r="A2785" s="6" t="s">
        <v>4078</v>
      </c>
      <c r="B2785">
        <v>1410</v>
      </c>
      <c r="C2785">
        <v>2</v>
      </c>
      <c r="D2785">
        <v>638612</v>
      </c>
      <c r="E2785">
        <v>517208</v>
      </c>
      <c r="F2785">
        <v>0.7</v>
      </c>
      <c r="G2785">
        <v>0</v>
      </c>
      <c r="H2785">
        <v>20.7</v>
      </c>
      <c r="I2785">
        <v>17</v>
      </c>
    </row>
    <row r="2786" spans="1:9" ht="24" customHeight="1">
      <c r="A2786" s="6" t="s">
        <v>4079</v>
      </c>
      <c r="B2786">
        <v>1493</v>
      </c>
      <c r="C2786">
        <v>192</v>
      </c>
      <c r="D2786">
        <v>522885</v>
      </c>
      <c r="E2786">
        <v>370417</v>
      </c>
      <c r="F2786">
        <v>19</v>
      </c>
      <c r="G2786">
        <v>6.7</v>
      </c>
      <c r="H2786">
        <v>16.899999999999999</v>
      </c>
      <c r="I2786">
        <v>14</v>
      </c>
    </row>
    <row r="2787" spans="1:9" ht="24" customHeight="1">
      <c r="A2787" s="6" t="s">
        <v>4080</v>
      </c>
      <c r="B2787">
        <v>5638</v>
      </c>
      <c r="C2787">
        <v>120</v>
      </c>
      <c r="D2787">
        <v>569932</v>
      </c>
      <c r="E2787">
        <v>345056</v>
      </c>
      <c r="F2787">
        <v>33.200000000000003</v>
      </c>
      <c r="G2787">
        <v>10.199999999999999</v>
      </c>
      <c r="H2787">
        <v>22.4</v>
      </c>
      <c r="I2787">
        <v>9.1</v>
      </c>
    </row>
    <row r="2788" spans="1:9" ht="24" customHeight="1">
      <c r="A2788" s="6" t="s">
        <v>4081</v>
      </c>
      <c r="B2788">
        <v>1182</v>
      </c>
      <c r="C2788">
        <v>24</v>
      </c>
      <c r="D2788">
        <v>565804</v>
      </c>
      <c r="E2788">
        <v>451907</v>
      </c>
      <c r="F2788">
        <v>15.6</v>
      </c>
      <c r="G2788">
        <v>14.4</v>
      </c>
      <c r="H2788">
        <v>20.7</v>
      </c>
      <c r="I2788">
        <v>14.3</v>
      </c>
    </row>
    <row r="2789" spans="1:9" ht="24" customHeight="1">
      <c r="A2789" s="6" t="s">
        <v>4082</v>
      </c>
      <c r="B2789">
        <v>26090</v>
      </c>
      <c r="C2789">
        <v>2389</v>
      </c>
      <c r="D2789">
        <v>431699</v>
      </c>
      <c r="E2789">
        <v>366575</v>
      </c>
      <c r="F2789">
        <v>23.8</v>
      </c>
      <c r="G2789">
        <v>15.1</v>
      </c>
      <c r="H2789">
        <v>13.2</v>
      </c>
      <c r="I2789">
        <v>12.9</v>
      </c>
    </row>
    <row r="2790" spans="1:9" ht="24" customHeight="1">
      <c r="A2790" s="6" t="s">
        <v>805</v>
      </c>
      <c r="B2790">
        <v>864</v>
      </c>
      <c r="C2790">
        <v>20</v>
      </c>
      <c r="D2790">
        <v>1282522</v>
      </c>
      <c r="E2790">
        <v>1502003</v>
      </c>
      <c r="F2790">
        <v>0</v>
      </c>
      <c r="G2790">
        <v>0</v>
      </c>
      <c r="H2790">
        <v>27</v>
      </c>
      <c r="I2790">
        <v>27</v>
      </c>
    </row>
    <row r="2791" spans="1:9" ht="24" customHeight="1">
      <c r="A2791" s="6" t="s">
        <v>806</v>
      </c>
      <c r="B2791">
        <v>1938</v>
      </c>
      <c r="C2791">
        <v>83</v>
      </c>
      <c r="D2791">
        <v>869870</v>
      </c>
      <c r="E2791">
        <v>934551</v>
      </c>
      <c r="F2791">
        <v>1.3</v>
      </c>
      <c r="G2791">
        <v>0</v>
      </c>
      <c r="H2791">
        <v>24</v>
      </c>
      <c r="I2791">
        <v>18</v>
      </c>
    </row>
    <row r="2792" spans="1:9" ht="24" customHeight="1">
      <c r="A2792" s="6" t="s">
        <v>807</v>
      </c>
      <c r="B2792">
        <v>1741</v>
      </c>
      <c r="C2792">
        <v>122</v>
      </c>
      <c r="D2792">
        <v>731343</v>
      </c>
      <c r="E2792">
        <v>745301</v>
      </c>
      <c r="F2792">
        <v>18.7</v>
      </c>
      <c r="G2792">
        <v>12.2</v>
      </c>
      <c r="H2792">
        <v>21.5</v>
      </c>
      <c r="I2792">
        <v>11.5</v>
      </c>
    </row>
    <row r="2793" spans="1:9" ht="24" customHeight="1">
      <c r="A2793" s="6" t="s">
        <v>808</v>
      </c>
      <c r="B2793">
        <v>3031</v>
      </c>
      <c r="C2793">
        <v>93</v>
      </c>
      <c r="D2793">
        <v>674309</v>
      </c>
      <c r="E2793">
        <v>495584</v>
      </c>
      <c r="F2793">
        <v>23.7</v>
      </c>
      <c r="G2793">
        <v>21.7</v>
      </c>
      <c r="H2793">
        <v>22.9</v>
      </c>
      <c r="I2793">
        <v>17.899999999999999</v>
      </c>
    </row>
    <row r="2794" spans="1:9" ht="24" customHeight="1">
      <c r="A2794" s="6" t="s">
        <v>809</v>
      </c>
      <c r="B2794">
        <v>1150</v>
      </c>
      <c r="C2794">
        <v>49</v>
      </c>
      <c r="D2794">
        <v>743575</v>
      </c>
      <c r="E2794">
        <v>864119</v>
      </c>
      <c r="F2794">
        <v>9.3000000000000007</v>
      </c>
      <c r="G2794">
        <v>3.2</v>
      </c>
      <c r="H2794">
        <v>18.100000000000001</v>
      </c>
      <c r="I2794">
        <v>16.100000000000001</v>
      </c>
    </row>
    <row r="2795" spans="1:9" ht="24" customHeight="1">
      <c r="A2795" s="6" t="s">
        <v>810</v>
      </c>
      <c r="B2795">
        <v>20727</v>
      </c>
      <c r="C2795">
        <v>3000</v>
      </c>
      <c r="D2795">
        <v>522739</v>
      </c>
      <c r="E2795">
        <v>414445</v>
      </c>
      <c r="F2795">
        <v>18.2</v>
      </c>
      <c r="G2795">
        <v>11.7</v>
      </c>
      <c r="H2795">
        <v>15.8</v>
      </c>
      <c r="I2795">
        <v>14</v>
      </c>
    </row>
    <row r="2796" spans="1:9" ht="24" customHeight="1">
      <c r="A2796" s="6" t="s">
        <v>4083</v>
      </c>
      <c r="B2796">
        <v>756</v>
      </c>
      <c r="C2796">
        <v>22</v>
      </c>
      <c r="D2796">
        <v>584728</v>
      </c>
      <c r="E2796">
        <v>335888</v>
      </c>
      <c r="F2796">
        <v>3.6</v>
      </c>
      <c r="G2796">
        <v>1.7</v>
      </c>
      <c r="H2796">
        <v>18.5</v>
      </c>
      <c r="I2796">
        <v>15.6</v>
      </c>
    </row>
    <row r="2797" spans="1:9" ht="24" customHeight="1">
      <c r="A2797" s="6" t="s">
        <v>4084</v>
      </c>
      <c r="B2797">
        <v>1902</v>
      </c>
      <c r="C2797">
        <v>128</v>
      </c>
      <c r="D2797">
        <v>514969</v>
      </c>
      <c r="E2797">
        <v>495820</v>
      </c>
      <c r="F2797">
        <v>5</v>
      </c>
      <c r="G2797">
        <v>0.8</v>
      </c>
      <c r="H2797">
        <v>22</v>
      </c>
      <c r="I2797">
        <v>19.600000000000001</v>
      </c>
    </row>
    <row r="2798" spans="1:9" ht="24" customHeight="1">
      <c r="A2798" s="6" t="s">
        <v>4085</v>
      </c>
      <c r="B2798">
        <v>1239</v>
      </c>
      <c r="C2798">
        <v>112</v>
      </c>
      <c r="D2798">
        <v>460782</v>
      </c>
      <c r="E2798">
        <v>416642</v>
      </c>
      <c r="F2798">
        <v>11.3</v>
      </c>
      <c r="G2798">
        <v>10.199999999999999</v>
      </c>
      <c r="H2798">
        <v>23.6</v>
      </c>
      <c r="I2798">
        <v>19.899999999999999</v>
      </c>
    </row>
    <row r="2799" spans="1:9" ht="24" customHeight="1">
      <c r="A2799" s="6" t="s">
        <v>4086</v>
      </c>
      <c r="B2799">
        <v>936</v>
      </c>
      <c r="C2799">
        <v>154</v>
      </c>
      <c r="D2799">
        <v>456438</v>
      </c>
      <c r="E2799">
        <v>301074</v>
      </c>
      <c r="F2799">
        <v>23.5</v>
      </c>
      <c r="G2799">
        <v>16.7</v>
      </c>
      <c r="H2799">
        <v>16</v>
      </c>
      <c r="I2799">
        <v>13.1</v>
      </c>
    </row>
    <row r="2800" spans="1:9" ht="24" customHeight="1">
      <c r="A2800" s="6" t="s">
        <v>4087</v>
      </c>
      <c r="B2800">
        <v>730</v>
      </c>
      <c r="C2800">
        <v>131</v>
      </c>
      <c r="D2800">
        <v>523627</v>
      </c>
      <c r="E2800">
        <v>451321</v>
      </c>
      <c r="F2800">
        <v>11</v>
      </c>
      <c r="G2800">
        <v>1.7</v>
      </c>
      <c r="H2800">
        <v>19.3</v>
      </c>
      <c r="I2800">
        <v>7.9</v>
      </c>
    </row>
    <row r="2801" spans="1:9" ht="24" customHeight="1">
      <c r="A2801" s="6" t="s">
        <v>4088</v>
      </c>
      <c r="B2801">
        <v>11671</v>
      </c>
      <c r="C2801">
        <v>4929</v>
      </c>
      <c r="D2801">
        <v>344380</v>
      </c>
      <c r="E2801">
        <v>273764</v>
      </c>
      <c r="F2801">
        <v>11.3</v>
      </c>
      <c r="G2801">
        <v>4.8</v>
      </c>
      <c r="H2801">
        <v>11.7</v>
      </c>
      <c r="I2801">
        <v>10.6</v>
      </c>
    </row>
    <row r="2802" spans="1:9" ht="24" customHeight="1">
      <c r="A2802" s="6" t="s">
        <v>4089</v>
      </c>
      <c r="B2802">
        <v>852</v>
      </c>
      <c r="C2802">
        <v>0</v>
      </c>
      <c r="D2802">
        <v>1057267</v>
      </c>
      <c r="E2802"/>
      <c r="F2802">
        <v>0</v>
      </c>
      <c r="G2802"/>
      <c r="H2802">
        <v>28.3</v>
      </c>
      <c r="I2802"/>
    </row>
    <row r="2803" spans="1:9" ht="24" customHeight="1">
      <c r="A2803" s="6" t="s">
        <v>4090</v>
      </c>
      <c r="B2803">
        <v>1696</v>
      </c>
      <c r="C2803">
        <v>46</v>
      </c>
      <c r="D2803">
        <v>680603</v>
      </c>
      <c r="E2803">
        <v>647653</v>
      </c>
      <c r="F2803">
        <v>1.2</v>
      </c>
      <c r="G2803">
        <v>5.9</v>
      </c>
      <c r="H2803">
        <v>23.6</v>
      </c>
      <c r="I2803">
        <v>25.9</v>
      </c>
    </row>
    <row r="2804" spans="1:9" ht="24" customHeight="1">
      <c r="A2804" s="6" t="s">
        <v>4091</v>
      </c>
      <c r="B2804">
        <v>1024</v>
      </c>
      <c r="C2804">
        <v>60</v>
      </c>
      <c r="D2804">
        <v>555814</v>
      </c>
      <c r="E2804">
        <v>409588</v>
      </c>
      <c r="F2804">
        <v>17</v>
      </c>
      <c r="G2804">
        <v>11.8</v>
      </c>
      <c r="H2804">
        <v>21.1</v>
      </c>
      <c r="I2804">
        <v>17.2</v>
      </c>
    </row>
    <row r="2805" spans="1:9" ht="24" customHeight="1">
      <c r="A2805" s="6" t="s">
        <v>4092</v>
      </c>
      <c r="B2805">
        <v>1742</v>
      </c>
      <c r="C2805">
        <v>255</v>
      </c>
      <c r="D2805">
        <v>485761</v>
      </c>
      <c r="E2805">
        <v>406357</v>
      </c>
      <c r="F2805">
        <v>17.2</v>
      </c>
      <c r="G2805">
        <v>11.4</v>
      </c>
      <c r="H2805">
        <v>18.5</v>
      </c>
      <c r="I2805">
        <v>12.3</v>
      </c>
    </row>
    <row r="2806" spans="1:9" ht="24" customHeight="1">
      <c r="A2806" s="6" t="s">
        <v>4093</v>
      </c>
      <c r="B2806">
        <v>530</v>
      </c>
      <c r="C2806">
        <v>144</v>
      </c>
      <c r="D2806">
        <v>546387</v>
      </c>
      <c r="E2806">
        <v>501292</v>
      </c>
      <c r="F2806">
        <v>11.2</v>
      </c>
      <c r="G2806">
        <v>10.3</v>
      </c>
      <c r="H2806">
        <v>21.1</v>
      </c>
      <c r="I2806">
        <v>29.2</v>
      </c>
    </row>
    <row r="2807" spans="1:9" ht="24" customHeight="1">
      <c r="A2807" s="6" t="s">
        <v>4094</v>
      </c>
      <c r="B2807">
        <v>12835</v>
      </c>
      <c r="C2807">
        <v>3056</v>
      </c>
      <c r="D2807">
        <v>430806</v>
      </c>
      <c r="E2807">
        <v>332343</v>
      </c>
      <c r="F2807">
        <v>15.2</v>
      </c>
      <c r="G2807">
        <v>6.3</v>
      </c>
      <c r="H2807">
        <v>13.6</v>
      </c>
      <c r="I2807">
        <v>10.7</v>
      </c>
    </row>
    <row r="2808" spans="1:9" ht="24" customHeight="1">
      <c r="A2808" s="6" t="s">
        <v>4095</v>
      </c>
      <c r="B2808">
        <v>557</v>
      </c>
      <c r="C2808">
        <v>0</v>
      </c>
      <c r="D2808">
        <v>883380</v>
      </c>
      <c r="E2808"/>
      <c r="F2808">
        <v>0</v>
      </c>
      <c r="G2808"/>
      <c r="H2808">
        <v>23.9</v>
      </c>
      <c r="I2808"/>
    </row>
    <row r="2809" spans="1:9" ht="24" customHeight="1">
      <c r="A2809" s="6" t="s">
        <v>4096</v>
      </c>
      <c r="B2809">
        <v>1471</v>
      </c>
      <c r="C2809">
        <v>111</v>
      </c>
      <c r="D2809">
        <v>723213</v>
      </c>
      <c r="E2809">
        <v>725098</v>
      </c>
      <c r="F2809">
        <v>0.8</v>
      </c>
      <c r="G2809">
        <v>0.5</v>
      </c>
      <c r="H2809">
        <v>24.6</v>
      </c>
      <c r="I2809">
        <v>24.5</v>
      </c>
    </row>
    <row r="2810" spans="1:9" ht="24" customHeight="1">
      <c r="A2810" s="6" t="s">
        <v>4097</v>
      </c>
      <c r="B2810">
        <v>970</v>
      </c>
      <c r="C2810">
        <v>11</v>
      </c>
      <c r="D2810">
        <v>604081</v>
      </c>
      <c r="E2810">
        <v>390937</v>
      </c>
      <c r="F2810">
        <v>20</v>
      </c>
      <c r="G2810">
        <v>22.6</v>
      </c>
      <c r="H2810">
        <v>19.600000000000001</v>
      </c>
      <c r="I2810">
        <v>8.1</v>
      </c>
    </row>
    <row r="2811" spans="1:9" ht="24" customHeight="1">
      <c r="A2811" s="6" t="s">
        <v>4098</v>
      </c>
      <c r="B2811">
        <v>1774</v>
      </c>
      <c r="C2811">
        <v>195</v>
      </c>
      <c r="D2811">
        <v>553781</v>
      </c>
      <c r="E2811">
        <v>420779</v>
      </c>
      <c r="F2811">
        <v>25.5</v>
      </c>
      <c r="G2811">
        <v>23.3</v>
      </c>
      <c r="H2811">
        <v>20.3</v>
      </c>
      <c r="I2811">
        <v>12.2</v>
      </c>
    </row>
    <row r="2812" spans="1:9" ht="24" customHeight="1">
      <c r="A2812" s="6" t="s">
        <v>4099</v>
      </c>
      <c r="B2812">
        <v>1003</v>
      </c>
      <c r="C2812">
        <v>53</v>
      </c>
      <c r="D2812">
        <v>747990</v>
      </c>
      <c r="E2812">
        <v>743354</v>
      </c>
      <c r="F2812">
        <v>12.6</v>
      </c>
      <c r="G2812">
        <v>0</v>
      </c>
      <c r="H2812">
        <v>25.1</v>
      </c>
      <c r="I2812">
        <v>35.200000000000003</v>
      </c>
    </row>
    <row r="2813" spans="1:9" ht="24" customHeight="1">
      <c r="A2813" s="6" t="s">
        <v>4100</v>
      </c>
      <c r="B2813">
        <v>13816</v>
      </c>
      <c r="C2813">
        <v>2738</v>
      </c>
      <c r="D2813">
        <v>458014</v>
      </c>
      <c r="E2813">
        <v>355446</v>
      </c>
      <c r="F2813">
        <v>18.600000000000001</v>
      </c>
      <c r="G2813">
        <v>8.6999999999999993</v>
      </c>
      <c r="H2813">
        <v>14.1</v>
      </c>
      <c r="I2813">
        <v>14.8</v>
      </c>
    </row>
    <row r="2814" spans="1:9" ht="24" customHeight="1">
      <c r="A2814" s="6" t="s">
        <v>811</v>
      </c>
      <c r="B2814">
        <v>584</v>
      </c>
      <c r="C2814">
        <v>20</v>
      </c>
      <c r="D2814">
        <v>1027460</v>
      </c>
      <c r="E2814">
        <v>677032</v>
      </c>
      <c r="F2814">
        <v>0</v>
      </c>
      <c r="G2814">
        <v>0</v>
      </c>
      <c r="H2814">
        <v>28.3</v>
      </c>
      <c r="I2814">
        <v>30</v>
      </c>
    </row>
    <row r="2815" spans="1:9" ht="24" customHeight="1">
      <c r="A2815" s="6" t="s">
        <v>812</v>
      </c>
      <c r="B2815">
        <v>2184</v>
      </c>
      <c r="C2815">
        <v>219</v>
      </c>
      <c r="D2815">
        <v>853747</v>
      </c>
      <c r="E2815">
        <v>739577</v>
      </c>
      <c r="F2815">
        <v>2.7</v>
      </c>
      <c r="G2815">
        <v>6.9</v>
      </c>
      <c r="H2815">
        <v>26.9</v>
      </c>
      <c r="I2815">
        <v>17.7</v>
      </c>
    </row>
    <row r="2816" spans="1:9" ht="24" customHeight="1">
      <c r="A2816" s="6" t="s">
        <v>813</v>
      </c>
      <c r="B2816">
        <v>1952</v>
      </c>
      <c r="C2816">
        <v>35</v>
      </c>
      <c r="D2816">
        <v>733176</v>
      </c>
      <c r="E2816">
        <v>617325</v>
      </c>
      <c r="F2816">
        <v>26</v>
      </c>
      <c r="G2816">
        <v>21.8</v>
      </c>
      <c r="H2816">
        <v>24.5</v>
      </c>
      <c r="I2816">
        <v>24.7</v>
      </c>
    </row>
    <row r="2817" spans="1:9" ht="24" customHeight="1">
      <c r="A2817" s="6" t="s">
        <v>814</v>
      </c>
      <c r="B2817">
        <v>2746</v>
      </c>
      <c r="C2817">
        <v>202</v>
      </c>
      <c r="D2817">
        <v>631392</v>
      </c>
      <c r="E2817">
        <v>444870</v>
      </c>
      <c r="F2817">
        <v>30.9</v>
      </c>
      <c r="G2817">
        <v>19.600000000000001</v>
      </c>
      <c r="H2817">
        <v>21.7</v>
      </c>
      <c r="I2817">
        <v>21.7</v>
      </c>
    </row>
    <row r="2818" spans="1:9" ht="24" customHeight="1">
      <c r="A2818" s="6" t="s">
        <v>815</v>
      </c>
      <c r="B2818">
        <v>3583</v>
      </c>
      <c r="C2818">
        <v>839</v>
      </c>
      <c r="D2818">
        <v>790400</v>
      </c>
      <c r="E2818">
        <v>625889</v>
      </c>
      <c r="F2818">
        <v>14.2</v>
      </c>
      <c r="G2818">
        <v>13.5</v>
      </c>
      <c r="H2818">
        <v>21</v>
      </c>
      <c r="I2818">
        <v>26.1</v>
      </c>
    </row>
    <row r="2819" spans="1:9" ht="24" customHeight="1">
      <c r="A2819" s="6" t="s">
        <v>816</v>
      </c>
      <c r="B2819">
        <v>24652</v>
      </c>
      <c r="C2819">
        <v>5963</v>
      </c>
      <c r="D2819">
        <v>469222</v>
      </c>
      <c r="E2819">
        <v>379247</v>
      </c>
      <c r="F2819">
        <v>25.2</v>
      </c>
      <c r="G2819">
        <v>12.1</v>
      </c>
      <c r="H2819">
        <v>13.4</v>
      </c>
      <c r="I2819">
        <v>13.5</v>
      </c>
    </row>
    <row r="2820" spans="1:9" ht="24" customHeight="1">
      <c r="A2820" s="6" t="s">
        <v>4101</v>
      </c>
      <c r="B2820">
        <v>7775</v>
      </c>
      <c r="C2820">
        <v>557</v>
      </c>
      <c r="D2820">
        <v>648647</v>
      </c>
      <c r="E2820">
        <v>642070</v>
      </c>
      <c r="F2820">
        <v>2.8</v>
      </c>
      <c r="G2820">
        <v>30.4</v>
      </c>
      <c r="H2820">
        <v>20.5</v>
      </c>
      <c r="I2820">
        <v>16</v>
      </c>
    </row>
    <row r="2821" spans="1:9" ht="24" customHeight="1">
      <c r="A2821" s="6" t="s">
        <v>4102</v>
      </c>
      <c r="B2821">
        <v>14078</v>
      </c>
      <c r="C2821">
        <v>1569</v>
      </c>
      <c r="D2821">
        <v>497077</v>
      </c>
      <c r="E2821">
        <v>374471</v>
      </c>
      <c r="F2821">
        <v>8.1999999999999993</v>
      </c>
      <c r="G2821">
        <v>7.1</v>
      </c>
      <c r="H2821">
        <v>20.2</v>
      </c>
      <c r="I2821">
        <v>13.6</v>
      </c>
    </row>
    <row r="2822" spans="1:9" ht="24" customHeight="1">
      <c r="A2822" s="6" t="s">
        <v>4103</v>
      </c>
      <c r="B2822">
        <v>8880</v>
      </c>
      <c r="C2822">
        <v>500</v>
      </c>
      <c r="D2822">
        <v>440714</v>
      </c>
      <c r="E2822">
        <v>323555</v>
      </c>
      <c r="F2822">
        <v>13.8</v>
      </c>
      <c r="G2822">
        <v>5.9</v>
      </c>
      <c r="H2822">
        <v>18.2</v>
      </c>
      <c r="I2822">
        <v>21.2</v>
      </c>
    </row>
    <row r="2823" spans="1:9" ht="24" customHeight="1">
      <c r="A2823" s="6" t="s">
        <v>4104</v>
      </c>
      <c r="B2823">
        <v>7235</v>
      </c>
      <c r="C2823">
        <v>1144</v>
      </c>
      <c r="D2823">
        <v>448560</v>
      </c>
      <c r="E2823">
        <v>350736</v>
      </c>
      <c r="F2823">
        <v>15</v>
      </c>
      <c r="G2823">
        <v>9.6999999999999993</v>
      </c>
      <c r="H2823">
        <v>18.399999999999999</v>
      </c>
      <c r="I2823">
        <v>11.2</v>
      </c>
    </row>
    <row r="2824" spans="1:9" ht="24" customHeight="1">
      <c r="A2824" s="6" t="s">
        <v>4105</v>
      </c>
      <c r="B2824">
        <v>5484</v>
      </c>
      <c r="C2824">
        <v>702</v>
      </c>
      <c r="D2824">
        <v>523190</v>
      </c>
      <c r="E2824">
        <v>449323</v>
      </c>
      <c r="F2824">
        <v>8.9</v>
      </c>
      <c r="G2824">
        <v>0.2</v>
      </c>
      <c r="H2824">
        <v>14.7</v>
      </c>
      <c r="I2824">
        <v>25.1</v>
      </c>
    </row>
    <row r="2825" spans="1:9" ht="24" customHeight="1">
      <c r="A2825" s="6" t="s">
        <v>4106</v>
      </c>
      <c r="B2825">
        <v>122418</v>
      </c>
      <c r="C2825">
        <v>36445</v>
      </c>
      <c r="D2825">
        <v>346322</v>
      </c>
      <c r="E2825">
        <v>273083</v>
      </c>
      <c r="F2825">
        <v>11.2</v>
      </c>
      <c r="G2825">
        <v>3.6</v>
      </c>
      <c r="H2825">
        <v>10.8</v>
      </c>
      <c r="I2825">
        <v>9.8000000000000007</v>
      </c>
    </row>
    <row r="2826" spans="1:9" ht="24" customHeight="1">
      <c r="A2826" s="6" t="s">
        <v>4107</v>
      </c>
      <c r="B2826">
        <v>4313</v>
      </c>
      <c r="C2826">
        <v>0</v>
      </c>
      <c r="D2826">
        <v>702797</v>
      </c>
      <c r="E2826"/>
      <c r="F2826">
        <v>0.5</v>
      </c>
      <c r="G2826"/>
      <c r="H2826">
        <v>25.2</v>
      </c>
      <c r="I2826"/>
    </row>
    <row r="2827" spans="1:9" ht="24" customHeight="1">
      <c r="A2827" s="6" t="s">
        <v>4108</v>
      </c>
      <c r="B2827">
        <v>5164</v>
      </c>
      <c r="C2827">
        <v>242</v>
      </c>
      <c r="D2827">
        <v>610948</v>
      </c>
      <c r="E2827">
        <v>565241</v>
      </c>
      <c r="F2827">
        <v>2.9</v>
      </c>
      <c r="G2827">
        <v>0.6</v>
      </c>
      <c r="H2827">
        <v>23.4</v>
      </c>
      <c r="I2827">
        <v>21.3</v>
      </c>
    </row>
    <row r="2828" spans="1:9" ht="24" customHeight="1">
      <c r="A2828" s="6" t="s">
        <v>4109</v>
      </c>
      <c r="B2828">
        <v>6405</v>
      </c>
      <c r="C2828">
        <v>827</v>
      </c>
      <c r="D2828">
        <v>516482</v>
      </c>
      <c r="E2828">
        <v>438516</v>
      </c>
      <c r="F2828">
        <v>15.1</v>
      </c>
      <c r="G2828">
        <v>11.2</v>
      </c>
      <c r="H2828">
        <v>16.5</v>
      </c>
      <c r="I2828">
        <v>19.2</v>
      </c>
    </row>
    <row r="2829" spans="1:9" ht="24" customHeight="1">
      <c r="A2829" s="6" t="s">
        <v>4110</v>
      </c>
      <c r="B2829">
        <v>8246</v>
      </c>
      <c r="C2829">
        <v>1232</v>
      </c>
      <c r="D2829">
        <v>461915</v>
      </c>
      <c r="E2829">
        <v>367833</v>
      </c>
      <c r="F2829">
        <v>16.8</v>
      </c>
      <c r="G2829">
        <v>9</v>
      </c>
      <c r="H2829">
        <v>17.3</v>
      </c>
      <c r="I2829">
        <v>15.4</v>
      </c>
    </row>
    <row r="2830" spans="1:9" ht="24" customHeight="1">
      <c r="A2830" s="6" t="s">
        <v>4111</v>
      </c>
      <c r="B2830">
        <v>4843</v>
      </c>
      <c r="C2830">
        <v>509</v>
      </c>
      <c r="D2830">
        <v>567471</v>
      </c>
      <c r="E2830">
        <v>445497</v>
      </c>
      <c r="F2830">
        <v>12.4</v>
      </c>
      <c r="G2830">
        <v>6.6</v>
      </c>
      <c r="H2830">
        <v>23</v>
      </c>
      <c r="I2830">
        <v>20.8</v>
      </c>
    </row>
    <row r="2831" spans="1:9" ht="24" customHeight="1">
      <c r="A2831" s="6" t="s">
        <v>4112</v>
      </c>
      <c r="B2831">
        <v>41297</v>
      </c>
      <c r="C2831">
        <v>14338</v>
      </c>
      <c r="D2831">
        <v>369734</v>
      </c>
      <c r="E2831">
        <v>301632</v>
      </c>
      <c r="F2831">
        <v>13.9</v>
      </c>
      <c r="G2831">
        <v>7.5</v>
      </c>
      <c r="H2831">
        <v>11.4</v>
      </c>
      <c r="I2831">
        <v>8.8000000000000007</v>
      </c>
    </row>
    <row r="2832" spans="1:9" ht="24" customHeight="1">
      <c r="A2832" s="6" t="s">
        <v>4113</v>
      </c>
      <c r="B2832">
        <v>1251</v>
      </c>
      <c r="C2832">
        <v>0</v>
      </c>
      <c r="D2832">
        <v>938580</v>
      </c>
      <c r="E2832"/>
      <c r="F2832">
        <v>4.9000000000000004</v>
      </c>
      <c r="G2832"/>
      <c r="H2832">
        <v>23.3</v>
      </c>
      <c r="I2832"/>
    </row>
    <row r="2833" spans="1:9" ht="24" customHeight="1">
      <c r="A2833" s="6" t="s">
        <v>4114</v>
      </c>
      <c r="B2833">
        <v>4191</v>
      </c>
      <c r="C2833">
        <v>54</v>
      </c>
      <c r="D2833">
        <v>742238</v>
      </c>
      <c r="E2833">
        <v>621581</v>
      </c>
      <c r="F2833">
        <v>2.8</v>
      </c>
      <c r="G2833">
        <v>0</v>
      </c>
      <c r="H2833">
        <v>21</v>
      </c>
      <c r="I2833">
        <v>7.3</v>
      </c>
    </row>
    <row r="2834" spans="1:9" ht="24" customHeight="1">
      <c r="A2834" s="6" t="s">
        <v>4115</v>
      </c>
      <c r="B2834">
        <v>3811</v>
      </c>
      <c r="C2834">
        <v>64</v>
      </c>
      <c r="D2834">
        <v>656789</v>
      </c>
      <c r="E2834">
        <v>660631</v>
      </c>
      <c r="F2834">
        <v>20.6</v>
      </c>
      <c r="G2834">
        <v>41.3</v>
      </c>
      <c r="H2834">
        <v>18.7</v>
      </c>
      <c r="I2834">
        <v>15.9</v>
      </c>
    </row>
    <row r="2835" spans="1:9" ht="24" customHeight="1">
      <c r="A2835" s="6" t="s">
        <v>4116</v>
      </c>
      <c r="B2835">
        <v>1944</v>
      </c>
      <c r="C2835">
        <v>219</v>
      </c>
      <c r="D2835">
        <v>567667</v>
      </c>
      <c r="E2835">
        <v>532837</v>
      </c>
      <c r="F2835">
        <v>30.2</v>
      </c>
      <c r="G2835">
        <v>33.200000000000003</v>
      </c>
      <c r="H2835">
        <v>18.3</v>
      </c>
      <c r="I2835">
        <v>10.7</v>
      </c>
    </row>
    <row r="2836" spans="1:9" ht="24" customHeight="1">
      <c r="A2836" s="6" t="s">
        <v>4117</v>
      </c>
      <c r="B2836">
        <v>1378</v>
      </c>
      <c r="C2836">
        <v>96</v>
      </c>
      <c r="D2836">
        <v>630870</v>
      </c>
      <c r="E2836">
        <v>473543</v>
      </c>
      <c r="F2836">
        <v>9.8000000000000007</v>
      </c>
      <c r="G2836">
        <v>11.8</v>
      </c>
      <c r="H2836">
        <v>22.1</v>
      </c>
      <c r="I2836">
        <v>28.9</v>
      </c>
    </row>
    <row r="2837" spans="1:9" ht="24" customHeight="1">
      <c r="A2837" s="6" t="s">
        <v>4118</v>
      </c>
      <c r="B2837">
        <v>30279</v>
      </c>
      <c r="C2837">
        <v>10252</v>
      </c>
      <c r="D2837">
        <v>436521</v>
      </c>
      <c r="E2837">
        <v>336178</v>
      </c>
      <c r="F2837">
        <v>20</v>
      </c>
      <c r="G2837">
        <v>9.9</v>
      </c>
      <c r="H2837">
        <v>13.1</v>
      </c>
      <c r="I2837">
        <v>10.3</v>
      </c>
    </row>
    <row r="2838" spans="1:9" ht="24" customHeight="1">
      <c r="A2838" s="6" t="s">
        <v>817</v>
      </c>
      <c r="B2838">
        <v>2046</v>
      </c>
      <c r="C2838">
        <v>257</v>
      </c>
      <c r="D2838">
        <v>1104835</v>
      </c>
      <c r="E2838">
        <v>1092332</v>
      </c>
      <c r="F2838">
        <v>0.1</v>
      </c>
      <c r="G2838">
        <v>0</v>
      </c>
      <c r="H2838">
        <v>25.8</v>
      </c>
      <c r="I2838">
        <v>28.2</v>
      </c>
    </row>
    <row r="2839" spans="1:9" ht="24" customHeight="1">
      <c r="A2839" s="6" t="s">
        <v>818</v>
      </c>
      <c r="B2839">
        <v>8150</v>
      </c>
      <c r="C2839">
        <v>541</v>
      </c>
      <c r="D2839">
        <v>955911</v>
      </c>
      <c r="E2839">
        <v>829176</v>
      </c>
      <c r="F2839">
        <v>0.5</v>
      </c>
      <c r="G2839">
        <v>0</v>
      </c>
      <c r="H2839">
        <v>25</v>
      </c>
      <c r="I2839">
        <v>19.899999999999999</v>
      </c>
    </row>
    <row r="2840" spans="1:9" ht="24" customHeight="1">
      <c r="A2840" s="6" t="s">
        <v>819</v>
      </c>
      <c r="B2840">
        <v>6756</v>
      </c>
      <c r="C2840">
        <v>379</v>
      </c>
      <c r="D2840">
        <v>816268</v>
      </c>
      <c r="E2840">
        <v>754464</v>
      </c>
      <c r="F2840">
        <v>22</v>
      </c>
      <c r="G2840">
        <v>9.6999999999999993</v>
      </c>
      <c r="H2840">
        <v>21.1</v>
      </c>
      <c r="I2840">
        <v>26.5</v>
      </c>
    </row>
    <row r="2841" spans="1:9" ht="24" customHeight="1">
      <c r="A2841" s="6" t="s">
        <v>820</v>
      </c>
      <c r="B2841">
        <v>4205</v>
      </c>
      <c r="C2841">
        <v>395</v>
      </c>
      <c r="D2841">
        <v>685087</v>
      </c>
      <c r="E2841">
        <v>657137</v>
      </c>
      <c r="F2841">
        <v>22.7</v>
      </c>
      <c r="G2841">
        <v>7.1</v>
      </c>
      <c r="H2841">
        <v>20.5</v>
      </c>
      <c r="I2841">
        <v>28.2</v>
      </c>
    </row>
    <row r="2842" spans="1:9" ht="24" customHeight="1">
      <c r="A2842" s="6" t="s">
        <v>821</v>
      </c>
      <c r="B2842">
        <v>5302</v>
      </c>
      <c r="C2842">
        <v>466</v>
      </c>
      <c r="D2842">
        <v>952237</v>
      </c>
      <c r="E2842">
        <v>455503</v>
      </c>
      <c r="F2842">
        <v>6.8</v>
      </c>
      <c r="G2842">
        <v>14.3</v>
      </c>
      <c r="H2842">
        <v>23.7</v>
      </c>
      <c r="I2842">
        <v>17.100000000000001</v>
      </c>
    </row>
    <row r="2843" spans="1:9" ht="24" customHeight="1">
      <c r="A2843" s="6" t="s">
        <v>822</v>
      </c>
      <c r="B2843">
        <v>47060</v>
      </c>
      <c r="C2843">
        <v>11737</v>
      </c>
      <c r="D2843">
        <v>536402</v>
      </c>
      <c r="E2843">
        <v>448879</v>
      </c>
      <c r="F2843">
        <v>17.5</v>
      </c>
      <c r="G2843">
        <v>9.4</v>
      </c>
      <c r="H2843">
        <v>13.9</v>
      </c>
      <c r="I2843">
        <v>14.5</v>
      </c>
    </row>
    <row r="2844" spans="1:9" ht="24" customHeight="1">
      <c r="A2844" s="6" t="s">
        <v>4119</v>
      </c>
      <c r="B2844">
        <v>2463</v>
      </c>
      <c r="C2844">
        <v>26</v>
      </c>
      <c r="D2844">
        <v>594599</v>
      </c>
      <c r="E2844">
        <v>617500</v>
      </c>
      <c r="F2844">
        <v>4.5</v>
      </c>
      <c r="G2844">
        <v>0</v>
      </c>
      <c r="H2844">
        <v>20.399999999999999</v>
      </c>
      <c r="I2844">
        <v>35</v>
      </c>
    </row>
    <row r="2845" spans="1:9" ht="24" customHeight="1">
      <c r="A2845" s="6" t="s">
        <v>4120</v>
      </c>
      <c r="B2845">
        <v>4375</v>
      </c>
      <c r="C2845">
        <v>134</v>
      </c>
      <c r="D2845">
        <v>549908</v>
      </c>
      <c r="E2845">
        <v>381965</v>
      </c>
      <c r="F2845">
        <v>6.2</v>
      </c>
      <c r="G2845">
        <v>2.5</v>
      </c>
      <c r="H2845">
        <v>19</v>
      </c>
      <c r="I2845">
        <v>21.4</v>
      </c>
    </row>
    <row r="2846" spans="1:9" ht="24" customHeight="1">
      <c r="A2846" s="6" t="s">
        <v>4121</v>
      </c>
      <c r="B2846">
        <v>2847</v>
      </c>
      <c r="C2846">
        <v>269</v>
      </c>
      <c r="D2846">
        <v>429875</v>
      </c>
      <c r="E2846">
        <v>388854</v>
      </c>
      <c r="F2846">
        <v>17.100000000000001</v>
      </c>
      <c r="G2846">
        <v>9.5</v>
      </c>
      <c r="H2846">
        <v>15.4</v>
      </c>
      <c r="I2846">
        <v>18.899999999999999</v>
      </c>
    </row>
    <row r="2847" spans="1:9" ht="24" customHeight="1">
      <c r="A2847" s="6" t="s">
        <v>4122</v>
      </c>
      <c r="B2847">
        <v>2706</v>
      </c>
      <c r="C2847">
        <v>221</v>
      </c>
      <c r="D2847">
        <v>433366</v>
      </c>
      <c r="E2847">
        <v>338419</v>
      </c>
      <c r="F2847">
        <v>21.1</v>
      </c>
      <c r="G2847">
        <v>3.2</v>
      </c>
      <c r="H2847">
        <v>15.2</v>
      </c>
      <c r="I2847">
        <v>13.1</v>
      </c>
    </row>
    <row r="2848" spans="1:9" ht="24" customHeight="1">
      <c r="A2848" s="6" t="s">
        <v>4123</v>
      </c>
      <c r="B2848">
        <v>2038</v>
      </c>
      <c r="C2848">
        <v>484</v>
      </c>
      <c r="D2848">
        <v>473232</v>
      </c>
      <c r="E2848">
        <v>313102</v>
      </c>
      <c r="F2848">
        <v>17.3</v>
      </c>
      <c r="G2848">
        <v>18.100000000000001</v>
      </c>
      <c r="H2848">
        <v>16.899999999999999</v>
      </c>
      <c r="I2848">
        <v>14.8</v>
      </c>
    </row>
    <row r="2849" spans="1:9" ht="24" customHeight="1">
      <c r="A2849" s="6" t="s">
        <v>4124</v>
      </c>
      <c r="B2849">
        <v>37454</v>
      </c>
      <c r="C2849">
        <v>10460</v>
      </c>
      <c r="D2849">
        <v>373197</v>
      </c>
      <c r="E2849">
        <v>265749</v>
      </c>
      <c r="F2849">
        <v>14.9</v>
      </c>
      <c r="G2849">
        <v>5.9</v>
      </c>
      <c r="H2849">
        <v>11.1</v>
      </c>
      <c r="I2849">
        <v>9.6</v>
      </c>
    </row>
    <row r="2850" spans="1:9" ht="24" customHeight="1">
      <c r="A2850" s="6" t="s">
        <v>4125</v>
      </c>
      <c r="B2850">
        <v>1859</v>
      </c>
      <c r="C2850">
        <v>0</v>
      </c>
      <c r="D2850">
        <v>723412</v>
      </c>
      <c r="E2850"/>
      <c r="F2850">
        <v>0.7</v>
      </c>
      <c r="G2850"/>
      <c r="H2850">
        <v>28.9</v>
      </c>
      <c r="I2850"/>
    </row>
    <row r="2851" spans="1:9" ht="24" customHeight="1">
      <c r="A2851" s="6" t="s">
        <v>4126</v>
      </c>
      <c r="B2851">
        <v>3775</v>
      </c>
      <c r="C2851">
        <v>94</v>
      </c>
      <c r="D2851">
        <v>610470</v>
      </c>
      <c r="E2851">
        <v>465311</v>
      </c>
      <c r="F2851">
        <v>1.5</v>
      </c>
      <c r="G2851">
        <v>4.5</v>
      </c>
      <c r="H2851">
        <v>24.9</v>
      </c>
      <c r="I2851">
        <v>24.1</v>
      </c>
    </row>
    <row r="2852" spans="1:9" ht="24" customHeight="1">
      <c r="A2852" s="6" t="s">
        <v>4127</v>
      </c>
      <c r="B2852">
        <v>3229</v>
      </c>
      <c r="C2852">
        <v>239</v>
      </c>
      <c r="D2852">
        <v>492319</v>
      </c>
      <c r="E2852">
        <v>410249</v>
      </c>
      <c r="F2852">
        <v>22</v>
      </c>
      <c r="G2852">
        <v>16</v>
      </c>
      <c r="H2852">
        <v>20.8</v>
      </c>
      <c r="I2852">
        <v>16.7</v>
      </c>
    </row>
    <row r="2853" spans="1:9" ht="24" customHeight="1">
      <c r="A2853" s="6" t="s">
        <v>4128</v>
      </c>
      <c r="B2853">
        <v>2377</v>
      </c>
      <c r="C2853">
        <v>232</v>
      </c>
      <c r="D2853">
        <v>483060</v>
      </c>
      <c r="E2853">
        <v>522569</v>
      </c>
      <c r="F2853">
        <v>20.3</v>
      </c>
      <c r="G2853">
        <v>12.4</v>
      </c>
      <c r="H2853">
        <v>16.899999999999999</v>
      </c>
      <c r="I2853">
        <v>20.100000000000001</v>
      </c>
    </row>
    <row r="2854" spans="1:9" ht="24" customHeight="1">
      <c r="A2854" s="6" t="s">
        <v>4129</v>
      </c>
      <c r="B2854">
        <v>3583</v>
      </c>
      <c r="C2854">
        <v>223</v>
      </c>
      <c r="D2854">
        <v>435617</v>
      </c>
      <c r="E2854">
        <v>370282</v>
      </c>
      <c r="F2854">
        <v>11.6</v>
      </c>
      <c r="G2854">
        <v>7.5</v>
      </c>
      <c r="H2854">
        <v>21.4</v>
      </c>
      <c r="I2854">
        <v>18.5</v>
      </c>
    </row>
    <row r="2855" spans="1:9" ht="24" customHeight="1">
      <c r="A2855" s="6" t="s">
        <v>4130</v>
      </c>
      <c r="B2855">
        <v>31663</v>
      </c>
      <c r="C2855">
        <v>11150</v>
      </c>
      <c r="D2855">
        <v>393499</v>
      </c>
      <c r="E2855">
        <v>316662</v>
      </c>
      <c r="F2855">
        <v>17.600000000000001</v>
      </c>
      <c r="G2855">
        <v>13.7</v>
      </c>
      <c r="H2855">
        <v>12.3</v>
      </c>
      <c r="I2855">
        <v>11.3</v>
      </c>
    </row>
    <row r="2856" spans="1:9" ht="24" customHeight="1">
      <c r="A2856" s="6" t="s">
        <v>4131</v>
      </c>
      <c r="B2856">
        <v>1798</v>
      </c>
      <c r="C2856">
        <v>5</v>
      </c>
      <c r="D2856">
        <v>954204</v>
      </c>
      <c r="E2856">
        <v>470532</v>
      </c>
      <c r="F2856">
        <v>0.5</v>
      </c>
      <c r="G2856">
        <v>0</v>
      </c>
      <c r="H2856">
        <v>27.8</v>
      </c>
      <c r="I2856">
        <v>17</v>
      </c>
    </row>
    <row r="2857" spans="1:9" ht="24" customHeight="1">
      <c r="A2857" s="6" t="s">
        <v>4132</v>
      </c>
      <c r="B2857">
        <v>4031</v>
      </c>
      <c r="C2857">
        <v>188</v>
      </c>
      <c r="D2857">
        <v>720705</v>
      </c>
      <c r="E2857">
        <v>817891</v>
      </c>
      <c r="F2857">
        <v>3.2</v>
      </c>
      <c r="G2857">
        <v>0.9</v>
      </c>
      <c r="H2857">
        <v>21.9</v>
      </c>
      <c r="I2857">
        <v>22</v>
      </c>
    </row>
    <row r="2858" spans="1:9" ht="24" customHeight="1">
      <c r="A2858" s="6" t="s">
        <v>4133</v>
      </c>
      <c r="B2858">
        <v>2996</v>
      </c>
      <c r="C2858">
        <v>409</v>
      </c>
      <c r="D2858">
        <v>597925</v>
      </c>
      <c r="E2858">
        <v>524025</v>
      </c>
      <c r="F2858">
        <v>16.5</v>
      </c>
      <c r="G2858">
        <v>12</v>
      </c>
      <c r="H2858">
        <v>20.8</v>
      </c>
      <c r="I2858">
        <v>22.5</v>
      </c>
    </row>
    <row r="2859" spans="1:9" ht="24" customHeight="1">
      <c r="A2859" s="6" t="s">
        <v>4134</v>
      </c>
      <c r="B2859">
        <v>2499</v>
      </c>
      <c r="C2859">
        <v>68</v>
      </c>
      <c r="D2859">
        <v>588868</v>
      </c>
      <c r="E2859">
        <v>350881</v>
      </c>
      <c r="F2859">
        <v>13.8</v>
      </c>
      <c r="G2859">
        <v>8.6999999999999993</v>
      </c>
      <c r="H2859">
        <v>21.5</v>
      </c>
      <c r="I2859">
        <v>15.5</v>
      </c>
    </row>
    <row r="2860" spans="1:9" ht="24" customHeight="1">
      <c r="A2860" s="6" t="s">
        <v>4135</v>
      </c>
      <c r="B2860">
        <v>1214</v>
      </c>
      <c r="C2860">
        <v>41</v>
      </c>
      <c r="D2860">
        <v>683913</v>
      </c>
      <c r="E2860">
        <v>588346</v>
      </c>
      <c r="F2860">
        <v>10.4</v>
      </c>
      <c r="G2860">
        <v>1.8</v>
      </c>
      <c r="H2860">
        <v>23.6</v>
      </c>
      <c r="I2860">
        <v>24.1</v>
      </c>
    </row>
    <row r="2861" spans="1:9" ht="24" customHeight="1">
      <c r="A2861" s="6" t="s">
        <v>4136</v>
      </c>
      <c r="B2861">
        <v>27136</v>
      </c>
      <c r="C2861">
        <v>5402</v>
      </c>
      <c r="D2861">
        <v>480764</v>
      </c>
      <c r="E2861">
        <v>370441</v>
      </c>
      <c r="F2861">
        <v>19.600000000000001</v>
      </c>
      <c r="G2861">
        <v>8.5</v>
      </c>
      <c r="H2861">
        <v>12.5</v>
      </c>
      <c r="I2861">
        <v>12.3</v>
      </c>
    </row>
    <row r="2862" spans="1:9" ht="24" customHeight="1">
      <c r="A2862" s="6" t="s">
        <v>823</v>
      </c>
      <c r="B2862">
        <v>2736</v>
      </c>
      <c r="C2862">
        <v>27</v>
      </c>
      <c r="D2862">
        <v>1197769</v>
      </c>
      <c r="E2862">
        <v>1005333</v>
      </c>
      <c r="F2862">
        <v>0</v>
      </c>
      <c r="G2862">
        <v>0</v>
      </c>
      <c r="H2862">
        <v>29.5</v>
      </c>
      <c r="I2862">
        <v>4</v>
      </c>
    </row>
    <row r="2863" spans="1:9" ht="24" customHeight="1">
      <c r="A2863" s="6" t="s">
        <v>824</v>
      </c>
      <c r="B2863">
        <v>8173</v>
      </c>
      <c r="C2863">
        <v>174</v>
      </c>
      <c r="D2863">
        <v>1081210</v>
      </c>
      <c r="E2863">
        <v>1022277</v>
      </c>
      <c r="F2863">
        <v>1.1000000000000001</v>
      </c>
      <c r="G2863">
        <v>0</v>
      </c>
      <c r="H2863">
        <v>23.3</v>
      </c>
      <c r="I2863">
        <v>19.399999999999999</v>
      </c>
    </row>
    <row r="2864" spans="1:9" ht="24" customHeight="1">
      <c r="A2864" s="6" t="s">
        <v>825</v>
      </c>
      <c r="B2864">
        <v>3352</v>
      </c>
      <c r="C2864">
        <v>266</v>
      </c>
      <c r="D2864">
        <v>743542</v>
      </c>
      <c r="E2864">
        <v>712755</v>
      </c>
      <c r="F2864">
        <v>15.7</v>
      </c>
      <c r="G2864">
        <v>10.199999999999999</v>
      </c>
      <c r="H2864">
        <v>19.2</v>
      </c>
      <c r="I2864">
        <v>14.6</v>
      </c>
    </row>
    <row r="2865" spans="1:9" ht="24" customHeight="1">
      <c r="A2865" s="6" t="s">
        <v>826</v>
      </c>
      <c r="B2865">
        <v>4652</v>
      </c>
      <c r="C2865">
        <v>67</v>
      </c>
      <c r="D2865">
        <v>751584</v>
      </c>
      <c r="E2865">
        <v>492001</v>
      </c>
      <c r="F2865">
        <v>28.4</v>
      </c>
      <c r="G2865">
        <v>27</v>
      </c>
      <c r="H2865">
        <v>25</v>
      </c>
      <c r="I2865">
        <v>25</v>
      </c>
    </row>
    <row r="2866" spans="1:9" ht="24" customHeight="1">
      <c r="A2866" s="6" t="s">
        <v>827</v>
      </c>
      <c r="B2866">
        <v>1638</v>
      </c>
      <c r="C2866">
        <v>165</v>
      </c>
      <c r="D2866">
        <v>799576</v>
      </c>
      <c r="E2866">
        <v>738791</v>
      </c>
      <c r="F2866">
        <v>8.3000000000000007</v>
      </c>
      <c r="G2866">
        <v>0</v>
      </c>
      <c r="H2866">
        <v>20.8</v>
      </c>
      <c r="I2866">
        <v>34.4</v>
      </c>
    </row>
    <row r="2867" spans="1:9" ht="24" customHeight="1">
      <c r="A2867" s="6" t="s">
        <v>828</v>
      </c>
      <c r="B2867">
        <v>61567</v>
      </c>
      <c r="C2867">
        <v>11317</v>
      </c>
      <c r="D2867">
        <v>600000</v>
      </c>
      <c r="E2867">
        <v>470930</v>
      </c>
      <c r="F2867">
        <v>18.8</v>
      </c>
      <c r="G2867">
        <v>12.5</v>
      </c>
      <c r="H2867">
        <v>14.7</v>
      </c>
      <c r="I2867">
        <v>13.4</v>
      </c>
    </row>
    <row r="2868" spans="1:9" ht="24" customHeight="1">
      <c r="A2868" s="6" t="s">
        <v>4137</v>
      </c>
      <c r="B2868">
        <v>8542</v>
      </c>
      <c r="C2868">
        <v>428</v>
      </c>
      <c r="D2868">
        <v>660518</v>
      </c>
      <c r="E2868">
        <v>500051</v>
      </c>
      <c r="F2868">
        <v>6.9</v>
      </c>
      <c r="G2868">
        <v>6.7</v>
      </c>
      <c r="H2868">
        <v>22.8</v>
      </c>
      <c r="I2868">
        <v>17.399999999999999</v>
      </c>
    </row>
    <row r="2869" spans="1:9" ht="24" customHeight="1">
      <c r="A2869" s="6" t="s">
        <v>4138</v>
      </c>
      <c r="B2869">
        <v>14347</v>
      </c>
      <c r="C2869">
        <v>564</v>
      </c>
      <c r="D2869">
        <v>576903</v>
      </c>
      <c r="E2869">
        <v>470847</v>
      </c>
      <c r="F2869">
        <v>10</v>
      </c>
      <c r="G2869">
        <v>5</v>
      </c>
      <c r="H2869">
        <v>21.8</v>
      </c>
      <c r="I2869">
        <v>22.9</v>
      </c>
    </row>
    <row r="2870" spans="1:9" ht="24" customHeight="1">
      <c r="A2870" s="6" t="s">
        <v>4139</v>
      </c>
      <c r="B2870">
        <v>9303</v>
      </c>
      <c r="C2870">
        <v>826</v>
      </c>
      <c r="D2870">
        <v>499056</v>
      </c>
      <c r="E2870">
        <v>405746</v>
      </c>
      <c r="F2870">
        <v>19.399999999999999</v>
      </c>
      <c r="G2870">
        <v>12.2</v>
      </c>
      <c r="H2870">
        <v>18.600000000000001</v>
      </c>
      <c r="I2870">
        <v>17.100000000000001</v>
      </c>
    </row>
    <row r="2871" spans="1:9" ht="24" customHeight="1">
      <c r="A2871" s="6" t="s">
        <v>4140</v>
      </c>
      <c r="B2871">
        <v>7554</v>
      </c>
      <c r="C2871">
        <v>482</v>
      </c>
      <c r="D2871">
        <v>487645</v>
      </c>
      <c r="E2871">
        <v>303832</v>
      </c>
      <c r="F2871">
        <v>13.2</v>
      </c>
      <c r="G2871">
        <v>13.7</v>
      </c>
      <c r="H2871">
        <v>18.5</v>
      </c>
      <c r="I2871">
        <v>8.1</v>
      </c>
    </row>
    <row r="2872" spans="1:9" ht="24" customHeight="1">
      <c r="A2872" s="6" t="s">
        <v>4141</v>
      </c>
      <c r="B2872">
        <v>6315</v>
      </c>
      <c r="C2872">
        <v>654</v>
      </c>
      <c r="D2872">
        <v>421543</v>
      </c>
      <c r="E2872">
        <v>289207</v>
      </c>
      <c r="F2872">
        <v>10.7</v>
      </c>
      <c r="G2872">
        <v>8.1</v>
      </c>
      <c r="H2872">
        <v>20.2</v>
      </c>
      <c r="I2872">
        <v>13.7</v>
      </c>
    </row>
    <row r="2873" spans="1:9" ht="24" customHeight="1">
      <c r="A2873" s="6" t="s">
        <v>4142</v>
      </c>
      <c r="B2873">
        <v>108390</v>
      </c>
      <c r="C2873">
        <v>25715</v>
      </c>
      <c r="D2873">
        <v>370588</v>
      </c>
      <c r="E2873">
        <v>287531</v>
      </c>
      <c r="F2873">
        <v>14.8</v>
      </c>
      <c r="G2873">
        <v>7.1</v>
      </c>
      <c r="H2873">
        <v>11.2</v>
      </c>
      <c r="I2873">
        <v>9.1</v>
      </c>
    </row>
    <row r="2874" spans="1:9" ht="24" customHeight="1">
      <c r="A2874" s="6" t="s">
        <v>4143</v>
      </c>
      <c r="B2874">
        <v>5314</v>
      </c>
      <c r="C2874">
        <v>110</v>
      </c>
      <c r="D2874">
        <v>780835</v>
      </c>
      <c r="E2874">
        <v>688451</v>
      </c>
      <c r="F2874">
        <v>1.7</v>
      </c>
      <c r="G2874">
        <v>0</v>
      </c>
      <c r="H2874">
        <v>24.1</v>
      </c>
      <c r="I2874">
        <v>33.5</v>
      </c>
    </row>
    <row r="2875" spans="1:9" ht="24" customHeight="1">
      <c r="A2875" s="6" t="s">
        <v>4144</v>
      </c>
      <c r="B2875">
        <v>6681</v>
      </c>
      <c r="C2875">
        <v>501</v>
      </c>
      <c r="D2875">
        <v>638010</v>
      </c>
      <c r="E2875">
        <v>512519</v>
      </c>
      <c r="F2875">
        <v>2.1</v>
      </c>
      <c r="G2875">
        <v>0.2</v>
      </c>
      <c r="H2875">
        <v>21.3</v>
      </c>
      <c r="I2875">
        <v>19.7</v>
      </c>
    </row>
    <row r="2876" spans="1:9" ht="24" customHeight="1">
      <c r="A2876" s="6" t="s">
        <v>4145</v>
      </c>
      <c r="B2876">
        <v>5710</v>
      </c>
      <c r="C2876">
        <v>1606</v>
      </c>
      <c r="D2876">
        <v>514446</v>
      </c>
      <c r="E2876">
        <v>483911</v>
      </c>
      <c r="F2876">
        <v>18.8</v>
      </c>
      <c r="G2876">
        <v>10.6</v>
      </c>
      <c r="H2876">
        <v>19.600000000000001</v>
      </c>
      <c r="I2876">
        <v>23.3</v>
      </c>
    </row>
    <row r="2877" spans="1:9" ht="24" customHeight="1">
      <c r="A2877" s="6" t="s">
        <v>4146</v>
      </c>
      <c r="B2877">
        <v>4717</v>
      </c>
      <c r="C2877">
        <v>197</v>
      </c>
      <c r="D2877">
        <v>499402</v>
      </c>
      <c r="E2877">
        <v>355441</v>
      </c>
      <c r="F2877">
        <v>23.1</v>
      </c>
      <c r="G2877">
        <v>7.9</v>
      </c>
      <c r="H2877">
        <v>17</v>
      </c>
      <c r="I2877">
        <v>22.6</v>
      </c>
    </row>
    <row r="2878" spans="1:9" ht="24" customHeight="1">
      <c r="A2878" s="6" t="s">
        <v>4147</v>
      </c>
      <c r="B2878">
        <v>2613</v>
      </c>
      <c r="C2878">
        <v>599</v>
      </c>
      <c r="D2878">
        <v>581871</v>
      </c>
      <c r="E2878">
        <v>474751</v>
      </c>
      <c r="F2878">
        <v>21.9</v>
      </c>
      <c r="G2878">
        <v>9.8000000000000007</v>
      </c>
      <c r="H2878">
        <v>21.2</v>
      </c>
      <c r="I2878">
        <v>18.600000000000001</v>
      </c>
    </row>
    <row r="2879" spans="1:9" ht="24" customHeight="1">
      <c r="A2879" s="6" t="s">
        <v>4148</v>
      </c>
      <c r="B2879">
        <v>47956</v>
      </c>
      <c r="C2879">
        <v>13478</v>
      </c>
      <c r="D2879">
        <v>411591</v>
      </c>
      <c r="E2879">
        <v>358189</v>
      </c>
      <c r="F2879">
        <v>18.7</v>
      </c>
      <c r="G2879">
        <v>8</v>
      </c>
      <c r="H2879">
        <v>13</v>
      </c>
      <c r="I2879">
        <v>11.2</v>
      </c>
    </row>
    <row r="2880" spans="1:9" ht="24" customHeight="1">
      <c r="A2880" s="6" t="s">
        <v>4149</v>
      </c>
      <c r="B2880">
        <v>2861</v>
      </c>
      <c r="C2880">
        <v>0</v>
      </c>
      <c r="D2880">
        <v>898722</v>
      </c>
      <c r="E2880"/>
      <c r="F2880">
        <v>4.2</v>
      </c>
      <c r="G2880"/>
      <c r="H2880">
        <v>29.6</v>
      </c>
      <c r="I2880"/>
    </row>
    <row r="2881" spans="1:9" ht="24" customHeight="1">
      <c r="A2881" s="6" t="s">
        <v>4150</v>
      </c>
      <c r="B2881">
        <v>6244</v>
      </c>
      <c r="C2881">
        <v>137</v>
      </c>
      <c r="D2881">
        <v>762717</v>
      </c>
      <c r="E2881">
        <v>593649</v>
      </c>
      <c r="F2881">
        <v>3.1</v>
      </c>
      <c r="G2881">
        <v>0</v>
      </c>
      <c r="H2881">
        <v>23.3</v>
      </c>
      <c r="I2881">
        <v>33.9</v>
      </c>
    </row>
    <row r="2882" spans="1:9" ht="24" customHeight="1">
      <c r="A2882" s="6" t="s">
        <v>4151</v>
      </c>
      <c r="B2882">
        <v>4656</v>
      </c>
      <c r="C2882">
        <v>908</v>
      </c>
      <c r="D2882">
        <v>618508</v>
      </c>
      <c r="E2882">
        <v>496142</v>
      </c>
      <c r="F2882">
        <v>18.399999999999999</v>
      </c>
      <c r="G2882">
        <v>8.3000000000000007</v>
      </c>
      <c r="H2882">
        <v>19.899999999999999</v>
      </c>
      <c r="I2882">
        <v>14.7</v>
      </c>
    </row>
    <row r="2883" spans="1:9" ht="24" customHeight="1">
      <c r="A2883" s="6" t="s">
        <v>4152</v>
      </c>
      <c r="B2883">
        <v>2790</v>
      </c>
      <c r="C2883">
        <v>530</v>
      </c>
      <c r="D2883">
        <v>549809</v>
      </c>
      <c r="E2883">
        <v>417726</v>
      </c>
      <c r="F2883">
        <v>24.4</v>
      </c>
      <c r="G2883">
        <v>0</v>
      </c>
      <c r="H2883">
        <v>20.3</v>
      </c>
      <c r="I2883">
        <v>22.3</v>
      </c>
    </row>
    <row r="2884" spans="1:9" ht="24" customHeight="1">
      <c r="A2884" s="6" t="s">
        <v>4153</v>
      </c>
      <c r="B2884">
        <v>3689</v>
      </c>
      <c r="C2884">
        <v>594</v>
      </c>
      <c r="D2884">
        <v>754944</v>
      </c>
      <c r="E2884">
        <v>774113</v>
      </c>
      <c r="F2884">
        <v>16.5</v>
      </c>
      <c r="G2884">
        <v>11.5</v>
      </c>
      <c r="H2884">
        <v>19.8</v>
      </c>
      <c r="I2884">
        <v>19.399999999999999</v>
      </c>
    </row>
    <row r="2885" spans="1:9" ht="24" customHeight="1">
      <c r="A2885" s="6" t="s">
        <v>4154</v>
      </c>
      <c r="B2885">
        <v>44541</v>
      </c>
      <c r="C2885">
        <v>11419</v>
      </c>
      <c r="D2885">
        <v>440883</v>
      </c>
      <c r="E2885">
        <v>363923</v>
      </c>
      <c r="F2885">
        <v>20.100000000000001</v>
      </c>
      <c r="G2885">
        <v>9.9</v>
      </c>
      <c r="H2885">
        <v>13.7</v>
      </c>
      <c r="I2885">
        <v>9.9</v>
      </c>
    </row>
    <row r="2886" spans="1:9" ht="24" customHeight="1">
      <c r="A2886" s="6" t="s">
        <v>829</v>
      </c>
      <c r="B2886">
        <v>2583</v>
      </c>
      <c r="C2886">
        <v>58</v>
      </c>
      <c r="D2886">
        <v>1084478</v>
      </c>
      <c r="E2886">
        <v>1131011</v>
      </c>
      <c r="F2886">
        <v>1.2</v>
      </c>
      <c r="G2886">
        <v>0</v>
      </c>
      <c r="H2886">
        <v>29.3</v>
      </c>
      <c r="I2886">
        <v>29.4</v>
      </c>
    </row>
    <row r="2887" spans="1:9" ht="24" customHeight="1">
      <c r="A2887" s="6" t="s">
        <v>830</v>
      </c>
      <c r="B2887">
        <v>4819</v>
      </c>
      <c r="C2887">
        <v>495</v>
      </c>
      <c r="D2887">
        <v>876966</v>
      </c>
      <c r="E2887">
        <v>800309</v>
      </c>
      <c r="F2887">
        <v>1</v>
      </c>
      <c r="G2887">
        <v>0</v>
      </c>
      <c r="H2887">
        <v>25.2</v>
      </c>
      <c r="I2887">
        <v>21</v>
      </c>
    </row>
    <row r="2888" spans="1:9" ht="24" customHeight="1">
      <c r="A2888" s="6" t="s">
        <v>831</v>
      </c>
      <c r="B2888">
        <v>3594</v>
      </c>
      <c r="C2888">
        <v>726</v>
      </c>
      <c r="D2888">
        <v>719956</v>
      </c>
      <c r="E2888">
        <v>635524</v>
      </c>
      <c r="F2888">
        <v>18</v>
      </c>
      <c r="G2888">
        <v>18.5</v>
      </c>
      <c r="H2888">
        <v>19.899999999999999</v>
      </c>
      <c r="I2888">
        <v>12.7</v>
      </c>
    </row>
    <row r="2889" spans="1:9" ht="24" customHeight="1">
      <c r="A2889" s="6" t="s">
        <v>832</v>
      </c>
      <c r="B2889">
        <v>1214</v>
      </c>
      <c r="C2889">
        <v>8</v>
      </c>
      <c r="D2889">
        <v>580651</v>
      </c>
      <c r="E2889">
        <v>334883</v>
      </c>
      <c r="F2889">
        <v>7.7</v>
      </c>
      <c r="G2889">
        <v>20.9</v>
      </c>
      <c r="H2889">
        <v>19</v>
      </c>
      <c r="I2889">
        <v>18.100000000000001</v>
      </c>
    </row>
    <row r="2890" spans="1:9" ht="24" customHeight="1">
      <c r="A2890" s="6" t="s">
        <v>833</v>
      </c>
      <c r="B2890">
        <v>3173</v>
      </c>
      <c r="C2890">
        <v>374</v>
      </c>
      <c r="D2890">
        <v>827692</v>
      </c>
      <c r="E2890">
        <v>608592</v>
      </c>
      <c r="F2890">
        <v>14.3</v>
      </c>
      <c r="G2890">
        <v>4</v>
      </c>
      <c r="H2890">
        <v>22.8</v>
      </c>
      <c r="I2890">
        <v>19.3</v>
      </c>
    </row>
    <row r="2891" spans="1:9" ht="24" customHeight="1">
      <c r="A2891" s="6" t="s">
        <v>834</v>
      </c>
      <c r="B2891">
        <v>32134</v>
      </c>
      <c r="C2891">
        <v>11706</v>
      </c>
      <c r="D2891">
        <v>542919</v>
      </c>
      <c r="E2891">
        <v>425202</v>
      </c>
      <c r="F2891">
        <v>15.8</v>
      </c>
      <c r="G2891">
        <v>9.9</v>
      </c>
      <c r="H2891">
        <v>16.100000000000001</v>
      </c>
      <c r="I2891">
        <v>15.9</v>
      </c>
    </row>
    <row r="2892" spans="1:9" ht="24" customHeight="1">
      <c r="A2892" s="6" t="s">
        <v>4155</v>
      </c>
      <c r="B2892">
        <v>1883</v>
      </c>
      <c r="C2892">
        <v>94</v>
      </c>
      <c r="D2892">
        <v>506407</v>
      </c>
      <c r="E2892">
        <v>564772</v>
      </c>
      <c r="F2892">
        <v>3.4</v>
      </c>
      <c r="G2892">
        <v>0</v>
      </c>
      <c r="H2892">
        <v>17.399999999999999</v>
      </c>
      <c r="I2892">
        <v>20.9</v>
      </c>
    </row>
    <row r="2893" spans="1:9" ht="24" customHeight="1">
      <c r="A2893" s="6" t="s">
        <v>4156</v>
      </c>
      <c r="B2893">
        <v>2180</v>
      </c>
      <c r="C2893">
        <v>261</v>
      </c>
      <c r="D2893">
        <v>486134</v>
      </c>
      <c r="E2893">
        <v>394280</v>
      </c>
      <c r="F2893">
        <v>5.2</v>
      </c>
      <c r="G2893">
        <v>1.3</v>
      </c>
      <c r="H2893">
        <v>17.600000000000001</v>
      </c>
      <c r="I2893">
        <v>14.2</v>
      </c>
    </row>
    <row r="2894" spans="1:9" ht="24" customHeight="1">
      <c r="A2894" s="6" t="s">
        <v>4157</v>
      </c>
      <c r="B2894">
        <v>2480</v>
      </c>
      <c r="C2894">
        <v>593</v>
      </c>
      <c r="D2894">
        <v>423632</v>
      </c>
      <c r="E2894">
        <v>308779</v>
      </c>
      <c r="F2894">
        <v>12.4</v>
      </c>
      <c r="G2894">
        <v>5</v>
      </c>
      <c r="H2894">
        <v>14.3</v>
      </c>
      <c r="I2894">
        <v>18.600000000000001</v>
      </c>
    </row>
    <row r="2895" spans="1:9" ht="24" customHeight="1">
      <c r="A2895" s="6" t="s">
        <v>4158</v>
      </c>
      <c r="B2895">
        <v>942</v>
      </c>
      <c r="C2895">
        <v>116</v>
      </c>
      <c r="D2895">
        <v>399452</v>
      </c>
      <c r="E2895">
        <v>350271</v>
      </c>
      <c r="F2895">
        <v>8.5</v>
      </c>
      <c r="G2895">
        <v>3.9</v>
      </c>
      <c r="H2895">
        <v>16.899999999999999</v>
      </c>
      <c r="I2895">
        <v>12.5</v>
      </c>
    </row>
    <row r="2896" spans="1:9" ht="24" customHeight="1">
      <c r="A2896" s="6" t="s">
        <v>4159</v>
      </c>
      <c r="B2896">
        <v>1486</v>
      </c>
      <c r="C2896">
        <v>150</v>
      </c>
      <c r="D2896">
        <v>535215</v>
      </c>
      <c r="E2896">
        <v>395755</v>
      </c>
      <c r="F2896">
        <v>9.8000000000000007</v>
      </c>
      <c r="G2896">
        <v>7.1</v>
      </c>
      <c r="H2896">
        <v>15.8</v>
      </c>
      <c r="I2896">
        <v>18.600000000000001</v>
      </c>
    </row>
    <row r="2897" spans="1:9" ht="24" customHeight="1">
      <c r="A2897" s="6" t="s">
        <v>4160</v>
      </c>
      <c r="B2897">
        <v>17485</v>
      </c>
      <c r="C2897">
        <v>8097</v>
      </c>
      <c r="D2897">
        <v>340095</v>
      </c>
      <c r="E2897">
        <v>257411</v>
      </c>
      <c r="F2897">
        <v>13.6</v>
      </c>
      <c r="G2897">
        <v>5.0999999999999996</v>
      </c>
      <c r="H2897">
        <v>9.6999999999999993</v>
      </c>
      <c r="I2897">
        <v>9.9</v>
      </c>
    </row>
    <row r="2898" spans="1:9" ht="24" customHeight="1">
      <c r="A2898" s="6" t="s">
        <v>4161</v>
      </c>
      <c r="B2898">
        <v>1450</v>
      </c>
      <c r="C2898">
        <v>46</v>
      </c>
      <c r="D2898">
        <v>814924</v>
      </c>
      <c r="E2898">
        <v>724466</v>
      </c>
      <c r="F2898">
        <v>0.2</v>
      </c>
      <c r="G2898">
        <v>0</v>
      </c>
      <c r="H2898">
        <v>24</v>
      </c>
      <c r="I2898">
        <v>31.8</v>
      </c>
    </row>
    <row r="2899" spans="1:9" ht="24" customHeight="1">
      <c r="A2899" s="6" t="s">
        <v>4162</v>
      </c>
      <c r="B2899">
        <v>3847</v>
      </c>
      <c r="C2899">
        <v>117</v>
      </c>
      <c r="D2899">
        <v>636975</v>
      </c>
      <c r="E2899">
        <v>584914</v>
      </c>
      <c r="F2899">
        <v>0.9</v>
      </c>
      <c r="G2899">
        <v>0.1</v>
      </c>
      <c r="H2899">
        <v>20.3</v>
      </c>
      <c r="I2899">
        <v>15.9</v>
      </c>
    </row>
    <row r="2900" spans="1:9" ht="24" customHeight="1">
      <c r="A2900" s="6" t="s">
        <v>4163</v>
      </c>
      <c r="B2900">
        <v>2977</v>
      </c>
      <c r="C2900">
        <v>342</v>
      </c>
      <c r="D2900">
        <v>553285</v>
      </c>
      <c r="E2900">
        <v>477686</v>
      </c>
      <c r="F2900">
        <v>20.3</v>
      </c>
      <c r="G2900">
        <v>7.2</v>
      </c>
      <c r="H2900">
        <v>17.7</v>
      </c>
      <c r="I2900">
        <v>17</v>
      </c>
    </row>
    <row r="2901" spans="1:9" ht="24" customHeight="1">
      <c r="A2901" s="6" t="s">
        <v>4164</v>
      </c>
      <c r="B2901">
        <v>940</v>
      </c>
      <c r="C2901">
        <v>208</v>
      </c>
      <c r="D2901">
        <v>461710</v>
      </c>
      <c r="E2901">
        <v>376545</v>
      </c>
      <c r="F2901">
        <v>15.5</v>
      </c>
      <c r="G2901">
        <v>3.9</v>
      </c>
      <c r="H2901">
        <v>17.399999999999999</v>
      </c>
      <c r="I2901">
        <v>19.7</v>
      </c>
    </row>
    <row r="2902" spans="1:9" ht="24" customHeight="1">
      <c r="A2902" s="6" t="s">
        <v>4165</v>
      </c>
      <c r="B2902">
        <v>921</v>
      </c>
      <c r="C2902">
        <v>241</v>
      </c>
      <c r="D2902">
        <v>554269</v>
      </c>
      <c r="E2902">
        <v>495890</v>
      </c>
      <c r="F2902">
        <v>10.3</v>
      </c>
      <c r="G2902">
        <v>6.7</v>
      </c>
      <c r="H2902">
        <v>18.899999999999999</v>
      </c>
      <c r="I2902">
        <v>21.8</v>
      </c>
    </row>
    <row r="2903" spans="1:9" ht="24" customHeight="1">
      <c r="A2903" s="6" t="s">
        <v>4166</v>
      </c>
      <c r="B2903">
        <v>16428</v>
      </c>
      <c r="C2903">
        <v>7829</v>
      </c>
      <c r="D2903">
        <v>427675</v>
      </c>
      <c r="E2903">
        <v>324276</v>
      </c>
      <c r="F2903">
        <v>16.5</v>
      </c>
      <c r="G2903">
        <v>9.4</v>
      </c>
      <c r="H2903">
        <v>11.2</v>
      </c>
      <c r="I2903">
        <v>11.5</v>
      </c>
    </row>
    <row r="2904" spans="1:9" ht="24" customHeight="1">
      <c r="A2904" s="6" t="s">
        <v>4167</v>
      </c>
      <c r="B2904">
        <v>1359</v>
      </c>
      <c r="C2904">
        <v>0</v>
      </c>
      <c r="D2904">
        <v>835852</v>
      </c>
      <c r="E2904"/>
      <c r="F2904">
        <v>0.9</v>
      </c>
      <c r="G2904"/>
      <c r="H2904">
        <v>27.8</v>
      </c>
      <c r="I2904"/>
    </row>
    <row r="2905" spans="1:9" ht="24" customHeight="1">
      <c r="A2905" s="6" t="s">
        <v>4168</v>
      </c>
      <c r="B2905">
        <v>2529</v>
      </c>
      <c r="C2905">
        <v>64</v>
      </c>
      <c r="D2905">
        <v>752047</v>
      </c>
      <c r="E2905">
        <v>648958</v>
      </c>
      <c r="F2905">
        <v>1</v>
      </c>
      <c r="G2905">
        <v>0.3</v>
      </c>
      <c r="H2905">
        <v>24.1</v>
      </c>
      <c r="I2905">
        <v>33.299999999999997</v>
      </c>
    </row>
    <row r="2906" spans="1:9" ht="24" customHeight="1">
      <c r="A2906" s="6" t="s">
        <v>4169</v>
      </c>
      <c r="B2906">
        <v>2219</v>
      </c>
      <c r="C2906">
        <v>329</v>
      </c>
      <c r="D2906">
        <v>622001</v>
      </c>
      <c r="E2906">
        <v>607996</v>
      </c>
      <c r="F2906">
        <v>25.3</v>
      </c>
      <c r="G2906">
        <v>26.3</v>
      </c>
      <c r="H2906">
        <v>18.899999999999999</v>
      </c>
      <c r="I2906">
        <v>21.1</v>
      </c>
    </row>
    <row r="2907" spans="1:9" ht="24" customHeight="1">
      <c r="A2907" s="6" t="s">
        <v>4170</v>
      </c>
      <c r="B2907">
        <v>1084</v>
      </c>
      <c r="C2907">
        <v>244</v>
      </c>
      <c r="D2907">
        <v>501338</v>
      </c>
      <c r="E2907">
        <v>494627</v>
      </c>
      <c r="F2907">
        <v>20.6</v>
      </c>
      <c r="G2907">
        <v>26.9</v>
      </c>
      <c r="H2907">
        <v>18.8</v>
      </c>
      <c r="I2907">
        <v>25.4</v>
      </c>
    </row>
    <row r="2908" spans="1:9" ht="24" customHeight="1">
      <c r="A2908" s="6" t="s">
        <v>4171</v>
      </c>
      <c r="B2908">
        <v>1987</v>
      </c>
      <c r="C2908">
        <v>425</v>
      </c>
      <c r="D2908">
        <v>767636</v>
      </c>
      <c r="E2908">
        <v>545780</v>
      </c>
      <c r="F2908">
        <v>9.4</v>
      </c>
      <c r="G2908">
        <v>10.5</v>
      </c>
      <c r="H2908">
        <v>22.7</v>
      </c>
      <c r="I2908">
        <v>31.7</v>
      </c>
    </row>
    <row r="2909" spans="1:9" ht="24" customHeight="1">
      <c r="A2909" s="6" t="s">
        <v>4172</v>
      </c>
      <c r="B2909">
        <v>16429</v>
      </c>
      <c r="C2909">
        <v>7387</v>
      </c>
      <c r="D2909">
        <v>455628</v>
      </c>
      <c r="E2909">
        <v>385375</v>
      </c>
      <c r="F2909">
        <v>15.8</v>
      </c>
      <c r="G2909">
        <v>10.1</v>
      </c>
      <c r="H2909">
        <v>12.9</v>
      </c>
      <c r="I2909">
        <v>11.3</v>
      </c>
    </row>
    <row r="2910" spans="1:9" ht="24" customHeight="1">
      <c r="A2910" s="6" t="s">
        <v>835</v>
      </c>
      <c r="B2910">
        <v>4804</v>
      </c>
      <c r="C2910">
        <v>220</v>
      </c>
      <c r="D2910">
        <v>1094794</v>
      </c>
      <c r="E2910">
        <v>914302</v>
      </c>
      <c r="F2910">
        <v>4</v>
      </c>
      <c r="G2910">
        <v>2.5</v>
      </c>
      <c r="H2910">
        <v>27.5</v>
      </c>
      <c r="I2910">
        <v>20</v>
      </c>
    </row>
    <row r="2911" spans="1:9" ht="24" customHeight="1">
      <c r="A2911" s="6" t="s">
        <v>836</v>
      </c>
      <c r="B2911">
        <v>10119</v>
      </c>
      <c r="C2911">
        <v>348</v>
      </c>
      <c r="D2911">
        <v>917006</v>
      </c>
      <c r="E2911">
        <v>940266</v>
      </c>
      <c r="F2911">
        <v>3.3</v>
      </c>
      <c r="G2911">
        <v>0</v>
      </c>
      <c r="H2911">
        <v>25.7</v>
      </c>
      <c r="I2911">
        <v>21.6</v>
      </c>
    </row>
    <row r="2912" spans="1:9" ht="24" customHeight="1">
      <c r="A2912" s="6" t="s">
        <v>837</v>
      </c>
      <c r="B2912">
        <v>15414</v>
      </c>
      <c r="C2912">
        <v>1360</v>
      </c>
      <c r="D2912">
        <v>729967</v>
      </c>
      <c r="E2912">
        <v>642543</v>
      </c>
      <c r="F2912">
        <v>18</v>
      </c>
      <c r="G2912">
        <v>11</v>
      </c>
      <c r="H2912">
        <v>22.2</v>
      </c>
      <c r="I2912">
        <v>23.4</v>
      </c>
    </row>
    <row r="2913" spans="1:9" ht="24" customHeight="1">
      <c r="A2913" s="6" t="s">
        <v>838</v>
      </c>
      <c r="B2913">
        <v>4277</v>
      </c>
      <c r="C2913">
        <v>477</v>
      </c>
      <c r="D2913">
        <v>623411</v>
      </c>
      <c r="E2913">
        <v>486127</v>
      </c>
      <c r="F2913">
        <v>20.6</v>
      </c>
      <c r="G2913">
        <v>17.8</v>
      </c>
      <c r="H2913">
        <v>21.4</v>
      </c>
      <c r="I2913">
        <v>28.9</v>
      </c>
    </row>
    <row r="2914" spans="1:9" ht="24" customHeight="1">
      <c r="A2914" s="6" t="s">
        <v>839</v>
      </c>
      <c r="B2914">
        <v>4659</v>
      </c>
      <c r="C2914">
        <v>1101</v>
      </c>
      <c r="D2914">
        <v>766232</v>
      </c>
      <c r="E2914">
        <v>450323</v>
      </c>
      <c r="F2914">
        <v>9.5</v>
      </c>
      <c r="G2914">
        <v>5.6</v>
      </c>
      <c r="H2914">
        <v>22.5</v>
      </c>
      <c r="I2914">
        <v>15.2</v>
      </c>
    </row>
    <row r="2915" spans="1:9" ht="24" customHeight="1">
      <c r="A2915" s="6" t="s">
        <v>840</v>
      </c>
      <c r="B2915">
        <v>75771</v>
      </c>
      <c r="C2915">
        <v>20771</v>
      </c>
      <c r="D2915">
        <v>542448</v>
      </c>
      <c r="E2915">
        <v>409547</v>
      </c>
      <c r="F2915">
        <v>16.3</v>
      </c>
      <c r="G2915">
        <v>9.1</v>
      </c>
      <c r="H2915">
        <v>14.9</v>
      </c>
      <c r="I2915">
        <v>17.100000000000001</v>
      </c>
    </row>
    <row r="2916" spans="1:9" ht="24" customHeight="1">
      <c r="A2916" s="6" t="s">
        <v>4173</v>
      </c>
      <c r="B2916">
        <v>1906</v>
      </c>
      <c r="C2916">
        <v>101</v>
      </c>
      <c r="D2916">
        <v>546348</v>
      </c>
      <c r="E2916">
        <v>324424</v>
      </c>
      <c r="F2916">
        <v>3.1</v>
      </c>
      <c r="G2916">
        <v>15.3</v>
      </c>
      <c r="H2916">
        <v>24.6</v>
      </c>
      <c r="I2916">
        <v>18.5</v>
      </c>
    </row>
    <row r="2917" spans="1:9" ht="24" customHeight="1">
      <c r="A2917" s="6" t="s">
        <v>4174</v>
      </c>
      <c r="B2917">
        <v>2765</v>
      </c>
      <c r="C2917">
        <v>339</v>
      </c>
      <c r="D2917">
        <v>468962</v>
      </c>
      <c r="E2917">
        <v>435839</v>
      </c>
      <c r="F2917">
        <v>6.8</v>
      </c>
      <c r="G2917">
        <v>2.9</v>
      </c>
      <c r="H2917">
        <v>20.5</v>
      </c>
      <c r="I2917">
        <v>19.600000000000001</v>
      </c>
    </row>
    <row r="2918" spans="1:9" ht="24" customHeight="1">
      <c r="A2918" s="6" t="s">
        <v>4175</v>
      </c>
      <c r="B2918">
        <v>2150</v>
      </c>
      <c r="C2918">
        <v>672</v>
      </c>
      <c r="D2918">
        <v>402125</v>
      </c>
      <c r="E2918">
        <v>324183</v>
      </c>
      <c r="F2918">
        <v>15.1</v>
      </c>
      <c r="G2918">
        <v>8.1</v>
      </c>
      <c r="H2918">
        <v>17.2</v>
      </c>
      <c r="I2918">
        <v>17.600000000000001</v>
      </c>
    </row>
    <row r="2919" spans="1:9" ht="24" customHeight="1">
      <c r="A2919" s="6" t="s">
        <v>4176</v>
      </c>
      <c r="B2919">
        <v>1992</v>
      </c>
      <c r="C2919">
        <v>140</v>
      </c>
      <c r="D2919">
        <v>401688</v>
      </c>
      <c r="E2919">
        <v>277222</v>
      </c>
      <c r="F2919">
        <v>14.8</v>
      </c>
      <c r="G2919">
        <v>12.8</v>
      </c>
      <c r="H2919">
        <v>21.5</v>
      </c>
      <c r="I2919">
        <v>17.399999999999999</v>
      </c>
    </row>
    <row r="2920" spans="1:9" ht="24" customHeight="1">
      <c r="A2920" s="6" t="s">
        <v>4177</v>
      </c>
      <c r="B2920">
        <v>1512</v>
      </c>
      <c r="C2920">
        <v>593</v>
      </c>
      <c r="D2920">
        <v>431397</v>
      </c>
      <c r="E2920">
        <v>343204</v>
      </c>
      <c r="F2920">
        <v>12.3</v>
      </c>
      <c r="G2920">
        <v>13.4</v>
      </c>
      <c r="H2920">
        <v>22.2</v>
      </c>
      <c r="I2920">
        <v>15.1</v>
      </c>
    </row>
    <row r="2921" spans="1:9" ht="24" customHeight="1">
      <c r="A2921" s="6" t="s">
        <v>4178</v>
      </c>
      <c r="B2921">
        <v>15749</v>
      </c>
      <c r="C2921">
        <v>12477</v>
      </c>
      <c r="D2921">
        <v>305386</v>
      </c>
      <c r="E2921">
        <v>231115</v>
      </c>
      <c r="F2921">
        <v>12.5</v>
      </c>
      <c r="G2921">
        <v>4</v>
      </c>
      <c r="H2921">
        <v>12.9</v>
      </c>
      <c r="I2921">
        <v>12.4</v>
      </c>
    </row>
    <row r="2922" spans="1:9" ht="24" customHeight="1">
      <c r="A2922" s="6" t="s">
        <v>4179</v>
      </c>
      <c r="B2922">
        <v>1380</v>
      </c>
      <c r="C2922">
        <v>0</v>
      </c>
      <c r="D2922">
        <v>705476</v>
      </c>
      <c r="E2922"/>
      <c r="F2922">
        <v>5.4</v>
      </c>
      <c r="G2922"/>
      <c r="H2922">
        <v>24.5</v>
      </c>
      <c r="I2922"/>
    </row>
    <row r="2923" spans="1:9" ht="24" customHeight="1">
      <c r="A2923" s="6" t="s">
        <v>4180</v>
      </c>
      <c r="B2923">
        <v>3457</v>
      </c>
      <c r="C2923">
        <v>213</v>
      </c>
      <c r="D2923">
        <v>557266</v>
      </c>
      <c r="E2923">
        <v>426746</v>
      </c>
      <c r="F2923">
        <v>5.7</v>
      </c>
      <c r="G2923">
        <v>6.8</v>
      </c>
      <c r="H2923">
        <v>21.7</v>
      </c>
      <c r="I2923">
        <v>18.600000000000001</v>
      </c>
    </row>
    <row r="2924" spans="1:9" ht="24" customHeight="1">
      <c r="A2924" s="6" t="s">
        <v>4181</v>
      </c>
      <c r="B2924">
        <v>2630</v>
      </c>
      <c r="C2924">
        <v>455</v>
      </c>
      <c r="D2924">
        <v>494500</v>
      </c>
      <c r="E2924">
        <v>353698</v>
      </c>
      <c r="F2924">
        <v>21.9</v>
      </c>
      <c r="G2924">
        <v>20</v>
      </c>
      <c r="H2924">
        <v>18.600000000000001</v>
      </c>
      <c r="I2924">
        <v>23</v>
      </c>
    </row>
    <row r="2925" spans="1:9" ht="24" customHeight="1">
      <c r="A2925" s="6" t="s">
        <v>4182</v>
      </c>
      <c r="B2925">
        <v>2521</v>
      </c>
      <c r="C2925">
        <v>622</v>
      </c>
      <c r="D2925">
        <v>410576</v>
      </c>
      <c r="E2925">
        <v>331811</v>
      </c>
      <c r="F2925">
        <v>15.3</v>
      </c>
      <c r="G2925">
        <v>15.1</v>
      </c>
      <c r="H2925">
        <v>18.2</v>
      </c>
      <c r="I2925">
        <v>18.3</v>
      </c>
    </row>
    <row r="2926" spans="1:9" ht="24" customHeight="1">
      <c r="A2926" s="6" t="s">
        <v>4183</v>
      </c>
      <c r="B2926">
        <v>5864</v>
      </c>
      <c r="C2926">
        <v>1024</v>
      </c>
      <c r="D2926">
        <v>632316</v>
      </c>
      <c r="E2926">
        <v>643069</v>
      </c>
      <c r="F2926">
        <v>5.5</v>
      </c>
      <c r="G2926">
        <v>16.8</v>
      </c>
      <c r="H2926">
        <v>18.2</v>
      </c>
      <c r="I2926">
        <v>15.6</v>
      </c>
    </row>
    <row r="2927" spans="1:9" ht="24" customHeight="1">
      <c r="A2927" s="6" t="s">
        <v>4184</v>
      </c>
      <c r="B2927">
        <v>28623</v>
      </c>
      <c r="C2927">
        <v>15107</v>
      </c>
      <c r="D2927">
        <v>356055</v>
      </c>
      <c r="E2927">
        <v>301302</v>
      </c>
      <c r="F2927">
        <v>12.9</v>
      </c>
      <c r="G2927">
        <v>8.8000000000000007</v>
      </c>
      <c r="H2927">
        <v>11.7</v>
      </c>
      <c r="I2927">
        <v>11.8</v>
      </c>
    </row>
    <row r="2928" spans="1:9" ht="24" customHeight="1">
      <c r="A2928" s="6" t="s">
        <v>4185</v>
      </c>
      <c r="B2928">
        <v>1275</v>
      </c>
      <c r="C2928">
        <v>33</v>
      </c>
      <c r="D2928">
        <v>819675</v>
      </c>
      <c r="E2928">
        <v>803225</v>
      </c>
      <c r="F2928">
        <v>0</v>
      </c>
      <c r="G2928">
        <v>0</v>
      </c>
      <c r="H2928">
        <v>28.2</v>
      </c>
      <c r="I2928">
        <v>38</v>
      </c>
    </row>
    <row r="2929" spans="1:9" ht="24" customHeight="1">
      <c r="A2929" s="6" t="s">
        <v>4186</v>
      </c>
      <c r="B2929">
        <v>3354</v>
      </c>
      <c r="C2929">
        <v>177</v>
      </c>
      <c r="D2929">
        <v>642234</v>
      </c>
      <c r="E2929">
        <v>693816</v>
      </c>
      <c r="F2929">
        <v>0.7</v>
      </c>
      <c r="G2929">
        <v>2.4</v>
      </c>
      <c r="H2929">
        <v>25.8</v>
      </c>
      <c r="I2929">
        <v>20.5</v>
      </c>
    </row>
    <row r="2930" spans="1:9" ht="24" customHeight="1">
      <c r="A2930" s="6" t="s">
        <v>4187</v>
      </c>
      <c r="B2930">
        <v>3247</v>
      </c>
      <c r="C2930">
        <v>219</v>
      </c>
      <c r="D2930">
        <v>522947</v>
      </c>
      <c r="E2930">
        <v>503118</v>
      </c>
      <c r="F2930">
        <v>18.899999999999999</v>
      </c>
      <c r="G2930">
        <v>15.3</v>
      </c>
      <c r="H2930">
        <v>22</v>
      </c>
      <c r="I2930">
        <v>19.899999999999999</v>
      </c>
    </row>
    <row r="2931" spans="1:9" ht="24" customHeight="1">
      <c r="A2931" s="6" t="s">
        <v>4188</v>
      </c>
      <c r="B2931">
        <v>3815</v>
      </c>
      <c r="C2931">
        <v>938</v>
      </c>
      <c r="D2931">
        <v>466623</v>
      </c>
      <c r="E2931">
        <v>445948</v>
      </c>
      <c r="F2931">
        <v>20.399999999999999</v>
      </c>
      <c r="G2931">
        <v>18.399999999999999</v>
      </c>
      <c r="H2931">
        <v>21.1</v>
      </c>
      <c r="I2931">
        <v>18.8</v>
      </c>
    </row>
    <row r="2932" spans="1:9" ht="24" customHeight="1">
      <c r="A2932" s="6" t="s">
        <v>4189</v>
      </c>
      <c r="B2932">
        <v>2109</v>
      </c>
      <c r="C2932">
        <v>237</v>
      </c>
      <c r="D2932">
        <v>587531</v>
      </c>
      <c r="E2932">
        <v>525920</v>
      </c>
      <c r="F2932">
        <v>13.4</v>
      </c>
      <c r="G2932">
        <v>13.8</v>
      </c>
      <c r="H2932">
        <v>23.5</v>
      </c>
      <c r="I2932">
        <v>10.4</v>
      </c>
    </row>
    <row r="2933" spans="1:9" ht="24" customHeight="1">
      <c r="A2933" s="6" t="s">
        <v>4190</v>
      </c>
      <c r="B2933">
        <v>27412</v>
      </c>
      <c r="C2933">
        <v>11326</v>
      </c>
      <c r="D2933">
        <v>402062</v>
      </c>
      <c r="E2933">
        <v>348828</v>
      </c>
      <c r="F2933">
        <v>14</v>
      </c>
      <c r="G2933">
        <v>9.6</v>
      </c>
      <c r="H2933">
        <v>14.8</v>
      </c>
      <c r="I2933">
        <v>16</v>
      </c>
    </row>
    <row r="2934" spans="1:9" ht="24" customHeight="1">
      <c r="A2934" s="6" t="s">
        <v>841</v>
      </c>
      <c r="B2934">
        <v>6839</v>
      </c>
      <c r="C2934">
        <v>70</v>
      </c>
      <c r="D2934">
        <v>1041952</v>
      </c>
      <c r="E2934">
        <v>1205042</v>
      </c>
      <c r="F2934">
        <v>0.9</v>
      </c>
      <c r="G2934">
        <v>0</v>
      </c>
      <c r="H2934">
        <v>27.4</v>
      </c>
      <c r="I2934">
        <v>21.9</v>
      </c>
    </row>
    <row r="2935" spans="1:9" ht="24" customHeight="1">
      <c r="A2935" s="6" t="s">
        <v>842</v>
      </c>
      <c r="B2935">
        <v>11604</v>
      </c>
      <c r="C2935">
        <v>474</v>
      </c>
      <c r="D2935">
        <v>969557</v>
      </c>
      <c r="E2935">
        <v>861317</v>
      </c>
      <c r="F2935">
        <v>0.9</v>
      </c>
      <c r="G2935">
        <v>0</v>
      </c>
      <c r="H2935">
        <v>24</v>
      </c>
      <c r="I2935">
        <v>26.4</v>
      </c>
    </row>
    <row r="2936" spans="1:9" ht="24" customHeight="1">
      <c r="A2936" s="6" t="s">
        <v>843</v>
      </c>
      <c r="B2936">
        <v>11545</v>
      </c>
      <c r="C2936">
        <v>973</v>
      </c>
      <c r="D2936">
        <v>753186</v>
      </c>
      <c r="E2936">
        <v>589555</v>
      </c>
      <c r="F2936">
        <v>19.2</v>
      </c>
      <c r="G2936">
        <v>11.4</v>
      </c>
      <c r="H2936">
        <v>22.4</v>
      </c>
      <c r="I2936">
        <v>20.399999999999999</v>
      </c>
    </row>
    <row r="2937" spans="1:9" ht="24" customHeight="1">
      <c r="A2937" s="6" t="s">
        <v>844</v>
      </c>
      <c r="B2937">
        <v>3622</v>
      </c>
      <c r="C2937">
        <v>429</v>
      </c>
      <c r="D2937">
        <v>679000</v>
      </c>
      <c r="E2937">
        <v>497424</v>
      </c>
      <c r="F2937">
        <v>24.4</v>
      </c>
      <c r="G2937">
        <v>17.2</v>
      </c>
      <c r="H2937">
        <v>21.8</v>
      </c>
      <c r="I2937">
        <v>21.7</v>
      </c>
    </row>
    <row r="2938" spans="1:9" ht="24" customHeight="1">
      <c r="A2938" s="6" t="s">
        <v>845</v>
      </c>
      <c r="B2938">
        <v>5292</v>
      </c>
      <c r="C2938">
        <v>393</v>
      </c>
      <c r="D2938">
        <v>941504</v>
      </c>
      <c r="E2938">
        <v>677698</v>
      </c>
      <c r="F2938">
        <v>11.6</v>
      </c>
      <c r="G2938">
        <v>9.3000000000000007</v>
      </c>
      <c r="H2938">
        <v>23.6</v>
      </c>
      <c r="I2938">
        <v>19.3</v>
      </c>
    </row>
    <row r="2939" spans="1:9" ht="24" customHeight="1">
      <c r="A2939" s="6" t="s">
        <v>846</v>
      </c>
      <c r="B2939">
        <v>88671</v>
      </c>
      <c r="C2939">
        <v>29118</v>
      </c>
      <c r="D2939">
        <v>564123</v>
      </c>
      <c r="E2939">
        <v>438041</v>
      </c>
      <c r="F2939">
        <v>17.899999999999999</v>
      </c>
      <c r="G2939">
        <v>10.7</v>
      </c>
      <c r="H2939">
        <v>15.4</v>
      </c>
      <c r="I2939">
        <v>16.600000000000001</v>
      </c>
    </row>
    <row r="2940" spans="1:9" ht="24" customHeight="1">
      <c r="A2940" s="6" t="s">
        <v>4191</v>
      </c>
      <c r="B2940">
        <v>4928</v>
      </c>
      <c r="C2940">
        <v>85</v>
      </c>
      <c r="D2940">
        <v>623520</v>
      </c>
      <c r="E2940">
        <v>332470</v>
      </c>
      <c r="F2940">
        <v>5.5</v>
      </c>
      <c r="G2940">
        <v>10.3</v>
      </c>
      <c r="H2940">
        <v>23.1</v>
      </c>
      <c r="I2940">
        <v>22</v>
      </c>
    </row>
    <row r="2941" spans="1:9" ht="24" customHeight="1">
      <c r="A2941" s="6" t="s">
        <v>4192</v>
      </c>
      <c r="B2941">
        <v>5863</v>
      </c>
      <c r="C2941">
        <v>287</v>
      </c>
      <c r="D2941">
        <v>570143</v>
      </c>
      <c r="E2941">
        <v>367390</v>
      </c>
      <c r="F2941">
        <v>1.8</v>
      </c>
      <c r="G2941">
        <v>2.5</v>
      </c>
      <c r="H2941">
        <v>21.3</v>
      </c>
      <c r="I2941">
        <v>12.3</v>
      </c>
    </row>
    <row r="2942" spans="1:9" ht="24" customHeight="1">
      <c r="A2942" s="6" t="s">
        <v>4193</v>
      </c>
      <c r="B2942">
        <v>6369</v>
      </c>
      <c r="C2942">
        <v>665</v>
      </c>
      <c r="D2942">
        <v>469235</v>
      </c>
      <c r="E2942">
        <v>351577</v>
      </c>
      <c r="F2942">
        <v>17.2</v>
      </c>
      <c r="G2942">
        <v>12.1</v>
      </c>
      <c r="H2942">
        <v>16.3</v>
      </c>
      <c r="I2942">
        <v>21.5</v>
      </c>
    </row>
    <row r="2943" spans="1:9" ht="24" customHeight="1">
      <c r="A2943" s="6" t="s">
        <v>4194</v>
      </c>
      <c r="B2943">
        <v>4945</v>
      </c>
      <c r="C2943">
        <v>574</v>
      </c>
      <c r="D2943">
        <v>424835</v>
      </c>
      <c r="E2943">
        <v>324899</v>
      </c>
      <c r="F2943">
        <v>12.9</v>
      </c>
      <c r="G2943">
        <v>13.5</v>
      </c>
      <c r="H2943">
        <v>15.5</v>
      </c>
      <c r="I2943">
        <v>12.6</v>
      </c>
    </row>
    <row r="2944" spans="1:9" ht="24" customHeight="1">
      <c r="A2944" s="6" t="s">
        <v>4195</v>
      </c>
      <c r="B2944">
        <v>4149</v>
      </c>
      <c r="C2944">
        <v>180</v>
      </c>
      <c r="D2944">
        <v>468072</v>
      </c>
      <c r="E2944">
        <v>254468</v>
      </c>
      <c r="F2944">
        <v>7.9</v>
      </c>
      <c r="G2944">
        <v>6.3</v>
      </c>
      <c r="H2944">
        <v>21.1</v>
      </c>
      <c r="I2944">
        <v>16.899999999999999</v>
      </c>
    </row>
    <row r="2945" spans="1:9" ht="24" customHeight="1">
      <c r="A2945" s="6" t="s">
        <v>4196</v>
      </c>
      <c r="B2945">
        <v>46043</v>
      </c>
      <c r="C2945">
        <v>24795</v>
      </c>
      <c r="D2945">
        <v>367065</v>
      </c>
      <c r="E2945">
        <v>256947</v>
      </c>
      <c r="F2945">
        <v>13.3</v>
      </c>
      <c r="G2945">
        <v>5.0999999999999996</v>
      </c>
      <c r="H2945">
        <v>11.3</v>
      </c>
      <c r="I2945">
        <v>11.4</v>
      </c>
    </row>
    <row r="2946" spans="1:9" ht="24" customHeight="1">
      <c r="A2946" s="6" t="s">
        <v>4197</v>
      </c>
      <c r="B2946">
        <v>1392</v>
      </c>
      <c r="C2946">
        <v>131</v>
      </c>
      <c r="D2946">
        <v>736552</v>
      </c>
      <c r="E2946">
        <v>811562</v>
      </c>
      <c r="F2946">
        <v>1.4</v>
      </c>
      <c r="G2946">
        <v>0</v>
      </c>
      <c r="H2946">
        <v>25</v>
      </c>
      <c r="I2946">
        <v>29.5</v>
      </c>
    </row>
    <row r="2947" spans="1:9" ht="24" customHeight="1">
      <c r="A2947" s="6" t="s">
        <v>4198</v>
      </c>
      <c r="B2947">
        <v>3769</v>
      </c>
      <c r="C2947">
        <v>221</v>
      </c>
      <c r="D2947">
        <v>584797</v>
      </c>
      <c r="E2947">
        <v>404867</v>
      </c>
      <c r="F2947">
        <v>1.3</v>
      </c>
      <c r="G2947">
        <v>1.6</v>
      </c>
      <c r="H2947">
        <v>22.3</v>
      </c>
      <c r="I2947">
        <v>17.100000000000001</v>
      </c>
    </row>
    <row r="2948" spans="1:9" ht="24" customHeight="1">
      <c r="A2948" s="6" t="s">
        <v>4199</v>
      </c>
      <c r="B2948">
        <v>4299</v>
      </c>
      <c r="C2948">
        <v>581</v>
      </c>
      <c r="D2948">
        <v>497291</v>
      </c>
      <c r="E2948">
        <v>444930</v>
      </c>
      <c r="F2948">
        <v>12.1</v>
      </c>
      <c r="G2948">
        <v>7.6</v>
      </c>
      <c r="H2948">
        <v>18.399999999999999</v>
      </c>
      <c r="I2948">
        <v>21.5</v>
      </c>
    </row>
    <row r="2949" spans="1:9" ht="24" customHeight="1">
      <c r="A2949" s="6" t="s">
        <v>4200</v>
      </c>
      <c r="B2949">
        <v>1847</v>
      </c>
      <c r="C2949">
        <v>341</v>
      </c>
      <c r="D2949">
        <v>420121</v>
      </c>
      <c r="E2949">
        <v>352285</v>
      </c>
      <c r="F2949">
        <v>15</v>
      </c>
      <c r="G2949">
        <v>5</v>
      </c>
      <c r="H2949">
        <v>18</v>
      </c>
      <c r="I2949">
        <v>19.2</v>
      </c>
    </row>
    <row r="2950" spans="1:9" ht="24" customHeight="1">
      <c r="A2950" s="6" t="s">
        <v>4201</v>
      </c>
      <c r="B2950">
        <v>2340</v>
      </c>
      <c r="C2950">
        <v>364</v>
      </c>
      <c r="D2950">
        <v>582963</v>
      </c>
      <c r="E2950">
        <v>440264</v>
      </c>
      <c r="F2950">
        <v>11.3</v>
      </c>
      <c r="G2950">
        <v>9.9</v>
      </c>
      <c r="H2950">
        <v>20.8</v>
      </c>
      <c r="I2950">
        <v>25.2</v>
      </c>
    </row>
    <row r="2951" spans="1:9" ht="24" customHeight="1">
      <c r="A2951" s="6" t="s">
        <v>4202</v>
      </c>
      <c r="B2951">
        <v>25308</v>
      </c>
      <c r="C2951">
        <v>12926</v>
      </c>
      <c r="D2951">
        <v>419756</v>
      </c>
      <c r="E2951">
        <v>301189</v>
      </c>
      <c r="F2951">
        <v>13</v>
      </c>
      <c r="G2951">
        <v>8.8000000000000007</v>
      </c>
      <c r="H2951">
        <v>10.9</v>
      </c>
      <c r="I2951">
        <v>11.6</v>
      </c>
    </row>
    <row r="2952" spans="1:9" ht="24" customHeight="1">
      <c r="A2952" s="6" t="s">
        <v>4203</v>
      </c>
      <c r="B2952">
        <v>1745</v>
      </c>
      <c r="C2952">
        <v>27</v>
      </c>
      <c r="D2952">
        <v>838059</v>
      </c>
      <c r="E2952">
        <v>690504</v>
      </c>
      <c r="F2952">
        <v>0.1</v>
      </c>
      <c r="G2952">
        <v>0</v>
      </c>
      <c r="H2952">
        <v>30</v>
      </c>
      <c r="I2952">
        <v>41</v>
      </c>
    </row>
    <row r="2953" spans="1:9" ht="24" customHeight="1">
      <c r="A2953" s="6" t="s">
        <v>4204</v>
      </c>
      <c r="B2953">
        <v>4844</v>
      </c>
      <c r="C2953">
        <v>80</v>
      </c>
      <c r="D2953">
        <v>672721</v>
      </c>
      <c r="E2953">
        <v>599129</v>
      </c>
      <c r="F2953">
        <v>0.8</v>
      </c>
      <c r="G2953">
        <v>2.4</v>
      </c>
      <c r="H2953">
        <v>23.8</v>
      </c>
      <c r="I2953">
        <v>27.6</v>
      </c>
    </row>
    <row r="2954" spans="1:9" ht="24" customHeight="1">
      <c r="A2954" s="6" t="s">
        <v>4205</v>
      </c>
      <c r="B2954">
        <v>3638</v>
      </c>
      <c r="C2954">
        <v>293</v>
      </c>
      <c r="D2954">
        <v>605283</v>
      </c>
      <c r="E2954">
        <v>498794</v>
      </c>
      <c r="F2954">
        <v>25.6</v>
      </c>
      <c r="G2954">
        <v>15.1</v>
      </c>
      <c r="H2954">
        <v>23</v>
      </c>
      <c r="I2954">
        <v>26.9</v>
      </c>
    </row>
    <row r="2955" spans="1:9" ht="24" customHeight="1">
      <c r="A2955" s="6" t="s">
        <v>4206</v>
      </c>
      <c r="B2955">
        <v>1669</v>
      </c>
      <c r="C2955">
        <v>378</v>
      </c>
      <c r="D2955">
        <v>564555</v>
      </c>
      <c r="E2955">
        <v>427231</v>
      </c>
      <c r="F2955">
        <v>15.8</v>
      </c>
      <c r="G2955">
        <v>20.5</v>
      </c>
      <c r="H2955">
        <v>20.3</v>
      </c>
      <c r="I2955">
        <v>19.100000000000001</v>
      </c>
    </row>
    <row r="2956" spans="1:9" ht="24" customHeight="1">
      <c r="A2956" s="6" t="s">
        <v>4207</v>
      </c>
      <c r="B2956">
        <v>1280</v>
      </c>
      <c r="C2956">
        <v>274</v>
      </c>
      <c r="D2956">
        <v>594381</v>
      </c>
      <c r="E2956">
        <v>430489</v>
      </c>
      <c r="F2956">
        <v>16.100000000000001</v>
      </c>
      <c r="G2956">
        <v>6.9</v>
      </c>
      <c r="H2956">
        <v>22.3</v>
      </c>
      <c r="I2956">
        <v>23.4</v>
      </c>
    </row>
    <row r="2957" spans="1:9" ht="24" customHeight="1">
      <c r="A2957" s="6" t="s">
        <v>4208</v>
      </c>
      <c r="B2957">
        <v>25884</v>
      </c>
      <c r="C2957">
        <v>14163</v>
      </c>
      <c r="D2957">
        <v>447343</v>
      </c>
      <c r="E2957">
        <v>318310</v>
      </c>
      <c r="F2957">
        <v>16.5</v>
      </c>
      <c r="G2957">
        <v>8.4</v>
      </c>
      <c r="H2957">
        <v>14.8</v>
      </c>
      <c r="I2957">
        <v>14.4</v>
      </c>
    </row>
    <row r="2958" spans="1:9" ht="24" customHeight="1">
      <c r="A2958" s="6" t="s">
        <v>847</v>
      </c>
      <c r="B2958">
        <v>2400</v>
      </c>
      <c r="C2958">
        <v>692</v>
      </c>
      <c r="D2958">
        <v>1035943</v>
      </c>
      <c r="E2958">
        <v>1099816</v>
      </c>
      <c r="F2958">
        <v>7.3</v>
      </c>
      <c r="G2958">
        <v>8.9</v>
      </c>
      <c r="H2958">
        <v>28.9</v>
      </c>
      <c r="I2958">
        <v>23.3</v>
      </c>
    </row>
    <row r="2959" spans="1:9" ht="24" customHeight="1">
      <c r="A2959" s="6" t="s">
        <v>848</v>
      </c>
      <c r="B2959">
        <v>5023</v>
      </c>
      <c r="C2959">
        <v>236</v>
      </c>
      <c r="D2959">
        <v>909941</v>
      </c>
      <c r="E2959">
        <v>796903</v>
      </c>
      <c r="F2959">
        <v>4.4000000000000004</v>
      </c>
      <c r="G2959">
        <v>0.8</v>
      </c>
      <c r="H2959">
        <v>24.9</v>
      </c>
      <c r="I2959">
        <v>21.2</v>
      </c>
    </row>
    <row r="2960" spans="1:9" ht="24" customHeight="1">
      <c r="A2960" s="6" t="s">
        <v>849</v>
      </c>
      <c r="B2960">
        <v>4955</v>
      </c>
      <c r="C2960">
        <v>312</v>
      </c>
      <c r="D2960">
        <v>778614</v>
      </c>
      <c r="E2960">
        <v>722791</v>
      </c>
      <c r="F2960">
        <v>19.100000000000001</v>
      </c>
      <c r="G2960">
        <v>11.2</v>
      </c>
      <c r="H2960">
        <v>21.9</v>
      </c>
      <c r="I2960">
        <v>21.4</v>
      </c>
    </row>
    <row r="2961" spans="1:9" ht="24" customHeight="1">
      <c r="A2961" s="6" t="s">
        <v>850</v>
      </c>
      <c r="B2961">
        <v>985</v>
      </c>
      <c r="C2961">
        <v>35</v>
      </c>
      <c r="D2961">
        <v>675324</v>
      </c>
      <c r="E2961">
        <v>466276</v>
      </c>
      <c r="F2961">
        <v>23.3</v>
      </c>
      <c r="G2961">
        <v>7</v>
      </c>
      <c r="H2961">
        <v>24</v>
      </c>
      <c r="I2961">
        <v>10</v>
      </c>
    </row>
    <row r="2962" spans="1:9" ht="24" customHeight="1">
      <c r="A2962" s="6" t="s">
        <v>851</v>
      </c>
      <c r="B2962">
        <v>2597</v>
      </c>
      <c r="C2962">
        <v>202</v>
      </c>
      <c r="D2962">
        <v>780368</v>
      </c>
      <c r="E2962">
        <v>739799</v>
      </c>
      <c r="F2962">
        <v>14.6</v>
      </c>
      <c r="G2962">
        <v>3</v>
      </c>
      <c r="H2962">
        <v>25.3</v>
      </c>
      <c r="I2962">
        <v>28.5</v>
      </c>
    </row>
    <row r="2963" spans="1:9" ht="24" customHeight="1">
      <c r="A2963" s="6" t="s">
        <v>852</v>
      </c>
      <c r="B2963">
        <v>27137</v>
      </c>
      <c r="C2963">
        <v>9190</v>
      </c>
      <c r="D2963">
        <v>578745</v>
      </c>
      <c r="E2963">
        <v>435218</v>
      </c>
      <c r="F2963">
        <v>18.100000000000001</v>
      </c>
      <c r="G2963">
        <v>10.6</v>
      </c>
      <c r="H2963">
        <v>16</v>
      </c>
      <c r="I2963">
        <v>17</v>
      </c>
    </row>
    <row r="2964" spans="1:9" ht="24" customHeight="1">
      <c r="A2964" s="6" t="s">
        <v>4209</v>
      </c>
      <c r="B2964">
        <v>751</v>
      </c>
      <c r="C2964">
        <v>41</v>
      </c>
      <c r="D2964">
        <v>582637</v>
      </c>
      <c r="E2964">
        <v>350319</v>
      </c>
      <c r="F2964">
        <v>1.9</v>
      </c>
      <c r="G2964">
        <v>0</v>
      </c>
      <c r="H2964">
        <v>22.4</v>
      </c>
      <c r="I2964">
        <v>23.7</v>
      </c>
    </row>
    <row r="2965" spans="1:9" ht="24" customHeight="1">
      <c r="A2965" s="6" t="s">
        <v>4210</v>
      </c>
      <c r="B2965">
        <v>868</v>
      </c>
      <c r="C2965">
        <v>111</v>
      </c>
      <c r="D2965">
        <v>479706</v>
      </c>
      <c r="E2965">
        <v>460700</v>
      </c>
      <c r="F2965">
        <v>4.0999999999999996</v>
      </c>
      <c r="G2965">
        <v>15.8</v>
      </c>
      <c r="H2965">
        <v>20.3</v>
      </c>
      <c r="I2965">
        <v>15.1</v>
      </c>
    </row>
    <row r="2966" spans="1:9" ht="24" customHeight="1">
      <c r="A2966" s="6" t="s">
        <v>4211</v>
      </c>
      <c r="B2966">
        <v>676</v>
      </c>
      <c r="C2966">
        <v>175</v>
      </c>
      <c r="D2966">
        <v>425857</v>
      </c>
      <c r="E2966">
        <v>340574</v>
      </c>
      <c r="F2966">
        <v>12.8</v>
      </c>
      <c r="G2966">
        <v>7.6</v>
      </c>
      <c r="H2966">
        <v>17.2</v>
      </c>
      <c r="I2966">
        <v>16.2</v>
      </c>
    </row>
    <row r="2967" spans="1:9" ht="24" customHeight="1">
      <c r="A2967" s="6" t="s">
        <v>4212</v>
      </c>
      <c r="B2967">
        <v>415</v>
      </c>
      <c r="C2967">
        <v>111</v>
      </c>
      <c r="D2967">
        <v>384350</v>
      </c>
      <c r="E2967">
        <v>287389</v>
      </c>
      <c r="F2967">
        <v>5.4</v>
      </c>
      <c r="G2967">
        <v>17</v>
      </c>
      <c r="H2967">
        <v>21.7</v>
      </c>
      <c r="I2967">
        <v>15.2</v>
      </c>
    </row>
    <row r="2968" spans="1:9" ht="24" customHeight="1">
      <c r="A2968" s="6" t="s">
        <v>4213</v>
      </c>
      <c r="B2968">
        <v>311</v>
      </c>
      <c r="C2968">
        <v>71</v>
      </c>
      <c r="D2968">
        <v>477383</v>
      </c>
      <c r="E2968">
        <v>316466</v>
      </c>
      <c r="F2968">
        <v>11.5</v>
      </c>
      <c r="G2968">
        <v>8</v>
      </c>
      <c r="H2968">
        <v>22.7</v>
      </c>
      <c r="I2968">
        <v>14</v>
      </c>
    </row>
    <row r="2969" spans="1:9" ht="24" customHeight="1">
      <c r="A2969" s="6" t="s">
        <v>4214</v>
      </c>
      <c r="B2969">
        <v>5610</v>
      </c>
      <c r="C2969">
        <v>3739</v>
      </c>
      <c r="D2969">
        <v>367536</v>
      </c>
      <c r="E2969">
        <v>242989</v>
      </c>
      <c r="F2969">
        <v>11.5</v>
      </c>
      <c r="G2969">
        <v>5.2</v>
      </c>
      <c r="H2969">
        <v>12.1</v>
      </c>
      <c r="I2969">
        <v>11.9</v>
      </c>
    </row>
    <row r="2970" spans="1:9" ht="24" customHeight="1">
      <c r="A2970" s="6" t="s">
        <v>4215</v>
      </c>
      <c r="B2970">
        <v>716</v>
      </c>
      <c r="C2970">
        <v>63</v>
      </c>
      <c r="D2970">
        <v>746152</v>
      </c>
      <c r="E2970">
        <v>470612</v>
      </c>
      <c r="F2970">
        <v>0.8</v>
      </c>
      <c r="G2970">
        <v>23</v>
      </c>
      <c r="H2970">
        <v>21.9</v>
      </c>
      <c r="I2970">
        <v>18.3</v>
      </c>
    </row>
    <row r="2971" spans="1:9" ht="24" customHeight="1">
      <c r="A2971" s="6" t="s">
        <v>4216</v>
      </c>
      <c r="B2971">
        <v>1555</v>
      </c>
      <c r="C2971">
        <v>121</v>
      </c>
      <c r="D2971">
        <v>653910</v>
      </c>
      <c r="E2971">
        <v>424404</v>
      </c>
      <c r="F2971">
        <v>1</v>
      </c>
      <c r="G2971">
        <v>8.9</v>
      </c>
      <c r="H2971">
        <v>23</v>
      </c>
      <c r="I2971">
        <v>16.2</v>
      </c>
    </row>
    <row r="2972" spans="1:9" ht="24" customHeight="1">
      <c r="A2972" s="6" t="s">
        <v>4217</v>
      </c>
      <c r="B2972">
        <v>1287</v>
      </c>
      <c r="C2972">
        <v>70</v>
      </c>
      <c r="D2972">
        <v>494048</v>
      </c>
      <c r="E2972">
        <v>460689</v>
      </c>
      <c r="F2972">
        <v>22.2</v>
      </c>
      <c r="G2972">
        <v>7.8</v>
      </c>
      <c r="H2972">
        <v>20.6</v>
      </c>
      <c r="I2972">
        <v>20.9</v>
      </c>
    </row>
    <row r="2973" spans="1:9" ht="24" customHeight="1">
      <c r="A2973" s="6" t="s">
        <v>4218</v>
      </c>
      <c r="B2973">
        <v>769</v>
      </c>
      <c r="C2973">
        <v>106</v>
      </c>
      <c r="D2973">
        <v>459458</v>
      </c>
      <c r="E2973">
        <v>351109</v>
      </c>
      <c r="F2973">
        <v>22</v>
      </c>
      <c r="G2973">
        <v>11.5</v>
      </c>
      <c r="H2973">
        <v>20.6</v>
      </c>
      <c r="I2973">
        <v>16.7</v>
      </c>
    </row>
    <row r="2974" spans="1:9" ht="24" customHeight="1">
      <c r="A2974" s="6" t="s">
        <v>4219</v>
      </c>
      <c r="B2974">
        <v>780</v>
      </c>
      <c r="C2974">
        <v>138</v>
      </c>
      <c r="D2974">
        <v>561222</v>
      </c>
      <c r="E2974">
        <v>399983</v>
      </c>
      <c r="F2974">
        <v>7.1</v>
      </c>
      <c r="G2974">
        <v>6.1</v>
      </c>
      <c r="H2974">
        <v>18.5</v>
      </c>
      <c r="I2974">
        <v>15.4</v>
      </c>
    </row>
    <row r="2975" spans="1:9" ht="24" customHeight="1">
      <c r="A2975" s="6" t="s">
        <v>4220</v>
      </c>
      <c r="B2975">
        <v>11005</v>
      </c>
      <c r="C2975">
        <v>4077</v>
      </c>
      <c r="D2975">
        <v>378170</v>
      </c>
      <c r="E2975">
        <v>299709</v>
      </c>
      <c r="F2975">
        <v>12.9</v>
      </c>
      <c r="G2975">
        <v>7.6</v>
      </c>
      <c r="H2975">
        <v>13.6</v>
      </c>
      <c r="I2975">
        <v>13.3</v>
      </c>
    </row>
    <row r="2976" spans="1:9" ht="24" customHeight="1">
      <c r="A2976" s="6" t="s">
        <v>4221</v>
      </c>
      <c r="B2976">
        <v>1045</v>
      </c>
      <c r="C2976">
        <v>0</v>
      </c>
      <c r="D2976">
        <v>1006768</v>
      </c>
      <c r="E2976"/>
      <c r="F2976">
        <v>0.3</v>
      </c>
      <c r="G2976"/>
      <c r="H2976">
        <v>27.4</v>
      </c>
      <c r="I2976"/>
    </row>
    <row r="2977" spans="1:9" ht="24" customHeight="1">
      <c r="A2977" s="6" t="s">
        <v>4222</v>
      </c>
      <c r="B2977">
        <v>2779</v>
      </c>
      <c r="C2977">
        <v>436</v>
      </c>
      <c r="D2977">
        <v>704351</v>
      </c>
      <c r="E2977">
        <v>450909</v>
      </c>
      <c r="F2977">
        <v>1.6</v>
      </c>
      <c r="G2977">
        <v>0</v>
      </c>
      <c r="H2977">
        <v>28.7</v>
      </c>
      <c r="I2977">
        <v>12</v>
      </c>
    </row>
    <row r="2978" spans="1:9" ht="24" customHeight="1">
      <c r="A2978" s="6" t="s">
        <v>4223</v>
      </c>
      <c r="B2978">
        <v>1420</v>
      </c>
      <c r="C2978">
        <v>179</v>
      </c>
      <c r="D2978">
        <v>573686</v>
      </c>
      <c r="E2978">
        <v>563495</v>
      </c>
      <c r="F2978">
        <v>20.3</v>
      </c>
      <c r="G2978">
        <v>18.3</v>
      </c>
      <c r="H2978">
        <v>24</v>
      </c>
      <c r="I2978">
        <v>16.5</v>
      </c>
    </row>
    <row r="2979" spans="1:9" ht="24" customHeight="1">
      <c r="A2979" s="6" t="s">
        <v>4224</v>
      </c>
      <c r="B2979">
        <v>590</v>
      </c>
      <c r="C2979">
        <v>104</v>
      </c>
      <c r="D2979">
        <v>503967</v>
      </c>
      <c r="E2979">
        <v>420574</v>
      </c>
      <c r="F2979">
        <v>25.2</v>
      </c>
      <c r="G2979">
        <v>24.6</v>
      </c>
      <c r="H2979">
        <v>18</v>
      </c>
      <c r="I2979">
        <v>16.5</v>
      </c>
    </row>
    <row r="2980" spans="1:9" ht="24" customHeight="1">
      <c r="A2980" s="6" t="s">
        <v>4225</v>
      </c>
      <c r="B2980">
        <v>653</v>
      </c>
      <c r="C2980">
        <v>40</v>
      </c>
      <c r="D2980">
        <v>1163462</v>
      </c>
      <c r="E2980">
        <v>471389</v>
      </c>
      <c r="F2980">
        <v>2.5</v>
      </c>
      <c r="G2980">
        <v>13.2</v>
      </c>
      <c r="H2980">
        <v>31.3</v>
      </c>
      <c r="I2980">
        <v>25.7</v>
      </c>
    </row>
    <row r="2981" spans="1:9" ht="24" customHeight="1">
      <c r="A2981" s="6" t="s">
        <v>4226</v>
      </c>
      <c r="B2981">
        <v>14034</v>
      </c>
      <c r="C2981">
        <v>4758</v>
      </c>
      <c r="D2981">
        <v>442141</v>
      </c>
      <c r="E2981">
        <v>350717</v>
      </c>
      <c r="F2981">
        <v>17</v>
      </c>
      <c r="G2981">
        <v>8.9</v>
      </c>
      <c r="H2981">
        <v>14.6</v>
      </c>
      <c r="I2981">
        <v>17.600000000000001</v>
      </c>
    </row>
    <row r="2982" spans="1:9" ht="24" customHeight="1">
      <c r="A2982" s="6" t="s">
        <v>853</v>
      </c>
      <c r="B2982">
        <v>10631</v>
      </c>
      <c r="C2982">
        <v>103</v>
      </c>
      <c r="D2982">
        <v>1105927</v>
      </c>
      <c r="E2982">
        <v>1469933</v>
      </c>
      <c r="F2982">
        <v>0.1</v>
      </c>
      <c r="G2982">
        <v>0</v>
      </c>
      <c r="H2982">
        <v>29.1</v>
      </c>
      <c r="I2982">
        <v>14</v>
      </c>
    </row>
    <row r="2983" spans="1:9" ht="24" customHeight="1">
      <c r="A2983" s="6" t="s">
        <v>854</v>
      </c>
      <c r="B2983">
        <v>21037</v>
      </c>
      <c r="C2983">
        <v>1043</v>
      </c>
      <c r="D2983">
        <v>891616</v>
      </c>
      <c r="E2983">
        <v>1031011</v>
      </c>
      <c r="F2983">
        <v>0.3</v>
      </c>
      <c r="G2983">
        <v>0.3</v>
      </c>
      <c r="H2983">
        <v>25.5</v>
      </c>
      <c r="I2983">
        <v>17.7</v>
      </c>
    </row>
    <row r="2984" spans="1:9" ht="24" customHeight="1">
      <c r="A2984" s="6" t="s">
        <v>855</v>
      </c>
      <c r="B2984">
        <v>19514</v>
      </c>
      <c r="C2984">
        <v>1878</v>
      </c>
      <c r="D2984">
        <v>726812</v>
      </c>
      <c r="E2984">
        <v>589267</v>
      </c>
      <c r="F2984">
        <v>27.7</v>
      </c>
      <c r="G2984">
        <v>21.7</v>
      </c>
      <c r="H2984">
        <v>22.5</v>
      </c>
      <c r="I2984">
        <v>16.2</v>
      </c>
    </row>
    <row r="2985" spans="1:9" ht="24" customHeight="1">
      <c r="A2985" s="6" t="s">
        <v>856</v>
      </c>
      <c r="B2985">
        <v>31893</v>
      </c>
      <c r="C2985">
        <v>984</v>
      </c>
      <c r="D2985">
        <v>663953</v>
      </c>
      <c r="E2985">
        <v>493593</v>
      </c>
      <c r="F2985">
        <v>27.9</v>
      </c>
      <c r="G2985">
        <v>12.7</v>
      </c>
      <c r="H2985">
        <v>21.7</v>
      </c>
      <c r="I2985">
        <v>23.5</v>
      </c>
    </row>
    <row r="2986" spans="1:9" ht="24" customHeight="1">
      <c r="A2986" s="6" t="s">
        <v>857</v>
      </c>
      <c r="B2986">
        <v>11176</v>
      </c>
      <c r="C2986">
        <v>69</v>
      </c>
      <c r="D2986">
        <v>846202</v>
      </c>
      <c r="E2986">
        <v>639473</v>
      </c>
      <c r="F2986">
        <v>14.1</v>
      </c>
      <c r="G2986">
        <v>11.6</v>
      </c>
      <c r="H2986">
        <v>25.5</v>
      </c>
      <c r="I2986">
        <v>11</v>
      </c>
    </row>
    <row r="2987" spans="1:9" ht="24" customHeight="1">
      <c r="A2987" s="6" t="s">
        <v>858</v>
      </c>
      <c r="B2987">
        <v>203487</v>
      </c>
      <c r="C2987">
        <v>36940</v>
      </c>
      <c r="D2987">
        <v>526394</v>
      </c>
      <c r="E2987">
        <v>421467</v>
      </c>
      <c r="F2987">
        <v>22.7</v>
      </c>
      <c r="G2987">
        <v>12.7</v>
      </c>
      <c r="H2987">
        <v>15.9</v>
      </c>
      <c r="I2987">
        <v>13.3</v>
      </c>
    </row>
    <row r="2988" spans="1:9" ht="24" customHeight="1">
      <c r="A2988" s="6" t="s">
        <v>4227</v>
      </c>
      <c r="B2988">
        <v>4492</v>
      </c>
      <c r="C2988">
        <v>24</v>
      </c>
      <c r="D2988">
        <v>641386</v>
      </c>
      <c r="E2988">
        <v>398270</v>
      </c>
      <c r="F2988">
        <v>2.2999999999999998</v>
      </c>
      <c r="G2988">
        <v>0</v>
      </c>
      <c r="H2988">
        <v>24.7</v>
      </c>
      <c r="I2988">
        <v>37.799999999999997</v>
      </c>
    </row>
    <row r="2989" spans="1:9" ht="24" customHeight="1">
      <c r="A2989" s="6" t="s">
        <v>4228</v>
      </c>
      <c r="B2989">
        <v>4815</v>
      </c>
      <c r="C2989">
        <v>569</v>
      </c>
      <c r="D2989">
        <v>542584</v>
      </c>
      <c r="E2989">
        <v>312090</v>
      </c>
      <c r="F2989">
        <v>6.2</v>
      </c>
      <c r="G2989">
        <v>1.9</v>
      </c>
      <c r="H2989">
        <v>19.600000000000001</v>
      </c>
      <c r="I2989">
        <v>19.5</v>
      </c>
    </row>
    <row r="2990" spans="1:9" ht="24" customHeight="1">
      <c r="A2990" s="6" t="s">
        <v>4229</v>
      </c>
      <c r="B2990">
        <v>5240</v>
      </c>
      <c r="C2990">
        <v>508</v>
      </c>
      <c r="D2990">
        <v>461644</v>
      </c>
      <c r="E2990">
        <v>328427</v>
      </c>
      <c r="F2990">
        <v>16.8</v>
      </c>
      <c r="G2990">
        <v>11.9</v>
      </c>
      <c r="H2990">
        <v>19.8</v>
      </c>
      <c r="I2990">
        <v>17.3</v>
      </c>
    </row>
    <row r="2991" spans="1:9" ht="24" customHeight="1">
      <c r="A2991" s="6" t="s">
        <v>4230</v>
      </c>
      <c r="B2991">
        <v>8460</v>
      </c>
      <c r="C2991">
        <v>744</v>
      </c>
      <c r="D2991">
        <v>437705</v>
      </c>
      <c r="E2991">
        <v>302518</v>
      </c>
      <c r="F2991">
        <v>23</v>
      </c>
      <c r="G2991">
        <v>7.8</v>
      </c>
      <c r="H2991">
        <v>19</v>
      </c>
      <c r="I2991">
        <v>12.2</v>
      </c>
    </row>
    <row r="2992" spans="1:9" ht="24" customHeight="1">
      <c r="A2992" s="6" t="s">
        <v>4231</v>
      </c>
      <c r="B2992">
        <v>3587</v>
      </c>
      <c r="C2992">
        <v>144</v>
      </c>
      <c r="D2992">
        <v>453067</v>
      </c>
      <c r="E2992">
        <v>204492</v>
      </c>
      <c r="F2992">
        <v>14.9</v>
      </c>
      <c r="G2992">
        <v>0</v>
      </c>
      <c r="H2992">
        <v>17.600000000000001</v>
      </c>
      <c r="I2992">
        <v>10.5</v>
      </c>
    </row>
    <row r="2993" spans="1:9" ht="24" customHeight="1">
      <c r="A2993" s="6" t="s">
        <v>4232</v>
      </c>
      <c r="B2993">
        <v>64427</v>
      </c>
      <c r="C2993">
        <v>14922</v>
      </c>
      <c r="D2993">
        <v>346358</v>
      </c>
      <c r="E2993">
        <v>248268</v>
      </c>
      <c r="F2993">
        <v>15.4</v>
      </c>
      <c r="G2993">
        <v>4.0999999999999996</v>
      </c>
      <c r="H2993">
        <v>12.2</v>
      </c>
      <c r="I2993">
        <v>9.3000000000000007</v>
      </c>
    </row>
    <row r="2994" spans="1:9" ht="24" customHeight="1">
      <c r="A2994" s="6" t="s">
        <v>4233</v>
      </c>
      <c r="B2994">
        <v>2048</v>
      </c>
      <c r="C2994">
        <v>0</v>
      </c>
      <c r="D2994">
        <v>686799</v>
      </c>
      <c r="E2994"/>
      <c r="F2994">
        <v>0.5</v>
      </c>
      <c r="G2994"/>
      <c r="H2994">
        <v>23.9</v>
      </c>
      <c r="I2994"/>
    </row>
    <row r="2995" spans="1:9" ht="24" customHeight="1">
      <c r="A2995" s="6" t="s">
        <v>4234</v>
      </c>
      <c r="B2995">
        <v>4686</v>
      </c>
      <c r="C2995">
        <v>491</v>
      </c>
      <c r="D2995">
        <v>536184</v>
      </c>
      <c r="E2995">
        <v>456129</v>
      </c>
      <c r="F2995">
        <v>2.2999999999999998</v>
      </c>
      <c r="G2995">
        <v>1.1000000000000001</v>
      </c>
      <c r="H2995">
        <v>22.3</v>
      </c>
      <c r="I2995">
        <v>21.4</v>
      </c>
    </row>
    <row r="2996" spans="1:9" ht="24" customHeight="1">
      <c r="A2996" s="6" t="s">
        <v>4235</v>
      </c>
      <c r="B2996">
        <v>8376</v>
      </c>
      <c r="C2996">
        <v>261</v>
      </c>
      <c r="D2996">
        <v>483595</v>
      </c>
      <c r="E2996">
        <v>402545</v>
      </c>
      <c r="F2996">
        <v>20.9</v>
      </c>
      <c r="G2996">
        <v>13.9</v>
      </c>
      <c r="H2996">
        <v>16.3</v>
      </c>
      <c r="I2996">
        <v>18.8</v>
      </c>
    </row>
    <row r="2997" spans="1:9" ht="24" customHeight="1">
      <c r="A2997" s="6" t="s">
        <v>4236</v>
      </c>
      <c r="B2997">
        <v>4872</v>
      </c>
      <c r="C2997">
        <v>361</v>
      </c>
      <c r="D2997">
        <v>427332</v>
      </c>
      <c r="E2997">
        <v>302891</v>
      </c>
      <c r="F2997">
        <v>27.3</v>
      </c>
      <c r="G2997">
        <v>12.7</v>
      </c>
      <c r="H2997">
        <v>15.8</v>
      </c>
      <c r="I2997">
        <v>16.2</v>
      </c>
    </row>
    <row r="2998" spans="1:9" ht="24" customHeight="1">
      <c r="A2998" s="6" t="s">
        <v>4237</v>
      </c>
      <c r="B2998">
        <v>3028</v>
      </c>
      <c r="C2998">
        <v>239</v>
      </c>
      <c r="D2998">
        <v>455925</v>
      </c>
      <c r="E2998">
        <v>435993</v>
      </c>
      <c r="F2998">
        <v>15.8</v>
      </c>
      <c r="G2998">
        <v>14.7</v>
      </c>
      <c r="H2998">
        <v>16.3</v>
      </c>
      <c r="I2998">
        <v>21.7</v>
      </c>
    </row>
    <row r="2999" spans="1:9" ht="24" customHeight="1">
      <c r="A2999" s="6" t="s">
        <v>4238</v>
      </c>
      <c r="B2999">
        <v>62210</v>
      </c>
      <c r="C2999">
        <v>34264</v>
      </c>
      <c r="D2999">
        <v>353483</v>
      </c>
      <c r="E2999">
        <v>283056</v>
      </c>
      <c r="F2999">
        <v>16.100000000000001</v>
      </c>
      <c r="G2999">
        <v>3.4</v>
      </c>
      <c r="H2999">
        <v>10</v>
      </c>
      <c r="I2999">
        <v>8.1999999999999993</v>
      </c>
    </row>
    <row r="3000" spans="1:9" ht="24" customHeight="1">
      <c r="A3000" s="6" t="s">
        <v>4239</v>
      </c>
      <c r="B3000">
        <v>3675</v>
      </c>
      <c r="C3000">
        <v>27</v>
      </c>
      <c r="D3000">
        <v>878577</v>
      </c>
      <c r="E3000">
        <v>743788</v>
      </c>
      <c r="F3000">
        <v>0.4</v>
      </c>
      <c r="G3000">
        <v>0</v>
      </c>
      <c r="H3000">
        <v>24.8</v>
      </c>
      <c r="I3000">
        <v>26.2</v>
      </c>
    </row>
    <row r="3001" spans="1:9" ht="24" customHeight="1">
      <c r="A3001" s="6" t="s">
        <v>4240</v>
      </c>
      <c r="B3001">
        <v>9756</v>
      </c>
      <c r="C3001">
        <v>85</v>
      </c>
      <c r="D3001">
        <v>698261</v>
      </c>
      <c r="E3001">
        <v>575553</v>
      </c>
      <c r="F3001">
        <v>2.4</v>
      </c>
      <c r="G3001">
        <v>0</v>
      </c>
      <c r="H3001">
        <v>23.5</v>
      </c>
      <c r="I3001">
        <v>25</v>
      </c>
    </row>
    <row r="3002" spans="1:9" ht="24" customHeight="1">
      <c r="A3002" s="6" t="s">
        <v>4241</v>
      </c>
      <c r="B3002">
        <v>6310</v>
      </c>
      <c r="C3002">
        <v>513</v>
      </c>
      <c r="D3002">
        <v>567687</v>
      </c>
      <c r="E3002">
        <v>514291</v>
      </c>
      <c r="F3002">
        <v>24.5</v>
      </c>
      <c r="G3002">
        <v>29.7</v>
      </c>
      <c r="H3002">
        <v>20.399999999999999</v>
      </c>
      <c r="I3002">
        <v>16.5</v>
      </c>
    </row>
    <row r="3003" spans="1:9" ht="24" customHeight="1">
      <c r="A3003" s="6" t="s">
        <v>4242</v>
      </c>
      <c r="B3003">
        <v>11901</v>
      </c>
      <c r="C3003">
        <v>413</v>
      </c>
      <c r="D3003">
        <v>538669</v>
      </c>
      <c r="E3003">
        <v>405187</v>
      </c>
      <c r="F3003">
        <v>29</v>
      </c>
      <c r="G3003">
        <v>17.899999999999999</v>
      </c>
      <c r="H3003">
        <v>16.600000000000001</v>
      </c>
      <c r="I3003">
        <v>14.9</v>
      </c>
    </row>
    <row r="3004" spans="1:9" ht="24" customHeight="1">
      <c r="A3004" s="6" t="s">
        <v>4243</v>
      </c>
      <c r="B3004">
        <v>6494</v>
      </c>
      <c r="C3004">
        <v>810</v>
      </c>
      <c r="D3004">
        <v>617742</v>
      </c>
      <c r="E3004">
        <v>539900</v>
      </c>
      <c r="F3004">
        <v>18.899999999999999</v>
      </c>
      <c r="G3004">
        <v>3.7</v>
      </c>
      <c r="H3004">
        <v>23</v>
      </c>
      <c r="I3004">
        <v>14.2</v>
      </c>
    </row>
    <row r="3005" spans="1:9" ht="24" customHeight="1">
      <c r="A3005" s="6" t="s">
        <v>4244</v>
      </c>
      <c r="B3005">
        <v>97558</v>
      </c>
      <c r="C3005">
        <v>18249</v>
      </c>
      <c r="D3005">
        <v>439226</v>
      </c>
      <c r="E3005">
        <v>333013</v>
      </c>
      <c r="F3005">
        <v>21.6</v>
      </c>
      <c r="G3005">
        <v>9.6</v>
      </c>
      <c r="H3005">
        <v>14.4</v>
      </c>
      <c r="I3005">
        <v>13</v>
      </c>
    </row>
    <row r="3006" spans="1:9" ht="24" customHeight="1">
      <c r="A3006" s="6" t="s">
        <v>859</v>
      </c>
      <c r="B3006">
        <v>554</v>
      </c>
      <c r="C3006">
        <v>7</v>
      </c>
      <c r="D3006">
        <v>1381558</v>
      </c>
      <c r="E3006">
        <v>710910</v>
      </c>
      <c r="F3006">
        <v>0</v>
      </c>
      <c r="G3006">
        <v>0</v>
      </c>
      <c r="H3006">
        <v>26.4</v>
      </c>
      <c r="I3006">
        <v>35</v>
      </c>
    </row>
    <row r="3007" spans="1:9" ht="24" customHeight="1">
      <c r="A3007" s="6" t="s">
        <v>860</v>
      </c>
      <c r="B3007">
        <v>1647</v>
      </c>
      <c r="C3007">
        <v>97</v>
      </c>
      <c r="D3007">
        <v>922079</v>
      </c>
      <c r="E3007">
        <v>873291</v>
      </c>
      <c r="F3007">
        <v>2.2999999999999998</v>
      </c>
      <c r="G3007">
        <v>0</v>
      </c>
      <c r="H3007">
        <v>25.3</v>
      </c>
      <c r="I3007">
        <v>22.8</v>
      </c>
    </row>
    <row r="3008" spans="1:9" ht="24" customHeight="1">
      <c r="A3008" s="6" t="s">
        <v>861</v>
      </c>
      <c r="B3008">
        <v>990</v>
      </c>
      <c r="C3008">
        <v>240</v>
      </c>
      <c r="D3008">
        <v>788163</v>
      </c>
      <c r="E3008">
        <v>855947</v>
      </c>
      <c r="F3008">
        <v>15.8</v>
      </c>
      <c r="G3008">
        <v>11.5</v>
      </c>
      <c r="H3008">
        <v>22.1</v>
      </c>
      <c r="I3008">
        <v>21.9</v>
      </c>
    </row>
    <row r="3009" spans="1:9" ht="24" customHeight="1">
      <c r="A3009" s="6" t="s">
        <v>862</v>
      </c>
      <c r="B3009">
        <v>915</v>
      </c>
      <c r="C3009">
        <v>202</v>
      </c>
      <c r="D3009">
        <v>740566</v>
      </c>
      <c r="E3009">
        <v>671391</v>
      </c>
      <c r="F3009">
        <v>30.9</v>
      </c>
      <c r="G3009">
        <v>24.7</v>
      </c>
      <c r="H3009">
        <v>20</v>
      </c>
      <c r="I3009">
        <v>14.3</v>
      </c>
    </row>
    <row r="3010" spans="1:9" ht="24" customHeight="1">
      <c r="A3010" s="6" t="s">
        <v>863</v>
      </c>
      <c r="B3010">
        <v>1019</v>
      </c>
      <c r="C3010">
        <v>28</v>
      </c>
      <c r="D3010">
        <v>792374</v>
      </c>
      <c r="E3010">
        <v>726129</v>
      </c>
      <c r="F3010">
        <v>15.7</v>
      </c>
      <c r="G3010">
        <v>4.5</v>
      </c>
      <c r="H3010">
        <v>26.6</v>
      </c>
      <c r="I3010">
        <v>18.600000000000001</v>
      </c>
    </row>
    <row r="3011" spans="1:9" ht="24" customHeight="1">
      <c r="A3011" s="6" t="s">
        <v>864</v>
      </c>
      <c r="B3011">
        <v>10586</v>
      </c>
      <c r="C3011">
        <v>3798</v>
      </c>
      <c r="D3011">
        <v>528930</v>
      </c>
      <c r="E3011">
        <v>449292</v>
      </c>
      <c r="F3011">
        <v>20.8</v>
      </c>
      <c r="G3011">
        <v>15.4</v>
      </c>
      <c r="H3011">
        <v>13.1</v>
      </c>
      <c r="I3011">
        <v>13</v>
      </c>
    </row>
    <row r="3012" spans="1:9" ht="24" customHeight="1">
      <c r="A3012" s="6" t="s">
        <v>4245</v>
      </c>
      <c r="B3012">
        <v>1761</v>
      </c>
      <c r="C3012">
        <v>291</v>
      </c>
      <c r="D3012">
        <v>598694</v>
      </c>
      <c r="E3012">
        <v>455712</v>
      </c>
      <c r="F3012">
        <v>3.6</v>
      </c>
      <c r="G3012">
        <v>24.2</v>
      </c>
      <c r="H3012">
        <v>21.8</v>
      </c>
      <c r="I3012">
        <v>11.2</v>
      </c>
    </row>
    <row r="3013" spans="1:9" ht="24" customHeight="1">
      <c r="A3013" s="6" t="s">
        <v>4246</v>
      </c>
      <c r="B3013">
        <v>2617</v>
      </c>
      <c r="C3013">
        <v>695</v>
      </c>
      <c r="D3013">
        <v>480758</v>
      </c>
      <c r="E3013">
        <v>387042</v>
      </c>
      <c r="F3013">
        <v>3.3</v>
      </c>
      <c r="G3013">
        <v>0.9</v>
      </c>
      <c r="H3013">
        <v>18.600000000000001</v>
      </c>
      <c r="I3013">
        <v>12</v>
      </c>
    </row>
    <row r="3014" spans="1:9" ht="24" customHeight="1">
      <c r="A3014" s="6" t="s">
        <v>4247</v>
      </c>
      <c r="B3014">
        <v>1391</v>
      </c>
      <c r="C3014">
        <v>523</v>
      </c>
      <c r="D3014">
        <v>429679</v>
      </c>
      <c r="E3014">
        <v>343819</v>
      </c>
      <c r="F3014">
        <v>9.1999999999999993</v>
      </c>
      <c r="G3014">
        <v>7.7</v>
      </c>
      <c r="H3014">
        <v>16.899999999999999</v>
      </c>
      <c r="I3014">
        <v>12.2</v>
      </c>
    </row>
    <row r="3015" spans="1:9" ht="24" customHeight="1">
      <c r="A3015" s="6" t="s">
        <v>4248</v>
      </c>
      <c r="B3015">
        <v>793</v>
      </c>
      <c r="C3015">
        <v>197</v>
      </c>
      <c r="D3015">
        <v>394242</v>
      </c>
      <c r="E3015">
        <v>257958</v>
      </c>
      <c r="F3015">
        <v>5.5</v>
      </c>
      <c r="G3015">
        <v>3</v>
      </c>
      <c r="H3015">
        <v>18.899999999999999</v>
      </c>
      <c r="I3015">
        <v>14.4</v>
      </c>
    </row>
    <row r="3016" spans="1:9" ht="24" customHeight="1">
      <c r="A3016" s="6" t="s">
        <v>4249</v>
      </c>
      <c r="B3016">
        <v>872</v>
      </c>
      <c r="C3016">
        <v>226</v>
      </c>
      <c r="D3016">
        <v>545630</v>
      </c>
      <c r="E3016">
        <v>366701</v>
      </c>
      <c r="F3016">
        <v>10.1</v>
      </c>
      <c r="G3016">
        <v>11.2</v>
      </c>
      <c r="H3016">
        <v>18.899999999999999</v>
      </c>
      <c r="I3016">
        <v>15.1</v>
      </c>
    </row>
    <row r="3017" spans="1:9" ht="24" customHeight="1">
      <c r="A3017" s="6" t="s">
        <v>4250</v>
      </c>
      <c r="B3017">
        <v>18836</v>
      </c>
      <c r="C3017">
        <v>12632</v>
      </c>
      <c r="D3017">
        <v>359841</v>
      </c>
      <c r="E3017">
        <v>277842</v>
      </c>
      <c r="F3017">
        <v>10.7</v>
      </c>
      <c r="G3017">
        <v>6.8</v>
      </c>
      <c r="H3017">
        <v>11.1</v>
      </c>
      <c r="I3017">
        <v>10.1</v>
      </c>
    </row>
    <row r="3018" spans="1:9" ht="24" customHeight="1">
      <c r="A3018" s="6" t="s">
        <v>4251</v>
      </c>
      <c r="B3018">
        <v>1897</v>
      </c>
      <c r="C3018">
        <v>27</v>
      </c>
      <c r="D3018">
        <v>746555</v>
      </c>
      <c r="E3018">
        <v>569866</v>
      </c>
      <c r="F3018">
        <v>0</v>
      </c>
      <c r="G3018">
        <v>0</v>
      </c>
      <c r="H3018">
        <v>22.3</v>
      </c>
      <c r="I3018">
        <v>13.7</v>
      </c>
    </row>
    <row r="3019" spans="1:9" ht="24" customHeight="1">
      <c r="A3019" s="6" t="s">
        <v>4252</v>
      </c>
      <c r="B3019">
        <v>1785</v>
      </c>
      <c r="C3019">
        <v>187</v>
      </c>
      <c r="D3019">
        <v>595290</v>
      </c>
      <c r="E3019">
        <v>448250</v>
      </c>
      <c r="F3019">
        <v>2.8</v>
      </c>
      <c r="G3019">
        <v>6.9</v>
      </c>
      <c r="H3019">
        <v>23.6</v>
      </c>
      <c r="I3019">
        <v>8.5</v>
      </c>
    </row>
    <row r="3020" spans="1:9" ht="24" customHeight="1">
      <c r="A3020" s="6" t="s">
        <v>4253</v>
      </c>
      <c r="B3020">
        <v>3318</v>
      </c>
      <c r="C3020">
        <v>333</v>
      </c>
      <c r="D3020">
        <v>531264</v>
      </c>
      <c r="E3020">
        <v>474716</v>
      </c>
      <c r="F3020">
        <v>14.7</v>
      </c>
      <c r="G3020">
        <v>5.0999999999999996</v>
      </c>
      <c r="H3020">
        <v>19.899999999999999</v>
      </c>
      <c r="I3020">
        <v>24.7</v>
      </c>
    </row>
    <row r="3021" spans="1:9" ht="24" customHeight="1">
      <c r="A3021" s="6" t="s">
        <v>4254</v>
      </c>
      <c r="B3021">
        <v>741</v>
      </c>
      <c r="C3021">
        <v>193</v>
      </c>
      <c r="D3021">
        <v>482795</v>
      </c>
      <c r="E3021">
        <v>347973</v>
      </c>
      <c r="F3021">
        <v>15.7</v>
      </c>
      <c r="G3021">
        <v>11.5</v>
      </c>
      <c r="H3021">
        <v>21.4</v>
      </c>
      <c r="I3021">
        <v>20.9</v>
      </c>
    </row>
    <row r="3022" spans="1:9" ht="24" customHeight="1">
      <c r="A3022" s="6" t="s">
        <v>4255</v>
      </c>
      <c r="B3022">
        <v>409</v>
      </c>
      <c r="C3022">
        <v>567</v>
      </c>
      <c r="D3022">
        <v>528100</v>
      </c>
      <c r="E3022">
        <v>383409</v>
      </c>
      <c r="F3022">
        <v>12.1</v>
      </c>
      <c r="G3022">
        <v>2.8</v>
      </c>
      <c r="H3022">
        <v>20</v>
      </c>
      <c r="I3022">
        <v>19.899999999999999</v>
      </c>
    </row>
    <row r="3023" spans="1:9" ht="24" customHeight="1">
      <c r="A3023" s="6" t="s">
        <v>4256</v>
      </c>
      <c r="B3023">
        <v>15147</v>
      </c>
      <c r="C3023">
        <v>8659</v>
      </c>
      <c r="D3023">
        <v>408926</v>
      </c>
      <c r="E3023">
        <v>337067</v>
      </c>
      <c r="F3023">
        <v>11.6</v>
      </c>
      <c r="G3023">
        <v>7.1</v>
      </c>
      <c r="H3023">
        <v>11.8</v>
      </c>
      <c r="I3023">
        <v>10.6</v>
      </c>
    </row>
    <row r="3024" spans="1:9" ht="24" customHeight="1">
      <c r="A3024" s="6" t="s">
        <v>4257</v>
      </c>
      <c r="B3024">
        <v>365</v>
      </c>
      <c r="C3024">
        <v>0</v>
      </c>
      <c r="D3024">
        <v>796839</v>
      </c>
      <c r="E3024"/>
      <c r="F3024">
        <v>1.2</v>
      </c>
      <c r="G3024"/>
      <c r="H3024">
        <v>30.2</v>
      </c>
      <c r="I3024"/>
    </row>
    <row r="3025" spans="1:9" ht="24" customHeight="1">
      <c r="A3025" s="6" t="s">
        <v>4258</v>
      </c>
      <c r="B3025">
        <v>902</v>
      </c>
      <c r="C3025">
        <v>26</v>
      </c>
      <c r="D3025">
        <v>634536</v>
      </c>
      <c r="E3025">
        <v>598233</v>
      </c>
      <c r="F3025">
        <v>1.2</v>
      </c>
      <c r="G3025">
        <v>0</v>
      </c>
      <c r="H3025">
        <v>23</v>
      </c>
      <c r="I3025">
        <v>20.9</v>
      </c>
    </row>
    <row r="3026" spans="1:9" ht="24" customHeight="1">
      <c r="A3026" s="6" t="s">
        <v>4259</v>
      </c>
      <c r="B3026">
        <v>842</v>
      </c>
      <c r="C3026">
        <v>110</v>
      </c>
      <c r="D3026">
        <v>575428</v>
      </c>
      <c r="E3026">
        <v>475507</v>
      </c>
      <c r="F3026">
        <v>18.5</v>
      </c>
      <c r="G3026">
        <v>17.7</v>
      </c>
      <c r="H3026">
        <v>23.8</v>
      </c>
      <c r="I3026">
        <v>16.7</v>
      </c>
    </row>
    <row r="3027" spans="1:9" ht="24" customHeight="1">
      <c r="A3027" s="6" t="s">
        <v>4260</v>
      </c>
      <c r="B3027">
        <v>644</v>
      </c>
      <c r="C3027">
        <v>18</v>
      </c>
      <c r="D3027">
        <v>580852</v>
      </c>
      <c r="E3027">
        <v>408356</v>
      </c>
      <c r="F3027">
        <v>35.200000000000003</v>
      </c>
      <c r="G3027">
        <v>12.3</v>
      </c>
      <c r="H3027">
        <v>23.7</v>
      </c>
      <c r="I3027">
        <v>21.2</v>
      </c>
    </row>
    <row r="3028" spans="1:9" ht="24" customHeight="1">
      <c r="A3028" s="6" t="s">
        <v>4261</v>
      </c>
      <c r="B3028">
        <v>989</v>
      </c>
      <c r="C3028">
        <v>92</v>
      </c>
      <c r="D3028">
        <v>557895</v>
      </c>
      <c r="E3028">
        <v>339656</v>
      </c>
      <c r="F3028">
        <v>1.8</v>
      </c>
      <c r="G3028">
        <v>0</v>
      </c>
      <c r="H3028">
        <v>21</v>
      </c>
      <c r="I3028">
        <v>7.4</v>
      </c>
    </row>
    <row r="3029" spans="1:9" ht="24" customHeight="1">
      <c r="A3029" s="6" t="s">
        <v>4262</v>
      </c>
      <c r="B3029">
        <v>7581</v>
      </c>
      <c r="C3029">
        <v>2312</v>
      </c>
      <c r="D3029">
        <v>435697</v>
      </c>
      <c r="E3029">
        <v>353478</v>
      </c>
      <c r="F3029">
        <v>13.4</v>
      </c>
      <c r="G3029">
        <v>7.5</v>
      </c>
      <c r="H3029">
        <v>16.3</v>
      </c>
      <c r="I3029">
        <v>16.2</v>
      </c>
    </row>
    <row r="3030" spans="1:9" ht="24" customHeight="1">
      <c r="A3030" s="6" t="s">
        <v>865</v>
      </c>
      <c r="B3030">
        <v>135</v>
      </c>
      <c r="C3030">
        <v>5</v>
      </c>
      <c r="D3030">
        <v>1489158</v>
      </c>
      <c r="E3030">
        <v>575386</v>
      </c>
      <c r="F3030">
        <v>0</v>
      </c>
      <c r="G3030">
        <v>1</v>
      </c>
      <c r="H3030">
        <v>25.7</v>
      </c>
      <c r="I3030">
        <v>26</v>
      </c>
    </row>
    <row r="3031" spans="1:9" ht="24" customHeight="1">
      <c r="A3031" s="6" t="s">
        <v>866</v>
      </c>
      <c r="B3031">
        <v>144</v>
      </c>
      <c r="C3031">
        <v>8</v>
      </c>
      <c r="D3031">
        <v>1204821</v>
      </c>
      <c r="E3031">
        <v>1295097</v>
      </c>
      <c r="F3031">
        <v>0.2</v>
      </c>
      <c r="G3031">
        <v>0</v>
      </c>
      <c r="H3031">
        <v>24.7</v>
      </c>
      <c r="I3031">
        <v>4</v>
      </c>
    </row>
    <row r="3032" spans="1:9" ht="24" customHeight="1">
      <c r="A3032" s="6" t="s">
        <v>867</v>
      </c>
      <c r="B3032">
        <v>28</v>
      </c>
      <c r="C3032">
        <v>0</v>
      </c>
      <c r="D3032">
        <v>724973</v>
      </c>
      <c r="E3032"/>
      <c r="F3032">
        <v>12.6</v>
      </c>
      <c r="G3032"/>
      <c r="H3032">
        <v>31.2</v>
      </c>
      <c r="I3032"/>
    </row>
    <row r="3033" spans="1:9" ht="24" customHeight="1">
      <c r="A3033" s="6" t="s">
        <v>868</v>
      </c>
      <c r="B3033">
        <v>41</v>
      </c>
      <c r="C3033">
        <v>0</v>
      </c>
      <c r="D3033">
        <v>816575</v>
      </c>
      <c r="E3033"/>
      <c r="F3033">
        <v>20.6</v>
      </c>
      <c r="G3033"/>
      <c r="H3033">
        <v>24</v>
      </c>
      <c r="I3033"/>
    </row>
    <row r="3034" spans="1:9" ht="24" customHeight="1">
      <c r="A3034" s="6" t="s">
        <v>869</v>
      </c>
      <c r="B3034">
        <v>349</v>
      </c>
      <c r="C3034">
        <v>24</v>
      </c>
      <c r="D3034">
        <v>1109468</v>
      </c>
      <c r="E3034">
        <v>1126149</v>
      </c>
      <c r="F3034">
        <v>1.2</v>
      </c>
      <c r="G3034">
        <v>0</v>
      </c>
      <c r="H3034">
        <v>18.600000000000001</v>
      </c>
      <c r="I3034">
        <v>15</v>
      </c>
    </row>
    <row r="3035" spans="1:9" ht="24" customHeight="1">
      <c r="A3035" s="6" t="s">
        <v>870</v>
      </c>
      <c r="B3035">
        <v>862</v>
      </c>
      <c r="C3035">
        <v>481</v>
      </c>
      <c r="D3035">
        <v>615328</v>
      </c>
      <c r="E3035">
        <v>548331</v>
      </c>
      <c r="F3035">
        <v>22.8</v>
      </c>
      <c r="G3035">
        <v>12.3</v>
      </c>
      <c r="H3035">
        <v>10.7</v>
      </c>
      <c r="I3035">
        <v>9.4</v>
      </c>
    </row>
    <row r="3036" spans="1:9" ht="24" customHeight="1">
      <c r="A3036" s="6" t="s">
        <v>4263</v>
      </c>
      <c r="B3036">
        <v>175</v>
      </c>
      <c r="C3036">
        <v>4</v>
      </c>
      <c r="D3036">
        <v>540459</v>
      </c>
      <c r="E3036">
        <v>520762</v>
      </c>
      <c r="F3036">
        <v>3.5</v>
      </c>
      <c r="G3036">
        <v>6.6</v>
      </c>
      <c r="H3036">
        <v>19.2</v>
      </c>
      <c r="I3036">
        <v>27.6</v>
      </c>
    </row>
    <row r="3037" spans="1:9" ht="24" customHeight="1">
      <c r="A3037" s="6" t="s">
        <v>4264</v>
      </c>
      <c r="B3037">
        <v>203</v>
      </c>
      <c r="C3037">
        <v>9</v>
      </c>
      <c r="D3037">
        <v>513560</v>
      </c>
      <c r="E3037">
        <v>431414</v>
      </c>
      <c r="F3037">
        <v>9.6999999999999993</v>
      </c>
      <c r="G3037">
        <v>1.4</v>
      </c>
      <c r="H3037">
        <v>18.8</v>
      </c>
      <c r="I3037">
        <v>23.2</v>
      </c>
    </row>
    <row r="3038" spans="1:9" ht="24" customHeight="1">
      <c r="A3038" s="6" t="s">
        <v>4265</v>
      </c>
      <c r="B3038">
        <v>81</v>
      </c>
      <c r="C3038">
        <v>21</v>
      </c>
      <c r="D3038">
        <v>509996</v>
      </c>
      <c r="E3038">
        <v>349609</v>
      </c>
      <c r="F3038">
        <v>10.5</v>
      </c>
      <c r="G3038">
        <v>2.7</v>
      </c>
      <c r="H3038">
        <v>14.6</v>
      </c>
      <c r="I3038">
        <v>23.6</v>
      </c>
    </row>
    <row r="3039" spans="1:9" ht="24" customHeight="1">
      <c r="A3039" s="6" t="s">
        <v>4266</v>
      </c>
      <c r="B3039">
        <v>347</v>
      </c>
      <c r="C3039">
        <v>0</v>
      </c>
      <c r="D3039">
        <v>468641</v>
      </c>
      <c r="E3039"/>
      <c r="F3039">
        <v>20.3</v>
      </c>
      <c r="G3039"/>
      <c r="H3039">
        <v>17.399999999999999</v>
      </c>
      <c r="I3039"/>
    </row>
    <row r="3040" spans="1:9" ht="24" customHeight="1">
      <c r="A3040" s="6" t="s">
        <v>4267</v>
      </c>
      <c r="B3040">
        <v>114</v>
      </c>
      <c r="C3040">
        <v>11</v>
      </c>
      <c r="D3040">
        <v>537928</v>
      </c>
      <c r="E3040">
        <v>545622</v>
      </c>
      <c r="F3040">
        <v>5</v>
      </c>
      <c r="G3040">
        <v>0</v>
      </c>
      <c r="H3040">
        <v>21.2</v>
      </c>
      <c r="I3040">
        <v>13.2</v>
      </c>
    </row>
    <row r="3041" spans="1:9" ht="24" customHeight="1">
      <c r="A3041" s="6" t="s">
        <v>4268</v>
      </c>
      <c r="B3041">
        <v>3826</v>
      </c>
      <c r="C3041">
        <v>631</v>
      </c>
      <c r="D3041">
        <v>359043</v>
      </c>
      <c r="E3041">
        <v>271063</v>
      </c>
      <c r="F3041">
        <v>13.9</v>
      </c>
      <c r="G3041">
        <v>4.3</v>
      </c>
      <c r="H3041">
        <v>11.2</v>
      </c>
      <c r="I3041">
        <v>9.6999999999999993</v>
      </c>
    </row>
    <row r="3042" spans="1:9" ht="24" customHeight="1">
      <c r="A3042" s="6" t="s">
        <v>4269</v>
      </c>
      <c r="B3042">
        <v>37</v>
      </c>
      <c r="C3042">
        <v>0</v>
      </c>
      <c r="D3042">
        <v>800335</v>
      </c>
      <c r="E3042"/>
      <c r="F3042">
        <v>0</v>
      </c>
      <c r="G3042"/>
      <c r="H3042">
        <v>26.4</v>
      </c>
      <c r="I3042"/>
    </row>
    <row r="3043" spans="1:9" ht="24" customHeight="1">
      <c r="A3043" s="6" t="s">
        <v>4270</v>
      </c>
      <c r="B3043">
        <v>118</v>
      </c>
      <c r="C3043">
        <v>0</v>
      </c>
      <c r="D3043">
        <v>672126</v>
      </c>
      <c r="E3043"/>
      <c r="F3043">
        <v>3.6</v>
      </c>
      <c r="G3043"/>
      <c r="H3043">
        <v>23.4</v>
      </c>
      <c r="I3043"/>
    </row>
    <row r="3044" spans="1:9" ht="24" customHeight="1">
      <c r="A3044" s="6" t="s">
        <v>4271</v>
      </c>
      <c r="B3044">
        <v>114</v>
      </c>
      <c r="C3044">
        <v>34</v>
      </c>
      <c r="D3044">
        <v>589451</v>
      </c>
      <c r="E3044">
        <v>494241</v>
      </c>
      <c r="F3044">
        <v>10.199999999999999</v>
      </c>
      <c r="G3044">
        <v>3.6</v>
      </c>
      <c r="H3044">
        <v>19.7</v>
      </c>
      <c r="I3044">
        <v>19</v>
      </c>
    </row>
    <row r="3045" spans="1:9" ht="24" customHeight="1">
      <c r="A3045" s="6" t="s">
        <v>4272</v>
      </c>
      <c r="B3045">
        <v>96</v>
      </c>
      <c r="C3045">
        <v>0</v>
      </c>
      <c r="D3045">
        <v>461747</v>
      </c>
      <c r="E3045"/>
      <c r="F3045">
        <v>5.7</v>
      </c>
      <c r="G3045"/>
      <c r="H3045">
        <v>23.2</v>
      </c>
      <c r="I3045"/>
    </row>
    <row r="3046" spans="1:9" ht="24" customHeight="1">
      <c r="A3046" s="6" t="s">
        <v>4273</v>
      </c>
      <c r="B3046">
        <v>39</v>
      </c>
      <c r="C3046">
        <v>4</v>
      </c>
      <c r="D3046">
        <v>640431</v>
      </c>
      <c r="E3046">
        <v>593539</v>
      </c>
      <c r="F3046">
        <v>0.5</v>
      </c>
      <c r="G3046">
        <v>8.5</v>
      </c>
      <c r="H3046">
        <v>15.6</v>
      </c>
      <c r="I3046">
        <v>7</v>
      </c>
    </row>
    <row r="3047" spans="1:9" ht="24" customHeight="1">
      <c r="A3047" s="6" t="s">
        <v>4274</v>
      </c>
      <c r="B3047">
        <v>692</v>
      </c>
      <c r="C3047">
        <v>71</v>
      </c>
      <c r="D3047">
        <v>414866</v>
      </c>
      <c r="E3047">
        <v>325244</v>
      </c>
      <c r="F3047">
        <v>13.6</v>
      </c>
      <c r="G3047">
        <v>4.0999999999999996</v>
      </c>
      <c r="H3047">
        <v>13.2</v>
      </c>
      <c r="I3047">
        <v>8.5</v>
      </c>
    </row>
    <row r="3048" spans="1:9" ht="24" customHeight="1">
      <c r="A3048" s="6" t="s">
        <v>4275</v>
      </c>
      <c r="B3048">
        <v>16</v>
      </c>
      <c r="C3048">
        <v>12</v>
      </c>
      <c r="D3048">
        <v>840515</v>
      </c>
      <c r="E3048">
        <v>1559650</v>
      </c>
      <c r="F3048">
        <v>0</v>
      </c>
      <c r="G3048">
        <v>0</v>
      </c>
      <c r="H3048">
        <v>12.9</v>
      </c>
      <c r="I3048">
        <v>29</v>
      </c>
    </row>
    <row r="3049" spans="1:9" ht="24" customHeight="1">
      <c r="A3049" s="6" t="s">
        <v>4276</v>
      </c>
      <c r="B3049">
        <v>136</v>
      </c>
      <c r="C3049">
        <v>12</v>
      </c>
      <c r="D3049">
        <v>1336448</v>
      </c>
      <c r="E3049">
        <v>1046018</v>
      </c>
      <c r="F3049">
        <v>1.3</v>
      </c>
      <c r="G3049">
        <v>1</v>
      </c>
      <c r="H3049">
        <v>23.7</v>
      </c>
      <c r="I3049">
        <v>17</v>
      </c>
    </row>
    <row r="3050" spans="1:9" ht="24" customHeight="1">
      <c r="A3050" s="6" t="s">
        <v>4277</v>
      </c>
      <c r="B3050">
        <v>16</v>
      </c>
      <c r="C3050">
        <v>5</v>
      </c>
      <c r="D3050">
        <v>668480</v>
      </c>
      <c r="E3050">
        <v>722040</v>
      </c>
      <c r="F3050">
        <v>15.8</v>
      </c>
      <c r="G3050">
        <v>2</v>
      </c>
      <c r="H3050">
        <v>17.7</v>
      </c>
      <c r="I3050">
        <v>12</v>
      </c>
    </row>
    <row r="3051" spans="1:9" ht="24" customHeight="1">
      <c r="A3051" s="6" t="s">
        <v>4278</v>
      </c>
      <c r="B3051">
        <v>31</v>
      </c>
      <c r="C3051">
        <v>0</v>
      </c>
      <c r="D3051">
        <v>724067</v>
      </c>
      <c r="E3051"/>
      <c r="F3051">
        <v>20</v>
      </c>
      <c r="G3051"/>
      <c r="H3051">
        <v>17.7</v>
      </c>
      <c r="I3051"/>
    </row>
    <row r="3052" spans="1:9" ht="24" customHeight="1">
      <c r="A3052" s="6" t="s">
        <v>4279</v>
      </c>
      <c r="B3052">
        <v>21</v>
      </c>
      <c r="C3052">
        <v>0</v>
      </c>
      <c r="D3052">
        <v>1141677</v>
      </c>
      <c r="E3052"/>
      <c r="F3052">
        <v>3.3</v>
      </c>
      <c r="G3052"/>
      <c r="H3052">
        <v>28.7</v>
      </c>
      <c r="I3052"/>
    </row>
    <row r="3053" spans="1:9" ht="24" customHeight="1">
      <c r="A3053" s="6" t="s">
        <v>4280</v>
      </c>
      <c r="B3053">
        <v>940</v>
      </c>
      <c r="C3053">
        <v>247</v>
      </c>
      <c r="D3053">
        <v>711885</v>
      </c>
      <c r="E3053">
        <v>470286</v>
      </c>
      <c r="F3053">
        <v>10.6</v>
      </c>
      <c r="G3053">
        <v>12</v>
      </c>
      <c r="H3053">
        <v>13.2</v>
      </c>
      <c r="I3053">
        <v>8.9</v>
      </c>
    </row>
    <row r="3054" spans="1:9" ht="24" customHeight="1">
      <c r="A3054" s="6" t="s">
        <v>871</v>
      </c>
      <c r="B3054">
        <v>19071</v>
      </c>
      <c r="C3054">
        <v>353</v>
      </c>
      <c r="D3054">
        <v>1095703</v>
      </c>
      <c r="E3054">
        <v>926989</v>
      </c>
      <c r="F3054">
        <v>0.2</v>
      </c>
      <c r="G3054">
        <v>0</v>
      </c>
      <c r="H3054">
        <v>30.3</v>
      </c>
      <c r="I3054">
        <v>33.299999999999997</v>
      </c>
    </row>
    <row r="3055" spans="1:9" ht="24" customHeight="1">
      <c r="A3055" s="6" t="s">
        <v>872</v>
      </c>
      <c r="B3055">
        <v>38649</v>
      </c>
      <c r="C3055">
        <v>1819</v>
      </c>
      <c r="D3055">
        <v>1014948</v>
      </c>
      <c r="E3055">
        <v>886328</v>
      </c>
      <c r="F3055">
        <v>5.3</v>
      </c>
      <c r="G3055">
        <v>11.3</v>
      </c>
      <c r="H3055">
        <v>25.8</v>
      </c>
      <c r="I3055">
        <v>24.6</v>
      </c>
    </row>
    <row r="3056" spans="1:9" ht="24" customHeight="1">
      <c r="A3056" s="6" t="s">
        <v>873</v>
      </c>
      <c r="B3056">
        <v>19609</v>
      </c>
      <c r="C3056">
        <v>4626</v>
      </c>
      <c r="D3056">
        <v>756456</v>
      </c>
      <c r="E3056">
        <v>564717</v>
      </c>
      <c r="F3056">
        <v>29.6</v>
      </c>
      <c r="G3056">
        <v>15.9</v>
      </c>
      <c r="H3056">
        <v>18</v>
      </c>
      <c r="I3056">
        <v>18.600000000000001</v>
      </c>
    </row>
    <row r="3057" spans="1:9" ht="24" customHeight="1">
      <c r="A3057" s="6" t="s">
        <v>874</v>
      </c>
      <c r="B3057">
        <v>10978</v>
      </c>
      <c r="C3057">
        <v>61</v>
      </c>
      <c r="D3057">
        <v>808538</v>
      </c>
      <c r="E3057">
        <v>635971</v>
      </c>
      <c r="F3057">
        <v>18.3</v>
      </c>
      <c r="G3057">
        <v>20.3</v>
      </c>
      <c r="H3057">
        <v>23.5</v>
      </c>
      <c r="I3057">
        <v>28.6</v>
      </c>
    </row>
    <row r="3058" spans="1:9" ht="24" customHeight="1">
      <c r="A3058" s="6" t="s">
        <v>875</v>
      </c>
      <c r="B3058">
        <v>16569</v>
      </c>
      <c r="C3058">
        <v>879</v>
      </c>
      <c r="D3058">
        <v>894812</v>
      </c>
      <c r="E3058">
        <v>614863</v>
      </c>
      <c r="F3058">
        <v>11.8</v>
      </c>
      <c r="G3058">
        <v>3.3</v>
      </c>
      <c r="H3058">
        <v>23</v>
      </c>
      <c r="I3058">
        <v>28.7</v>
      </c>
    </row>
    <row r="3059" spans="1:9" ht="24" customHeight="1">
      <c r="A3059" s="6" t="s">
        <v>876</v>
      </c>
      <c r="B3059">
        <v>140964</v>
      </c>
      <c r="C3059">
        <v>40866</v>
      </c>
      <c r="D3059">
        <v>609100</v>
      </c>
      <c r="E3059">
        <v>469138</v>
      </c>
      <c r="F3059">
        <v>27.8</v>
      </c>
      <c r="G3059">
        <v>19</v>
      </c>
      <c r="H3059">
        <v>12</v>
      </c>
      <c r="I3059">
        <v>11.2</v>
      </c>
    </row>
    <row r="3060" spans="1:9" ht="24" customHeight="1">
      <c r="A3060" s="6" t="s">
        <v>4281</v>
      </c>
      <c r="B3060">
        <v>64853</v>
      </c>
      <c r="C3060">
        <v>5508</v>
      </c>
      <c r="D3060">
        <v>605439</v>
      </c>
      <c r="E3060">
        <v>486373</v>
      </c>
      <c r="F3060">
        <v>6.4</v>
      </c>
      <c r="G3060">
        <v>3.2</v>
      </c>
      <c r="H3060">
        <v>22</v>
      </c>
      <c r="I3060">
        <v>19.100000000000001</v>
      </c>
    </row>
    <row r="3061" spans="1:9" ht="24" customHeight="1">
      <c r="A3061" s="6" t="s">
        <v>4282</v>
      </c>
      <c r="B3061">
        <v>76767</v>
      </c>
      <c r="C3061">
        <v>4051</v>
      </c>
      <c r="D3061">
        <v>531672</v>
      </c>
      <c r="E3061">
        <v>393801</v>
      </c>
      <c r="F3061">
        <v>6.8</v>
      </c>
      <c r="G3061">
        <v>1.3</v>
      </c>
      <c r="H3061">
        <v>17.100000000000001</v>
      </c>
      <c r="I3061">
        <v>16.399999999999999</v>
      </c>
    </row>
    <row r="3062" spans="1:9" ht="24" customHeight="1">
      <c r="A3062" s="6" t="s">
        <v>4283</v>
      </c>
      <c r="B3062">
        <v>38201</v>
      </c>
      <c r="C3062">
        <v>9347</v>
      </c>
      <c r="D3062">
        <v>466858</v>
      </c>
      <c r="E3062">
        <v>380688</v>
      </c>
      <c r="F3062">
        <v>13.5</v>
      </c>
      <c r="G3062">
        <v>8.3000000000000007</v>
      </c>
      <c r="H3062">
        <v>16</v>
      </c>
      <c r="I3062">
        <v>14.5</v>
      </c>
    </row>
    <row r="3063" spans="1:9" ht="24" customHeight="1">
      <c r="A3063" s="6" t="s">
        <v>4284</v>
      </c>
      <c r="B3063">
        <v>99504</v>
      </c>
      <c r="C3063">
        <v>3115</v>
      </c>
      <c r="D3063">
        <v>457448</v>
      </c>
      <c r="E3063">
        <v>350877</v>
      </c>
      <c r="F3063">
        <v>11.7</v>
      </c>
      <c r="G3063">
        <v>0.8</v>
      </c>
      <c r="H3063">
        <v>14.2</v>
      </c>
      <c r="I3063">
        <v>9.8000000000000007</v>
      </c>
    </row>
    <row r="3064" spans="1:9" ht="24" customHeight="1">
      <c r="A3064" s="6" t="s">
        <v>4285</v>
      </c>
      <c r="B3064">
        <v>30757</v>
      </c>
      <c r="C3064">
        <v>3085</v>
      </c>
      <c r="D3064">
        <v>477591</v>
      </c>
      <c r="E3064">
        <v>367526</v>
      </c>
      <c r="F3064">
        <v>11.3</v>
      </c>
      <c r="G3064">
        <v>5.4</v>
      </c>
      <c r="H3064">
        <v>16.3</v>
      </c>
      <c r="I3064">
        <v>11.2</v>
      </c>
    </row>
    <row r="3065" spans="1:9" ht="24" customHeight="1">
      <c r="A3065" s="6" t="s">
        <v>4286</v>
      </c>
      <c r="B3065">
        <v>525721</v>
      </c>
      <c r="C3065">
        <v>127412</v>
      </c>
      <c r="D3065">
        <v>375084</v>
      </c>
      <c r="E3065">
        <v>286561</v>
      </c>
      <c r="F3065">
        <v>11.7</v>
      </c>
      <c r="G3065">
        <v>4.3</v>
      </c>
      <c r="H3065">
        <v>9.9</v>
      </c>
      <c r="I3065">
        <v>8.9</v>
      </c>
    </row>
    <row r="3066" spans="1:9" ht="24" customHeight="1">
      <c r="A3066" s="6" t="s">
        <v>4287</v>
      </c>
      <c r="B3066">
        <v>9676</v>
      </c>
      <c r="C3066">
        <v>180</v>
      </c>
      <c r="D3066">
        <v>745426</v>
      </c>
      <c r="E3066">
        <v>513373</v>
      </c>
      <c r="F3066">
        <v>2.6</v>
      </c>
      <c r="G3066">
        <v>1.9</v>
      </c>
      <c r="H3066">
        <v>25.3</v>
      </c>
      <c r="I3066">
        <v>21.9</v>
      </c>
    </row>
    <row r="3067" spans="1:9" ht="24" customHeight="1">
      <c r="A3067" s="6" t="s">
        <v>4288</v>
      </c>
      <c r="B3067">
        <v>19695</v>
      </c>
      <c r="C3067">
        <v>1295</v>
      </c>
      <c r="D3067">
        <v>627920</v>
      </c>
      <c r="E3067">
        <v>515777</v>
      </c>
      <c r="F3067">
        <v>8.1999999999999993</v>
      </c>
      <c r="G3067">
        <v>5.6</v>
      </c>
      <c r="H3067">
        <v>20</v>
      </c>
      <c r="I3067">
        <v>20.9</v>
      </c>
    </row>
    <row r="3068" spans="1:9" ht="24" customHeight="1">
      <c r="A3068" s="6" t="s">
        <v>4289</v>
      </c>
      <c r="B3068">
        <v>12875</v>
      </c>
      <c r="C3068">
        <v>2437</v>
      </c>
      <c r="D3068">
        <v>546633</v>
      </c>
      <c r="E3068">
        <v>427630</v>
      </c>
      <c r="F3068">
        <v>17.399999999999999</v>
      </c>
      <c r="G3068">
        <v>6.6</v>
      </c>
      <c r="H3068">
        <v>16.5</v>
      </c>
      <c r="I3068">
        <v>19.600000000000001</v>
      </c>
    </row>
    <row r="3069" spans="1:9" ht="24" customHeight="1">
      <c r="A3069" s="6" t="s">
        <v>4290</v>
      </c>
      <c r="B3069">
        <v>10833</v>
      </c>
      <c r="C3069">
        <v>153</v>
      </c>
      <c r="D3069">
        <v>518549</v>
      </c>
      <c r="E3069">
        <v>452459</v>
      </c>
      <c r="F3069">
        <v>19.399999999999999</v>
      </c>
      <c r="G3069">
        <v>18.899999999999999</v>
      </c>
      <c r="H3069">
        <v>16.7</v>
      </c>
      <c r="I3069">
        <v>16.899999999999999</v>
      </c>
    </row>
    <row r="3070" spans="1:9" ht="24" customHeight="1">
      <c r="A3070" s="6" t="s">
        <v>4291</v>
      </c>
      <c r="B3070">
        <v>5873</v>
      </c>
      <c r="C3070">
        <v>1520</v>
      </c>
      <c r="D3070">
        <v>597346</v>
      </c>
      <c r="E3070">
        <v>428844</v>
      </c>
      <c r="F3070">
        <v>10</v>
      </c>
      <c r="G3070">
        <v>5.9</v>
      </c>
      <c r="H3070">
        <v>20.9</v>
      </c>
      <c r="I3070">
        <v>18.899999999999999</v>
      </c>
    </row>
    <row r="3071" spans="1:9" ht="24" customHeight="1">
      <c r="A3071" s="6" t="s">
        <v>4292</v>
      </c>
      <c r="B3071">
        <v>75175</v>
      </c>
      <c r="C3071">
        <v>21227</v>
      </c>
      <c r="D3071">
        <v>423149</v>
      </c>
      <c r="E3071">
        <v>337344</v>
      </c>
      <c r="F3071">
        <v>18.399999999999999</v>
      </c>
      <c r="G3071">
        <v>8.3000000000000007</v>
      </c>
      <c r="H3071">
        <v>9</v>
      </c>
      <c r="I3071">
        <v>8.6999999999999993</v>
      </c>
    </row>
    <row r="3072" spans="1:9" ht="24" customHeight="1">
      <c r="A3072" s="6" t="s">
        <v>4293</v>
      </c>
      <c r="B3072">
        <v>13995</v>
      </c>
      <c r="C3072">
        <v>192</v>
      </c>
      <c r="D3072">
        <v>881286</v>
      </c>
      <c r="E3072">
        <v>767573</v>
      </c>
      <c r="F3072">
        <v>4.3</v>
      </c>
      <c r="G3072">
        <v>0</v>
      </c>
      <c r="H3072">
        <v>25.3</v>
      </c>
      <c r="I3072">
        <v>15.2</v>
      </c>
    </row>
    <row r="3073" spans="1:9" ht="24" customHeight="1">
      <c r="A3073" s="6" t="s">
        <v>4294</v>
      </c>
      <c r="B3073">
        <v>21998</v>
      </c>
      <c r="C3073">
        <v>1009</v>
      </c>
      <c r="D3073">
        <v>730771</v>
      </c>
      <c r="E3073">
        <v>605935</v>
      </c>
      <c r="F3073">
        <v>8.5</v>
      </c>
      <c r="G3073">
        <v>6.9</v>
      </c>
      <c r="H3073">
        <v>20.2</v>
      </c>
      <c r="I3073">
        <v>25.3</v>
      </c>
    </row>
    <row r="3074" spans="1:9" ht="24" customHeight="1">
      <c r="A3074" s="6" t="s">
        <v>4295</v>
      </c>
      <c r="B3074">
        <v>13475</v>
      </c>
      <c r="C3074">
        <v>2755</v>
      </c>
      <c r="D3074">
        <v>595990</v>
      </c>
      <c r="E3074">
        <v>528639</v>
      </c>
      <c r="F3074">
        <v>26</v>
      </c>
      <c r="G3074">
        <v>29.6</v>
      </c>
      <c r="H3074">
        <v>17.2</v>
      </c>
      <c r="I3074">
        <v>16.5</v>
      </c>
    </row>
    <row r="3075" spans="1:9" ht="24" customHeight="1">
      <c r="A3075" s="6" t="s">
        <v>4296</v>
      </c>
      <c r="B3075">
        <v>10490</v>
      </c>
      <c r="C3075">
        <v>602</v>
      </c>
      <c r="D3075">
        <v>555904</v>
      </c>
      <c r="E3075">
        <v>421336</v>
      </c>
      <c r="F3075">
        <v>14.6</v>
      </c>
      <c r="G3075">
        <v>17.8</v>
      </c>
      <c r="H3075">
        <v>19.7</v>
      </c>
      <c r="I3075">
        <v>16.399999999999999</v>
      </c>
    </row>
    <row r="3076" spans="1:9" ht="24" customHeight="1">
      <c r="A3076" s="6" t="s">
        <v>4297</v>
      </c>
      <c r="B3076">
        <v>12992</v>
      </c>
      <c r="C3076">
        <v>1759</v>
      </c>
      <c r="D3076">
        <v>659752</v>
      </c>
      <c r="E3076">
        <v>530161</v>
      </c>
      <c r="F3076">
        <v>18.399999999999999</v>
      </c>
      <c r="G3076">
        <v>29.5</v>
      </c>
      <c r="H3076">
        <v>18.2</v>
      </c>
      <c r="I3076">
        <v>15.2</v>
      </c>
    </row>
    <row r="3077" spans="1:9" ht="24" customHeight="1">
      <c r="A3077" s="6" t="s">
        <v>4298</v>
      </c>
      <c r="B3077">
        <v>90107</v>
      </c>
      <c r="C3077">
        <v>30376</v>
      </c>
      <c r="D3077">
        <v>468041</v>
      </c>
      <c r="E3077">
        <v>371709</v>
      </c>
      <c r="F3077">
        <v>21.4</v>
      </c>
      <c r="G3077">
        <v>12.5</v>
      </c>
      <c r="H3077">
        <v>9.6999999999999993</v>
      </c>
      <c r="I3077">
        <v>7.6</v>
      </c>
    </row>
    <row r="3078" spans="1:9" ht="24" customHeight="1">
      <c r="A3078" s="6" t="s">
        <v>877</v>
      </c>
      <c r="B3078">
        <v>48610</v>
      </c>
      <c r="C3078">
        <v>2296</v>
      </c>
      <c r="D3078">
        <v>1127179</v>
      </c>
      <c r="E3078">
        <v>1104079</v>
      </c>
      <c r="F3078">
        <v>1.2</v>
      </c>
      <c r="G3078">
        <v>3.3</v>
      </c>
      <c r="H3078">
        <v>28.3</v>
      </c>
      <c r="I3078">
        <v>22.2</v>
      </c>
    </row>
    <row r="3079" spans="1:9" ht="24" customHeight="1">
      <c r="A3079" s="6" t="s">
        <v>878</v>
      </c>
      <c r="B3079">
        <v>118623</v>
      </c>
      <c r="C3079">
        <v>6267</v>
      </c>
      <c r="D3079">
        <v>897226</v>
      </c>
      <c r="E3079">
        <v>900622</v>
      </c>
      <c r="F3079">
        <v>1.3</v>
      </c>
      <c r="G3079">
        <v>0.7</v>
      </c>
      <c r="H3079">
        <v>24.4</v>
      </c>
      <c r="I3079">
        <v>20.399999999999999</v>
      </c>
    </row>
    <row r="3080" spans="1:9" ht="24" customHeight="1">
      <c r="A3080" s="6" t="s">
        <v>879</v>
      </c>
      <c r="B3080">
        <v>112530</v>
      </c>
      <c r="C3080">
        <v>15582</v>
      </c>
      <c r="D3080">
        <v>694090</v>
      </c>
      <c r="E3080">
        <v>546183</v>
      </c>
      <c r="F3080">
        <v>23.5</v>
      </c>
      <c r="G3080">
        <v>13.9</v>
      </c>
      <c r="H3080">
        <v>21.2</v>
      </c>
      <c r="I3080">
        <v>18.5</v>
      </c>
    </row>
    <row r="3081" spans="1:9" ht="24" customHeight="1">
      <c r="A3081" s="6" t="s">
        <v>880</v>
      </c>
      <c r="B3081">
        <v>105748</v>
      </c>
      <c r="C3081">
        <v>9766</v>
      </c>
      <c r="D3081">
        <v>611898</v>
      </c>
      <c r="E3081">
        <v>410826</v>
      </c>
      <c r="F3081">
        <v>27.7</v>
      </c>
      <c r="G3081">
        <v>20.9</v>
      </c>
      <c r="H3081">
        <v>20.3</v>
      </c>
      <c r="I3081">
        <v>13.1</v>
      </c>
    </row>
    <row r="3082" spans="1:9" ht="24" customHeight="1">
      <c r="A3082" s="6" t="s">
        <v>881</v>
      </c>
      <c r="B3082">
        <v>69141</v>
      </c>
      <c r="C3082">
        <v>5428</v>
      </c>
      <c r="D3082">
        <v>834776</v>
      </c>
      <c r="E3082">
        <v>593516</v>
      </c>
      <c r="F3082">
        <v>9.5</v>
      </c>
      <c r="G3082">
        <v>7.5</v>
      </c>
      <c r="H3082">
        <v>23.9</v>
      </c>
      <c r="I3082">
        <v>21</v>
      </c>
    </row>
    <row r="3083" spans="1:9" ht="24" customHeight="1">
      <c r="A3083" s="6" t="s">
        <v>882</v>
      </c>
      <c r="B3083">
        <v>941104</v>
      </c>
      <c r="C3083">
        <v>270891</v>
      </c>
      <c r="D3083">
        <v>530037</v>
      </c>
      <c r="E3083">
        <v>405238</v>
      </c>
      <c r="F3083">
        <v>19.399999999999999</v>
      </c>
      <c r="G3083">
        <v>12.4</v>
      </c>
      <c r="H3083">
        <v>15</v>
      </c>
      <c r="I3083">
        <v>13</v>
      </c>
    </row>
    <row r="3084" spans="1:9" ht="24" customHeight="1">
      <c r="A3084" s="6" t="s">
        <v>4299</v>
      </c>
      <c r="B3084">
        <v>69879</v>
      </c>
      <c r="C3084">
        <v>3422</v>
      </c>
      <c r="D3084">
        <v>590885</v>
      </c>
      <c r="E3084">
        <v>457041</v>
      </c>
      <c r="F3084">
        <v>3.6</v>
      </c>
      <c r="G3084">
        <v>10.3</v>
      </c>
      <c r="H3084">
        <v>21.2</v>
      </c>
      <c r="I3084">
        <v>18.2</v>
      </c>
    </row>
    <row r="3085" spans="1:9" ht="24" customHeight="1">
      <c r="A3085" s="6" t="s">
        <v>4300</v>
      </c>
      <c r="B3085">
        <v>97826</v>
      </c>
      <c r="C3085">
        <v>9100</v>
      </c>
      <c r="D3085">
        <v>506395</v>
      </c>
      <c r="E3085">
        <v>388965</v>
      </c>
      <c r="F3085">
        <v>6.7</v>
      </c>
      <c r="G3085">
        <v>3.7</v>
      </c>
      <c r="H3085">
        <v>19.899999999999999</v>
      </c>
      <c r="I3085">
        <v>17.100000000000001</v>
      </c>
    </row>
    <row r="3086" spans="1:9" ht="24" customHeight="1">
      <c r="A3086" s="6" t="s">
        <v>4301</v>
      </c>
      <c r="B3086">
        <v>74306</v>
      </c>
      <c r="C3086">
        <v>11985</v>
      </c>
      <c r="D3086">
        <v>443616</v>
      </c>
      <c r="E3086">
        <v>352474</v>
      </c>
      <c r="F3086">
        <v>14.7</v>
      </c>
      <c r="G3086">
        <v>9.4</v>
      </c>
      <c r="H3086">
        <v>17.5</v>
      </c>
      <c r="I3086">
        <v>18.100000000000001</v>
      </c>
    </row>
    <row r="3087" spans="1:9" ht="24" customHeight="1">
      <c r="A3087" s="6" t="s">
        <v>4302</v>
      </c>
      <c r="B3087">
        <v>67179</v>
      </c>
      <c r="C3087">
        <v>12848</v>
      </c>
      <c r="D3087">
        <v>431684</v>
      </c>
      <c r="E3087">
        <v>297289</v>
      </c>
      <c r="F3087">
        <v>15.4</v>
      </c>
      <c r="G3087">
        <v>8.3000000000000007</v>
      </c>
      <c r="H3087">
        <v>17.3</v>
      </c>
      <c r="I3087">
        <v>14.5</v>
      </c>
    </row>
    <row r="3088" spans="1:9" ht="24" customHeight="1">
      <c r="A3088" s="6" t="s">
        <v>4303</v>
      </c>
      <c r="B3088">
        <v>51298</v>
      </c>
      <c r="C3088">
        <v>7666</v>
      </c>
      <c r="D3088">
        <v>471230</v>
      </c>
      <c r="E3088">
        <v>355866</v>
      </c>
      <c r="F3088">
        <v>9.6999999999999993</v>
      </c>
      <c r="G3088">
        <v>6.6</v>
      </c>
      <c r="H3088">
        <v>17.899999999999999</v>
      </c>
      <c r="I3088">
        <v>16.8</v>
      </c>
    </row>
    <row r="3089" spans="1:9" ht="24" customHeight="1">
      <c r="A3089" s="6" t="s">
        <v>4304</v>
      </c>
      <c r="B3089">
        <v>823166</v>
      </c>
      <c r="C3089">
        <v>366830</v>
      </c>
      <c r="D3089">
        <v>346386</v>
      </c>
      <c r="E3089">
        <v>254700</v>
      </c>
      <c r="F3089">
        <v>12.7</v>
      </c>
      <c r="G3089">
        <v>5.5</v>
      </c>
      <c r="H3089">
        <v>10.9</v>
      </c>
      <c r="I3089">
        <v>10.3</v>
      </c>
    </row>
    <row r="3090" spans="1:9" ht="24" customHeight="1">
      <c r="A3090" s="6" t="s">
        <v>4305</v>
      </c>
      <c r="B3090">
        <v>38172</v>
      </c>
      <c r="C3090">
        <v>893</v>
      </c>
      <c r="D3090">
        <v>737311</v>
      </c>
      <c r="E3090">
        <v>584811</v>
      </c>
      <c r="F3090">
        <v>1.2</v>
      </c>
      <c r="G3090">
        <v>2.4</v>
      </c>
      <c r="H3090">
        <v>24.4</v>
      </c>
      <c r="I3090">
        <v>22.7</v>
      </c>
    </row>
    <row r="3091" spans="1:9" ht="24" customHeight="1">
      <c r="A3091" s="6" t="s">
        <v>4306</v>
      </c>
      <c r="B3091">
        <v>72728</v>
      </c>
      <c r="C3091">
        <v>5469</v>
      </c>
      <c r="D3091">
        <v>585488</v>
      </c>
      <c r="E3091">
        <v>499275</v>
      </c>
      <c r="F3091">
        <v>2</v>
      </c>
      <c r="G3091">
        <v>1.8</v>
      </c>
      <c r="H3091">
        <v>22</v>
      </c>
      <c r="I3091">
        <v>20.7</v>
      </c>
    </row>
    <row r="3092" spans="1:9" ht="24" customHeight="1">
      <c r="A3092" s="6" t="s">
        <v>4307</v>
      </c>
      <c r="B3092">
        <v>73693</v>
      </c>
      <c r="C3092">
        <v>10095</v>
      </c>
      <c r="D3092">
        <v>489363</v>
      </c>
      <c r="E3092">
        <v>425895</v>
      </c>
      <c r="F3092">
        <v>18.3</v>
      </c>
      <c r="G3092">
        <v>11.2</v>
      </c>
      <c r="H3092">
        <v>18.399999999999999</v>
      </c>
      <c r="I3092">
        <v>20.8</v>
      </c>
    </row>
    <row r="3093" spans="1:9" ht="24" customHeight="1">
      <c r="A3093" s="6" t="s">
        <v>4308</v>
      </c>
      <c r="B3093">
        <v>56403</v>
      </c>
      <c r="C3093">
        <v>7064</v>
      </c>
      <c r="D3093">
        <v>477261</v>
      </c>
      <c r="E3093">
        <v>362116</v>
      </c>
      <c r="F3093">
        <v>18.7</v>
      </c>
      <c r="G3093">
        <v>11.5</v>
      </c>
      <c r="H3093">
        <v>17.899999999999999</v>
      </c>
      <c r="I3093">
        <v>16.3</v>
      </c>
    </row>
    <row r="3094" spans="1:9" ht="24" customHeight="1">
      <c r="A3094" s="6" t="s">
        <v>4309</v>
      </c>
      <c r="B3094">
        <v>45577</v>
      </c>
      <c r="C3094">
        <v>10045</v>
      </c>
      <c r="D3094">
        <v>520661</v>
      </c>
      <c r="E3094">
        <v>401564</v>
      </c>
      <c r="F3094">
        <v>12.5</v>
      </c>
      <c r="G3094">
        <v>12.6</v>
      </c>
      <c r="H3094">
        <v>19.600000000000001</v>
      </c>
      <c r="I3094">
        <v>18.600000000000001</v>
      </c>
    </row>
    <row r="3095" spans="1:9" ht="24" customHeight="1">
      <c r="A3095" s="6" t="s">
        <v>4310</v>
      </c>
      <c r="B3095">
        <v>526113</v>
      </c>
      <c r="C3095">
        <v>241159</v>
      </c>
      <c r="D3095">
        <v>382571</v>
      </c>
      <c r="E3095">
        <v>296917</v>
      </c>
      <c r="F3095">
        <v>16.2</v>
      </c>
      <c r="G3095">
        <v>9</v>
      </c>
      <c r="H3095">
        <v>11.6</v>
      </c>
      <c r="I3095">
        <v>10.4</v>
      </c>
    </row>
    <row r="3096" spans="1:9" ht="24" customHeight="1">
      <c r="A3096" s="6" t="s">
        <v>4311</v>
      </c>
      <c r="B3096">
        <v>36373</v>
      </c>
      <c r="C3096">
        <v>314</v>
      </c>
      <c r="D3096">
        <v>839891</v>
      </c>
      <c r="E3096">
        <v>857804</v>
      </c>
      <c r="F3096">
        <v>2.6</v>
      </c>
      <c r="G3096">
        <v>0.3</v>
      </c>
      <c r="H3096">
        <v>28</v>
      </c>
      <c r="I3096">
        <v>26</v>
      </c>
    </row>
    <row r="3097" spans="1:9" ht="24" customHeight="1">
      <c r="A3097" s="6" t="s">
        <v>4312</v>
      </c>
      <c r="B3097">
        <v>72947</v>
      </c>
      <c r="C3097">
        <v>3848</v>
      </c>
      <c r="D3097">
        <v>684920</v>
      </c>
      <c r="E3097">
        <v>642463</v>
      </c>
      <c r="F3097">
        <v>4.7</v>
      </c>
      <c r="G3097">
        <v>1.2</v>
      </c>
      <c r="H3097">
        <v>23.2</v>
      </c>
      <c r="I3097">
        <v>22.5</v>
      </c>
    </row>
    <row r="3098" spans="1:9" ht="24" customHeight="1">
      <c r="A3098" s="6" t="s">
        <v>4313</v>
      </c>
      <c r="B3098">
        <v>55027</v>
      </c>
      <c r="C3098">
        <v>7153</v>
      </c>
      <c r="D3098">
        <v>572675</v>
      </c>
      <c r="E3098">
        <v>485671</v>
      </c>
      <c r="F3098">
        <v>21.7</v>
      </c>
      <c r="G3098">
        <v>13.9</v>
      </c>
      <c r="H3098">
        <v>20.7</v>
      </c>
      <c r="I3098">
        <v>18.5</v>
      </c>
    </row>
    <row r="3099" spans="1:9" ht="24" customHeight="1">
      <c r="A3099" s="6" t="s">
        <v>4314</v>
      </c>
      <c r="B3099">
        <v>57007</v>
      </c>
      <c r="C3099">
        <v>6755</v>
      </c>
      <c r="D3099">
        <v>533039</v>
      </c>
      <c r="E3099">
        <v>423339</v>
      </c>
      <c r="F3099">
        <v>24.6</v>
      </c>
      <c r="G3099">
        <v>15.3</v>
      </c>
      <c r="H3099">
        <v>18.899999999999999</v>
      </c>
      <c r="I3099">
        <v>17.5</v>
      </c>
    </row>
    <row r="3100" spans="1:9" ht="24" customHeight="1">
      <c r="A3100" s="6" t="s">
        <v>4315</v>
      </c>
      <c r="B3100">
        <v>43201</v>
      </c>
      <c r="C3100">
        <v>6823</v>
      </c>
      <c r="D3100">
        <v>669895</v>
      </c>
      <c r="E3100">
        <v>541535</v>
      </c>
      <c r="F3100">
        <v>12</v>
      </c>
      <c r="G3100">
        <v>10.1</v>
      </c>
      <c r="H3100">
        <v>22.1</v>
      </c>
      <c r="I3100">
        <v>18.100000000000001</v>
      </c>
    </row>
    <row r="3101" spans="1:9" ht="24" customHeight="1">
      <c r="A3101" s="6" t="s">
        <v>4316</v>
      </c>
      <c r="B3101">
        <v>527337</v>
      </c>
      <c r="C3101">
        <v>169249</v>
      </c>
      <c r="D3101">
        <v>435261</v>
      </c>
      <c r="E3101">
        <v>342911</v>
      </c>
      <c r="F3101">
        <v>18.5</v>
      </c>
      <c r="G3101">
        <v>10.3</v>
      </c>
      <c r="H3101">
        <v>13.3</v>
      </c>
      <c r="I3101">
        <v>12.1</v>
      </c>
    </row>
    <row r="3102" spans="1:9" ht="24" customHeight="1">
      <c r="A3102" s="6" t="s">
        <v>883</v>
      </c>
      <c r="B3102">
        <v>873</v>
      </c>
      <c r="C3102">
        <v>16</v>
      </c>
      <c r="D3102">
        <v>1211774</v>
      </c>
      <c r="E3102">
        <v>1224164</v>
      </c>
      <c r="F3102">
        <v>1.9</v>
      </c>
      <c r="G3102">
        <v>0</v>
      </c>
      <c r="H3102">
        <v>30.6</v>
      </c>
      <c r="I3102">
        <v>26.4</v>
      </c>
    </row>
    <row r="3103" spans="1:9" ht="24" customHeight="1">
      <c r="A3103" s="6" t="s">
        <v>884</v>
      </c>
      <c r="B3103">
        <v>6169</v>
      </c>
      <c r="C3103">
        <v>285</v>
      </c>
      <c r="D3103">
        <v>854219</v>
      </c>
      <c r="E3103">
        <v>849838</v>
      </c>
      <c r="F3103">
        <v>4.0999999999999996</v>
      </c>
      <c r="G3103">
        <v>6.6</v>
      </c>
      <c r="H3103">
        <v>30</v>
      </c>
      <c r="I3103">
        <v>26.6</v>
      </c>
    </row>
    <row r="3104" spans="1:9" ht="24" customHeight="1">
      <c r="A3104" s="6" t="s">
        <v>885</v>
      </c>
      <c r="B3104">
        <v>10370</v>
      </c>
      <c r="C3104">
        <v>779</v>
      </c>
      <c r="D3104">
        <v>824244</v>
      </c>
      <c r="E3104">
        <v>737993</v>
      </c>
      <c r="F3104">
        <v>20.9</v>
      </c>
      <c r="G3104">
        <v>17.2</v>
      </c>
      <c r="H3104">
        <v>27.4</v>
      </c>
      <c r="I3104">
        <v>25.5</v>
      </c>
    </row>
    <row r="3105" spans="1:9" ht="24" customHeight="1">
      <c r="A3105" s="6" t="s">
        <v>886</v>
      </c>
      <c r="B3105">
        <v>7089</v>
      </c>
      <c r="C3105">
        <v>394</v>
      </c>
      <c r="D3105">
        <v>834056</v>
      </c>
      <c r="E3105">
        <v>739730</v>
      </c>
      <c r="F3105">
        <v>13.2</v>
      </c>
      <c r="G3105">
        <v>13.9</v>
      </c>
      <c r="H3105">
        <v>27.9</v>
      </c>
      <c r="I3105">
        <v>27</v>
      </c>
    </row>
    <row r="3106" spans="1:9" ht="24" customHeight="1">
      <c r="A3106" s="6" t="s">
        <v>887</v>
      </c>
      <c r="B3106">
        <v>60410</v>
      </c>
      <c r="C3106">
        <v>11863</v>
      </c>
      <c r="D3106">
        <v>568155</v>
      </c>
      <c r="E3106">
        <v>498904</v>
      </c>
      <c r="F3106">
        <v>19.5</v>
      </c>
      <c r="G3106">
        <v>14.2</v>
      </c>
      <c r="H3106">
        <v>17.2</v>
      </c>
      <c r="I3106">
        <v>17.2</v>
      </c>
    </row>
    <row r="3107" spans="1:9" ht="24" customHeight="1">
      <c r="A3107" s="6" t="s">
        <v>4317</v>
      </c>
      <c r="B3107">
        <v>483</v>
      </c>
      <c r="C3107">
        <v>13</v>
      </c>
      <c r="D3107">
        <v>756381</v>
      </c>
      <c r="E3107">
        <v>425901</v>
      </c>
      <c r="F3107">
        <v>0.5</v>
      </c>
      <c r="G3107">
        <v>0</v>
      </c>
      <c r="H3107">
        <v>21.2</v>
      </c>
      <c r="I3107">
        <v>14.9</v>
      </c>
    </row>
    <row r="3108" spans="1:9" ht="24" customHeight="1">
      <c r="A3108" s="6" t="s">
        <v>4318</v>
      </c>
      <c r="B3108">
        <v>1116</v>
      </c>
      <c r="C3108">
        <v>51</v>
      </c>
      <c r="D3108">
        <v>669240</v>
      </c>
      <c r="E3108">
        <v>513912</v>
      </c>
      <c r="F3108">
        <v>3.6</v>
      </c>
      <c r="G3108">
        <v>14.2</v>
      </c>
      <c r="H3108">
        <v>23.6</v>
      </c>
      <c r="I3108">
        <v>19.2</v>
      </c>
    </row>
    <row r="3109" spans="1:9" ht="24" customHeight="1">
      <c r="A3109" s="6" t="s">
        <v>4319</v>
      </c>
      <c r="B3109">
        <v>1275</v>
      </c>
      <c r="C3109">
        <v>101</v>
      </c>
      <c r="D3109">
        <v>602266</v>
      </c>
      <c r="E3109">
        <v>485964</v>
      </c>
      <c r="F3109">
        <v>10.7</v>
      </c>
      <c r="G3109">
        <v>6.6</v>
      </c>
      <c r="H3109">
        <v>24.1</v>
      </c>
      <c r="I3109">
        <v>23.6</v>
      </c>
    </row>
    <row r="3110" spans="1:9" ht="24" customHeight="1">
      <c r="A3110" s="6" t="s">
        <v>4320</v>
      </c>
      <c r="B3110">
        <v>764</v>
      </c>
      <c r="C3110">
        <v>82</v>
      </c>
      <c r="D3110">
        <v>556996</v>
      </c>
      <c r="E3110">
        <v>418427</v>
      </c>
      <c r="F3110">
        <v>4.9000000000000004</v>
      </c>
      <c r="G3110">
        <v>6.9</v>
      </c>
      <c r="H3110">
        <v>18.600000000000001</v>
      </c>
      <c r="I3110">
        <v>15.2</v>
      </c>
    </row>
    <row r="3111" spans="1:9" ht="24" customHeight="1">
      <c r="A3111" s="6" t="s">
        <v>4321</v>
      </c>
      <c r="B3111">
        <v>7362</v>
      </c>
      <c r="C3111">
        <v>1568</v>
      </c>
      <c r="D3111">
        <v>447784</v>
      </c>
      <c r="E3111">
        <v>362475</v>
      </c>
      <c r="F3111">
        <v>9.1</v>
      </c>
      <c r="G3111">
        <v>4.5</v>
      </c>
      <c r="H3111">
        <v>14.5</v>
      </c>
      <c r="I3111">
        <v>11.5</v>
      </c>
    </row>
    <row r="3112" spans="1:9" ht="24" customHeight="1">
      <c r="A3112" s="6" t="s">
        <v>4322</v>
      </c>
      <c r="B3112">
        <v>225</v>
      </c>
      <c r="C3112">
        <v>30</v>
      </c>
      <c r="D3112">
        <v>975902</v>
      </c>
      <c r="E3112">
        <v>1089186</v>
      </c>
      <c r="F3112">
        <v>0.7</v>
      </c>
      <c r="G3112">
        <v>0</v>
      </c>
      <c r="H3112">
        <v>22.1</v>
      </c>
      <c r="I3112">
        <v>5.5</v>
      </c>
    </row>
    <row r="3113" spans="1:9" ht="24" customHeight="1">
      <c r="A3113" s="6" t="s">
        <v>4323</v>
      </c>
      <c r="B3113">
        <v>817</v>
      </c>
      <c r="C3113">
        <v>78</v>
      </c>
      <c r="D3113">
        <v>762455</v>
      </c>
      <c r="E3113">
        <v>663898</v>
      </c>
      <c r="F3113">
        <v>2.7</v>
      </c>
      <c r="G3113">
        <v>0.4</v>
      </c>
      <c r="H3113">
        <v>24.4</v>
      </c>
      <c r="I3113">
        <v>11.7</v>
      </c>
    </row>
    <row r="3114" spans="1:9" ht="24" customHeight="1">
      <c r="A3114" s="6" t="s">
        <v>4324</v>
      </c>
      <c r="B3114">
        <v>940</v>
      </c>
      <c r="C3114">
        <v>103</v>
      </c>
      <c r="D3114">
        <v>594123</v>
      </c>
      <c r="E3114">
        <v>487970</v>
      </c>
      <c r="F3114">
        <v>10.199999999999999</v>
      </c>
      <c r="G3114">
        <v>5.2</v>
      </c>
      <c r="H3114">
        <v>18.5</v>
      </c>
      <c r="I3114">
        <v>17.100000000000001</v>
      </c>
    </row>
    <row r="3115" spans="1:9" ht="24" customHeight="1">
      <c r="A3115" s="6" t="s">
        <v>4325</v>
      </c>
      <c r="B3115">
        <v>516</v>
      </c>
      <c r="C3115">
        <v>34</v>
      </c>
      <c r="D3115">
        <v>692066</v>
      </c>
      <c r="E3115">
        <v>479001</v>
      </c>
      <c r="F3115">
        <v>8.8000000000000007</v>
      </c>
      <c r="G3115">
        <v>5</v>
      </c>
      <c r="H3115">
        <v>20.8</v>
      </c>
      <c r="I3115">
        <v>11</v>
      </c>
    </row>
    <row r="3116" spans="1:9" ht="24" customHeight="1">
      <c r="A3116" s="6" t="s">
        <v>4326</v>
      </c>
      <c r="B3116">
        <v>3806</v>
      </c>
      <c r="C3116">
        <v>673</v>
      </c>
      <c r="D3116">
        <v>420144</v>
      </c>
      <c r="E3116">
        <v>389536</v>
      </c>
      <c r="F3116">
        <v>11</v>
      </c>
      <c r="G3116">
        <v>8.4</v>
      </c>
      <c r="H3116">
        <v>10.3</v>
      </c>
      <c r="I3116">
        <v>9.9</v>
      </c>
    </row>
    <row r="3117" spans="1:9" ht="24" customHeight="1">
      <c r="A3117" s="6" t="s">
        <v>4327</v>
      </c>
      <c r="B3117">
        <v>249</v>
      </c>
      <c r="C3117">
        <v>5</v>
      </c>
      <c r="D3117">
        <v>952350</v>
      </c>
      <c r="E3117">
        <v>1161868</v>
      </c>
      <c r="F3117">
        <v>0</v>
      </c>
      <c r="G3117">
        <v>0</v>
      </c>
      <c r="H3117">
        <v>29</v>
      </c>
      <c r="I3117">
        <v>32</v>
      </c>
    </row>
    <row r="3118" spans="1:9" ht="24" customHeight="1">
      <c r="A3118" s="6" t="s">
        <v>4328</v>
      </c>
      <c r="B3118">
        <v>734</v>
      </c>
      <c r="C3118">
        <v>46</v>
      </c>
      <c r="D3118">
        <v>786407</v>
      </c>
      <c r="E3118">
        <v>687649</v>
      </c>
      <c r="F3118">
        <v>1.5</v>
      </c>
      <c r="G3118">
        <v>0.5</v>
      </c>
      <c r="H3118">
        <v>25.9</v>
      </c>
      <c r="I3118">
        <v>22.6</v>
      </c>
    </row>
    <row r="3119" spans="1:9" ht="24" customHeight="1">
      <c r="A3119" s="6" t="s">
        <v>4329</v>
      </c>
      <c r="B3119">
        <v>960</v>
      </c>
      <c r="C3119">
        <v>34</v>
      </c>
      <c r="D3119">
        <v>682942</v>
      </c>
      <c r="E3119">
        <v>602249</v>
      </c>
      <c r="F3119">
        <v>14</v>
      </c>
      <c r="G3119">
        <v>17.2</v>
      </c>
      <c r="H3119">
        <v>21.1</v>
      </c>
      <c r="I3119">
        <v>20.9</v>
      </c>
    </row>
    <row r="3120" spans="1:9" ht="24" customHeight="1">
      <c r="A3120" s="6" t="s">
        <v>4330</v>
      </c>
      <c r="B3120">
        <v>766</v>
      </c>
      <c r="C3120">
        <v>15</v>
      </c>
      <c r="D3120">
        <v>628760</v>
      </c>
      <c r="E3120">
        <v>442460</v>
      </c>
      <c r="F3120">
        <v>8.4</v>
      </c>
      <c r="G3120">
        <v>12.6</v>
      </c>
      <c r="H3120">
        <v>13.8</v>
      </c>
      <c r="I3120">
        <v>13</v>
      </c>
    </row>
    <row r="3121" spans="1:9" ht="24" customHeight="1">
      <c r="A3121" s="6" t="s">
        <v>4331</v>
      </c>
      <c r="B3121">
        <v>6098</v>
      </c>
      <c r="C3121">
        <v>1361</v>
      </c>
      <c r="D3121">
        <v>475613</v>
      </c>
      <c r="E3121">
        <v>419181</v>
      </c>
      <c r="F3121">
        <v>11.5</v>
      </c>
      <c r="G3121">
        <v>9.1999999999999993</v>
      </c>
      <c r="H3121">
        <v>13.8</v>
      </c>
      <c r="I3121">
        <v>14.7</v>
      </c>
    </row>
    <row r="3122" spans="1:9" ht="24" customHeight="1">
      <c r="A3122" s="6" t="s">
        <v>888</v>
      </c>
      <c r="B3122">
        <v>20278</v>
      </c>
      <c r="C3122">
        <v>1025</v>
      </c>
      <c r="D3122">
        <v>1097841</v>
      </c>
      <c r="E3122">
        <v>984550</v>
      </c>
      <c r="F3122">
        <v>0.8</v>
      </c>
      <c r="G3122">
        <v>0</v>
      </c>
      <c r="H3122">
        <v>22.1</v>
      </c>
      <c r="I3122">
        <v>16.5</v>
      </c>
    </row>
    <row r="3123" spans="1:9" ht="24" customHeight="1">
      <c r="A3123" s="6" t="s">
        <v>889</v>
      </c>
      <c r="B3123">
        <v>47874</v>
      </c>
      <c r="C3123">
        <v>7372</v>
      </c>
      <c r="D3123">
        <v>840598</v>
      </c>
      <c r="E3123">
        <v>771181</v>
      </c>
      <c r="F3123">
        <v>3.3</v>
      </c>
      <c r="G3123">
        <v>4.7</v>
      </c>
      <c r="H3123">
        <v>20.399999999999999</v>
      </c>
      <c r="I3123">
        <v>20.5</v>
      </c>
    </row>
    <row r="3124" spans="1:9" ht="24" customHeight="1">
      <c r="A3124" s="6" t="s">
        <v>890</v>
      </c>
      <c r="B3124">
        <v>36533</v>
      </c>
      <c r="C3124">
        <v>11873</v>
      </c>
      <c r="D3124">
        <v>608251</v>
      </c>
      <c r="E3124">
        <v>476898</v>
      </c>
      <c r="F3124">
        <v>22.2</v>
      </c>
      <c r="G3124">
        <v>11.6</v>
      </c>
      <c r="H3124">
        <v>15.4</v>
      </c>
      <c r="I3124">
        <v>12</v>
      </c>
    </row>
    <row r="3125" spans="1:9" ht="24" customHeight="1">
      <c r="A3125" s="6" t="s">
        <v>891</v>
      </c>
      <c r="B3125">
        <v>19289</v>
      </c>
      <c r="C3125">
        <v>3839</v>
      </c>
      <c r="D3125">
        <v>808447</v>
      </c>
      <c r="E3125">
        <v>645421</v>
      </c>
      <c r="F3125">
        <v>11.9</v>
      </c>
      <c r="G3125">
        <v>8</v>
      </c>
      <c r="H3125">
        <v>20</v>
      </c>
      <c r="I3125">
        <v>21.9</v>
      </c>
    </row>
    <row r="3126" spans="1:9" ht="24" customHeight="1">
      <c r="A3126" s="6" t="s">
        <v>892</v>
      </c>
      <c r="B3126">
        <v>211475</v>
      </c>
      <c r="C3126">
        <v>111358</v>
      </c>
      <c r="D3126">
        <v>543672</v>
      </c>
      <c r="E3126">
        <v>417437</v>
      </c>
      <c r="F3126">
        <v>15.7</v>
      </c>
      <c r="G3126">
        <v>10.199999999999999</v>
      </c>
      <c r="H3126">
        <v>12.7</v>
      </c>
      <c r="I3126">
        <v>7.5</v>
      </c>
    </row>
    <row r="3127" spans="1:9" ht="24" customHeight="1">
      <c r="A3127" s="6" t="s">
        <v>4332</v>
      </c>
      <c r="B3127">
        <v>20859</v>
      </c>
      <c r="C3127">
        <v>1447</v>
      </c>
      <c r="D3127">
        <v>695536</v>
      </c>
      <c r="E3127">
        <v>641326</v>
      </c>
      <c r="F3127">
        <v>1.1000000000000001</v>
      </c>
      <c r="G3127">
        <v>3.9</v>
      </c>
      <c r="H3127">
        <v>18</v>
      </c>
      <c r="I3127">
        <v>18.3</v>
      </c>
    </row>
    <row r="3128" spans="1:9" ht="24" customHeight="1">
      <c r="A3128" s="6" t="s">
        <v>4333</v>
      </c>
      <c r="B3128">
        <v>27850</v>
      </c>
      <c r="C3128">
        <v>4875</v>
      </c>
      <c r="D3128">
        <v>495112</v>
      </c>
      <c r="E3128">
        <v>464979</v>
      </c>
      <c r="F3128">
        <v>2.9</v>
      </c>
      <c r="G3128">
        <v>2.4</v>
      </c>
      <c r="H3128">
        <v>20.100000000000001</v>
      </c>
      <c r="I3128">
        <v>21.8</v>
      </c>
    </row>
    <row r="3129" spans="1:9" ht="24" customHeight="1">
      <c r="A3129" s="6" t="s">
        <v>4334</v>
      </c>
      <c r="B3129">
        <v>19547</v>
      </c>
      <c r="C3129">
        <v>5982</v>
      </c>
      <c r="D3129">
        <v>489772</v>
      </c>
      <c r="E3129">
        <v>424249</v>
      </c>
      <c r="F3129">
        <v>11.6</v>
      </c>
      <c r="G3129">
        <v>3.8</v>
      </c>
      <c r="H3129">
        <v>15.5</v>
      </c>
      <c r="I3129">
        <v>13.5</v>
      </c>
    </row>
    <row r="3130" spans="1:9" ht="24" customHeight="1">
      <c r="A3130" s="6" t="s">
        <v>4335</v>
      </c>
      <c r="B3130">
        <v>8512</v>
      </c>
      <c r="C3130">
        <v>2321</v>
      </c>
      <c r="D3130">
        <v>479170</v>
      </c>
      <c r="E3130">
        <v>421064</v>
      </c>
      <c r="F3130">
        <v>7.2</v>
      </c>
      <c r="G3130">
        <v>11.6</v>
      </c>
      <c r="H3130">
        <v>13.3</v>
      </c>
      <c r="I3130">
        <v>12.3</v>
      </c>
    </row>
    <row r="3131" spans="1:9" ht="24" customHeight="1">
      <c r="A3131" s="6" t="s">
        <v>4336</v>
      </c>
      <c r="B3131">
        <v>157911</v>
      </c>
      <c r="C3131">
        <v>73942</v>
      </c>
      <c r="D3131">
        <v>409607</v>
      </c>
      <c r="E3131">
        <v>338427</v>
      </c>
      <c r="F3131">
        <v>7.4</v>
      </c>
      <c r="G3131">
        <v>5.9</v>
      </c>
      <c r="H3131">
        <v>8</v>
      </c>
      <c r="I3131">
        <v>7.1</v>
      </c>
    </row>
    <row r="3132" spans="1:9" ht="24" customHeight="1">
      <c r="A3132" s="6" t="s">
        <v>4337</v>
      </c>
      <c r="B3132">
        <v>17670</v>
      </c>
      <c r="C3132">
        <v>2354</v>
      </c>
      <c r="D3132">
        <v>839451</v>
      </c>
      <c r="E3132">
        <v>835238</v>
      </c>
      <c r="F3132">
        <v>0.6</v>
      </c>
      <c r="G3132">
        <v>2.5</v>
      </c>
      <c r="H3132">
        <v>17.2</v>
      </c>
      <c r="I3132">
        <v>12.8</v>
      </c>
    </row>
    <row r="3133" spans="1:9" ht="24" customHeight="1">
      <c r="A3133" s="6" t="s">
        <v>4338</v>
      </c>
      <c r="B3133">
        <v>21855</v>
      </c>
      <c r="C3133">
        <v>5001</v>
      </c>
      <c r="D3133">
        <v>672760</v>
      </c>
      <c r="E3133">
        <v>627891</v>
      </c>
      <c r="F3133">
        <v>3.3</v>
      </c>
      <c r="G3133">
        <v>1.8</v>
      </c>
      <c r="H3133">
        <v>16.5</v>
      </c>
      <c r="I3133">
        <v>17.899999999999999</v>
      </c>
    </row>
    <row r="3134" spans="1:9" ht="24" customHeight="1">
      <c r="A3134" s="6" t="s">
        <v>4339</v>
      </c>
      <c r="B3134">
        <v>14677</v>
      </c>
      <c r="C3134">
        <v>5877</v>
      </c>
      <c r="D3134">
        <v>555102</v>
      </c>
      <c r="E3134">
        <v>559860</v>
      </c>
      <c r="F3134">
        <v>13.2</v>
      </c>
      <c r="G3134">
        <v>11.6</v>
      </c>
      <c r="H3134">
        <v>15.6</v>
      </c>
      <c r="I3134">
        <v>15.1</v>
      </c>
    </row>
    <row r="3135" spans="1:9" ht="24" customHeight="1">
      <c r="A3135" s="6" t="s">
        <v>4340</v>
      </c>
      <c r="B3135">
        <v>11336</v>
      </c>
      <c r="C3135">
        <v>3810</v>
      </c>
      <c r="D3135">
        <v>572485</v>
      </c>
      <c r="E3135">
        <v>488897</v>
      </c>
      <c r="F3135">
        <v>10.9</v>
      </c>
      <c r="G3135">
        <v>4.4000000000000004</v>
      </c>
      <c r="H3135">
        <v>17.399999999999999</v>
      </c>
      <c r="I3135">
        <v>15.5</v>
      </c>
    </row>
    <row r="3136" spans="1:9" ht="24" customHeight="1">
      <c r="A3136" s="6" t="s">
        <v>4341</v>
      </c>
      <c r="B3136">
        <v>129854</v>
      </c>
      <c r="C3136">
        <v>69406</v>
      </c>
      <c r="D3136">
        <v>439121</v>
      </c>
      <c r="E3136">
        <v>386180</v>
      </c>
      <c r="F3136">
        <v>12.3</v>
      </c>
      <c r="G3136">
        <v>10.199999999999999</v>
      </c>
      <c r="H3136">
        <v>8</v>
      </c>
      <c r="I3136">
        <v>7.7</v>
      </c>
    </row>
    <row r="3137" spans="1:9" ht="24" customHeight="1">
      <c r="A3137" s="6" t="s">
        <v>4342</v>
      </c>
      <c r="B3137">
        <v>11760</v>
      </c>
      <c r="C3137">
        <v>1240</v>
      </c>
      <c r="D3137">
        <v>863489</v>
      </c>
      <c r="E3137">
        <v>1144264</v>
      </c>
      <c r="F3137">
        <v>0.7</v>
      </c>
      <c r="G3137">
        <v>1.8</v>
      </c>
      <c r="H3137">
        <v>22.3</v>
      </c>
      <c r="I3137">
        <v>17.100000000000001</v>
      </c>
    </row>
    <row r="3138" spans="1:9" ht="24" customHeight="1">
      <c r="A3138" s="6" t="s">
        <v>4343</v>
      </c>
      <c r="B3138">
        <v>17607</v>
      </c>
      <c r="C3138">
        <v>2545</v>
      </c>
      <c r="D3138">
        <v>743582</v>
      </c>
      <c r="E3138">
        <v>907530</v>
      </c>
      <c r="F3138">
        <v>3.7</v>
      </c>
      <c r="G3138">
        <v>10.5</v>
      </c>
      <c r="H3138">
        <v>20.7</v>
      </c>
      <c r="I3138">
        <v>20.100000000000001</v>
      </c>
    </row>
    <row r="3139" spans="1:9" ht="24" customHeight="1">
      <c r="A3139" s="6" t="s">
        <v>4344</v>
      </c>
      <c r="B3139">
        <v>14609</v>
      </c>
      <c r="C3139">
        <v>3505</v>
      </c>
      <c r="D3139">
        <v>602878</v>
      </c>
      <c r="E3139">
        <v>608300</v>
      </c>
      <c r="F3139">
        <v>11</v>
      </c>
      <c r="G3139">
        <v>16.7</v>
      </c>
      <c r="H3139">
        <v>15.9</v>
      </c>
      <c r="I3139">
        <v>16.3</v>
      </c>
    </row>
    <row r="3140" spans="1:9" ht="24" customHeight="1">
      <c r="A3140" s="6" t="s">
        <v>4345</v>
      </c>
      <c r="B3140">
        <v>10713</v>
      </c>
      <c r="C3140">
        <v>2922</v>
      </c>
      <c r="D3140">
        <v>637495</v>
      </c>
      <c r="E3140">
        <v>559268</v>
      </c>
      <c r="F3140">
        <v>9.8000000000000007</v>
      </c>
      <c r="G3140">
        <v>5.9</v>
      </c>
      <c r="H3140">
        <v>20.8</v>
      </c>
      <c r="I3140">
        <v>20.9</v>
      </c>
    </row>
    <row r="3141" spans="1:9" ht="24" customHeight="1">
      <c r="A3141" s="6" t="s">
        <v>4346</v>
      </c>
      <c r="B3141">
        <v>118697</v>
      </c>
      <c r="C3141">
        <v>55237</v>
      </c>
      <c r="D3141">
        <v>483782</v>
      </c>
      <c r="E3141">
        <v>408866</v>
      </c>
      <c r="F3141">
        <v>15.1</v>
      </c>
      <c r="G3141">
        <v>13.8</v>
      </c>
      <c r="H3141">
        <v>10.3</v>
      </c>
      <c r="I3141">
        <v>7.7</v>
      </c>
    </row>
    <row r="3142" spans="1:9" ht="24" customHeight="1">
      <c r="A3142" s="6" t="s">
        <v>893</v>
      </c>
      <c r="B3142">
        <v>6773</v>
      </c>
      <c r="C3142">
        <v>166</v>
      </c>
      <c r="D3142">
        <v>878489</v>
      </c>
      <c r="E3142">
        <v>989796</v>
      </c>
      <c r="F3142">
        <v>0.4</v>
      </c>
      <c r="G3142">
        <v>0</v>
      </c>
      <c r="H3142">
        <v>27.9</v>
      </c>
      <c r="I3142">
        <v>28.9</v>
      </c>
    </row>
    <row r="3143" spans="1:9" ht="24" customHeight="1">
      <c r="A3143" s="6" t="s">
        <v>894</v>
      </c>
      <c r="B3143">
        <v>25635</v>
      </c>
      <c r="C3143">
        <v>1415</v>
      </c>
      <c r="D3143">
        <v>716477</v>
      </c>
      <c r="E3143">
        <v>677123</v>
      </c>
      <c r="F3143">
        <v>6.3</v>
      </c>
      <c r="G3143">
        <v>1.3</v>
      </c>
      <c r="H3143">
        <v>24.4</v>
      </c>
      <c r="I3143">
        <v>27</v>
      </c>
    </row>
    <row r="3144" spans="1:9" ht="24" customHeight="1">
      <c r="A3144" s="6" t="s">
        <v>895</v>
      </c>
      <c r="B3144">
        <v>25266</v>
      </c>
      <c r="C3144">
        <v>3533</v>
      </c>
      <c r="D3144">
        <v>613967</v>
      </c>
      <c r="E3144">
        <v>503395</v>
      </c>
      <c r="F3144">
        <v>30.4</v>
      </c>
      <c r="G3144">
        <v>25</v>
      </c>
      <c r="H3144">
        <v>21</v>
      </c>
      <c r="I3144">
        <v>17.899999999999999</v>
      </c>
    </row>
    <row r="3145" spans="1:9" ht="24" customHeight="1">
      <c r="A3145" s="6" t="s">
        <v>896</v>
      </c>
      <c r="B3145">
        <v>30901</v>
      </c>
      <c r="C3145">
        <v>3648</v>
      </c>
      <c r="D3145">
        <v>622696</v>
      </c>
      <c r="E3145">
        <v>519358</v>
      </c>
      <c r="F3145">
        <v>19.5</v>
      </c>
      <c r="G3145">
        <v>17</v>
      </c>
      <c r="H3145">
        <v>20.5</v>
      </c>
      <c r="I3145">
        <v>19.100000000000001</v>
      </c>
    </row>
    <row r="3146" spans="1:9" ht="24" customHeight="1">
      <c r="A3146" s="6" t="s">
        <v>897</v>
      </c>
      <c r="B3146">
        <v>439818</v>
      </c>
      <c r="C3146">
        <v>75564</v>
      </c>
      <c r="D3146">
        <v>469677</v>
      </c>
      <c r="E3146">
        <v>364034</v>
      </c>
      <c r="F3146">
        <v>32.9</v>
      </c>
      <c r="G3146">
        <v>16.3</v>
      </c>
      <c r="H3146">
        <v>14.5</v>
      </c>
      <c r="I3146">
        <v>10.5</v>
      </c>
    </row>
    <row r="3147" spans="1:9" ht="24" customHeight="1">
      <c r="A3147" s="6" t="s">
        <v>4347</v>
      </c>
      <c r="B3147">
        <v>13556</v>
      </c>
      <c r="C3147">
        <v>1585</v>
      </c>
      <c r="D3147">
        <v>522794</v>
      </c>
      <c r="E3147">
        <v>444018</v>
      </c>
      <c r="F3147">
        <v>6.1</v>
      </c>
      <c r="G3147">
        <v>12.4</v>
      </c>
      <c r="H3147">
        <v>17.3</v>
      </c>
      <c r="I3147">
        <v>15.3</v>
      </c>
    </row>
    <row r="3148" spans="1:9" ht="24" customHeight="1">
      <c r="A3148" s="6" t="s">
        <v>4348</v>
      </c>
      <c r="B3148">
        <v>18978</v>
      </c>
      <c r="C3148">
        <v>1096</v>
      </c>
      <c r="D3148">
        <v>475623</v>
      </c>
      <c r="E3148">
        <v>399188</v>
      </c>
      <c r="F3148">
        <v>8.1999999999999993</v>
      </c>
      <c r="G3148">
        <v>16.399999999999999</v>
      </c>
      <c r="H3148">
        <v>17.8</v>
      </c>
      <c r="I3148">
        <v>20.2</v>
      </c>
    </row>
    <row r="3149" spans="1:9" ht="24" customHeight="1">
      <c r="A3149" s="6" t="s">
        <v>4349</v>
      </c>
      <c r="B3149">
        <v>11549</v>
      </c>
      <c r="C3149">
        <v>2528</v>
      </c>
      <c r="D3149">
        <v>439133</v>
      </c>
      <c r="E3149">
        <v>377261</v>
      </c>
      <c r="F3149">
        <v>20.7</v>
      </c>
      <c r="G3149">
        <v>5.4</v>
      </c>
      <c r="H3149">
        <v>15</v>
      </c>
      <c r="I3149">
        <v>12.8</v>
      </c>
    </row>
    <row r="3150" spans="1:9" ht="24" customHeight="1">
      <c r="A3150" s="6" t="s">
        <v>4350</v>
      </c>
      <c r="B3150">
        <v>17630</v>
      </c>
      <c r="C3150">
        <v>2279</v>
      </c>
      <c r="D3150">
        <v>427917</v>
      </c>
      <c r="E3150">
        <v>390006</v>
      </c>
      <c r="F3150">
        <v>16.8</v>
      </c>
      <c r="G3150">
        <v>4.9000000000000004</v>
      </c>
      <c r="H3150">
        <v>18.2</v>
      </c>
      <c r="I3150">
        <v>15.1</v>
      </c>
    </row>
    <row r="3151" spans="1:9" ht="24" customHeight="1">
      <c r="A3151" s="6" t="s">
        <v>4351</v>
      </c>
      <c r="B3151">
        <v>501936</v>
      </c>
      <c r="C3151">
        <v>56517</v>
      </c>
      <c r="D3151">
        <v>355906</v>
      </c>
      <c r="E3151">
        <v>263932</v>
      </c>
      <c r="F3151">
        <v>25.9</v>
      </c>
      <c r="G3151">
        <v>9.1999999999999993</v>
      </c>
      <c r="H3151">
        <v>10.4</v>
      </c>
      <c r="I3151">
        <v>7.9</v>
      </c>
    </row>
    <row r="3152" spans="1:9" ht="24" customHeight="1">
      <c r="A3152" s="6" t="s">
        <v>4352</v>
      </c>
      <c r="B3152">
        <v>6590</v>
      </c>
      <c r="C3152">
        <v>251</v>
      </c>
      <c r="D3152">
        <v>620672</v>
      </c>
      <c r="E3152">
        <v>440304</v>
      </c>
      <c r="F3152">
        <v>3.7</v>
      </c>
      <c r="G3152">
        <v>0.3</v>
      </c>
      <c r="H3152">
        <v>21.4</v>
      </c>
      <c r="I3152">
        <v>19</v>
      </c>
    </row>
    <row r="3153" spans="1:9" ht="24" customHeight="1">
      <c r="A3153" s="6" t="s">
        <v>4353</v>
      </c>
      <c r="B3153">
        <v>20330</v>
      </c>
      <c r="C3153">
        <v>1323</v>
      </c>
      <c r="D3153">
        <v>545688</v>
      </c>
      <c r="E3153">
        <v>465351</v>
      </c>
      <c r="F3153">
        <v>8</v>
      </c>
      <c r="G3153">
        <v>1.3</v>
      </c>
      <c r="H3153">
        <v>22</v>
      </c>
      <c r="I3153">
        <v>20</v>
      </c>
    </row>
    <row r="3154" spans="1:9" ht="24" customHeight="1">
      <c r="A3154" s="6" t="s">
        <v>4354</v>
      </c>
      <c r="B3154">
        <v>13183</v>
      </c>
      <c r="C3154">
        <v>2029</v>
      </c>
      <c r="D3154">
        <v>482834</v>
      </c>
      <c r="E3154">
        <v>396775</v>
      </c>
      <c r="F3154">
        <v>24.5</v>
      </c>
      <c r="G3154">
        <v>17.899999999999999</v>
      </c>
      <c r="H3154">
        <v>18</v>
      </c>
      <c r="I3154">
        <v>19.5</v>
      </c>
    </row>
    <row r="3155" spans="1:9" ht="24" customHeight="1">
      <c r="A3155" s="6" t="s">
        <v>4355</v>
      </c>
      <c r="B3155">
        <v>12533</v>
      </c>
      <c r="C3155">
        <v>1703</v>
      </c>
      <c r="D3155">
        <v>483276</v>
      </c>
      <c r="E3155">
        <v>358442</v>
      </c>
      <c r="F3155">
        <v>18</v>
      </c>
      <c r="G3155">
        <v>14.6</v>
      </c>
      <c r="H3155">
        <v>17.8</v>
      </c>
      <c r="I3155">
        <v>17</v>
      </c>
    </row>
    <row r="3156" spans="1:9" ht="24" customHeight="1">
      <c r="A3156" s="6" t="s">
        <v>4356</v>
      </c>
      <c r="B3156">
        <v>290569</v>
      </c>
      <c r="C3156">
        <v>47367</v>
      </c>
      <c r="D3156">
        <v>387046</v>
      </c>
      <c r="E3156">
        <v>294960</v>
      </c>
      <c r="F3156">
        <v>29.4</v>
      </c>
      <c r="G3156">
        <v>14.6</v>
      </c>
      <c r="H3156">
        <v>11.2</v>
      </c>
      <c r="I3156">
        <v>9</v>
      </c>
    </row>
    <row r="3157" spans="1:9" ht="24" customHeight="1">
      <c r="A3157" s="6" t="s">
        <v>4357</v>
      </c>
      <c r="B3157">
        <v>7763</v>
      </c>
      <c r="C3157">
        <v>80</v>
      </c>
      <c r="D3157">
        <v>803115</v>
      </c>
      <c r="E3157">
        <v>666559</v>
      </c>
      <c r="F3157">
        <v>4.5999999999999996</v>
      </c>
      <c r="G3157">
        <v>0</v>
      </c>
      <c r="H3157">
        <v>23.8</v>
      </c>
      <c r="I3157">
        <v>26.9</v>
      </c>
    </row>
    <row r="3158" spans="1:9" ht="24" customHeight="1">
      <c r="A3158" s="6" t="s">
        <v>4358</v>
      </c>
      <c r="B3158">
        <v>16711</v>
      </c>
      <c r="C3158">
        <v>2131</v>
      </c>
      <c r="D3158">
        <v>656945</v>
      </c>
      <c r="E3158">
        <v>641597</v>
      </c>
      <c r="F3158">
        <v>2</v>
      </c>
      <c r="G3158">
        <v>5.8</v>
      </c>
      <c r="H3158">
        <v>22.5</v>
      </c>
      <c r="I3158">
        <v>23.3</v>
      </c>
    </row>
    <row r="3159" spans="1:9" ht="24" customHeight="1">
      <c r="A3159" s="6" t="s">
        <v>4359</v>
      </c>
      <c r="B3159">
        <v>15896</v>
      </c>
      <c r="C3159">
        <v>2878</v>
      </c>
      <c r="D3159">
        <v>494090</v>
      </c>
      <c r="E3159">
        <v>504038</v>
      </c>
      <c r="F3159">
        <v>27</v>
      </c>
      <c r="G3159">
        <v>12.2</v>
      </c>
      <c r="H3159">
        <v>17.399999999999999</v>
      </c>
      <c r="I3159">
        <v>18.100000000000001</v>
      </c>
    </row>
    <row r="3160" spans="1:9" ht="24" customHeight="1">
      <c r="A3160" s="6" t="s">
        <v>4360</v>
      </c>
      <c r="B3160">
        <v>12555</v>
      </c>
      <c r="C3160">
        <v>4595</v>
      </c>
      <c r="D3160">
        <v>491762</v>
      </c>
      <c r="E3160">
        <v>376830</v>
      </c>
      <c r="F3160">
        <v>20.100000000000001</v>
      </c>
      <c r="G3160">
        <v>12.7</v>
      </c>
      <c r="H3160">
        <v>16.3</v>
      </c>
      <c r="I3160">
        <v>12</v>
      </c>
    </row>
    <row r="3161" spans="1:9" ht="24" customHeight="1">
      <c r="A3161" s="6" t="s">
        <v>4361</v>
      </c>
      <c r="B3161">
        <v>185945</v>
      </c>
      <c r="C3161">
        <v>50450</v>
      </c>
      <c r="D3161">
        <v>424285</v>
      </c>
      <c r="E3161">
        <v>352191</v>
      </c>
      <c r="F3161">
        <v>35.299999999999997</v>
      </c>
      <c r="G3161">
        <v>16.5</v>
      </c>
      <c r="H3161">
        <v>10.7</v>
      </c>
      <c r="I3161">
        <v>7.8</v>
      </c>
    </row>
    <row r="3162" spans="1:9" ht="24" customHeight="1">
      <c r="A3162" s="6" t="s">
        <v>898</v>
      </c>
      <c r="B3162">
        <v>38634</v>
      </c>
      <c r="C3162">
        <v>1986</v>
      </c>
      <c r="D3162">
        <v>877038</v>
      </c>
      <c r="E3162">
        <v>822775</v>
      </c>
      <c r="F3162">
        <v>1.7</v>
      </c>
      <c r="G3162">
        <v>0.7</v>
      </c>
      <c r="H3162">
        <v>27.2</v>
      </c>
      <c r="I3162">
        <v>18.8</v>
      </c>
    </row>
    <row r="3163" spans="1:9" ht="24" customHeight="1">
      <c r="A3163" s="6" t="s">
        <v>899</v>
      </c>
      <c r="B3163">
        <v>111789</v>
      </c>
      <c r="C3163">
        <v>9885</v>
      </c>
      <c r="D3163">
        <v>728708</v>
      </c>
      <c r="E3163">
        <v>819478</v>
      </c>
      <c r="F3163">
        <v>2.1</v>
      </c>
      <c r="G3163">
        <v>2.2999999999999998</v>
      </c>
      <c r="H3163">
        <v>22.4</v>
      </c>
      <c r="I3163">
        <v>20.8</v>
      </c>
    </row>
    <row r="3164" spans="1:9" ht="24" customHeight="1">
      <c r="A3164" s="6" t="s">
        <v>900</v>
      </c>
      <c r="B3164">
        <v>111124</v>
      </c>
      <c r="C3164">
        <v>29303</v>
      </c>
      <c r="D3164">
        <v>517507</v>
      </c>
      <c r="E3164">
        <v>406787</v>
      </c>
      <c r="F3164">
        <v>22.8</v>
      </c>
      <c r="G3164">
        <v>19.600000000000001</v>
      </c>
      <c r="H3164">
        <v>19.5</v>
      </c>
      <c r="I3164">
        <v>13.8</v>
      </c>
    </row>
    <row r="3165" spans="1:9" ht="24" customHeight="1">
      <c r="A3165" s="6" t="s">
        <v>901</v>
      </c>
      <c r="B3165">
        <v>181810</v>
      </c>
      <c r="C3165">
        <v>28671</v>
      </c>
      <c r="D3165">
        <v>553950</v>
      </c>
      <c r="E3165">
        <v>483639</v>
      </c>
      <c r="F3165">
        <v>7.9</v>
      </c>
      <c r="G3165">
        <v>12.6</v>
      </c>
      <c r="H3165">
        <v>15.9</v>
      </c>
      <c r="I3165">
        <v>12.5</v>
      </c>
    </row>
    <row r="3166" spans="1:9" ht="24" customHeight="1">
      <c r="A3166" s="6" t="s">
        <v>902</v>
      </c>
      <c r="B3166">
        <v>702004</v>
      </c>
      <c r="C3166">
        <v>357081</v>
      </c>
      <c r="D3166">
        <v>442440</v>
      </c>
      <c r="E3166">
        <v>365655</v>
      </c>
      <c r="F3166">
        <v>15.1</v>
      </c>
      <c r="G3166">
        <v>10.4</v>
      </c>
      <c r="H3166">
        <v>11.2</v>
      </c>
      <c r="I3166">
        <v>9.3000000000000007</v>
      </c>
    </row>
    <row r="3167" spans="1:9" ht="24" customHeight="1">
      <c r="A3167" s="6" t="s">
        <v>4362</v>
      </c>
      <c r="B3167">
        <v>62640</v>
      </c>
      <c r="C3167">
        <v>10258</v>
      </c>
      <c r="D3167">
        <v>611350</v>
      </c>
      <c r="E3167">
        <v>543373</v>
      </c>
      <c r="F3167">
        <v>2.6</v>
      </c>
      <c r="G3167">
        <v>0.9</v>
      </c>
      <c r="H3167">
        <v>21.4</v>
      </c>
      <c r="I3167">
        <v>18.2</v>
      </c>
    </row>
    <row r="3168" spans="1:9" ht="24" customHeight="1">
      <c r="A3168" s="6" t="s">
        <v>4363</v>
      </c>
      <c r="B3168">
        <v>92233</v>
      </c>
      <c r="C3168">
        <v>13027</v>
      </c>
      <c r="D3168">
        <v>538119</v>
      </c>
      <c r="E3168">
        <v>428767</v>
      </c>
      <c r="F3168">
        <v>2.8</v>
      </c>
      <c r="G3168">
        <v>2.8</v>
      </c>
      <c r="H3168">
        <v>18.600000000000001</v>
      </c>
      <c r="I3168">
        <v>18.2</v>
      </c>
    </row>
    <row r="3169" spans="1:9" ht="24" customHeight="1">
      <c r="A3169" s="6" t="s">
        <v>4364</v>
      </c>
      <c r="B3169">
        <v>64349</v>
      </c>
      <c r="C3169">
        <v>21353</v>
      </c>
      <c r="D3169">
        <v>456047</v>
      </c>
      <c r="E3169">
        <v>397350</v>
      </c>
      <c r="F3169">
        <v>8.8000000000000007</v>
      </c>
      <c r="G3169">
        <v>4.8</v>
      </c>
      <c r="H3169">
        <v>15.4</v>
      </c>
      <c r="I3169">
        <v>16.399999999999999</v>
      </c>
    </row>
    <row r="3170" spans="1:9" ht="24" customHeight="1">
      <c r="A3170" s="6" t="s">
        <v>4365</v>
      </c>
      <c r="B3170">
        <v>56427</v>
      </c>
      <c r="C3170">
        <v>22537</v>
      </c>
      <c r="D3170">
        <v>455164</v>
      </c>
      <c r="E3170">
        <v>355410</v>
      </c>
      <c r="F3170">
        <v>7.9</v>
      </c>
      <c r="G3170">
        <v>9.5</v>
      </c>
      <c r="H3170">
        <v>15.9</v>
      </c>
      <c r="I3170">
        <v>14.3</v>
      </c>
    </row>
    <row r="3171" spans="1:9" ht="24" customHeight="1">
      <c r="A3171" s="6" t="s">
        <v>4366</v>
      </c>
      <c r="B3171">
        <v>454367</v>
      </c>
      <c r="C3171">
        <v>316337</v>
      </c>
      <c r="D3171">
        <v>361545</v>
      </c>
      <c r="E3171">
        <v>290214</v>
      </c>
      <c r="F3171">
        <v>8.4</v>
      </c>
      <c r="G3171">
        <v>5.3</v>
      </c>
      <c r="H3171">
        <v>10</v>
      </c>
      <c r="I3171">
        <v>8.9</v>
      </c>
    </row>
    <row r="3172" spans="1:9" ht="24" customHeight="1">
      <c r="A3172" s="6" t="s">
        <v>4367</v>
      </c>
      <c r="B3172">
        <v>38411</v>
      </c>
      <c r="C3172">
        <v>1845</v>
      </c>
      <c r="D3172">
        <v>785376</v>
      </c>
      <c r="E3172">
        <v>1105060</v>
      </c>
      <c r="F3172">
        <v>0.6</v>
      </c>
      <c r="G3172">
        <v>0.4</v>
      </c>
      <c r="H3172">
        <v>21.7</v>
      </c>
      <c r="I3172">
        <v>11.7</v>
      </c>
    </row>
    <row r="3173" spans="1:9" ht="24" customHeight="1">
      <c r="A3173" s="6" t="s">
        <v>4368</v>
      </c>
      <c r="B3173">
        <v>78526</v>
      </c>
      <c r="C3173">
        <v>10764</v>
      </c>
      <c r="D3173">
        <v>603193</v>
      </c>
      <c r="E3173">
        <v>583500</v>
      </c>
      <c r="F3173">
        <v>2.2000000000000002</v>
      </c>
      <c r="G3173">
        <v>1.9</v>
      </c>
      <c r="H3173">
        <v>20.7</v>
      </c>
      <c r="I3173">
        <v>15.4</v>
      </c>
    </row>
    <row r="3174" spans="1:9" ht="24" customHeight="1">
      <c r="A3174" s="6" t="s">
        <v>4369</v>
      </c>
      <c r="B3174">
        <v>45213</v>
      </c>
      <c r="C3174">
        <v>18281</v>
      </c>
      <c r="D3174">
        <v>497015</v>
      </c>
      <c r="E3174">
        <v>448543</v>
      </c>
      <c r="F3174">
        <v>11.2</v>
      </c>
      <c r="G3174">
        <v>5.0999999999999996</v>
      </c>
      <c r="H3174">
        <v>16.7</v>
      </c>
      <c r="I3174">
        <v>17.5</v>
      </c>
    </row>
    <row r="3175" spans="1:9" ht="24" customHeight="1">
      <c r="A3175" s="6" t="s">
        <v>4370</v>
      </c>
      <c r="B3175">
        <v>47972</v>
      </c>
      <c r="C3175">
        <v>11865</v>
      </c>
      <c r="D3175">
        <v>519512</v>
      </c>
      <c r="E3175">
        <v>400306</v>
      </c>
      <c r="F3175">
        <v>7.4</v>
      </c>
      <c r="G3175">
        <v>8.6999999999999993</v>
      </c>
      <c r="H3175">
        <v>17.7</v>
      </c>
      <c r="I3175">
        <v>17.899999999999999</v>
      </c>
    </row>
    <row r="3176" spans="1:9" ht="24" customHeight="1">
      <c r="A3176" s="6" t="s">
        <v>4371</v>
      </c>
      <c r="B3176">
        <v>259468</v>
      </c>
      <c r="C3176">
        <v>177075</v>
      </c>
      <c r="D3176">
        <v>406999</v>
      </c>
      <c r="E3176">
        <v>330879</v>
      </c>
      <c r="F3176">
        <v>12.8</v>
      </c>
      <c r="G3176">
        <v>6.8</v>
      </c>
      <c r="H3176">
        <v>10.3</v>
      </c>
      <c r="I3176">
        <v>8.6</v>
      </c>
    </row>
    <row r="3177" spans="1:9" ht="24" customHeight="1">
      <c r="A3177" s="6" t="s">
        <v>4372</v>
      </c>
      <c r="B3177">
        <v>34276</v>
      </c>
      <c r="C3177">
        <v>2042</v>
      </c>
      <c r="D3177">
        <v>814690</v>
      </c>
      <c r="E3177">
        <v>688062</v>
      </c>
      <c r="F3177">
        <v>1</v>
      </c>
      <c r="G3177">
        <v>0.3</v>
      </c>
      <c r="H3177">
        <v>25.6</v>
      </c>
      <c r="I3177">
        <v>22.2</v>
      </c>
    </row>
    <row r="3178" spans="1:9" ht="24" customHeight="1">
      <c r="A3178" s="6" t="s">
        <v>4373</v>
      </c>
      <c r="B3178">
        <v>85538</v>
      </c>
      <c r="C3178">
        <v>5447</v>
      </c>
      <c r="D3178">
        <v>702099</v>
      </c>
      <c r="E3178">
        <v>567189</v>
      </c>
      <c r="F3178">
        <v>2.4</v>
      </c>
      <c r="G3178">
        <v>4.8</v>
      </c>
      <c r="H3178">
        <v>22.1</v>
      </c>
      <c r="I3178">
        <v>20.6</v>
      </c>
    </row>
    <row r="3179" spans="1:9" ht="24" customHeight="1">
      <c r="A3179" s="6" t="s">
        <v>4374</v>
      </c>
      <c r="B3179">
        <v>69118</v>
      </c>
      <c r="C3179">
        <v>22630</v>
      </c>
      <c r="D3179">
        <v>578530</v>
      </c>
      <c r="E3179">
        <v>428971</v>
      </c>
      <c r="F3179">
        <v>14.3</v>
      </c>
      <c r="G3179">
        <v>8.5</v>
      </c>
      <c r="H3179">
        <v>16.8</v>
      </c>
      <c r="I3179">
        <v>17</v>
      </c>
    </row>
    <row r="3180" spans="1:9" ht="24" customHeight="1">
      <c r="A3180" s="6" t="s">
        <v>4375</v>
      </c>
      <c r="B3180">
        <v>57321</v>
      </c>
      <c r="C3180">
        <v>16117</v>
      </c>
      <c r="D3180">
        <v>561060</v>
      </c>
      <c r="E3180">
        <v>422731</v>
      </c>
      <c r="F3180">
        <v>22.9</v>
      </c>
      <c r="G3180">
        <v>11.2</v>
      </c>
      <c r="H3180">
        <v>19.600000000000001</v>
      </c>
      <c r="I3180">
        <v>18.100000000000001</v>
      </c>
    </row>
    <row r="3181" spans="1:9" ht="24" customHeight="1">
      <c r="A3181" s="6" t="s">
        <v>4376</v>
      </c>
      <c r="B3181">
        <v>373561</v>
      </c>
      <c r="C3181">
        <v>234722</v>
      </c>
      <c r="D3181">
        <v>455244</v>
      </c>
      <c r="E3181">
        <v>344740</v>
      </c>
      <c r="F3181">
        <v>14.3</v>
      </c>
      <c r="G3181">
        <v>7.6</v>
      </c>
      <c r="H3181">
        <v>10.7</v>
      </c>
      <c r="I3181">
        <v>8</v>
      </c>
    </row>
    <row r="3182" spans="1:9" ht="24" customHeight="1">
      <c r="A3182" s="6" t="s">
        <v>903</v>
      </c>
      <c r="B3182">
        <v>18145</v>
      </c>
      <c r="C3182">
        <v>1199</v>
      </c>
      <c r="D3182">
        <v>1266589</v>
      </c>
      <c r="E3182">
        <v>1101594</v>
      </c>
      <c r="F3182">
        <v>1.3</v>
      </c>
      <c r="G3182">
        <v>1.7</v>
      </c>
      <c r="H3182">
        <v>26.4</v>
      </c>
      <c r="I3182">
        <v>25.4</v>
      </c>
    </row>
    <row r="3183" spans="1:9" ht="24" customHeight="1">
      <c r="A3183" s="6" t="s">
        <v>904</v>
      </c>
      <c r="B3183">
        <v>45987</v>
      </c>
      <c r="C3183">
        <v>9422</v>
      </c>
      <c r="D3183">
        <v>1047223</v>
      </c>
      <c r="E3183">
        <v>793365</v>
      </c>
      <c r="F3183">
        <v>7.6</v>
      </c>
      <c r="G3183">
        <v>13.6</v>
      </c>
      <c r="H3183">
        <v>22.3</v>
      </c>
      <c r="I3183">
        <v>23.7</v>
      </c>
    </row>
    <row r="3184" spans="1:9" ht="24" customHeight="1">
      <c r="A3184" s="6" t="s">
        <v>905</v>
      </c>
      <c r="B3184">
        <v>14852</v>
      </c>
      <c r="C3184">
        <v>14555</v>
      </c>
      <c r="D3184">
        <v>700898</v>
      </c>
      <c r="E3184">
        <v>549186</v>
      </c>
      <c r="F3184">
        <v>25.4</v>
      </c>
      <c r="G3184">
        <v>13.5</v>
      </c>
      <c r="H3184">
        <v>16.399999999999999</v>
      </c>
      <c r="I3184">
        <v>20.3</v>
      </c>
    </row>
    <row r="3185" spans="1:9" ht="24" customHeight="1">
      <c r="A3185" s="6" t="s">
        <v>906</v>
      </c>
      <c r="B3185">
        <v>68986</v>
      </c>
      <c r="C3185">
        <v>41996</v>
      </c>
      <c r="D3185">
        <v>846516</v>
      </c>
      <c r="E3185">
        <v>643516</v>
      </c>
      <c r="F3185">
        <v>16.3</v>
      </c>
      <c r="G3185">
        <v>21.7</v>
      </c>
      <c r="H3185">
        <v>19.8</v>
      </c>
      <c r="I3185">
        <v>18.8</v>
      </c>
    </row>
    <row r="3186" spans="1:9" ht="24" customHeight="1">
      <c r="A3186" s="6" t="s">
        <v>907</v>
      </c>
      <c r="B3186">
        <v>136884</v>
      </c>
      <c r="C3186">
        <v>367540</v>
      </c>
      <c r="D3186">
        <v>614395</v>
      </c>
      <c r="E3186">
        <v>366339</v>
      </c>
      <c r="F3186">
        <v>17.899999999999999</v>
      </c>
      <c r="G3186">
        <v>7.4</v>
      </c>
      <c r="H3186">
        <v>11</v>
      </c>
      <c r="I3186">
        <v>11.5</v>
      </c>
    </row>
    <row r="3187" spans="1:9" ht="24" customHeight="1">
      <c r="A3187" s="6" t="s">
        <v>4377</v>
      </c>
      <c r="B3187">
        <v>5104</v>
      </c>
      <c r="C3187">
        <v>605</v>
      </c>
      <c r="D3187">
        <v>1086697</v>
      </c>
      <c r="E3187">
        <v>860820</v>
      </c>
      <c r="F3187">
        <v>1</v>
      </c>
      <c r="G3187">
        <v>1.5</v>
      </c>
      <c r="H3187">
        <v>17.5</v>
      </c>
      <c r="I3187">
        <v>18.3</v>
      </c>
    </row>
    <row r="3188" spans="1:9" ht="24" customHeight="1">
      <c r="A3188" s="6" t="s">
        <v>4378</v>
      </c>
      <c r="B3188">
        <v>6594</v>
      </c>
      <c r="C3188">
        <v>1850</v>
      </c>
      <c r="D3188">
        <v>730624</v>
      </c>
      <c r="E3188">
        <v>656859</v>
      </c>
      <c r="F3188">
        <v>3</v>
      </c>
      <c r="G3188">
        <v>3.7</v>
      </c>
      <c r="H3188">
        <v>16.100000000000001</v>
      </c>
      <c r="I3188">
        <v>17.899999999999999</v>
      </c>
    </row>
    <row r="3189" spans="1:9" ht="24" customHeight="1">
      <c r="A3189" s="6" t="s">
        <v>4379</v>
      </c>
      <c r="B3189">
        <v>3153</v>
      </c>
      <c r="C3189">
        <v>2630</v>
      </c>
      <c r="D3189">
        <v>587653</v>
      </c>
      <c r="E3189">
        <v>502730</v>
      </c>
      <c r="F3189">
        <v>9.6999999999999993</v>
      </c>
      <c r="G3189">
        <v>6.8</v>
      </c>
      <c r="H3189">
        <v>12.3</v>
      </c>
      <c r="I3189">
        <v>15.3</v>
      </c>
    </row>
    <row r="3190" spans="1:9" ht="24" customHeight="1">
      <c r="A3190" s="6" t="s">
        <v>4380</v>
      </c>
      <c r="B3190">
        <v>6296</v>
      </c>
      <c r="C3190">
        <v>3486</v>
      </c>
      <c r="D3190">
        <v>621512</v>
      </c>
      <c r="E3190">
        <v>473122</v>
      </c>
      <c r="F3190">
        <v>5.5</v>
      </c>
      <c r="G3190">
        <v>4.7</v>
      </c>
      <c r="H3190">
        <v>16.600000000000001</v>
      </c>
      <c r="I3190">
        <v>17.899999999999999</v>
      </c>
    </row>
    <row r="3191" spans="1:9" ht="24" customHeight="1">
      <c r="A3191" s="6" t="s">
        <v>4381</v>
      </c>
      <c r="B3191">
        <v>16449</v>
      </c>
      <c r="C3191">
        <v>21183</v>
      </c>
      <c r="D3191">
        <v>568105</v>
      </c>
      <c r="E3191">
        <v>396283</v>
      </c>
      <c r="F3191">
        <v>7.9</v>
      </c>
      <c r="G3191">
        <v>5</v>
      </c>
      <c r="H3191">
        <v>7</v>
      </c>
      <c r="I3191">
        <v>8.1999999999999993</v>
      </c>
    </row>
    <row r="3192" spans="1:9" ht="24" customHeight="1">
      <c r="A3192" s="6" t="s">
        <v>4382</v>
      </c>
      <c r="B3192">
        <v>3934</v>
      </c>
      <c r="C3192">
        <v>248</v>
      </c>
      <c r="D3192">
        <v>890107</v>
      </c>
      <c r="E3192">
        <v>1096903</v>
      </c>
      <c r="F3192">
        <v>0.1</v>
      </c>
      <c r="G3192">
        <v>0.2</v>
      </c>
      <c r="H3192">
        <v>22.6</v>
      </c>
      <c r="I3192">
        <v>24.7</v>
      </c>
    </row>
    <row r="3193" spans="1:9" ht="24" customHeight="1">
      <c r="A3193" s="6" t="s">
        <v>4383</v>
      </c>
      <c r="B3193">
        <v>6451</v>
      </c>
      <c r="C3193">
        <v>1371</v>
      </c>
      <c r="D3193">
        <v>742946</v>
      </c>
      <c r="E3193">
        <v>774202</v>
      </c>
      <c r="F3193">
        <v>2.1</v>
      </c>
      <c r="G3193">
        <v>1.8</v>
      </c>
      <c r="H3193">
        <v>19.2</v>
      </c>
      <c r="I3193">
        <v>21.7</v>
      </c>
    </row>
    <row r="3194" spans="1:9" ht="24" customHeight="1">
      <c r="A3194" s="6" t="s">
        <v>4384</v>
      </c>
      <c r="B3194">
        <v>3827</v>
      </c>
      <c r="C3194">
        <v>2422</v>
      </c>
      <c r="D3194">
        <v>529649</v>
      </c>
      <c r="E3194">
        <v>461562</v>
      </c>
      <c r="F3194">
        <v>9.8000000000000007</v>
      </c>
      <c r="G3194">
        <v>6.7</v>
      </c>
      <c r="H3194">
        <v>13.7</v>
      </c>
      <c r="I3194">
        <v>17.899999999999999</v>
      </c>
    </row>
    <row r="3195" spans="1:9" ht="24" customHeight="1">
      <c r="A3195" s="6" t="s">
        <v>4385</v>
      </c>
      <c r="B3195">
        <v>8616</v>
      </c>
      <c r="C3195">
        <v>2603</v>
      </c>
      <c r="D3195">
        <v>597623</v>
      </c>
      <c r="E3195">
        <v>480632</v>
      </c>
      <c r="F3195">
        <v>7</v>
      </c>
      <c r="G3195">
        <v>6.5</v>
      </c>
      <c r="H3195">
        <v>19.899999999999999</v>
      </c>
      <c r="I3195">
        <v>21.2</v>
      </c>
    </row>
    <row r="3196" spans="1:9" ht="24" customHeight="1">
      <c r="A3196" s="6" t="s">
        <v>4386</v>
      </c>
      <c r="B3196">
        <v>15618</v>
      </c>
      <c r="C3196">
        <v>20467</v>
      </c>
      <c r="D3196">
        <v>460455</v>
      </c>
      <c r="E3196">
        <v>361834</v>
      </c>
      <c r="F3196">
        <v>10.4</v>
      </c>
      <c r="G3196">
        <v>7.7</v>
      </c>
      <c r="H3196">
        <v>7.5</v>
      </c>
      <c r="I3196">
        <v>8.3000000000000007</v>
      </c>
    </row>
    <row r="3197" spans="1:9" ht="24" customHeight="1">
      <c r="A3197" s="6" t="s">
        <v>4387</v>
      </c>
      <c r="B3197">
        <v>6136</v>
      </c>
      <c r="C3197">
        <v>448</v>
      </c>
      <c r="D3197">
        <v>1145159</v>
      </c>
      <c r="E3197">
        <v>1164004</v>
      </c>
      <c r="F3197">
        <v>0</v>
      </c>
      <c r="G3197">
        <v>0.1</v>
      </c>
      <c r="H3197">
        <v>22.7</v>
      </c>
      <c r="I3197">
        <v>16.8</v>
      </c>
    </row>
    <row r="3198" spans="1:9" ht="24" customHeight="1">
      <c r="A3198" s="6" t="s">
        <v>4388</v>
      </c>
      <c r="B3198">
        <v>8473</v>
      </c>
      <c r="C3198">
        <v>2523</v>
      </c>
      <c r="D3198">
        <v>823939</v>
      </c>
      <c r="E3198">
        <v>762290</v>
      </c>
      <c r="F3198">
        <v>3.4</v>
      </c>
      <c r="G3198">
        <v>5.2</v>
      </c>
      <c r="H3198">
        <v>20.8</v>
      </c>
      <c r="I3198">
        <v>19.7</v>
      </c>
    </row>
    <row r="3199" spans="1:9" ht="24" customHeight="1">
      <c r="A3199" s="6" t="s">
        <v>4389</v>
      </c>
      <c r="B3199">
        <v>5888</v>
      </c>
      <c r="C3199">
        <v>4463</v>
      </c>
      <c r="D3199">
        <v>555330</v>
      </c>
      <c r="E3199">
        <v>534852</v>
      </c>
      <c r="F3199">
        <v>13</v>
      </c>
      <c r="G3199">
        <v>13.1</v>
      </c>
      <c r="H3199">
        <v>16</v>
      </c>
      <c r="I3199">
        <v>16.600000000000001</v>
      </c>
    </row>
    <row r="3200" spans="1:9" ht="24" customHeight="1">
      <c r="A3200" s="6" t="s">
        <v>4390</v>
      </c>
      <c r="B3200">
        <v>17749</v>
      </c>
      <c r="C3200">
        <v>6406</v>
      </c>
      <c r="D3200">
        <v>643937</v>
      </c>
      <c r="E3200">
        <v>542582</v>
      </c>
      <c r="F3200">
        <v>11.6</v>
      </c>
      <c r="G3200">
        <v>10.5</v>
      </c>
      <c r="H3200">
        <v>21.3</v>
      </c>
      <c r="I3200">
        <v>18</v>
      </c>
    </row>
    <row r="3201" spans="1:9" ht="24" customHeight="1">
      <c r="A3201" s="6" t="s">
        <v>4391</v>
      </c>
      <c r="B3201">
        <v>30169</v>
      </c>
      <c r="C3201">
        <v>42945</v>
      </c>
      <c r="D3201">
        <v>469915</v>
      </c>
      <c r="E3201">
        <v>369871</v>
      </c>
      <c r="F3201">
        <v>13.6</v>
      </c>
      <c r="G3201">
        <v>9.1999999999999993</v>
      </c>
      <c r="H3201">
        <v>8.6</v>
      </c>
      <c r="I3201">
        <v>7.8</v>
      </c>
    </row>
    <row r="3202" spans="1:9" ht="24" customHeight="1">
      <c r="A3202" s="6" t="s">
        <v>908</v>
      </c>
      <c r="B3202">
        <v>4460</v>
      </c>
      <c r="C3202">
        <v>681</v>
      </c>
      <c r="D3202">
        <v>1230241</v>
      </c>
      <c r="E3202">
        <v>1344466</v>
      </c>
      <c r="F3202">
        <v>0.9</v>
      </c>
      <c r="G3202">
        <v>0.6</v>
      </c>
      <c r="H3202">
        <v>25.9</v>
      </c>
      <c r="I3202">
        <v>18.8</v>
      </c>
    </row>
    <row r="3203" spans="1:9" ht="24" customHeight="1">
      <c r="A3203" s="6" t="s">
        <v>909</v>
      </c>
      <c r="B3203">
        <v>10663</v>
      </c>
      <c r="C3203">
        <v>1323</v>
      </c>
      <c r="D3203">
        <v>937197</v>
      </c>
      <c r="E3203">
        <v>766969</v>
      </c>
      <c r="F3203">
        <v>2.8</v>
      </c>
      <c r="G3203">
        <v>4.9000000000000004</v>
      </c>
      <c r="H3203">
        <v>19.8</v>
      </c>
      <c r="I3203">
        <v>19</v>
      </c>
    </row>
    <row r="3204" spans="1:9" ht="24" customHeight="1">
      <c r="A3204" s="6" t="s">
        <v>910</v>
      </c>
      <c r="B3204">
        <v>4613</v>
      </c>
      <c r="C3204">
        <v>1409</v>
      </c>
      <c r="D3204">
        <v>551801</v>
      </c>
      <c r="E3204">
        <v>484164</v>
      </c>
      <c r="F3204">
        <v>14.7</v>
      </c>
      <c r="G3204">
        <v>11.6</v>
      </c>
      <c r="H3204">
        <v>14.3</v>
      </c>
      <c r="I3204">
        <v>14.1</v>
      </c>
    </row>
    <row r="3205" spans="1:9" ht="24" customHeight="1">
      <c r="A3205" s="6" t="s">
        <v>911</v>
      </c>
      <c r="B3205">
        <v>13121</v>
      </c>
      <c r="C3205">
        <v>2852</v>
      </c>
      <c r="D3205">
        <v>727613</v>
      </c>
      <c r="E3205">
        <v>578117</v>
      </c>
      <c r="F3205">
        <v>11.8</v>
      </c>
      <c r="G3205">
        <v>11.9</v>
      </c>
      <c r="H3205">
        <v>18.2</v>
      </c>
      <c r="I3205">
        <v>15.7</v>
      </c>
    </row>
    <row r="3206" spans="1:9" ht="24" customHeight="1">
      <c r="A3206" s="6" t="s">
        <v>912</v>
      </c>
      <c r="B3206">
        <v>64001</v>
      </c>
      <c r="C3206">
        <v>47268</v>
      </c>
      <c r="D3206">
        <v>537890</v>
      </c>
      <c r="E3206">
        <v>418968</v>
      </c>
      <c r="F3206">
        <v>17.899999999999999</v>
      </c>
      <c r="G3206">
        <v>11.2</v>
      </c>
      <c r="H3206">
        <v>8.8000000000000007</v>
      </c>
      <c r="I3206">
        <v>8.8000000000000007</v>
      </c>
    </row>
    <row r="3207" spans="1:9" ht="24" customHeight="1">
      <c r="A3207" s="6" t="s">
        <v>4392</v>
      </c>
      <c r="B3207">
        <v>11836</v>
      </c>
      <c r="C3207">
        <v>1035</v>
      </c>
      <c r="D3207">
        <v>777998</v>
      </c>
      <c r="E3207">
        <v>562715</v>
      </c>
      <c r="F3207">
        <v>1.5</v>
      </c>
      <c r="G3207">
        <v>2.5</v>
      </c>
      <c r="H3207">
        <v>14.5</v>
      </c>
      <c r="I3207">
        <v>13</v>
      </c>
    </row>
    <row r="3208" spans="1:9" ht="24" customHeight="1">
      <c r="A3208" s="6" t="s">
        <v>4393</v>
      </c>
      <c r="B3208">
        <v>13688</v>
      </c>
      <c r="C3208">
        <v>3781</v>
      </c>
      <c r="D3208">
        <v>633115</v>
      </c>
      <c r="E3208">
        <v>585100</v>
      </c>
      <c r="F3208">
        <v>2.7</v>
      </c>
      <c r="G3208">
        <v>2.2999999999999998</v>
      </c>
      <c r="H3208">
        <v>13.9</v>
      </c>
      <c r="I3208">
        <v>17.2</v>
      </c>
    </row>
    <row r="3209" spans="1:9" ht="24" customHeight="1">
      <c r="A3209" s="6" t="s">
        <v>4394</v>
      </c>
      <c r="B3209">
        <v>6502</v>
      </c>
      <c r="C3209">
        <v>4198</v>
      </c>
      <c r="D3209">
        <v>634722</v>
      </c>
      <c r="E3209">
        <v>511595</v>
      </c>
      <c r="F3209">
        <v>7.1</v>
      </c>
      <c r="G3209">
        <v>3.9</v>
      </c>
      <c r="H3209">
        <v>11.1</v>
      </c>
      <c r="I3209">
        <v>12.3</v>
      </c>
    </row>
    <row r="3210" spans="1:9" ht="24" customHeight="1">
      <c r="A3210" s="6" t="s">
        <v>4395</v>
      </c>
      <c r="B3210">
        <v>6828</v>
      </c>
      <c r="C3210">
        <v>3131</v>
      </c>
      <c r="D3210">
        <v>562833</v>
      </c>
      <c r="E3210">
        <v>392580</v>
      </c>
      <c r="F3210">
        <v>5.2</v>
      </c>
      <c r="G3210">
        <v>7.7</v>
      </c>
      <c r="H3210">
        <v>10.5</v>
      </c>
      <c r="I3210">
        <v>12.3</v>
      </c>
    </row>
    <row r="3211" spans="1:9" ht="24" customHeight="1">
      <c r="A3211" s="6" t="s">
        <v>4396</v>
      </c>
      <c r="B3211">
        <v>58626</v>
      </c>
      <c r="C3211">
        <v>44325</v>
      </c>
      <c r="D3211">
        <v>373309</v>
      </c>
      <c r="E3211">
        <v>299709</v>
      </c>
      <c r="F3211">
        <v>8.1999999999999993</v>
      </c>
      <c r="G3211">
        <v>4.0999999999999996</v>
      </c>
      <c r="H3211">
        <v>6.9</v>
      </c>
      <c r="I3211">
        <v>6.5</v>
      </c>
    </row>
    <row r="3212" spans="1:9" ht="24" customHeight="1">
      <c r="A3212" s="6" t="s">
        <v>4397</v>
      </c>
      <c r="B3212">
        <v>5611</v>
      </c>
      <c r="C3212">
        <v>577</v>
      </c>
      <c r="D3212">
        <v>809902</v>
      </c>
      <c r="E3212">
        <v>601299</v>
      </c>
      <c r="F3212">
        <v>0.3</v>
      </c>
      <c r="G3212">
        <v>0.4</v>
      </c>
      <c r="H3212">
        <v>18.600000000000001</v>
      </c>
      <c r="I3212">
        <v>8.9</v>
      </c>
    </row>
    <row r="3213" spans="1:9" ht="24" customHeight="1">
      <c r="A3213" s="6" t="s">
        <v>4398</v>
      </c>
      <c r="B3213">
        <v>5985</v>
      </c>
      <c r="C3213">
        <v>889</v>
      </c>
      <c r="D3213">
        <v>694168</v>
      </c>
      <c r="E3213">
        <v>574382</v>
      </c>
      <c r="F3213">
        <v>3.9</v>
      </c>
      <c r="G3213">
        <v>3.7</v>
      </c>
      <c r="H3213">
        <v>18.600000000000001</v>
      </c>
      <c r="I3213">
        <v>14.1</v>
      </c>
    </row>
    <row r="3214" spans="1:9" ht="24" customHeight="1">
      <c r="A3214" s="6" t="s">
        <v>4399</v>
      </c>
      <c r="B3214">
        <v>3637</v>
      </c>
      <c r="C3214">
        <v>1348</v>
      </c>
      <c r="D3214">
        <v>547276</v>
      </c>
      <c r="E3214">
        <v>445368</v>
      </c>
      <c r="F3214">
        <v>11.6</v>
      </c>
      <c r="G3214">
        <v>13.9</v>
      </c>
      <c r="H3214">
        <v>13.9</v>
      </c>
      <c r="I3214">
        <v>17</v>
      </c>
    </row>
    <row r="3215" spans="1:9" ht="24" customHeight="1">
      <c r="A3215" s="6" t="s">
        <v>4400</v>
      </c>
      <c r="B3215">
        <v>3789</v>
      </c>
      <c r="C3215">
        <v>1122</v>
      </c>
      <c r="D3215">
        <v>591140</v>
      </c>
      <c r="E3215">
        <v>467640</v>
      </c>
      <c r="F3215">
        <v>10.1</v>
      </c>
      <c r="G3215">
        <v>4.4000000000000004</v>
      </c>
      <c r="H3215">
        <v>14.3</v>
      </c>
      <c r="I3215">
        <v>13.1</v>
      </c>
    </row>
    <row r="3216" spans="1:9" ht="24" customHeight="1">
      <c r="A3216" s="6" t="s">
        <v>4401</v>
      </c>
      <c r="B3216">
        <v>25752</v>
      </c>
      <c r="C3216">
        <v>18378</v>
      </c>
      <c r="D3216">
        <v>394744</v>
      </c>
      <c r="E3216">
        <v>340106</v>
      </c>
      <c r="F3216">
        <v>13.9</v>
      </c>
      <c r="G3216">
        <v>7.7</v>
      </c>
      <c r="H3216">
        <v>5.9</v>
      </c>
      <c r="I3216">
        <v>6.3</v>
      </c>
    </row>
    <row r="3217" spans="1:9" ht="24" customHeight="1">
      <c r="A3217" s="6" t="s">
        <v>4402</v>
      </c>
      <c r="B3217">
        <v>4497</v>
      </c>
      <c r="C3217">
        <v>367</v>
      </c>
      <c r="D3217">
        <v>962824</v>
      </c>
      <c r="E3217">
        <v>769624</v>
      </c>
      <c r="F3217">
        <v>1.4</v>
      </c>
      <c r="G3217">
        <v>0.4</v>
      </c>
      <c r="H3217">
        <v>19.7</v>
      </c>
      <c r="I3217">
        <v>10.9</v>
      </c>
    </row>
    <row r="3218" spans="1:9" ht="24" customHeight="1">
      <c r="A3218" s="6" t="s">
        <v>4403</v>
      </c>
      <c r="B3218">
        <v>6709</v>
      </c>
      <c r="C3218">
        <v>784</v>
      </c>
      <c r="D3218">
        <v>718237</v>
      </c>
      <c r="E3218">
        <v>625340</v>
      </c>
      <c r="F3218">
        <v>1.6</v>
      </c>
      <c r="G3218">
        <v>3.6</v>
      </c>
      <c r="H3218">
        <v>18.2</v>
      </c>
      <c r="I3218">
        <v>19.7</v>
      </c>
    </row>
    <row r="3219" spans="1:9" ht="24" customHeight="1">
      <c r="A3219" s="6" t="s">
        <v>4404</v>
      </c>
      <c r="B3219">
        <v>6040</v>
      </c>
      <c r="C3219">
        <v>1823</v>
      </c>
      <c r="D3219">
        <v>586043</v>
      </c>
      <c r="E3219">
        <v>606724</v>
      </c>
      <c r="F3219">
        <v>11.6</v>
      </c>
      <c r="G3219">
        <v>8.3000000000000007</v>
      </c>
      <c r="H3219">
        <v>16.3</v>
      </c>
      <c r="I3219">
        <v>16.7</v>
      </c>
    </row>
    <row r="3220" spans="1:9" ht="24" customHeight="1">
      <c r="A3220" s="6" t="s">
        <v>4405</v>
      </c>
      <c r="B3220">
        <v>5190</v>
      </c>
      <c r="C3220">
        <v>1358</v>
      </c>
      <c r="D3220">
        <v>689630</v>
      </c>
      <c r="E3220">
        <v>515087</v>
      </c>
      <c r="F3220">
        <v>10.3</v>
      </c>
      <c r="G3220">
        <v>14.9</v>
      </c>
      <c r="H3220">
        <v>16.399999999999999</v>
      </c>
      <c r="I3220">
        <v>13.1</v>
      </c>
    </row>
    <row r="3221" spans="1:9" ht="24" customHeight="1">
      <c r="A3221" s="6" t="s">
        <v>4406</v>
      </c>
      <c r="B3221">
        <v>28127</v>
      </c>
      <c r="C3221">
        <v>23318</v>
      </c>
      <c r="D3221">
        <v>478592</v>
      </c>
      <c r="E3221">
        <v>387366</v>
      </c>
      <c r="F3221">
        <v>22.6</v>
      </c>
      <c r="G3221">
        <v>12.9</v>
      </c>
      <c r="H3221">
        <v>8.6999999999999993</v>
      </c>
      <c r="I3221">
        <v>7.9</v>
      </c>
    </row>
    <row r="3222" spans="1:9" ht="24" customHeight="1">
      <c r="A3222" s="6" t="s">
        <v>913</v>
      </c>
      <c r="B3222">
        <v>13247</v>
      </c>
      <c r="C3222">
        <v>671</v>
      </c>
      <c r="D3222">
        <v>1106890</v>
      </c>
      <c r="E3222">
        <v>882475</v>
      </c>
      <c r="F3222">
        <v>0.4</v>
      </c>
      <c r="G3222">
        <v>0.1</v>
      </c>
      <c r="H3222">
        <v>25.7</v>
      </c>
      <c r="I3222">
        <v>26.4</v>
      </c>
    </row>
    <row r="3223" spans="1:9" ht="24" customHeight="1">
      <c r="A3223" s="6" t="s">
        <v>914</v>
      </c>
      <c r="B3223">
        <v>38328</v>
      </c>
      <c r="C3223">
        <v>1647</v>
      </c>
      <c r="D3223">
        <v>978726</v>
      </c>
      <c r="E3223">
        <v>1011367</v>
      </c>
      <c r="F3223">
        <v>6.1</v>
      </c>
      <c r="G3223">
        <v>2.5</v>
      </c>
      <c r="H3223">
        <v>21.8</v>
      </c>
      <c r="I3223">
        <v>18.600000000000001</v>
      </c>
    </row>
    <row r="3224" spans="1:9" ht="24" customHeight="1">
      <c r="A3224" s="6" t="s">
        <v>915</v>
      </c>
      <c r="B3224">
        <v>20926</v>
      </c>
      <c r="C3224">
        <v>4691</v>
      </c>
      <c r="D3224">
        <v>747250</v>
      </c>
      <c r="E3224">
        <v>685352</v>
      </c>
      <c r="F3224">
        <v>15.6</v>
      </c>
      <c r="G3224">
        <v>13.5</v>
      </c>
      <c r="H3224">
        <v>17.100000000000001</v>
      </c>
      <c r="I3224">
        <v>16</v>
      </c>
    </row>
    <row r="3225" spans="1:9" ht="24" customHeight="1">
      <c r="A3225" s="6" t="s">
        <v>916</v>
      </c>
      <c r="B3225">
        <v>27387</v>
      </c>
      <c r="C3225">
        <v>7313</v>
      </c>
      <c r="D3225">
        <v>811442</v>
      </c>
      <c r="E3225">
        <v>638449</v>
      </c>
      <c r="F3225">
        <v>15.1</v>
      </c>
      <c r="G3225">
        <v>15.9</v>
      </c>
      <c r="H3225">
        <v>17.600000000000001</v>
      </c>
      <c r="I3225">
        <v>7.9</v>
      </c>
    </row>
    <row r="3226" spans="1:9" ht="24" customHeight="1">
      <c r="A3226" s="6" t="s">
        <v>917</v>
      </c>
      <c r="B3226">
        <v>179268</v>
      </c>
      <c r="C3226">
        <v>54563</v>
      </c>
      <c r="D3226">
        <v>605696</v>
      </c>
      <c r="E3226">
        <v>492388</v>
      </c>
      <c r="F3226">
        <v>18.899999999999999</v>
      </c>
      <c r="G3226">
        <v>13.3</v>
      </c>
      <c r="H3226">
        <v>12.8</v>
      </c>
      <c r="I3226">
        <v>11.2</v>
      </c>
    </row>
    <row r="3227" spans="1:9" ht="24" customHeight="1">
      <c r="A3227" s="6" t="s">
        <v>4407</v>
      </c>
      <c r="B3227">
        <v>22741</v>
      </c>
      <c r="C3227">
        <v>2646</v>
      </c>
      <c r="D3227">
        <v>699513</v>
      </c>
      <c r="E3227">
        <v>572446</v>
      </c>
      <c r="F3227">
        <v>3</v>
      </c>
      <c r="G3227">
        <v>6.3</v>
      </c>
      <c r="H3227">
        <v>19.8</v>
      </c>
      <c r="I3227">
        <v>19</v>
      </c>
    </row>
    <row r="3228" spans="1:9" ht="24" customHeight="1">
      <c r="A3228" s="6" t="s">
        <v>4408</v>
      </c>
      <c r="B3228">
        <v>28180</v>
      </c>
      <c r="C3228">
        <v>6579</v>
      </c>
      <c r="D3228">
        <v>598593</v>
      </c>
      <c r="E3228">
        <v>489793</v>
      </c>
      <c r="F3228">
        <v>6.4</v>
      </c>
      <c r="G3228">
        <v>10.3</v>
      </c>
      <c r="H3228">
        <v>16.899999999999999</v>
      </c>
      <c r="I3228">
        <v>15.1</v>
      </c>
    </row>
    <row r="3229" spans="1:9" ht="24" customHeight="1">
      <c r="A3229" s="6" t="s">
        <v>4409</v>
      </c>
      <c r="B3229">
        <v>15871</v>
      </c>
      <c r="C3229">
        <v>6174</v>
      </c>
      <c r="D3229">
        <v>516994</v>
      </c>
      <c r="E3229">
        <v>456109</v>
      </c>
      <c r="F3229">
        <v>17</v>
      </c>
      <c r="G3229">
        <v>9.3000000000000007</v>
      </c>
      <c r="H3229">
        <v>12.7</v>
      </c>
      <c r="I3229">
        <v>13.5</v>
      </c>
    </row>
    <row r="3230" spans="1:9" ht="24" customHeight="1">
      <c r="A3230" s="6" t="s">
        <v>4410</v>
      </c>
      <c r="B3230">
        <v>24827</v>
      </c>
      <c r="C3230">
        <v>5327</v>
      </c>
      <c r="D3230">
        <v>750725</v>
      </c>
      <c r="E3230">
        <v>464013</v>
      </c>
      <c r="F3230">
        <v>7.4</v>
      </c>
      <c r="G3230">
        <v>7.5</v>
      </c>
      <c r="H3230">
        <v>12.6</v>
      </c>
      <c r="I3230">
        <v>12.9</v>
      </c>
    </row>
    <row r="3231" spans="1:9" ht="24" customHeight="1">
      <c r="A3231" s="6" t="s">
        <v>4411</v>
      </c>
      <c r="B3231">
        <v>175071</v>
      </c>
      <c r="C3231">
        <v>139581</v>
      </c>
      <c r="D3231">
        <v>440840</v>
      </c>
      <c r="E3231">
        <v>349295</v>
      </c>
      <c r="F3231">
        <v>9.1999999999999993</v>
      </c>
      <c r="G3231">
        <v>8.1999999999999993</v>
      </c>
      <c r="H3231">
        <v>7.1</v>
      </c>
      <c r="I3231">
        <v>6.2</v>
      </c>
    </row>
    <row r="3232" spans="1:9" ht="24" customHeight="1">
      <c r="A3232" s="6" t="s">
        <v>4412</v>
      </c>
      <c r="B3232">
        <v>12413</v>
      </c>
      <c r="C3232">
        <v>1330</v>
      </c>
      <c r="D3232">
        <v>911961</v>
      </c>
      <c r="E3232">
        <v>839408</v>
      </c>
      <c r="F3232">
        <v>0.5</v>
      </c>
      <c r="G3232">
        <v>1.8</v>
      </c>
      <c r="H3232">
        <v>17.8</v>
      </c>
      <c r="I3232">
        <v>11</v>
      </c>
    </row>
    <row r="3233" spans="1:9" ht="24" customHeight="1">
      <c r="A3233" s="6" t="s">
        <v>4413</v>
      </c>
      <c r="B3233">
        <v>16082</v>
      </c>
      <c r="C3233">
        <v>4299</v>
      </c>
      <c r="D3233">
        <v>721791</v>
      </c>
      <c r="E3233">
        <v>645894</v>
      </c>
      <c r="F3233">
        <v>3.1</v>
      </c>
      <c r="G3233">
        <v>1.5</v>
      </c>
      <c r="H3233">
        <v>17</v>
      </c>
      <c r="I3233">
        <v>16.8</v>
      </c>
    </row>
    <row r="3234" spans="1:9" ht="24" customHeight="1">
      <c r="A3234" s="6" t="s">
        <v>4414</v>
      </c>
      <c r="B3234">
        <v>8766</v>
      </c>
      <c r="C3234">
        <v>3937</v>
      </c>
      <c r="D3234">
        <v>573625</v>
      </c>
      <c r="E3234">
        <v>482467</v>
      </c>
      <c r="F3234">
        <v>11.5</v>
      </c>
      <c r="G3234">
        <v>7.7</v>
      </c>
      <c r="H3234">
        <v>11.5</v>
      </c>
      <c r="I3234">
        <v>14.2</v>
      </c>
    </row>
    <row r="3235" spans="1:9" ht="24" customHeight="1">
      <c r="A3235" s="6" t="s">
        <v>4415</v>
      </c>
      <c r="B3235">
        <v>13336</v>
      </c>
      <c r="C3235">
        <v>5060</v>
      </c>
      <c r="D3235">
        <v>641840</v>
      </c>
      <c r="E3235">
        <v>527468</v>
      </c>
      <c r="F3235">
        <v>6.9</v>
      </c>
      <c r="G3235">
        <v>3.6</v>
      </c>
      <c r="H3235">
        <v>15.3</v>
      </c>
      <c r="I3235">
        <v>16.100000000000001</v>
      </c>
    </row>
    <row r="3236" spans="1:9" ht="24" customHeight="1">
      <c r="A3236" s="6" t="s">
        <v>4416</v>
      </c>
      <c r="B3236">
        <v>64830</v>
      </c>
      <c r="C3236">
        <v>43372</v>
      </c>
      <c r="D3236">
        <v>479493</v>
      </c>
      <c r="E3236">
        <v>379437</v>
      </c>
      <c r="F3236">
        <v>15.7</v>
      </c>
      <c r="G3236">
        <v>7.3</v>
      </c>
      <c r="H3236">
        <v>8.1999999999999993</v>
      </c>
      <c r="I3236">
        <v>6.4</v>
      </c>
    </row>
    <row r="3237" spans="1:9" ht="24" customHeight="1">
      <c r="A3237" s="6" t="s">
        <v>4417</v>
      </c>
      <c r="B3237">
        <v>12755</v>
      </c>
      <c r="C3237">
        <v>593</v>
      </c>
      <c r="D3237">
        <v>962379</v>
      </c>
      <c r="E3237">
        <v>849708</v>
      </c>
      <c r="F3237">
        <v>8.5</v>
      </c>
      <c r="G3237">
        <v>0</v>
      </c>
      <c r="H3237">
        <v>22</v>
      </c>
      <c r="I3237">
        <v>18.7</v>
      </c>
    </row>
    <row r="3238" spans="1:9" ht="24" customHeight="1">
      <c r="A3238" s="6" t="s">
        <v>4418</v>
      </c>
      <c r="B3238">
        <v>13727</v>
      </c>
      <c r="C3238">
        <v>1307</v>
      </c>
      <c r="D3238">
        <v>769284</v>
      </c>
      <c r="E3238">
        <v>696613</v>
      </c>
      <c r="F3238">
        <v>9.9</v>
      </c>
      <c r="G3238">
        <v>5.7</v>
      </c>
      <c r="H3238">
        <v>19</v>
      </c>
      <c r="I3238">
        <v>14.7</v>
      </c>
    </row>
    <row r="3239" spans="1:9" ht="24" customHeight="1">
      <c r="A3239" s="6" t="s">
        <v>4419</v>
      </c>
      <c r="B3239">
        <v>8742</v>
      </c>
      <c r="C3239">
        <v>2755</v>
      </c>
      <c r="D3239">
        <v>601366</v>
      </c>
      <c r="E3239">
        <v>515750</v>
      </c>
      <c r="F3239">
        <v>16.100000000000001</v>
      </c>
      <c r="G3239">
        <v>14.7</v>
      </c>
      <c r="H3239">
        <v>17.600000000000001</v>
      </c>
      <c r="I3239">
        <v>19.3</v>
      </c>
    </row>
    <row r="3240" spans="1:9" ht="24" customHeight="1">
      <c r="A3240" s="6" t="s">
        <v>4420</v>
      </c>
      <c r="B3240">
        <v>5281</v>
      </c>
      <c r="C3240">
        <v>1507</v>
      </c>
      <c r="D3240">
        <v>682559</v>
      </c>
      <c r="E3240">
        <v>490814</v>
      </c>
      <c r="F3240">
        <v>19.399999999999999</v>
      </c>
      <c r="G3240">
        <v>35.200000000000003</v>
      </c>
      <c r="H3240">
        <v>16.8</v>
      </c>
      <c r="I3240">
        <v>13.1</v>
      </c>
    </row>
    <row r="3241" spans="1:9" ht="24" customHeight="1">
      <c r="A3241" s="6" t="s">
        <v>4421</v>
      </c>
      <c r="B3241">
        <v>69364</v>
      </c>
      <c r="C3241">
        <v>24147</v>
      </c>
      <c r="D3241">
        <v>461707</v>
      </c>
      <c r="E3241">
        <v>393321</v>
      </c>
      <c r="F3241">
        <v>20.2</v>
      </c>
      <c r="G3241">
        <v>15.7</v>
      </c>
      <c r="H3241">
        <v>9.1999999999999993</v>
      </c>
      <c r="I3241">
        <v>7.8</v>
      </c>
    </row>
    <row r="3242" spans="1:9" ht="24" customHeight="1">
      <c r="A3242" s="6" t="s">
        <v>918</v>
      </c>
      <c r="B3242">
        <v>2823</v>
      </c>
      <c r="C3242">
        <v>242</v>
      </c>
      <c r="D3242">
        <v>754770</v>
      </c>
      <c r="E3242">
        <v>604326</v>
      </c>
      <c r="F3242">
        <v>0.9</v>
      </c>
      <c r="G3242">
        <v>0</v>
      </c>
      <c r="H3242">
        <v>20.100000000000001</v>
      </c>
      <c r="I3242">
        <v>14</v>
      </c>
    </row>
    <row r="3243" spans="1:9" ht="24" customHeight="1">
      <c r="A3243" s="6" t="s">
        <v>919</v>
      </c>
      <c r="B3243">
        <v>6793</v>
      </c>
      <c r="C3243">
        <v>1291</v>
      </c>
      <c r="D3243">
        <v>584046</v>
      </c>
      <c r="E3243">
        <v>481140</v>
      </c>
      <c r="F3243">
        <v>2.7</v>
      </c>
      <c r="G3243">
        <v>0.9</v>
      </c>
      <c r="H3243">
        <v>16.899999999999999</v>
      </c>
      <c r="I3243">
        <v>16.899999999999999</v>
      </c>
    </row>
    <row r="3244" spans="1:9" ht="24" customHeight="1">
      <c r="A3244" s="6" t="s">
        <v>920</v>
      </c>
      <c r="B3244">
        <v>7312</v>
      </c>
      <c r="C3244">
        <v>3267</v>
      </c>
      <c r="D3244">
        <v>494149</v>
      </c>
      <c r="E3244">
        <v>465071</v>
      </c>
      <c r="F3244">
        <v>13.8</v>
      </c>
      <c r="G3244">
        <v>8.9</v>
      </c>
      <c r="H3244">
        <v>14</v>
      </c>
      <c r="I3244">
        <v>14</v>
      </c>
    </row>
    <row r="3245" spans="1:9" ht="24" customHeight="1">
      <c r="A3245" s="6" t="s">
        <v>921</v>
      </c>
      <c r="B3245">
        <v>31485</v>
      </c>
      <c r="C3245">
        <v>8980</v>
      </c>
      <c r="D3245">
        <v>476985</v>
      </c>
      <c r="E3245">
        <v>434463</v>
      </c>
      <c r="F3245">
        <v>16.600000000000001</v>
      </c>
      <c r="G3245">
        <v>18.7</v>
      </c>
      <c r="H3245">
        <v>14.7</v>
      </c>
      <c r="I3245">
        <v>11.1</v>
      </c>
    </row>
    <row r="3246" spans="1:9" ht="24" customHeight="1">
      <c r="A3246" s="6" t="s">
        <v>922</v>
      </c>
      <c r="B3246">
        <v>58294</v>
      </c>
      <c r="C3246">
        <v>56009</v>
      </c>
      <c r="D3246">
        <v>402025</v>
      </c>
      <c r="E3246">
        <v>325978</v>
      </c>
      <c r="F3246">
        <v>23.3</v>
      </c>
      <c r="G3246">
        <v>16.100000000000001</v>
      </c>
      <c r="H3246">
        <v>10.4</v>
      </c>
      <c r="I3246">
        <v>7.3</v>
      </c>
    </row>
    <row r="3247" spans="1:9" ht="24" customHeight="1">
      <c r="A3247" s="6" t="s">
        <v>4422</v>
      </c>
      <c r="B3247">
        <v>8154</v>
      </c>
      <c r="C3247">
        <v>1433</v>
      </c>
      <c r="D3247">
        <v>420984</v>
      </c>
      <c r="E3247">
        <v>336126</v>
      </c>
      <c r="F3247">
        <v>5.4</v>
      </c>
      <c r="G3247">
        <v>5.8</v>
      </c>
      <c r="H3247">
        <v>14.5</v>
      </c>
      <c r="I3247">
        <v>13.2</v>
      </c>
    </row>
    <row r="3248" spans="1:9" ht="24" customHeight="1">
      <c r="A3248" s="6" t="s">
        <v>4423</v>
      </c>
      <c r="B3248">
        <v>9414</v>
      </c>
      <c r="C3248">
        <v>2739</v>
      </c>
      <c r="D3248">
        <v>401842</v>
      </c>
      <c r="E3248">
        <v>316997</v>
      </c>
      <c r="F3248">
        <v>9.9</v>
      </c>
      <c r="G3248">
        <v>8.4</v>
      </c>
      <c r="H3248">
        <v>15.3</v>
      </c>
      <c r="I3248">
        <v>14.9</v>
      </c>
    </row>
    <row r="3249" spans="1:9" ht="24" customHeight="1">
      <c r="A3249" s="6" t="s">
        <v>4424</v>
      </c>
      <c r="B3249">
        <v>5242</v>
      </c>
      <c r="C3249">
        <v>2685</v>
      </c>
      <c r="D3249">
        <v>338096</v>
      </c>
      <c r="E3249">
        <v>289647</v>
      </c>
      <c r="F3249">
        <v>9.1</v>
      </c>
      <c r="G3249">
        <v>12.3</v>
      </c>
      <c r="H3249">
        <v>12.3</v>
      </c>
      <c r="I3249">
        <v>12.1</v>
      </c>
    </row>
    <row r="3250" spans="1:9" ht="24" customHeight="1">
      <c r="A3250" s="6" t="s">
        <v>4425</v>
      </c>
      <c r="B3250">
        <v>16525</v>
      </c>
      <c r="C3250">
        <v>5061</v>
      </c>
      <c r="D3250">
        <v>378794</v>
      </c>
      <c r="E3250">
        <v>294685</v>
      </c>
      <c r="F3250">
        <v>10.4</v>
      </c>
      <c r="G3250">
        <v>6.7</v>
      </c>
      <c r="H3250">
        <v>11</v>
      </c>
      <c r="I3250">
        <v>12.1</v>
      </c>
    </row>
    <row r="3251" spans="1:9" ht="24" customHeight="1">
      <c r="A3251" s="6" t="s">
        <v>4426</v>
      </c>
      <c r="B3251">
        <v>98438</v>
      </c>
      <c r="C3251">
        <v>68227</v>
      </c>
      <c r="D3251">
        <v>302619</v>
      </c>
      <c r="E3251">
        <v>236376</v>
      </c>
      <c r="F3251">
        <v>12</v>
      </c>
      <c r="G3251">
        <v>6.9</v>
      </c>
      <c r="H3251">
        <v>8.9</v>
      </c>
      <c r="I3251">
        <v>8.1</v>
      </c>
    </row>
    <row r="3252" spans="1:9" ht="24" customHeight="1">
      <c r="A3252" s="6" t="s">
        <v>4427</v>
      </c>
      <c r="B3252">
        <v>3157</v>
      </c>
      <c r="C3252">
        <v>420</v>
      </c>
      <c r="D3252">
        <v>517171</v>
      </c>
      <c r="E3252">
        <v>485178</v>
      </c>
      <c r="F3252">
        <v>10.6</v>
      </c>
      <c r="G3252">
        <v>0</v>
      </c>
      <c r="H3252">
        <v>17.8</v>
      </c>
      <c r="I3252">
        <v>17.899999999999999</v>
      </c>
    </row>
    <row r="3253" spans="1:9" ht="24" customHeight="1">
      <c r="A3253" s="6" t="s">
        <v>4428</v>
      </c>
      <c r="B3253">
        <v>5671</v>
      </c>
      <c r="C3253">
        <v>1231</v>
      </c>
      <c r="D3253">
        <v>413842</v>
      </c>
      <c r="E3253">
        <v>399038</v>
      </c>
      <c r="F3253">
        <v>7.2</v>
      </c>
      <c r="G3253">
        <v>1.8</v>
      </c>
      <c r="H3253">
        <v>15.7</v>
      </c>
      <c r="I3253">
        <v>14.7</v>
      </c>
    </row>
    <row r="3254" spans="1:9" ht="24" customHeight="1">
      <c r="A3254" s="6" t="s">
        <v>4429</v>
      </c>
      <c r="B3254">
        <v>5250</v>
      </c>
      <c r="C3254">
        <v>1578</v>
      </c>
      <c r="D3254">
        <v>376472</v>
      </c>
      <c r="E3254">
        <v>336841</v>
      </c>
      <c r="F3254">
        <v>21.6</v>
      </c>
      <c r="G3254">
        <v>10.8</v>
      </c>
      <c r="H3254">
        <v>13.9</v>
      </c>
      <c r="I3254">
        <v>13.9</v>
      </c>
    </row>
    <row r="3255" spans="1:9" ht="24" customHeight="1">
      <c r="A3255" s="6" t="s">
        <v>4430</v>
      </c>
      <c r="B3255">
        <v>6999</v>
      </c>
      <c r="C3255">
        <v>1873</v>
      </c>
      <c r="D3255">
        <v>399619</v>
      </c>
      <c r="E3255">
        <v>327945</v>
      </c>
      <c r="F3255">
        <v>14.3</v>
      </c>
      <c r="G3255">
        <v>14.2</v>
      </c>
      <c r="H3255">
        <v>13.2</v>
      </c>
      <c r="I3255">
        <v>11.7</v>
      </c>
    </row>
    <row r="3256" spans="1:9" ht="24" customHeight="1">
      <c r="A3256" s="6" t="s">
        <v>4431</v>
      </c>
      <c r="B3256">
        <v>34901</v>
      </c>
      <c r="C3256">
        <v>26040</v>
      </c>
      <c r="D3256">
        <v>315558</v>
      </c>
      <c r="E3256">
        <v>273852</v>
      </c>
      <c r="F3256">
        <v>16.399999999999999</v>
      </c>
      <c r="G3256">
        <v>12.2</v>
      </c>
      <c r="H3256">
        <v>8.4</v>
      </c>
      <c r="I3256">
        <v>6.5</v>
      </c>
    </row>
    <row r="3257" spans="1:9" ht="24" customHeight="1">
      <c r="A3257" s="6" t="s">
        <v>4432</v>
      </c>
      <c r="B3257">
        <v>2320</v>
      </c>
      <c r="C3257">
        <v>151</v>
      </c>
      <c r="D3257">
        <v>617904</v>
      </c>
      <c r="E3257">
        <v>708609</v>
      </c>
      <c r="F3257">
        <v>3.8</v>
      </c>
      <c r="G3257">
        <v>0</v>
      </c>
      <c r="H3257">
        <v>22.5</v>
      </c>
      <c r="I3257">
        <v>23.2</v>
      </c>
    </row>
    <row r="3258" spans="1:9" ht="24" customHeight="1">
      <c r="A3258" s="6" t="s">
        <v>4433</v>
      </c>
      <c r="B3258">
        <v>6945</v>
      </c>
      <c r="C3258">
        <v>1197</v>
      </c>
      <c r="D3258">
        <v>493773</v>
      </c>
      <c r="E3258">
        <v>433938</v>
      </c>
      <c r="F3258">
        <v>7.4</v>
      </c>
      <c r="G3258">
        <v>4.2</v>
      </c>
      <c r="H3258">
        <v>16.3</v>
      </c>
      <c r="I3258">
        <v>15.2</v>
      </c>
    </row>
    <row r="3259" spans="1:9" ht="24" customHeight="1">
      <c r="A3259" s="6" t="s">
        <v>4434</v>
      </c>
      <c r="B3259">
        <v>5327</v>
      </c>
      <c r="C3259">
        <v>1874</v>
      </c>
      <c r="D3259">
        <v>428450</v>
      </c>
      <c r="E3259">
        <v>380698</v>
      </c>
      <c r="F3259">
        <v>22.3</v>
      </c>
      <c r="G3259">
        <v>16.2</v>
      </c>
      <c r="H3259">
        <v>16.2</v>
      </c>
      <c r="I3259">
        <v>14.4</v>
      </c>
    </row>
    <row r="3260" spans="1:9" ht="24" customHeight="1">
      <c r="A3260" s="6" t="s">
        <v>4435</v>
      </c>
      <c r="B3260">
        <v>7593</v>
      </c>
      <c r="C3260">
        <v>1272</v>
      </c>
      <c r="D3260">
        <v>426595</v>
      </c>
      <c r="E3260">
        <v>376634</v>
      </c>
      <c r="F3260">
        <v>15.9</v>
      </c>
      <c r="G3260">
        <v>23.7</v>
      </c>
      <c r="H3260">
        <v>12.9</v>
      </c>
      <c r="I3260">
        <v>12.8</v>
      </c>
    </row>
    <row r="3261" spans="1:9" ht="24" customHeight="1">
      <c r="A3261" s="6" t="s">
        <v>4436</v>
      </c>
      <c r="B3261">
        <v>27750</v>
      </c>
      <c r="C3261">
        <v>21253</v>
      </c>
      <c r="D3261">
        <v>335067</v>
      </c>
      <c r="E3261">
        <v>285503</v>
      </c>
      <c r="F3261">
        <v>18.100000000000001</v>
      </c>
      <c r="G3261">
        <v>15.2</v>
      </c>
      <c r="H3261">
        <v>8.3000000000000007</v>
      </c>
      <c r="I3261">
        <v>6.6</v>
      </c>
    </row>
    <row r="3262" spans="1:9" ht="24" customHeight="1">
      <c r="A3262" s="6" t="s">
        <v>923</v>
      </c>
      <c r="B3262">
        <v>2413</v>
      </c>
      <c r="C3262">
        <v>327</v>
      </c>
      <c r="D3262">
        <v>912903</v>
      </c>
      <c r="E3262">
        <v>533401</v>
      </c>
      <c r="F3262">
        <v>1.3</v>
      </c>
      <c r="G3262">
        <v>1.7</v>
      </c>
      <c r="H3262">
        <v>23.9</v>
      </c>
      <c r="I3262">
        <v>15.4</v>
      </c>
    </row>
    <row r="3263" spans="1:9" ht="24" customHeight="1">
      <c r="A3263" s="6" t="s">
        <v>924</v>
      </c>
      <c r="B3263">
        <v>6525</v>
      </c>
      <c r="C3263">
        <v>1500</v>
      </c>
      <c r="D3263">
        <v>701571</v>
      </c>
      <c r="E3263">
        <v>562787</v>
      </c>
      <c r="F3263">
        <v>6.5</v>
      </c>
      <c r="G3263">
        <v>10.6</v>
      </c>
      <c r="H3263">
        <v>20</v>
      </c>
      <c r="I3263">
        <v>16.7</v>
      </c>
    </row>
    <row r="3264" spans="1:9" ht="24" customHeight="1">
      <c r="A3264" s="6" t="s">
        <v>925</v>
      </c>
      <c r="B3264">
        <v>6988</v>
      </c>
      <c r="C3264">
        <v>1887</v>
      </c>
      <c r="D3264">
        <v>541935</v>
      </c>
      <c r="E3264">
        <v>487956</v>
      </c>
      <c r="F3264">
        <v>16.5</v>
      </c>
      <c r="G3264">
        <v>16</v>
      </c>
      <c r="H3264">
        <v>17</v>
      </c>
      <c r="I3264">
        <v>15.6</v>
      </c>
    </row>
    <row r="3265" spans="1:9" ht="24" customHeight="1">
      <c r="A3265" s="6" t="s">
        <v>926</v>
      </c>
      <c r="B3265">
        <v>12739</v>
      </c>
      <c r="C3265">
        <v>2480</v>
      </c>
      <c r="D3265">
        <v>500551</v>
      </c>
      <c r="E3265">
        <v>397259</v>
      </c>
      <c r="F3265">
        <v>7.1</v>
      </c>
      <c r="G3265">
        <v>11.2</v>
      </c>
      <c r="H3265">
        <v>15.5</v>
      </c>
      <c r="I3265">
        <v>11.8</v>
      </c>
    </row>
    <row r="3266" spans="1:9" ht="24" customHeight="1">
      <c r="A3266" s="6" t="s">
        <v>927</v>
      </c>
      <c r="B3266">
        <v>36638</v>
      </c>
      <c r="C3266">
        <v>40889</v>
      </c>
      <c r="D3266">
        <v>403232</v>
      </c>
      <c r="E3266">
        <v>318362</v>
      </c>
      <c r="F3266">
        <v>14.5</v>
      </c>
      <c r="G3266">
        <v>11.4</v>
      </c>
      <c r="H3266">
        <v>11.2</v>
      </c>
      <c r="I3266">
        <v>8.3000000000000007</v>
      </c>
    </row>
    <row r="3267" spans="1:9" ht="24" customHeight="1">
      <c r="A3267" s="6" t="s">
        <v>4437</v>
      </c>
      <c r="B3267">
        <v>6993</v>
      </c>
      <c r="C3267">
        <v>1185</v>
      </c>
      <c r="D3267">
        <v>556424</v>
      </c>
      <c r="E3267">
        <v>560321</v>
      </c>
      <c r="F3267">
        <v>3</v>
      </c>
      <c r="G3267">
        <v>1.9</v>
      </c>
      <c r="H3267">
        <v>17.5</v>
      </c>
      <c r="I3267">
        <v>18.100000000000001</v>
      </c>
    </row>
    <row r="3268" spans="1:9" ht="24" customHeight="1">
      <c r="A3268" s="6" t="s">
        <v>4438</v>
      </c>
      <c r="B3268">
        <v>9338</v>
      </c>
      <c r="C3268">
        <v>2570</v>
      </c>
      <c r="D3268">
        <v>482795</v>
      </c>
      <c r="E3268">
        <v>427763</v>
      </c>
      <c r="F3268">
        <v>5.3</v>
      </c>
      <c r="G3268">
        <v>6.2</v>
      </c>
      <c r="H3268">
        <v>15.5</v>
      </c>
      <c r="I3268">
        <v>16.399999999999999</v>
      </c>
    </row>
    <row r="3269" spans="1:9" ht="24" customHeight="1">
      <c r="A3269" s="6" t="s">
        <v>4439</v>
      </c>
      <c r="B3269">
        <v>6696</v>
      </c>
      <c r="C3269">
        <v>3113</v>
      </c>
      <c r="D3269">
        <v>444706</v>
      </c>
      <c r="E3269">
        <v>378706</v>
      </c>
      <c r="F3269">
        <v>8.1999999999999993</v>
      </c>
      <c r="G3269">
        <v>8</v>
      </c>
      <c r="H3269">
        <v>12.7</v>
      </c>
      <c r="I3269">
        <v>13</v>
      </c>
    </row>
    <row r="3270" spans="1:9" ht="24" customHeight="1">
      <c r="A3270" s="6" t="s">
        <v>4440</v>
      </c>
      <c r="B3270">
        <v>9639</v>
      </c>
      <c r="C3270">
        <v>4185</v>
      </c>
      <c r="D3270">
        <v>415382</v>
      </c>
      <c r="E3270">
        <v>342647</v>
      </c>
      <c r="F3270">
        <v>6.7</v>
      </c>
      <c r="G3270">
        <v>7.4</v>
      </c>
      <c r="H3270">
        <v>14</v>
      </c>
      <c r="I3270">
        <v>12.9</v>
      </c>
    </row>
    <row r="3271" spans="1:9" ht="24" customHeight="1">
      <c r="A3271" s="6" t="s">
        <v>4441</v>
      </c>
      <c r="B3271">
        <v>65672</v>
      </c>
      <c r="C3271">
        <v>65416</v>
      </c>
      <c r="D3271">
        <v>336125</v>
      </c>
      <c r="E3271">
        <v>264164</v>
      </c>
      <c r="F3271">
        <v>8</v>
      </c>
      <c r="G3271">
        <v>5.0999999999999996</v>
      </c>
      <c r="H3271">
        <v>10.199999999999999</v>
      </c>
      <c r="I3271">
        <v>8</v>
      </c>
    </row>
    <row r="3272" spans="1:9" ht="24" customHeight="1">
      <c r="A3272" s="6" t="s">
        <v>4442</v>
      </c>
      <c r="B3272">
        <v>2962</v>
      </c>
      <c r="C3272">
        <v>145</v>
      </c>
      <c r="D3272">
        <v>601944</v>
      </c>
      <c r="E3272">
        <v>459550</v>
      </c>
      <c r="F3272">
        <v>1.4</v>
      </c>
      <c r="G3272">
        <v>0</v>
      </c>
      <c r="H3272">
        <v>21</v>
      </c>
      <c r="I3272">
        <v>13.6</v>
      </c>
    </row>
    <row r="3273" spans="1:9" ht="24" customHeight="1">
      <c r="A3273" s="6" t="s">
        <v>4443</v>
      </c>
      <c r="B3273">
        <v>5788</v>
      </c>
      <c r="C3273">
        <v>1080</v>
      </c>
      <c r="D3273">
        <v>505933</v>
      </c>
      <c r="E3273">
        <v>451996</v>
      </c>
      <c r="F3273">
        <v>3.3</v>
      </c>
      <c r="G3273">
        <v>4</v>
      </c>
      <c r="H3273">
        <v>17.100000000000001</v>
      </c>
      <c r="I3273">
        <v>16.2</v>
      </c>
    </row>
    <row r="3274" spans="1:9" ht="24" customHeight="1">
      <c r="A3274" s="6" t="s">
        <v>4444</v>
      </c>
      <c r="B3274">
        <v>5699</v>
      </c>
      <c r="C3274">
        <v>1408</v>
      </c>
      <c r="D3274">
        <v>428069</v>
      </c>
      <c r="E3274">
        <v>398642</v>
      </c>
      <c r="F3274">
        <v>11.1</v>
      </c>
      <c r="G3274">
        <v>10.8</v>
      </c>
      <c r="H3274">
        <v>13.6</v>
      </c>
      <c r="I3274">
        <v>17.2</v>
      </c>
    </row>
    <row r="3275" spans="1:9" ht="24" customHeight="1">
      <c r="A3275" s="6" t="s">
        <v>4445</v>
      </c>
      <c r="B3275">
        <v>5535</v>
      </c>
      <c r="C3275">
        <v>1468</v>
      </c>
      <c r="D3275">
        <v>421187</v>
      </c>
      <c r="E3275">
        <v>307375</v>
      </c>
      <c r="F3275">
        <v>7.4</v>
      </c>
      <c r="G3275">
        <v>8.3000000000000007</v>
      </c>
      <c r="H3275">
        <v>14</v>
      </c>
      <c r="I3275">
        <v>12.4</v>
      </c>
    </row>
    <row r="3276" spans="1:9" ht="24" customHeight="1">
      <c r="A3276" s="6" t="s">
        <v>4446</v>
      </c>
      <c r="B3276">
        <v>33640</v>
      </c>
      <c r="C3276">
        <v>28935</v>
      </c>
      <c r="D3276">
        <v>342387</v>
      </c>
      <c r="E3276">
        <v>277620</v>
      </c>
      <c r="F3276">
        <v>13.8</v>
      </c>
      <c r="G3276">
        <v>5.8</v>
      </c>
      <c r="H3276">
        <v>8.9</v>
      </c>
      <c r="I3276">
        <v>7.6</v>
      </c>
    </row>
    <row r="3277" spans="1:9" ht="24" customHeight="1">
      <c r="A3277" s="6" t="s">
        <v>4447</v>
      </c>
      <c r="B3277">
        <v>2240</v>
      </c>
      <c r="C3277">
        <v>252</v>
      </c>
      <c r="D3277">
        <v>698627</v>
      </c>
      <c r="E3277">
        <v>690216</v>
      </c>
      <c r="F3277">
        <v>1.1000000000000001</v>
      </c>
      <c r="G3277">
        <v>0</v>
      </c>
      <c r="H3277">
        <v>23.5</v>
      </c>
      <c r="I3277">
        <v>21.2</v>
      </c>
    </row>
    <row r="3278" spans="1:9" ht="24" customHeight="1">
      <c r="A3278" s="6" t="s">
        <v>4448</v>
      </c>
      <c r="B3278">
        <v>4674</v>
      </c>
      <c r="C3278">
        <v>846</v>
      </c>
      <c r="D3278">
        <v>560104</v>
      </c>
      <c r="E3278">
        <v>598836</v>
      </c>
      <c r="F3278">
        <v>2.6</v>
      </c>
      <c r="G3278">
        <v>0.7</v>
      </c>
      <c r="H3278">
        <v>22.1</v>
      </c>
      <c r="I3278">
        <v>19.3</v>
      </c>
    </row>
    <row r="3279" spans="1:9" ht="24" customHeight="1">
      <c r="A3279" s="6" t="s">
        <v>4449</v>
      </c>
      <c r="B3279">
        <v>5304</v>
      </c>
      <c r="C3279">
        <v>1296</v>
      </c>
      <c r="D3279">
        <v>450919</v>
      </c>
      <c r="E3279">
        <v>432270</v>
      </c>
      <c r="F3279">
        <v>14</v>
      </c>
      <c r="G3279">
        <v>11.2</v>
      </c>
      <c r="H3279">
        <v>17.600000000000001</v>
      </c>
      <c r="I3279">
        <v>17.5</v>
      </c>
    </row>
    <row r="3280" spans="1:9" ht="24" customHeight="1">
      <c r="A3280" s="6" t="s">
        <v>4450</v>
      </c>
      <c r="B3280">
        <v>5413</v>
      </c>
      <c r="C3280">
        <v>1248</v>
      </c>
      <c r="D3280">
        <v>483576</v>
      </c>
      <c r="E3280">
        <v>428068</v>
      </c>
      <c r="F3280">
        <v>7.4</v>
      </c>
      <c r="G3280">
        <v>8.9</v>
      </c>
      <c r="H3280">
        <v>15.7</v>
      </c>
      <c r="I3280">
        <v>14.7</v>
      </c>
    </row>
    <row r="3281" spans="1:9" ht="24" customHeight="1">
      <c r="A3281" s="6" t="s">
        <v>4451</v>
      </c>
      <c r="B3281">
        <v>25383</v>
      </c>
      <c r="C3281">
        <v>19356</v>
      </c>
      <c r="D3281">
        <v>365634</v>
      </c>
      <c r="E3281">
        <v>316127</v>
      </c>
      <c r="F3281">
        <v>9.9</v>
      </c>
      <c r="G3281">
        <v>7.7</v>
      </c>
      <c r="H3281">
        <v>11.4</v>
      </c>
      <c r="I3281">
        <v>9.3000000000000007</v>
      </c>
    </row>
    <row r="3282" spans="1:9" ht="24" customHeight="1">
      <c r="A3282" s="6" t="s">
        <v>928</v>
      </c>
      <c r="B3282">
        <v>3225</v>
      </c>
      <c r="C3282">
        <v>470</v>
      </c>
      <c r="D3282">
        <v>912773</v>
      </c>
      <c r="E3282">
        <v>802828</v>
      </c>
      <c r="F3282">
        <v>0.6</v>
      </c>
      <c r="G3282">
        <v>2.6</v>
      </c>
      <c r="H3282">
        <v>24.1</v>
      </c>
      <c r="I3282">
        <v>19.600000000000001</v>
      </c>
    </row>
    <row r="3283" spans="1:9" ht="24" customHeight="1">
      <c r="A3283" s="6" t="s">
        <v>929</v>
      </c>
      <c r="B3283">
        <v>7771</v>
      </c>
      <c r="C3283">
        <v>2620</v>
      </c>
      <c r="D3283">
        <v>784580</v>
      </c>
      <c r="E3283">
        <v>723077</v>
      </c>
      <c r="F3283">
        <v>1.8</v>
      </c>
      <c r="G3283">
        <v>1.4</v>
      </c>
      <c r="H3283">
        <v>23.3</v>
      </c>
      <c r="I3283">
        <v>25.8</v>
      </c>
    </row>
    <row r="3284" spans="1:9" ht="24" customHeight="1">
      <c r="A3284" s="6" t="s">
        <v>930</v>
      </c>
      <c r="B3284">
        <v>11375</v>
      </c>
      <c r="C3284">
        <v>5229</v>
      </c>
      <c r="D3284">
        <v>628386</v>
      </c>
      <c r="E3284">
        <v>575953</v>
      </c>
      <c r="F3284">
        <v>16.600000000000001</v>
      </c>
      <c r="G3284">
        <v>13.3</v>
      </c>
      <c r="H3284">
        <v>18.7</v>
      </c>
      <c r="I3284">
        <v>18.899999999999999</v>
      </c>
    </row>
    <row r="3285" spans="1:9" ht="24" customHeight="1">
      <c r="A3285" s="6" t="s">
        <v>931</v>
      </c>
      <c r="B3285">
        <v>10825</v>
      </c>
      <c r="C3285">
        <v>3925</v>
      </c>
      <c r="D3285">
        <v>759767</v>
      </c>
      <c r="E3285">
        <v>683336</v>
      </c>
      <c r="F3285">
        <v>5</v>
      </c>
      <c r="G3285">
        <v>7.8</v>
      </c>
      <c r="H3285">
        <v>19.8</v>
      </c>
      <c r="I3285">
        <v>20.8</v>
      </c>
    </row>
    <row r="3286" spans="1:9" ht="24" customHeight="1">
      <c r="A3286" s="6" t="s">
        <v>932</v>
      </c>
      <c r="B3286">
        <v>93110</v>
      </c>
      <c r="C3286">
        <v>54433</v>
      </c>
      <c r="D3286">
        <v>705275</v>
      </c>
      <c r="E3286">
        <v>548599</v>
      </c>
      <c r="F3286">
        <v>6.3</v>
      </c>
      <c r="G3286">
        <v>7.9</v>
      </c>
      <c r="H3286">
        <v>13.6</v>
      </c>
      <c r="I3286">
        <v>11.2</v>
      </c>
    </row>
    <row r="3287" spans="1:9" ht="24" customHeight="1">
      <c r="A3287" s="6" t="s">
        <v>4452</v>
      </c>
      <c r="B3287">
        <v>4569</v>
      </c>
      <c r="C3287">
        <v>2218</v>
      </c>
      <c r="D3287">
        <v>566759</v>
      </c>
      <c r="E3287">
        <v>507664</v>
      </c>
      <c r="F3287">
        <v>5.5</v>
      </c>
      <c r="G3287">
        <v>2.1</v>
      </c>
      <c r="H3287">
        <v>19.100000000000001</v>
      </c>
      <c r="I3287">
        <v>22.1</v>
      </c>
    </row>
    <row r="3288" spans="1:9" ht="24" customHeight="1">
      <c r="A3288" s="6" t="s">
        <v>4453</v>
      </c>
      <c r="B3288">
        <v>5810</v>
      </c>
      <c r="C3288">
        <v>3931</v>
      </c>
      <c r="D3288">
        <v>493911</v>
      </c>
      <c r="E3288">
        <v>447526</v>
      </c>
      <c r="F3288">
        <v>10.3</v>
      </c>
      <c r="G3288">
        <v>5</v>
      </c>
      <c r="H3288">
        <v>18.2</v>
      </c>
      <c r="I3288">
        <v>17.100000000000001</v>
      </c>
    </row>
    <row r="3289" spans="1:9" ht="24" customHeight="1">
      <c r="A3289" s="6" t="s">
        <v>4454</v>
      </c>
      <c r="B3289">
        <v>3828</v>
      </c>
      <c r="C3289">
        <v>4736</v>
      </c>
      <c r="D3289">
        <v>455078</v>
      </c>
      <c r="E3289">
        <v>404996</v>
      </c>
      <c r="F3289">
        <v>19.3</v>
      </c>
      <c r="G3289">
        <v>7.4</v>
      </c>
      <c r="H3289">
        <v>14.2</v>
      </c>
      <c r="I3289">
        <v>15</v>
      </c>
    </row>
    <row r="3290" spans="1:9" ht="24" customHeight="1">
      <c r="A3290" s="6" t="s">
        <v>4455</v>
      </c>
      <c r="B3290">
        <v>6918</v>
      </c>
      <c r="C3290">
        <v>6874</v>
      </c>
      <c r="D3290">
        <v>502412</v>
      </c>
      <c r="E3290">
        <v>454985</v>
      </c>
      <c r="F3290">
        <v>6.2</v>
      </c>
      <c r="G3290">
        <v>3.3</v>
      </c>
      <c r="H3290">
        <v>16.600000000000001</v>
      </c>
      <c r="I3290">
        <v>19</v>
      </c>
    </row>
    <row r="3291" spans="1:9" ht="24" customHeight="1">
      <c r="A3291" s="6" t="s">
        <v>4456</v>
      </c>
      <c r="B3291">
        <v>46301</v>
      </c>
      <c r="C3291">
        <v>121302</v>
      </c>
      <c r="D3291">
        <v>397098</v>
      </c>
      <c r="E3291">
        <v>324598</v>
      </c>
      <c r="F3291">
        <v>10.3</v>
      </c>
      <c r="G3291">
        <v>3.5</v>
      </c>
      <c r="H3291">
        <v>10.7</v>
      </c>
      <c r="I3291">
        <v>8</v>
      </c>
    </row>
    <row r="3292" spans="1:9" ht="24" customHeight="1">
      <c r="A3292" s="6" t="s">
        <v>4457</v>
      </c>
      <c r="B3292">
        <v>3706</v>
      </c>
      <c r="C3292">
        <v>1257</v>
      </c>
      <c r="D3292">
        <v>676564</v>
      </c>
      <c r="E3292">
        <v>524381</v>
      </c>
      <c r="F3292">
        <v>3</v>
      </c>
      <c r="G3292">
        <v>1.8</v>
      </c>
      <c r="H3292">
        <v>22.3</v>
      </c>
      <c r="I3292">
        <v>20.399999999999999</v>
      </c>
    </row>
    <row r="3293" spans="1:9" ht="24" customHeight="1">
      <c r="A3293" s="6" t="s">
        <v>4458</v>
      </c>
      <c r="B3293">
        <v>4180</v>
      </c>
      <c r="C3293">
        <v>1380</v>
      </c>
      <c r="D3293">
        <v>538858</v>
      </c>
      <c r="E3293">
        <v>589820</v>
      </c>
      <c r="F3293">
        <v>6.8</v>
      </c>
      <c r="G3293">
        <v>3.4</v>
      </c>
      <c r="H3293">
        <v>18</v>
      </c>
      <c r="I3293">
        <v>20.100000000000001</v>
      </c>
    </row>
    <row r="3294" spans="1:9" ht="24" customHeight="1">
      <c r="A3294" s="6" t="s">
        <v>4459</v>
      </c>
      <c r="B3294">
        <v>2694</v>
      </c>
      <c r="C3294">
        <v>1839</v>
      </c>
      <c r="D3294">
        <v>496964</v>
      </c>
      <c r="E3294">
        <v>446615</v>
      </c>
      <c r="F3294">
        <v>18.2</v>
      </c>
      <c r="G3294">
        <v>7.5</v>
      </c>
      <c r="H3294">
        <v>16.100000000000001</v>
      </c>
      <c r="I3294">
        <v>16.3</v>
      </c>
    </row>
    <row r="3295" spans="1:9" ht="24" customHeight="1">
      <c r="A3295" s="6" t="s">
        <v>4460</v>
      </c>
      <c r="B3295">
        <v>6070</v>
      </c>
      <c r="C3295">
        <v>2698</v>
      </c>
      <c r="D3295">
        <v>615646</v>
      </c>
      <c r="E3295">
        <v>511652</v>
      </c>
      <c r="F3295">
        <v>5.4</v>
      </c>
      <c r="G3295">
        <v>5.4</v>
      </c>
      <c r="H3295">
        <v>17.3</v>
      </c>
      <c r="I3295">
        <v>20.6</v>
      </c>
    </row>
    <row r="3296" spans="1:9" ht="24" customHeight="1">
      <c r="A3296" s="6" t="s">
        <v>4461</v>
      </c>
      <c r="B3296">
        <v>44024</v>
      </c>
      <c r="C3296">
        <v>41683</v>
      </c>
      <c r="D3296">
        <v>565419</v>
      </c>
      <c r="E3296">
        <v>414878</v>
      </c>
      <c r="F3296">
        <v>5.7</v>
      </c>
      <c r="G3296">
        <v>3.8</v>
      </c>
      <c r="H3296">
        <v>12.9</v>
      </c>
      <c r="I3296">
        <v>9.8000000000000007</v>
      </c>
    </row>
    <row r="3297" spans="1:9" ht="24" customHeight="1">
      <c r="A3297" s="6" t="s">
        <v>4462</v>
      </c>
      <c r="B3297">
        <v>2532</v>
      </c>
      <c r="C3297">
        <v>499</v>
      </c>
      <c r="D3297">
        <v>793957</v>
      </c>
      <c r="E3297">
        <v>760943</v>
      </c>
      <c r="F3297">
        <v>0.4</v>
      </c>
      <c r="G3297">
        <v>0.2</v>
      </c>
      <c r="H3297">
        <v>21.3</v>
      </c>
      <c r="I3297">
        <v>25.3</v>
      </c>
    </row>
    <row r="3298" spans="1:9" ht="24" customHeight="1">
      <c r="A3298" s="6" t="s">
        <v>4463</v>
      </c>
      <c r="B3298">
        <v>4275</v>
      </c>
      <c r="C3298">
        <v>1936</v>
      </c>
      <c r="D3298">
        <v>644661</v>
      </c>
      <c r="E3298">
        <v>699474</v>
      </c>
      <c r="F3298">
        <v>3.2</v>
      </c>
      <c r="G3298">
        <v>1.3</v>
      </c>
      <c r="H3298">
        <v>18.8</v>
      </c>
      <c r="I3298">
        <v>25.4</v>
      </c>
    </row>
    <row r="3299" spans="1:9" ht="24" customHeight="1">
      <c r="A3299" s="6" t="s">
        <v>4464</v>
      </c>
      <c r="B3299">
        <v>2777</v>
      </c>
      <c r="C3299">
        <v>2026</v>
      </c>
      <c r="D3299">
        <v>516113</v>
      </c>
      <c r="E3299">
        <v>532794</v>
      </c>
      <c r="F3299">
        <v>12.1</v>
      </c>
      <c r="G3299">
        <v>12.3</v>
      </c>
      <c r="H3299">
        <v>13</v>
      </c>
      <c r="I3299">
        <v>17.7</v>
      </c>
    </row>
    <row r="3300" spans="1:9" ht="24" customHeight="1">
      <c r="A3300" s="6" t="s">
        <v>4465</v>
      </c>
      <c r="B3300">
        <v>5238</v>
      </c>
      <c r="C3300">
        <v>2473</v>
      </c>
      <c r="D3300">
        <v>688566</v>
      </c>
      <c r="E3300">
        <v>622267</v>
      </c>
      <c r="F3300">
        <v>5</v>
      </c>
      <c r="G3300">
        <v>11.5</v>
      </c>
      <c r="H3300">
        <v>19.2</v>
      </c>
      <c r="I3300">
        <v>18.5</v>
      </c>
    </row>
    <row r="3301" spans="1:9" ht="24" customHeight="1">
      <c r="A3301" s="6" t="s">
        <v>4466</v>
      </c>
      <c r="B3301">
        <v>42707</v>
      </c>
      <c r="C3301">
        <v>36740</v>
      </c>
      <c r="D3301">
        <v>632769</v>
      </c>
      <c r="E3301">
        <v>505264</v>
      </c>
      <c r="F3301">
        <v>4.4000000000000004</v>
      </c>
      <c r="G3301">
        <v>4.8</v>
      </c>
      <c r="H3301">
        <v>13.1</v>
      </c>
      <c r="I3301">
        <v>10.4</v>
      </c>
    </row>
    <row r="3302" spans="1:9" ht="24" customHeight="1">
      <c r="A3302" s="6" t="s">
        <v>933</v>
      </c>
      <c r="B3302">
        <v>11889</v>
      </c>
      <c r="C3302">
        <v>2550</v>
      </c>
      <c r="D3302">
        <v>1286263</v>
      </c>
      <c r="E3302">
        <v>970597</v>
      </c>
      <c r="F3302">
        <v>15.1</v>
      </c>
      <c r="G3302">
        <v>6.1</v>
      </c>
      <c r="H3302">
        <v>14.4</v>
      </c>
      <c r="I3302">
        <v>19.899999999999999</v>
      </c>
    </row>
    <row r="3303" spans="1:9" ht="24" customHeight="1">
      <c r="A3303" s="6" t="s">
        <v>934</v>
      </c>
      <c r="B3303">
        <v>16179</v>
      </c>
      <c r="C3303">
        <v>16342</v>
      </c>
      <c r="D3303">
        <v>837866</v>
      </c>
      <c r="E3303">
        <v>654476</v>
      </c>
      <c r="F3303">
        <v>13</v>
      </c>
      <c r="G3303">
        <v>7</v>
      </c>
      <c r="H3303">
        <v>19.5</v>
      </c>
      <c r="I3303">
        <v>22</v>
      </c>
    </row>
    <row r="3304" spans="1:9" ht="24" customHeight="1">
      <c r="A3304" s="6" t="s">
        <v>935</v>
      </c>
      <c r="B3304">
        <v>19687</v>
      </c>
      <c r="C3304">
        <v>21418</v>
      </c>
      <c r="D3304">
        <v>689274</v>
      </c>
      <c r="E3304">
        <v>610380</v>
      </c>
      <c r="F3304">
        <v>18.3</v>
      </c>
      <c r="G3304">
        <v>13.4</v>
      </c>
      <c r="H3304">
        <v>16.100000000000001</v>
      </c>
      <c r="I3304">
        <v>18.600000000000001</v>
      </c>
    </row>
    <row r="3305" spans="1:9" ht="24" customHeight="1">
      <c r="A3305" s="6" t="s">
        <v>936</v>
      </c>
      <c r="B3305">
        <v>26041</v>
      </c>
      <c r="C3305">
        <v>24476</v>
      </c>
      <c r="D3305">
        <v>843007</v>
      </c>
      <c r="E3305">
        <v>552799</v>
      </c>
      <c r="F3305">
        <v>14.8</v>
      </c>
      <c r="G3305">
        <v>10.9</v>
      </c>
      <c r="H3305">
        <v>16.100000000000001</v>
      </c>
      <c r="I3305">
        <v>17.100000000000001</v>
      </c>
    </row>
    <row r="3306" spans="1:9" ht="24" customHeight="1">
      <c r="A3306" s="6" t="s">
        <v>937</v>
      </c>
      <c r="B3306">
        <v>185393</v>
      </c>
      <c r="C3306">
        <v>517383</v>
      </c>
      <c r="D3306">
        <v>489406</v>
      </c>
      <c r="E3306">
        <v>400353</v>
      </c>
      <c r="F3306">
        <v>12.7</v>
      </c>
      <c r="G3306">
        <v>7.7</v>
      </c>
      <c r="H3306">
        <v>7.6</v>
      </c>
      <c r="I3306">
        <v>8</v>
      </c>
    </row>
    <row r="3307" spans="1:9" ht="24" customHeight="1">
      <c r="A3307" s="6" t="s">
        <v>4467</v>
      </c>
      <c r="B3307">
        <v>20507</v>
      </c>
      <c r="C3307">
        <v>13423</v>
      </c>
      <c r="D3307">
        <v>635045</v>
      </c>
      <c r="E3307">
        <v>512094</v>
      </c>
      <c r="F3307">
        <v>2.7</v>
      </c>
      <c r="G3307">
        <v>4.9000000000000004</v>
      </c>
      <c r="H3307">
        <v>13.5</v>
      </c>
      <c r="I3307">
        <v>17.2</v>
      </c>
    </row>
    <row r="3308" spans="1:9" ht="24" customHeight="1">
      <c r="A3308" s="6" t="s">
        <v>4468</v>
      </c>
      <c r="B3308">
        <v>16569</v>
      </c>
      <c r="C3308">
        <v>27394</v>
      </c>
      <c r="D3308">
        <v>497300</v>
      </c>
      <c r="E3308">
        <v>426171</v>
      </c>
      <c r="F3308">
        <v>3.9</v>
      </c>
      <c r="G3308">
        <v>3.8</v>
      </c>
      <c r="H3308">
        <v>14.8</v>
      </c>
      <c r="I3308">
        <v>13.8</v>
      </c>
    </row>
    <row r="3309" spans="1:9" ht="24" customHeight="1">
      <c r="A3309" s="6" t="s">
        <v>4469</v>
      </c>
      <c r="B3309">
        <v>17000</v>
      </c>
      <c r="C3309">
        <v>33211</v>
      </c>
      <c r="D3309">
        <v>433795</v>
      </c>
      <c r="E3309">
        <v>377611</v>
      </c>
      <c r="F3309">
        <v>8.6999999999999993</v>
      </c>
      <c r="G3309">
        <v>5.4</v>
      </c>
      <c r="H3309">
        <v>11.9</v>
      </c>
      <c r="I3309">
        <v>12.2</v>
      </c>
    </row>
    <row r="3310" spans="1:9" ht="24" customHeight="1">
      <c r="A3310" s="6" t="s">
        <v>4470</v>
      </c>
      <c r="B3310">
        <v>31278</v>
      </c>
      <c r="C3310">
        <v>44042</v>
      </c>
      <c r="D3310">
        <v>557584</v>
      </c>
      <c r="E3310">
        <v>402134</v>
      </c>
      <c r="F3310">
        <v>5.0999999999999996</v>
      </c>
      <c r="G3310">
        <v>6.3</v>
      </c>
      <c r="H3310">
        <v>12.6</v>
      </c>
      <c r="I3310">
        <v>12.9</v>
      </c>
    </row>
    <row r="3311" spans="1:9" ht="24" customHeight="1">
      <c r="A3311" s="6" t="s">
        <v>4471</v>
      </c>
      <c r="B3311">
        <v>235348</v>
      </c>
      <c r="C3311">
        <v>782646</v>
      </c>
      <c r="D3311">
        <v>367354</v>
      </c>
      <c r="E3311">
        <v>317295</v>
      </c>
      <c r="F3311">
        <v>6.4</v>
      </c>
      <c r="G3311">
        <v>5.2</v>
      </c>
      <c r="H3311">
        <v>7.3</v>
      </c>
      <c r="I3311">
        <v>7.5</v>
      </c>
    </row>
    <row r="3312" spans="1:9" ht="24" customHeight="1">
      <c r="A3312" s="6" t="s">
        <v>4472</v>
      </c>
      <c r="B3312">
        <v>16440</v>
      </c>
      <c r="C3312">
        <v>8999</v>
      </c>
      <c r="D3312">
        <v>756412</v>
      </c>
      <c r="E3312">
        <v>581901</v>
      </c>
      <c r="F3312">
        <v>2.6</v>
      </c>
      <c r="G3312">
        <v>2.1</v>
      </c>
      <c r="H3312">
        <v>17.3</v>
      </c>
      <c r="I3312">
        <v>21.7</v>
      </c>
    </row>
    <row r="3313" spans="1:9" ht="24" customHeight="1">
      <c r="A3313" s="6" t="s">
        <v>4473</v>
      </c>
      <c r="B3313">
        <v>23237</v>
      </c>
      <c r="C3313">
        <v>21517</v>
      </c>
      <c r="D3313">
        <v>532075</v>
      </c>
      <c r="E3313">
        <v>479183</v>
      </c>
      <c r="F3313">
        <v>3.2</v>
      </c>
      <c r="G3313">
        <v>4</v>
      </c>
      <c r="H3313">
        <v>17.2</v>
      </c>
      <c r="I3313">
        <v>18.600000000000001</v>
      </c>
    </row>
    <row r="3314" spans="1:9" ht="24" customHeight="1">
      <c r="A3314" s="6" t="s">
        <v>4474</v>
      </c>
      <c r="B3314">
        <v>24076</v>
      </c>
      <c r="C3314">
        <v>24324</v>
      </c>
      <c r="D3314">
        <v>436483</v>
      </c>
      <c r="E3314">
        <v>415835</v>
      </c>
      <c r="F3314">
        <v>5.3</v>
      </c>
      <c r="G3314">
        <v>6.1</v>
      </c>
      <c r="H3314">
        <v>14</v>
      </c>
      <c r="I3314">
        <v>15</v>
      </c>
    </row>
    <row r="3315" spans="1:9" ht="24" customHeight="1">
      <c r="A3315" s="6" t="s">
        <v>4475</v>
      </c>
      <c r="B3315">
        <v>29417</v>
      </c>
      <c r="C3315">
        <v>38176</v>
      </c>
      <c r="D3315">
        <v>553613</v>
      </c>
      <c r="E3315">
        <v>404452</v>
      </c>
      <c r="F3315">
        <v>5.8</v>
      </c>
      <c r="G3315">
        <v>4.8</v>
      </c>
      <c r="H3315">
        <v>14.1</v>
      </c>
      <c r="I3315">
        <v>14.7</v>
      </c>
    </row>
    <row r="3316" spans="1:9" ht="24" customHeight="1">
      <c r="A3316" s="6" t="s">
        <v>4476</v>
      </c>
      <c r="B3316">
        <v>228614</v>
      </c>
      <c r="C3316">
        <v>574504</v>
      </c>
      <c r="D3316">
        <v>366998</v>
      </c>
      <c r="E3316">
        <v>331683</v>
      </c>
      <c r="F3316">
        <v>4.5</v>
      </c>
      <c r="G3316">
        <v>4.2</v>
      </c>
      <c r="H3316">
        <v>7.5</v>
      </c>
      <c r="I3316">
        <v>8.1</v>
      </c>
    </row>
    <row r="3317" spans="1:9" ht="24" customHeight="1">
      <c r="A3317" s="6" t="s">
        <v>4477</v>
      </c>
      <c r="B3317">
        <v>10865</v>
      </c>
      <c r="C3317">
        <v>6901</v>
      </c>
      <c r="D3317">
        <v>945716</v>
      </c>
      <c r="E3317">
        <v>638255</v>
      </c>
      <c r="F3317">
        <v>4.0999999999999996</v>
      </c>
      <c r="G3317">
        <v>1.4</v>
      </c>
      <c r="H3317">
        <v>16.8</v>
      </c>
      <c r="I3317">
        <v>17.600000000000001</v>
      </c>
    </row>
    <row r="3318" spans="1:9" ht="24" customHeight="1">
      <c r="A3318" s="6" t="s">
        <v>4478</v>
      </c>
      <c r="B3318">
        <v>16137</v>
      </c>
      <c r="C3318">
        <v>19420</v>
      </c>
      <c r="D3318">
        <v>533638</v>
      </c>
      <c r="E3318">
        <v>517794</v>
      </c>
      <c r="F3318">
        <v>4.0999999999999996</v>
      </c>
      <c r="G3318">
        <v>3.5</v>
      </c>
      <c r="H3318">
        <v>18.399999999999999</v>
      </c>
      <c r="I3318">
        <v>18.7</v>
      </c>
    </row>
    <row r="3319" spans="1:9" ht="24" customHeight="1">
      <c r="A3319" s="6" t="s">
        <v>4479</v>
      </c>
      <c r="B3319">
        <v>16317</v>
      </c>
      <c r="C3319">
        <v>18771</v>
      </c>
      <c r="D3319">
        <v>486231</v>
      </c>
      <c r="E3319">
        <v>470262</v>
      </c>
      <c r="F3319">
        <v>9.1999999999999993</v>
      </c>
      <c r="G3319">
        <v>7.1</v>
      </c>
      <c r="H3319">
        <v>14.5</v>
      </c>
      <c r="I3319">
        <v>16.2</v>
      </c>
    </row>
    <row r="3320" spans="1:9" ht="24" customHeight="1">
      <c r="A3320" s="6" t="s">
        <v>4480</v>
      </c>
      <c r="B3320">
        <v>27484</v>
      </c>
      <c r="C3320">
        <v>28456</v>
      </c>
      <c r="D3320">
        <v>607655</v>
      </c>
      <c r="E3320">
        <v>466602</v>
      </c>
      <c r="F3320">
        <v>8.8000000000000007</v>
      </c>
      <c r="G3320">
        <v>7.8</v>
      </c>
      <c r="H3320">
        <v>13.4</v>
      </c>
      <c r="I3320">
        <v>16.100000000000001</v>
      </c>
    </row>
    <row r="3321" spans="1:9" ht="24" customHeight="1">
      <c r="A3321" s="6" t="s">
        <v>4481</v>
      </c>
      <c r="B3321">
        <v>236310</v>
      </c>
      <c r="C3321">
        <v>507198</v>
      </c>
      <c r="D3321">
        <v>408253</v>
      </c>
      <c r="E3321">
        <v>349881</v>
      </c>
      <c r="F3321">
        <v>6</v>
      </c>
      <c r="G3321">
        <v>4.4000000000000004</v>
      </c>
      <c r="H3321">
        <v>8.1999999999999993</v>
      </c>
      <c r="I3321">
        <v>8</v>
      </c>
    </row>
    <row r="3322" spans="1:9" ht="24" customHeight="1">
      <c r="A3322" s="6" t="s">
        <v>938</v>
      </c>
      <c r="B3322">
        <v>5432</v>
      </c>
      <c r="C3322">
        <v>417</v>
      </c>
      <c r="D3322">
        <v>778518</v>
      </c>
      <c r="E3322">
        <v>717869</v>
      </c>
      <c r="F3322">
        <v>0.6</v>
      </c>
      <c r="G3322">
        <v>1.1000000000000001</v>
      </c>
      <c r="H3322">
        <v>31.7</v>
      </c>
      <c r="I3322">
        <v>24.1</v>
      </c>
    </row>
    <row r="3323" spans="1:9" ht="24" customHeight="1">
      <c r="A3323" s="6" t="s">
        <v>939</v>
      </c>
      <c r="B3323">
        <v>11230</v>
      </c>
      <c r="C3323">
        <v>1277</v>
      </c>
      <c r="D3323">
        <v>664645</v>
      </c>
      <c r="E3323">
        <v>605420</v>
      </c>
      <c r="F3323">
        <v>12.1</v>
      </c>
      <c r="G3323">
        <v>6.9</v>
      </c>
      <c r="H3323">
        <v>27</v>
      </c>
      <c r="I3323">
        <v>27.1</v>
      </c>
    </row>
    <row r="3324" spans="1:9" ht="24" customHeight="1">
      <c r="A3324" s="6" t="s">
        <v>940</v>
      </c>
      <c r="B3324">
        <v>7551</v>
      </c>
      <c r="C3324">
        <v>1790</v>
      </c>
      <c r="D3324">
        <v>609528</v>
      </c>
      <c r="E3324">
        <v>526577</v>
      </c>
      <c r="F3324">
        <v>14.8</v>
      </c>
      <c r="G3324">
        <v>11.5</v>
      </c>
      <c r="H3324">
        <v>22.5</v>
      </c>
      <c r="I3324">
        <v>21.5</v>
      </c>
    </row>
    <row r="3325" spans="1:9" ht="24" customHeight="1">
      <c r="A3325" s="6" t="s">
        <v>941</v>
      </c>
      <c r="B3325">
        <v>17442</v>
      </c>
      <c r="C3325">
        <v>4350</v>
      </c>
      <c r="D3325">
        <v>565999</v>
      </c>
      <c r="E3325">
        <v>498422</v>
      </c>
      <c r="F3325">
        <v>13.4</v>
      </c>
      <c r="G3325">
        <v>8.8000000000000007</v>
      </c>
      <c r="H3325">
        <v>22.2</v>
      </c>
      <c r="I3325">
        <v>18.2</v>
      </c>
    </row>
    <row r="3326" spans="1:9" ht="24" customHeight="1">
      <c r="A3326" s="6" t="s">
        <v>942</v>
      </c>
      <c r="B3326">
        <v>44860</v>
      </c>
      <c r="C3326">
        <v>20778</v>
      </c>
      <c r="D3326">
        <v>432810</v>
      </c>
      <c r="E3326">
        <v>358300</v>
      </c>
      <c r="F3326">
        <v>13.7</v>
      </c>
      <c r="G3326">
        <v>7.1</v>
      </c>
      <c r="H3326">
        <v>14.7</v>
      </c>
      <c r="I3326">
        <v>11.5</v>
      </c>
    </row>
    <row r="3327" spans="1:9" ht="24" customHeight="1">
      <c r="A3327" s="6" t="s">
        <v>4482</v>
      </c>
      <c r="B3327">
        <v>1047</v>
      </c>
      <c r="C3327">
        <v>9</v>
      </c>
      <c r="D3327">
        <v>596537</v>
      </c>
      <c r="E3327">
        <v>567927</v>
      </c>
      <c r="F3327">
        <v>3.2</v>
      </c>
      <c r="G3327">
        <v>0</v>
      </c>
      <c r="H3327">
        <v>30.6</v>
      </c>
      <c r="I3327">
        <v>38</v>
      </c>
    </row>
    <row r="3328" spans="1:9" ht="24" customHeight="1">
      <c r="A3328" s="6" t="s">
        <v>4483</v>
      </c>
      <c r="B3328">
        <v>1590</v>
      </c>
      <c r="C3328">
        <v>209</v>
      </c>
      <c r="D3328">
        <v>495666</v>
      </c>
      <c r="E3328">
        <v>475824</v>
      </c>
      <c r="F3328">
        <v>10.6</v>
      </c>
      <c r="G3328">
        <v>3.3</v>
      </c>
      <c r="H3328">
        <v>22.4</v>
      </c>
      <c r="I3328">
        <v>23.6</v>
      </c>
    </row>
    <row r="3329" spans="1:9" ht="24" customHeight="1">
      <c r="A3329" s="6" t="s">
        <v>4484</v>
      </c>
      <c r="B3329">
        <v>1440</v>
      </c>
      <c r="C3329">
        <v>485</v>
      </c>
      <c r="D3329">
        <v>453652</v>
      </c>
      <c r="E3329">
        <v>411755</v>
      </c>
      <c r="F3329">
        <v>18.100000000000001</v>
      </c>
      <c r="G3329">
        <v>2.2000000000000002</v>
      </c>
      <c r="H3329">
        <v>17.600000000000001</v>
      </c>
      <c r="I3329">
        <v>20.3</v>
      </c>
    </row>
    <row r="3330" spans="1:9" ht="24" customHeight="1">
      <c r="A3330" s="6" t="s">
        <v>4485</v>
      </c>
      <c r="B3330">
        <v>968</v>
      </c>
      <c r="C3330">
        <v>303</v>
      </c>
      <c r="D3330">
        <v>561890</v>
      </c>
      <c r="E3330">
        <v>463650</v>
      </c>
      <c r="F3330">
        <v>9.4</v>
      </c>
      <c r="G3330">
        <v>2</v>
      </c>
      <c r="H3330">
        <v>27</v>
      </c>
      <c r="I3330">
        <v>29.3</v>
      </c>
    </row>
    <row r="3331" spans="1:9" ht="24" customHeight="1">
      <c r="A3331" s="6" t="s">
        <v>4486</v>
      </c>
      <c r="B3331">
        <v>3339</v>
      </c>
      <c r="C3331">
        <v>3800</v>
      </c>
      <c r="D3331">
        <v>336867</v>
      </c>
      <c r="E3331">
        <v>296857</v>
      </c>
      <c r="F3331">
        <v>14.7</v>
      </c>
      <c r="G3331">
        <v>4.0999999999999996</v>
      </c>
      <c r="H3331">
        <v>8</v>
      </c>
      <c r="I3331">
        <v>9.5</v>
      </c>
    </row>
    <row r="3332" spans="1:9" ht="24" customHeight="1">
      <c r="A3332" s="6" t="s">
        <v>4487</v>
      </c>
      <c r="B3332">
        <v>1164</v>
      </c>
      <c r="C3332">
        <v>26</v>
      </c>
      <c r="D3332">
        <v>582195</v>
      </c>
      <c r="E3332">
        <v>517901</v>
      </c>
      <c r="F3332">
        <v>0.1</v>
      </c>
      <c r="G3332">
        <v>0</v>
      </c>
      <c r="H3332">
        <v>31.1</v>
      </c>
      <c r="I3332">
        <v>39.700000000000003</v>
      </c>
    </row>
    <row r="3333" spans="1:9" ht="24" customHeight="1">
      <c r="A3333" s="6" t="s">
        <v>4488</v>
      </c>
      <c r="B3333">
        <v>2358</v>
      </c>
      <c r="C3333">
        <v>730</v>
      </c>
      <c r="D3333">
        <v>536018</v>
      </c>
      <c r="E3333">
        <v>463263</v>
      </c>
      <c r="F3333">
        <v>0.4</v>
      </c>
      <c r="G3333">
        <v>0.2</v>
      </c>
      <c r="H3333">
        <v>26.2</v>
      </c>
      <c r="I3333">
        <v>28.2</v>
      </c>
    </row>
    <row r="3334" spans="1:9" ht="24" customHeight="1">
      <c r="A3334" s="6" t="s">
        <v>4489</v>
      </c>
      <c r="B3334">
        <v>1417</v>
      </c>
      <c r="C3334">
        <v>710</v>
      </c>
      <c r="D3334">
        <v>477774</v>
      </c>
      <c r="E3334">
        <v>430014</v>
      </c>
      <c r="F3334">
        <v>9</v>
      </c>
      <c r="G3334">
        <v>3.6</v>
      </c>
      <c r="H3334">
        <v>17.5</v>
      </c>
      <c r="I3334">
        <v>22.9</v>
      </c>
    </row>
    <row r="3335" spans="1:9" ht="24" customHeight="1">
      <c r="A3335" s="6" t="s">
        <v>4490</v>
      </c>
      <c r="B3335">
        <v>1547</v>
      </c>
      <c r="C3335">
        <v>755</v>
      </c>
      <c r="D3335">
        <v>508747</v>
      </c>
      <c r="E3335">
        <v>426184</v>
      </c>
      <c r="F3335">
        <v>4</v>
      </c>
      <c r="G3335">
        <v>2.1</v>
      </c>
      <c r="H3335">
        <v>23.4</v>
      </c>
      <c r="I3335">
        <v>24.7</v>
      </c>
    </row>
    <row r="3336" spans="1:9" ht="24" customHeight="1">
      <c r="A3336" s="6" t="s">
        <v>4491</v>
      </c>
      <c r="B3336">
        <v>5751</v>
      </c>
      <c r="C3336">
        <v>5198</v>
      </c>
      <c r="D3336">
        <v>343757</v>
      </c>
      <c r="E3336">
        <v>316372</v>
      </c>
      <c r="F3336">
        <v>7.2</v>
      </c>
      <c r="G3336">
        <v>3.9</v>
      </c>
      <c r="H3336">
        <v>10</v>
      </c>
      <c r="I3336">
        <v>10.6</v>
      </c>
    </row>
    <row r="3337" spans="1:9" ht="24" customHeight="1">
      <c r="A3337" s="6" t="s">
        <v>4492</v>
      </c>
      <c r="B3337">
        <v>1895</v>
      </c>
      <c r="C3337">
        <v>146</v>
      </c>
      <c r="D3337">
        <v>635846</v>
      </c>
      <c r="E3337">
        <v>570799</v>
      </c>
      <c r="F3337">
        <v>0.5</v>
      </c>
      <c r="G3337">
        <v>0.1</v>
      </c>
      <c r="H3337">
        <v>32.5</v>
      </c>
      <c r="I3337">
        <v>33</v>
      </c>
    </row>
    <row r="3338" spans="1:9" ht="24" customHeight="1">
      <c r="A3338" s="6" t="s">
        <v>4493</v>
      </c>
      <c r="B3338">
        <v>4738</v>
      </c>
      <c r="C3338">
        <v>1063</v>
      </c>
      <c r="D3338">
        <v>545607</v>
      </c>
      <c r="E3338">
        <v>510125</v>
      </c>
      <c r="F3338">
        <v>1.2</v>
      </c>
      <c r="G3338">
        <v>1.4</v>
      </c>
      <c r="H3338">
        <v>27.1</v>
      </c>
      <c r="I3338">
        <v>30.1</v>
      </c>
    </row>
    <row r="3339" spans="1:9" ht="24" customHeight="1">
      <c r="A3339" s="6" t="s">
        <v>4494</v>
      </c>
      <c r="B3339">
        <v>2774</v>
      </c>
      <c r="C3339">
        <v>1686</v>
      </c>
      <c r="D3339">
        <v>471689</v>
      </c>
      <c r="E3339">
        <v>455066</v>
      </c>
      <c r="F3339">
        <v>5.5</v>
      </c>
      <c r="G3339">
        <v>4.2</v>
      </c>
      <c r="H3339">
        <v>20</v>
      </c>
      <c r="I3339">
        <v>24.5</v>
      </c>
    </row>
    <row r="3340" spans="1:9" ht="24" customHeight="1">
      <c r="A3340" s="6" t="s">
        <v>4495</v>
      </c>
      <c r="B3340">
        <v>3425</v>
      </c>
      <c r="C3340">
        <v>1442</v>
      </c>
      <c r="D3340">
        <v>508240</v>
      </c>
      <c r="E3340">
        <v>475434</v>
      </c>
      <c r="F3340">
        <v>3.6</v>
      </c>
      <c r="G3340">
        <v>3.3</v>
      </c>
      <c r="H3340">
        <v>24.6</v>
      </c>
      <c r="I3340">
        <v>25.3</v>
      </c>
    </row>
    <row r="3341" spans="1:9" ht="24" customHeight="1">
      <c r="A3341" s="6" t="s">
        <v>4496</v>
      </c>
      <c r="B3341">
        <v>11502</v>
      </c>
      <c r="C3341">
        <v>13347</v>
      </c>
      <c r="D3341">
        <v>353677</v>
      </c>
      <c r="E3341">
        <v>308970</v>
      </c>
      <c r="F3341">
        <v>6.1</v>
      </c>
      <c r="G3341">
        <v>4.7</v>
      </c>
      <c r="H3341">
        <v>10.6</v>
      </c>
      <c r="I3341">
        <v>9.8000000000000007</v>
      </c>
    </row>
    <row r="3342" spans="1:9" ht="24" customHeight="1">
      <c r="A3342" s="6" t="s">
        <v>943</v>
      </c>
      <c r="B3342">
        <v>17429</v>
      </c>
      <c r="C3342">
        <v>2603</v>
      </c>
      <c r="D3342">
        <v>864610</v>
      </c>
      <c r="E3342">
        <v>814264</v>
      </c>
      <c r="F3342">
        <v>0.2</v>
      </c>
      <c r="G3342">
        <v>2</v>
      </c>
      <c r="H3342">
        <v>19.5</v>
      </c>
      <c r="I3342">
        <v>27.4</v>
      </c>
    </row>
    <row r="3343" spans="1:9" ht="24" customHeight="1">
      <c r="A3343" s="6" t="s">
        <v>944</v>
      </c>
      <c r="B3343">
        <v>39992</v>
      </c>
      <c r="C3343">
        <v>4065</v>
      </c>
      <c r="D3343">
        <v>714257</v>
      </c>
      <c r="E3343">
        <v>559970</v>
      </c>
      <c r="F3343">
        <v>2.5</v>
      </c>
      <c r="G3343">
        <v>1.4</v>
      </c>
      <c r="H3343">
        <v>19.5</v>
      </c>
      <c r="I3343">
        <v>19</v>
      </c>
    </row>
    <row r="3344" spans="1:9" ht="24" customHeight="1">
      <c r="A3344" s="6" t="s">
        <v>945</v>
      </c>
      <c r="B3344">
        <v>29219</v>
      </c>
      <c r="C3344">
        <v>5490</v>
      </c>
      <c r="D3344">
        <v>586375</v>
      </c>
      <c r="E3344">
        <v>497896</v>
      </c>
      <c r="F3344">
        <v>18.100000000000001</v>
      </c>
      <c r="G3344">
        <v>9.1</v>
      </c>
      <c r="H3344">
        <v>19.100000000000001</v>
      </c>
      <c r="I3344">
        <v>18.3</v>
      </c>
    </row>
    <row r="3345" spans="1:9" ht="24" customHeight="1">
      <c r="A3345" s="6" t="s">
        <v>946</v>
      </c>
      <c r="B3345">
        <v>24721</v>
      </c>
      <c r="C3345">
        <v>9970</v>
      </c>
      <c r="D3345">
        <v>679862</v>
      </c>
      <c r="E3345">
        <v>382413</v>
      </c>
      <c r="F3345">
        <v>11.9</v>
      </c>
      <c r="G3345">
        <v>6.9</v>
      </c>
      <c r="H3345">
        <v>22.5</v>
      </c>
      <c r="I3345">
        <v>11.4</v>
      </c>
    </row>
    <row r="3346" spans="1:9" ht="24" customHeight="1">
      <c r="A3346" s="6" t="s">
        <v>947</v>
      </c>
      <c r="B3346">
        <v>397497</v>
      </c>
      <c r="C3346">
        <v>164148</v>
      </c>
      <c r="D3346">
        <v>487467</v>
      </c>
      <c r="E3346">
        <v>350298</v>
      </c>
      <c r="F3346">
        <v>19</v>
      </c>
      <c r="G3346">
        <v>11.1</v>
      </c>
      <c r="H3346">
        <v>11.8</v>
      </c>
      <c r="I3346">
        <v>8.6</v>
      </c>
    </row>
    <row r="3347" spans="1:9" ht="24" customHeight="1">
      <c r="A3347" s="6" t="s">
        <v>4497</v>
      </c>
      <c r="B3347">
        <v>19762</v>
      </c>
      <c r="C3347">
        <v>2433</v>
      </c>
      <c r="D3347">
        <v>582094</v>
      </c>
      <c r="E3347">
        <v>496867</v>
      </c>
      <c r="F3347">
        <v>3.5</v>
      </c>
      <c r="G3347">
        <v>2.2999999999999998</v>
      </c>
      <c r="H3347">
        <v>18.7</v>
      </c>
      <c r="I3347">
        <v>19.8</v>
      </c>
    </row>
    <row r="3348" spans="1:9" ht="24" customHeight="1">
      <c r="A3348" s="6" t="s">
        <v>4498</v>
      </c>
      <c r="B3348">
        <v>25572</v>
      </c>
      <c r="C3348">
        <v>5459</v>
      </c>
      <c r="D3348">
        <v>516489</v>
      </c>
      <c r="E3348">
        <v>483557</v>
      </c>
      <c r="F3348">
        <v>6.2</v>
      </c>
      <c r="G3348">
        <v>2.5</v>
      </c>
      <c r="H3348">
        <v>18.2</v>
      </c>
      <c r="I3348">
        <v>17.899999999999999</v>
      </c>
    </row>
    <row r="3349" spans="1:9" ht="24" customHeight="1">
      <c r="A3349" s="6" t="s">
        <v>4499</v>
      </c>
      <c r="B3349">
        <v>18580</v>
      </c>
      <c r="C3349">
        <v>6419</v>
      </c>
      <c r="D3349">
        <v>453751</v>
      </c>
      <c r="E3349">
        <v>407999</v>
      </c>
      <c r="F3349">
        <v>12.1</v>
      </c>
      <c r="G3349">
        <v>7</v>
      </c>
      <c r="H3349">
        <v>15.8</v>
      </c>
      <c r="I3349">
        <v>15.4</v>
      </c>
    </row>
    <row r="3350" spans="1:9" ht="24" customHeight="1">
      <c r="A3350" s="6" t="s">
        <v>4500</v>
      </c>
      <c r="B3350">
        <v>20266</v>
      </c>
      <c r="C3350">
        <v>5455</v>
      </c>
      <c r="D3350">
        <v>468680</v>
      </c>
      <c r="E3350">
        <v>421816</v>
      </c>
      <c r="F3350">
        <v>11.2</v>
      </c>
      <c r="G3350">
        <v>6.4</v>
      </c>
      <c r="H3350">
        <v>15.1</v>
      </c>
      <c r="I3350">
        <v>15.7</v>
      </c>
    </row>
    <row r="3351" spans="1:9" ht="24" customHeight="1">
      <c r="A3351" s="6" t="s">
        <v>4501</v>
      </c>
      <c r="B3351">
        <v>298682</v>
      </c>
      <c r="C3351">
        <v>116024</v>
      </c>
      <c r="D3351">
        <v>346228</v>
      </c>
      <c r="E3351">
        <v>291036</v>
      </c>
      <c r="F3351">
        <v>11.9</v>
      </c>
      <c r="G3351">
        <v>6.2</v>
      </c>
      <c r="H3351">
        <v>9.1999999999999993</v>
      </c>
      <c r="I3351">
        <v>8.6</v>
      </c>
    </row>
    <row r="3352" spans="1:9" ht="24" customHeight="1">
      <c r="A3352" s="6" t="s">
        <v>4502</v>
      </c>
      <c r="B3352">
        <v>9661</v>
      </c>
      <c r="C3352">
        <v>732</v>
      </c>
      <c r="D3352">
        <v>701578</v>
      </c>
      <c r="E3352">
        <v>819334</v>
      </c>
      <c r="F3352">
        <v>1.2</v>
      </c>
      <c r="G3352">
        <v>1.9</v>
      </c>
      <c r="H3352">
        <v>18.899999999999999</v>
      </c>
      <c r="I3352">
        <v>21.2</v>
      </c>
    </row>
    <row r="3353" spans="1:9" ht="24" customHeight="1">
      <c r="A3353" s="6" t="s">
        <v>4503</v>
      </c>
      <c r="B3353">
        <v>16934</v>
      </c>
      <c r="C3353">
        <v>2982</v>
      </c>
      <c r="D3353">
        <v>576878</v>
      </c>
      <c r="E3353">
        <v>525437</v>
      </c>
      <c r="F3353">
        <v>5.0999999999999996</v>
      </c>
      <c r="G3353">
        <v>2.7</v>
      </c>
      <c r="H3353">
        <v>17.899999999999999</v>
      </c>
      <c r="I3353">
        <v>16.5</v>
      </c>
    </row>
    <row r="3354" spans="1:9" ht="24" customHeight="1">
      <c r="A3354" s="6" t="s">
        <v>4504</v>
      </c>
      <c r="B3354">
        <v>14455</v>
      </c>
      <c r="C3354">
        <v>5070</v>
      </c>
      <c r="D3354">
        <v>513578</v>
      </c>
      <c r="E3354">
        <v>457767</v>
      </c>
      <c r="F3354">
        <v>17.5</v>
      </c>
      <c r="G3354">
        <v>10.1</v>
      </c>
      <c r="H3354">
        <v>15.5</v>
      </c>
      <c r="I3354">
        <v>14.8</v>
      </c>
    </row>
    <row r="3355" spans="1:9" ht="24" customHeight="1">
      <c r="A3355" s="6" t="s">
        <v>4505</v>
      </c>
      <c r="B3355">
        <v>14904</v>
      </c>
      <c r="C3355">
        <v>3447</v>
      </c>
      <c r="D3355">
        <v>485196</v>
      </c>
      <c r="E3355">
        <v>424897</v>
      </c>
      <c r="F3355">
        <v>17.8</v>
      </c>
      <c r="G3355">
        <v>11.2</v>
      </c>
      <c r="H3355">
        <v>14.4</v>
      </c>
      <c r="I3355">
        <v>12.7</v>
      </c>
    </row>
    <row r="3356" spans="1:9" ht="24" customHeight="1">
      <c r="A3356" s="6" t="s">
        <v>4506</v>
      </c>
      <c r="B3356">
        <v>162922</v>
      </c>
      <c r="C3356">
        <v>62919</v>
      </c>
      <c r="D3356">
        <v>355863</v>
      </c>
      <c r="E3356">
        <v>320266</v>
      </c>
      <c r="F3356">
        <v>14.2</v>
      </c>
      <c r="G3356">
        <v>10</v>
      </c>
      <c r="H3356">
        <v>9.6999999999999993</v>
      </c>
      <c r="I3356">
        <v>8.9</v>
      </c>
    </row>
    <row r="3357" spans="1:9" ht="24" customHeight="1">
      <c r="A3357" s="6" t="s">
        <v>4507</v>
      </c>
      <c r="B3357">
        <v>8198</v>
      </c>
      <c r="C3357">
        <v>1281</v>
      </c>
      <c r="D3357">
        <v>775721</v>
      </c>
      <c r="E3357">
        <v>753442</v>
      </c>
      <c r="F3357">
        <v>0.7</v>
      </c>
      <c r="G3357">
        <v>0.9</v>
      </c>
      <c r="H3357">
        <v>19.100000000000001</v>
      </c>
      <c r="I3357">
        <v>18.2</v>
      </c>
    </row>
    <row r="3358" spans="1:9" ht="24" customHeight="1">
      <c r="A3358" s="6" t="s">
        <v>4508</v>
      </c>
      <c r="B3358">
        <v>15627</v>
      </c>
      <c r="C3358">
        <v>3008</v>
      </c>
      <c r="D3358">
        <v>622182</v>
      </c>
      <c r="E3358">
        <v>543708</v>
      </c>
      <c r="F3358">
        <v>2.7</v>
      </c>
      <c r="G3358">
        <v>1.8</v>
      </c>
      <c r="H3358">
        <v>19.5</v>
      </c>
      <c r="I3358">
        <v>18.100000000000001</v>
      </c>
    </row>
    <row r="3359" spans="1:9" ht="24" customHeight="1">
      <c r="A3359" s="6" t="s">
        <v>4509</v>
      </c>
      <c r="B3359">
        <v>12680</v>
      </c>
      <c r="C3359">
        <v>3927</v>
      </c>
      <c r="D3359">
        <v>479472</v>
      </c>
      <c r="E3359">
        <v>446307</v>
      </c>
      <c r="F3359">
        <v>22</v>
      </c>
      <c r="G3359">
        <v>9.6</v>
      </c>
      <c r="H3359">
        <v>16.399999999999999</v>
      </c>
      <c r="I3359">
        <v>14.2</v>
      </c>
    </row>
    <row r="3360" spans="1:9" ht="24" customHeight="1">
      <c r="A3360" s="6" t="s">
        <v>4510</v>
      </c>
      <c r="B3360">
        <v>21573</v>
      </c>
      <c r="C3360">
        <v>4463</v>
      </c>
      <c r="D3360">
        <v>491204</v>
      </c>
      <c r="E3360">
        <v>359233</v>
      </c>
      <c r="F3360">
        <v>20.399999999999999</v>
      </c>
      <c r="G3360">
        <v>9</v>
      </c>
      <c r="H3360">
        <v>16.7</v>
      </c>
      <c r="I3360">
        <v>10.3</v>
      </c>
    </row>
    <row r="3361" spans="1:9" ht="24" customHeight="1">
      <c r="A3361" s="6" t="s">
        <v>4511</v>
      </c>
      <c r="B3361">
        <v>125713</v>
      </c>
      <c r="C3361">
        <v>69173</v>
      </c>
      <c r="D3361">
        <v>371580</v>
      </c>
      <c r="E3361">
        <v>324182</v>
      </c>
      <c r="F3361">
        <v>20.7</v>
      </c>
      <c r="G3361">
        <v>10.1</v>
      </c>
      <c r="H3361">
        <v>9.6999999999999993</v>
      </c>
      <c r="I3361">
        <v>7.5</v>
      </c>
    </row>
    <row r="3362" spans="1:9" ht="24" customHeight="1">
      <c r="A3362" s="6" t="s">
        <v>948</v>
      </c>
      <c r="B3362">
        <v>24019</v>
      </c>
      <c r="C3362">
        <v>835</v>
      </c>
      <c r="D3362">
        <v>711535</v>
      </c>
      <c r="E3362">
        <v>443204</v>
      </c>
      <c r="F3362">
        <v>4</v>
      </c>
      <c r="G3362">
        <v>1.2</v>
      </c>
      <c r="H3362">
        <v>26.2</v>
      </c>
      <c r="I3362">
        <v>18.5</v>
      </c>
    </row>
    <row r="3363" spans="1:9" ht="24" customHeight="1">
      <c r="A3363" s="6" t="s">
        <v>949</v>
      </c>
      <c r="B3363">
        <v>47671</v>
      </c>
      <c r="C3363">
        <v>2788</v>
      </c>
      <c r="D3363">
        <v>575172</v>
      </c>
      <c r="E3363">
        <v>443413</v>
      </c>
      <c r="F3363">
        <v>5.9</v>
      </c>
      <c r="G3363">
        <v>0.8</v>
      </c>
      <c r="H3363">
        <v>19.7</v>
      </c>
      <c r="I3363">
        <v>20.9</v>
      </c>
    </row>
    <row r="3364" spans="1:9" ht="24" customHeight="1">
      <c r="A3364" s="6" t="s">
        <v>950</v>
      </c>
      <c r="B3364">
        <v>38007</v>
      </c>
      <c r="C3364">
        <v>10528</v>
      </c>
      <c r="D3364">
        <v>470304</v>
      </c>
      <c r="E3364">
        <v>395221</v>
      </c>
      <c r="F3364">
        <v>28.8</v>
      </c>
      <c r="G3364">
        <v>14.1</v>
      </c>
      <c r="H3364">
        <v>17.5</v>
      </c>
      <c r="I3364">
        <v>17.600000000000001</v>
      </c>
    </row>
    <row r="3365" spans="1:9" ht="24" customHeight="1">
      <c r="A3365" s="6" t="s">
        <v>951</v>
      </c>
      <c r="B3365">
        <v>39961</v>
      </c>
      <c r="C3365">
        <v>10504</v>
      </c>
      <c r="D3365">
        <v>442832</v>
      </c>
      <c r="E3365">
        <v>334224</v>
      </c>
      <c r="F3365">
        <v>25</v>
      </c>
      <c r="G3365">
        <v>19.2</v>
      </c>
      <c r="H3365">
        <v>14.3</v>
      </c>
      <c r="I3365">
        <v>9.5</v>
      </c>
    </row>
    <row r="3366" spans="1:9" ht="24" customHeight="1">
      <c r="A3366" s="6" t="s">
        <v>952</v>
      </c>
      <c r="B3366">
        <v>31451</v>
      </c>
      <c r="C3366">
        <v>7375</v>
      </c>
      <c r="D3366">
        <v>621689</v>
      </c>
      <c r="E3366">
        <v>417943</v>
      </c>
      <c r="F3366">
        <v>7.9</v>
      </c>
      <c r="G3366">
        <v>12.4</v>
      </c>
      <c r="H3366">
        <v>21.5</v>
      </c>
      <c r="I3366">
        <v>15.8</v>
      </c>
    </row>
    <row r="3367" spans="1:9" ht="24" customHeight="1">
      <c r="A3367" s="6" t="s">
        <v>953</v>
      </c>
      <c r="B3367">
        <v>246716</v>
      </c>
      <c r="C3367">
        <v>173352</v>
      </c>
      <c r="D3367">
        <v>366607</v>
      </c>
      <c r="E3367">
        <v>275923</v>
      </c>
      <c r="F3367">
        <v>16.600000000000001</v>
      </c>
      <c r="G3367">
        <v>12.3</v>
      </c>
      <c r="H3367">
        <v>11.2</v>
      </c>
      <c r="I3367">
        <v>8.5</v>
      </c>
    </row>
    <row r="3368" spans="1:9" ht="24" customHeight="1">
      <c r="A3368" s="6" t="s">
        <v>954</v>
      </c>
      <c r="B3368">
        <v>2836</v>
      </c>
      <c r="C3368">
        <v>95</v>
      </c>
      <c r="D3368">
        <v>687053</v>
      </c>
      <c r="E3368">
        <v>517971</v>
      </c>
      <c r="F3368">
        <v>2.1</v>
      </c>
      <c r="G3368">
        <v>1</v>
      </c>
      <c r="H3368">
        <v>24.3</v>
      </c>
      <c r="I3368">
        <v>14.7</v>
      </c>
    </row>
    <row r="3369" spans="1:9" ht="24" customHeight="1">
      <c r="A3369" s="6" t="s">
        <v>955</v>
      </c>
      <c r="B3369">
        <v>5527</v>
      </c>
      <c r="C3369">
        <v>533</v>
      </c>
      <c r="D3369">
        <v>604953</v>
      </c>
      <c r="E3369">
        <v>498725</v>
      </c>
      <c r="F3369">
        <v>4.0999999999999996</v>
      </c>
      <c r="G3369">
        <v>3</v>
      </c>
      <c r="H3369">
        <v>21.5</v>
      </c>
      <c r="I3369">
        <v>19.100000000000001</v>
      </c>
    </row>
    <row r="3370" spans="1:9" ht="24" customHeight="1">
      <c r="A3370" s="6" t="s">
        <v>956</v>
      </c>
      <c r="B3370">
        <v>4458</v>
      </c>
      <c r="C3370">
        <v>949</v>
      </c>
      <c r="D3370">
        <v>492265</v>
      </c>
      <c r="E3370">
        <v>427383</v>
      </c>
      <c r="F3370">
        <v>15.2</v>
      </c>
      <c r="G3370">
        <v>10.5</v>
      </c>
      <c r="H3370">
        <v>18.899999999999999</v>
      </c>
      <c r="I3370">
        <v>17.899999999999999</v>
      </c>
    </row>
    <row r="3371" spans="1:9" ht="24" customHeight="1">
      <c r="A3371" s="6" t="s">
        <v>957</v>
      </c>
      <c r="B3371">
        <v>2899</v>
      </c>
      <c r="C3371">
        <v>311</v>
      </c>
      <c r="D3371">
        <v>478646</v>
      </c>
      <c r="E3371">
        <v>382458</v>
      </c>
      <c r="F3371">
        <v>22</v>
      </c>
      <c r="G3371">
        <v>9.8000000000000007</v>
      </c>
      <c r="H3371">
        <v>19.7</v>
      </c>
      <c r="I3371">
        <v>17</v>
      </c>
    </row>
    <row r="3372" spans="1:9" ht="24" customHeight="1">
      <c r="A3372" s="6" t="s">
        <v>958</v>
      </c>
      <c r="B3372">
        <v>3269</v>
      </c>
      <c r="C3372">
        <v>429</v>
      </c>
      <c r="D3372">
        <v>583326</v>
      </c>
      <c r="E3372">
        <v>419510</v>
      </c>
      <c r="F3372">
        <v>9.4</v>
      </c>
      <c r="G3372">
        <v>8.3000000000000007</v>
      </c>
      <c r="H3372">
        <v>20.399999999999999</v>
      </c>
      <c r="I3372">
        <v>20.3</v>
      </c>
    </row>
    <row r="3373" spans="1:9" ht="24" customHeight="1">
      <c r="A3373" s="6" t="s">
        <v>959</v>
      </c>
      <c r="B3373">
        <v>38425</v>
      </c>
      <c r="C3373">
        <v>14524</v>
      </c>
      <c r="D3373">
        <v>410647</v>
      </c>
      <c r="E3373">
        <v>317779</v>
      </c>
      <c r="F3373">
        <v>15.1</v>
      </c>
      <c r="G3373">
        <v>9.5</v>
      </c>
      <c r="H3373">
        <v>12</v>
      </c>
      <c r="I3373">
        <v>10.9</v>
      </c>
    </row>
    <row r="3374" spans="1:9" ht="24" customHeight="1">
      <c r="A3374" s="6" t="s">
        <v>960</v>
      </c>
      <c r="B3374">
        <v>5042</v>
      </c>
      <c r="C3374">
        <v>354</v>
      </c>
      <c r="D3374">
        <v>584446</v>
      </c>
      <c r="E3374">
        <v>333183</v>
      </c>
      <c r="F3374">
        <v>3.3</v>
      </c>
      <c r="G3374">
        <v>3.8</v>
      </c>
      <c r="H3374">
        <v>22.5</v>
      </c>
      <c r="I3374">
        <v>14.7</v>
      </c>
    </row>
    <row r="3375" spans="1:9" ht="24" customHeight="1">
      <c r="A3375" s="6" t="s">
        <v>961</v>
      </c>
      <c r="B3375">
        <v>7132</v>
      </c>
      <c r="C3375">
        <v>658</v>
      </c>
      <c r="D3375">
        <v>532797</v>
      </c>
      <c r="E3375">
        <v>412778</v>
      </c>
      <c r="F3375">
        <v>6.8</v>
      </c>
      <c r="G3375">
        <v>3.1</v>
      </c>
      <c r="H3375">
        <v>21.6</v>
      </c>
      <c r="I3375">
        <v>22.3</v>
      </c>
    </row>
    <row r="3376" spans="1:9" ht="24" customHeight="1">
      <c r="A3376" s="6" t="s">
        <v>962</v>
      </c>
      <c r="B3376">
        <v>5128</v>
      </c>
      <c r="C3376">
        <v>2326</v>
      </c>
      <c r="D3376">
        <v>441186</v>
      </c>
      <c r="E3376">
        <v>309262</v>
      </c>
      <c r="F3376">
        <v>11.7</v>
      </c>
      <c r="G3376">
        <v>9.3000000000000007</v>
      </c>
      <c r="H3376">
        <v>18.600000000000001</v>
      </c>
      <c r="I3376">
        <v>19</v>
      </c>
    </row>
    <row r="3377" spans="1:9" ht="24" customHeight="1">
      <c r="A3377" s="6" t="s">
        <v>963</v>
      </c>
      <c r="B3377">
        <v>2956</v>
      </c>
      <c r="C3377">
        <v>2548</v>
      </c>
      <c r="D3377">
        <v>431044</v>
      </c>
      <c r="E3377">
        <v>248546</v>
      </c>
      <c r="F3377">
        <v>10.7</v>
      </c>
      <c r="G3377">
        <v>7.3</v>
      </c>
      <c r="H3377">
        <v>24</v>
      </c>
      <c r="I3377">
        <v>20.5</v>
      </c>
    </row>
    <row r="3378" spans="1:9" ht="24" customHeight="1">
      <c r="A3378" s="6" t="s">
        <v>964</v>
      </c>
      <c r="B3378">
        <v>4057</v>
      </c>
      <c r="C3378">
        <v>1543</v>
      </c>
      <c r="D3378">
        <v>443164</v>
      </c>
      <c r="E3378">
        <v>305183</v>
      </c>
      <c r="F3378">
        <v>9.5</v>
      </c>
      <c r="G3378">
        <v>4</v>
      </c>
      <c r="H3378">
        <v>21</v>
      </c>
      <c r="I3378">
        <v>19.8</v>
      </c>
    </row>
    <row r="3379" spans="1:9" ht="24" customHeight="1">
      <c r="A3379" s="6" t="s">
        <v>965</v>
      </c>
      <c r="B3379">
        <v>48369</v>
      </c>
      <c r="C3379">
        <v>66252</v>
      </c>
      <c r="D3379">
        <v>337694</v>
      </c>
      <c r="E3379">
        <v>231904</v>
      </c>
      <c r="F3379">
        <v>10.6</v>
      </c>
      <c r="G3379">
        <v>5.4</v>
      </c>
      <c r="H3379">
        <v>11</v>
      </c>
      <c r="I3379">
        <v>12.9</v>
      </c>
    </row>
    <row r="3380" spans="1:9" ht="24" customHeight="1">
      <c r="A3380" s="6" t="s">
        <v>966</v>
      </c>
      <c r="B3380">
        <v>2026</v>
      </c>
      <c r="C3380">
        <v>81</v>
      </c>
      <c r="D3380">
        <v>641551</v>
      </c>
      <c r="E3380">
        <v>304814</v>
      </c>
      <c r="F3380">
        <v>1</v>
      </c>
      <c r="G3380">
        <v>1.5</v>
      </c>
      <c r="H3380">
        <v>24.4</v>
      </c>
      <c r="I3380">
        <v>20</v>
      </c>
    </row>
    <row r="3381" spans="1:9" ht="24" customHeight="1">
      <c r="A3381" s="6" t="s">
        <v>967</v>
      </c>
      <c r="B3381">
        <v>2966</v>
      </c>
      <c r="C3381">
        <v>305</v>
      </c>
      <c r="D3381">
        <v>542709</v>
      </c>
      <c r="E3381">
        <v>393026</v>
      </c>
      <c r="F3381">
        <v>5.8</v>
      </c>
      <c r="G3381">
        <v>2.5</v>
      </c>
      <c r="H3381">
        <v>21</v>
      </c>
      <c r="I3381">
        <v>14.8</v>
      </c>
    </row>
    <row r="3382" spans="1:9" ht="24" customHeight="1">
      <c r="A3382" s="6" t="s">
        <v>968</v>
      </c>
      <c r="B3382">
        <v>3148</v>
      </c>
      <c r="C3382">
        <v>269</v>
      </c>
      <c r="D3382">
        <v>452635</v>
      </c>
      <c r="E3382">
        <v>383633</v>
      </c>
      <c r="F3382">
        <v>19.899999999999999</v>
      </c>
      <c r="G3382">
        <v>7.5</v>
      </c>
      <c r="H3382">
        <v>16.8</v>
      </c>
      <c r="I3382">
        <v>17.100000000000001</v>
      </c>
    </row>
    <row r="3383" spans="1:9" ht="24" customHeight="1">
      <c r="A3383" s="6" t="s">
        <v>969</v>
      </c>
      <c r="B3383">
        <v>3899</v>
      </c>
      <c r="C3383">
        <v>259</v>
      </c>
      <c r="D3383">
        <v>434034</v>
      </c>
      <c r="E3383">
        <v>298006</v>
      </c>
      <c r="F3383">
        <v>20.399999999999999</v>
      </c>
      <c r="G3383">
        <v>9.4</v>
      </c>
      <c r="H3383">
        <v>16</v>
      </c>
      <c r="I3383">
        <v>12.3</v>
      </c>
    </row>
    <row r="3384" spans="1:9" ht="24" customHeight="1">
      <c r="A3384" s="6" t="s">
        <v>970</v>
      </c>
      <c r="B3384">
        <v>1980</v>
      </c>
      <c r="C3384">
        <v>206</v>
      </c>
      <c r="D3384">
        <v>499251</v>
      </c>
      <c r="E3384">
        <v>349705</v>
      </c>
      <c r="F3384">
        <v>11.3</v>
      </c>
      <c r="G3384">
        <v>10.8</v>
      </c>
      <c r="H3384">
        <v>16.399999999999999</v>
      </c>
      <c r="I3384">
        <v>14</v>
      </c>
    </row>
    <row r="3385" spans="1:9" ht="24" customHeight="1">
      <c r="A3385" s="6" t="s">
        <v>971</v>
      </c>
      <c r="B3385">
        <v>34495</v>
      </c>
      <c r="C3385">
        <v>9586</v>
      </c>
      <c r="D3385">
        <v>345130</v>
      </c>
      <c r="E3385">
        <v>273132</v>
      </c>
      <c r="F3385">
        <v>13.5</v>
      </c>
      <c r="G3385">
        <v>5.7</v>
      </c>
      <c r="H3385">
        <v>10.7</v>
      </c>
      <c r="I3385">
        <v>11.1</v>
      </c>
    </row>
    <row r="3386" spans="1:9" ht="24" customHeight="1">
      <c r="A3386" s="6" t="s">
        <v>972</v>
      </c>
      <c r="B3386">
        <v>2259</v>
      </c>
      <c r="C3386">
        <v>148</v>
      </c>
      <c r="D3386">
        <v>633442</v>
      </c>
      <c r="E3386">
        <v>622666</v>
      </c>
      <c r="F3386">
        <v>6.6</v>
      </c>
      <c r="G3386">
        <v>6.1</v>
      </c>
      <c r="H3386">
        <v>26.3</v>
      </c>
      <c r="I3386">
        <v>30.2</v>
      </c>
    </row>
    <row r="3387" spans="1:9" ht="24" customHeight="1">
      <c r="A3387" s="6" t="s">
        <v>973</v>
      </c>
      <c r="B3387">
        <v>3174</v>
      </c>
      <c r="C3387">
        <v>189</v>
      </c>
      <c r="D3387">
        <v>562129</v>
      </c>
      <c r="E3387">
        <v>462570</v>
      </c>
      <c r="F3387">
        <v>3.8</v>
      </c>
      <c r="G3387">
        <v>1.9</v>
      </c>
      <c r="H3387">
        <v>22</v>
      </c>
      <c r="I3387">
        <v>20.100000000000001</v>
      </c>
    </row>
    <row r="3388" spans="1:9" ht="24" customHeight="1">
      <c r="A3388" s="6" t="s">
        <v>974</v>
      </c>
      <c r="B3388">
        <v>2633</v>
      </c>
      <c r="C3388">
        <v>387</v>
      </c>
      <c r="D3388">
        <v>492515</v>
      </c>
      <c r="E3388">
        <v>391558</v>
      </c>
      <c r="F3388">
        <v>12.4</v>
      </c>
      <c r="G3388">
        <v>5.9</v>
      </c>
      <c r="H3388">
        <v>19.100000000000001</v>
      </c>
      <c r="I3388">
        <v>18.8</v>
      </c>
    </row>
    <row r="3389" spans="1:9" ht="24" customHeight="1">
      <c r="A3389" s="6" t="s">
        <v>975</v>
      </c>
      <c r="B3389">
        <v>2005</v>
      </c>
      <c r="C3389">
        <v>307</v>
      </c>
      <c r="D3389">
        <v>425110</v>
      </c>
      <c r="E3389">
        <v>305551</v>
      </c>
      <c r="F3389">
        <v>12</v>
      </c>
      <c r="G3389">
        <v>11.6</v>
      </c>
      <c r="H3389">
        <v>19.3</v>
      </c>
      <c r="I3389">
        <v>16.7</v>
      </c>
    </row>
    <row r="3390" spans="1:9" ht="24" customHeight="1">
      <c r="A3390" s="6" t="s">
        <v>976</v>
      </c>
      <c r="B3390">
        <v>1755</v>
      </c>
      <c r="C3390">
        <v>289</v>
      </c>
      <c r="D3390">
        <v>521938</v>
      </c>
      <c r="E3390">
        <v>426100</v>
      </c>
      <c r="F3390">
        <v>10</v>
      </c>
      <c r="G3390">
        <v>14.4</v>
      </c>
      <c r="H3390">
        <v>18.2</v>
      </c>
      <c r="I3390">
        <v>16.600000000000001</v>
      </c>
    </row>
    <row r="3391" spans="1:9" ht="24" customHeight="1">
      <c r="A3391" s="6" t="s">
        <v>977</v>
      </c>
      <c r="B3391">
        <v>30208</v>
      </c>
      <c r="C3391">
        <v>10670</v>
      </c>
      <c r="D3391">
        <v>356910</v>
      </c>
      <c r="E3391">
        <v>295658</v>
      </c>
      <c r="F3391">
        <v>13.3</v>
      </c>
      <c r="G3391">
        <v>7.6</v>
      </c>
      <c r="H3391">
        <v>13.5</v>
      </c>
      <c r="I3391">
        <v>11</v>
      </c>
    </row>
    <row r="3392" spans="1:9" ht="24" customHeight="1">
      <c r="A3392" s="6" t="s">
        <v>978</v>
      </c>
      <c r="B3392">
        <v>4464</v>
      </c>
      <c r="C3392">
        <v>211</v>
      </c>
      <c r="D3392">
        <v>654628</v>
      </c>
      <c r="E3392">
        <v>527135</v>
      </c>
      <c r="F3392">
        <v>0.6</v>
      </c>
      <c r="G3392">
        <v>1.1000000000000001</v>
      </c>
      <c r="H3392">
        <v>25.3</v>
      </c>
      <c r="I3392">
        <v>24</v>
      </c>
    </row>
    <row r="3393" spans="1:9" ht="24" customHeight="1">
      <c r="A3393" s="6" t="s">
        <v>979</v>
      </c>
      <c r="B3393">
        <v>7121</v>
      </c>
      <c r="C3393">
        <v>549</v>
      </c>
      <c r="D3393">
        <v>554687</v>
      </c>
      <c r="E3393">
        <v>448271</v>
      </c>
      <c r="F3393">
        <v>1.8</v>
      </c>
      <c r="G3393">
        <v>2</v>
      </c>
      <c r="H3393">
        <v>22.8</v>
      </c>
      <c r="I3393">
        <v>20.8</v>
      </c>
    </row>
    <row r="3394" spans="1:9" ht="24" customHeight="1">
      <c r="A3394" s="6" t="s">
        <v>980</v>
      </c>
      <c r="B3394">
        <v>7036</v>
      </c>
      <c r="C3394">
        <v>471</v>
      </c>
      <c r="D3394">
        <v>470442</v>
      </c>
      <c r="E3394">
        <v>381052</v>
      </c>
      <c r="F3394">
        <v>14.7</v>
      </c>
      <c r="G3394">
        <v>11.2</v>
      </c>
      <c r="H3394">
        <v>21.5</v>
      </c>
      <c r="I3394">
        <v>25.5</v>
      </c>
    </row>
    <row r="3395" spans="1:9" ht="24" customHeight="1">
      <c r="A3395" s="6" t="s">
        <v>981</v>
      </c>
      <c r="B3395">
        <v>9193</v>
      </c>
      <c r="C3395">
        <v>611</v>
      </c>
      <c r="D3395">
        <v>497587</v>
      </c>
      <c r="E3395">
        <v>339265</v>
      </c>
      <c r="F3395">
        <v>16.2</v>
      </c>
      <c r="G3395">
        <v>3.8</v>
      </c>
      <c r="H3395">
        <v>21</v>
      </c>
      <c r="I3395">
        <v>20.9</v>
      </c>
    </row>
    <row r="3396" spans="1:9" ht="24" customHeight="1">
      <c r="A3396" s="6" t="s">
        <v>982</v>
      </c>
      <c r="B3396">
        <v>5403</v>
      </c>
      <c r="C3396">
        <v>552</v>
      </c>
      <c r="D3396">
        <v>597265</v>
      </c>
      <c r="E3396">
        <v>388696</v>
      </c>
      <c r="F3396">
        <v>9.5</v>
      </c>
      <c r="G3396">
        <v>5.3</v>
      </c>
      <c r="H3396">
        <v>21.4</v>
      </c>
      <c r="I3396">
        <v>23.6</v>
      </c>
    </row>
    <row r="3397" spans="1:9" ht="24" customHeight="1">
      <c r="A3397" s="6" t="s">
        <v>983</v>
      </c>
      <c r="B3397">
        <v>72165</v>
      </c>
      <c r="C3397">
        <v>23529</v>
      </c>
      <c r="D3397">
        <v>377898</v>
      </c>
      <c r="E3397">
        <v>273884</v>
      </c>
      <c r="F3397">
        <v>13.8</v>
      </c>
      <c r="G3397">
        <v>5.4</v>
      </c>
      <c r="H3397">
        <v>12.5</v>
      </c>
      <c r="I3397">
        <v>10.7</v>
      </c>
    </row>
    <row r="3398" spans="1:9" ht="24" customHeight="1">
      <c r="A3398" s="6" t="s">
        <v>984</v>
      </c>
      <c r="B3398">
        <v>10519</v>
      </c>
      <c r="C3398">
        <v>221</v>
      </c>
      <c r="D3398">
        <v>640897</v>
      </c>
      <c r="E3398">
        <v>502887</v>
      </c>
      <c r="F3398">
        <v>1.9</v>
      </c>
      <c r="G3398">
        <v>1.6</v>
      </c>
      <c r="H3398">
        <v>21.6</v>
      </c>
      <c r="I3398">
        <v>20.8</v>
      </c>
    </row>
    <row r="3399" spans="1:9" ht="24" customHeight="1">
      <c r="A3399" s="6" t="s">
        <v>985</v>
      </c>
      <c r="B3399">
        <v>11863</v>
      </c>
      <c r="C3399">
        <v>895</v>
      </c>
      <c r="D3399">
        <v>553991</v>
      </c>
      <c r="E3399">
        <v>463411</v>
      </c>
      <c r="F3399">
        <v>1.9</v>
      </c>
      <c r="G3399">
        <v>6</v>
      </c>
      <c r="H3399">
        <v>22.5</v>
      </c>
      <c r="I3399">
        <v>22.3</v>
      </c>
    </row>
    <row r="3400" spans="1:9" ht="24" customHeight="1">
      <c r="A3400" s="6" t="s">
        <v>986</v>
      </c>
      <c r="B3400">
        <v>14651</v>
      </c>
      <c r="C3400">
        <v>1634</v>
      </c>
      <c r="D3400">
        <v>459075</v>
      </c>
      <c r="E3400">
        <v>382484</v>
      </c>
      <c r="F3400">
        <v>21.2</v>
      </c>
      <c r="G3400">
        <v>11.6</v>
      </c>
      <c r="H3400">
        <v>19.5</v>
      </c>
      <c r="I3400">
        <v>22.6</v>
      </c>
    </row>
    <row r="3401" spans="1:9" ht="24" customHeight="1">
      <c r="A3401" s="6" t="s">
        <v>987</v>
      </c>
      <c r="B3401">
        <v>7026</v>
      </c>
      <c r="C3401">
        <v>761</v>
      </c>
      <c r="D3401">
        <v>503835</v>
      </c>
      <c r="E3401">
        <v>332351</v>
      </c>
      <c r="F3401">
        <v>28.3</v>
      </c>
      <c r="G3401">
        <v>9.6</v>
      </c>
      <c r="H3401">
        <v>21.1</v>
      </c>
      <c r="I3401">
        <v>11.4</v>
      </c>
    </row>
    <row r="3402" spans="1:9" ht="24" customHeight="1">
      <c r="A3402" s="6" t="s">
        <v>988</v>
      </c>
      <c r="B3402">
        <v>6907</v>
      </c>
      <c r="C3402">
        <v>929</v>
      </c>
      <c r="D3402">
        <v>522284</v>
      </c>
      <c r="E3402">
        <v>348162</v>
      </c>
      <c r="F3402">
        <v>6.8</v>
      </c>
      <c r="G3402">
        <v>13.5</v>
      </c>
      <c r="H3402">
        <v>21.6</v>
      </c>
      <c r="I3402">
        <v>16.899999999999999</v>
      </c>
    </row>
    <row r="3403" spans="1:9" ht="24" customHeight="1">
      <c r="A3403" s="6" t="s">
        <v>989</v>
      </c>
      <c r="B3403">
        <v>81784</v>
      </c>
      <c r="C3403">
        <v>43782</v>
      </c>
      <c r="D3403">
        <v>393953</v>
      </c>
      <c r="E3403">
        <v>302610</v>
      </c>
      <c r="F3403">
        <v>19</v>
      </c>
      <c r="G3403">
        <v>11.4</v>
      </c>
      <c r="H3403">
        <v>15.5</v>
      </c>
      <c r="I3403">
        <v>11.8</v>
      </c>
    </row>
    <row r="3404" spans="1:9" ht="24" customHeight="1">
      <c r="A3404" s="6" t="s">
        <v>990</v>
      </c>
      <c r="B3404">
        <v>12647</v>
      </c>
      <c r="C3404">
        <v>805</v>
      </c>
      <c r="D3404">
        <v>1071007</v>
      </c>
      <c r="E3404">
        <v>1063455</v>
      </c>
      <c r="F3404">
        <v>0.5</v>
      </c>
      <c r="G3404">
        <v>0.3</v>
      </c>
      <c r="H3404">
        <v>25.1</v>
      </c>
      <c r="I3404">
        <v>22.1</v>
      </c>
    </row>
    <row r="3405" spans="1:9" ht="24" customHeight="1">
      <c r="A3405" s="6" t="s">
        <v>991</v>
      </c>
      <c r="B3405">
        <v>27187</v>
      </c>
      <c r="C3405">
        <v>4333</v>
      </c>
      <c r="D3405">
        <v>808364</v>
      </c>
      <c r="E3405">
        <v>776285</v>
      </c>
      <c r="F3405">
        <v>2.2999999999999998</v>
      </c>
      <c r="G3405">
        <v>1.2</v>
      </c>
      <c r="H3405">
        <v>23.9</v>
      </c>
      <c r="I3405">
        <v>21</v>
      </c>
    </row>
    <row r="3406" spans="1:9" ht="24" customHeight="1">
      <c r="A3406" s="6" t="s">
        <v>992</v>
      </c>
      <c r="B3406">
        <v>18889</v>
      </c>
      <c r="C3406">
        <v>4474</v>
      </c>
      <c r="D3406">
        <v>644487</v>
      </c>
      <c r="E3406">
        <v>592919</v>
      </c>
      <c r="F3406">
        <v>16.899999999999999</v>
      </c>
      <c r="G3406">
        <v>8.4</v>
      </c>
      <c r="H3406">
        <v>19.3</v>
      </c>
      <c r="I3406">
        <v>18.600000000000001</v>
      </c>
    </row>
    <row r="3407" spans="1:9" ht="24" customHeight="1">
      <c r="A3407" s="6" t="s">
        <v>993</v>
      </c>
      <c r="B3407">
        <v>14573</v>
      </c>
      <c r="C3407">
        <v>2676</v>
      </c>
      <c r="D3407">
        <v>593813</v>
      </c>
      <c r="E3407">
        <v>467829</v>
      </c>
      <c r="F3407">
        <v>16.899999999999999</v>
      </c>
      <c r="G3407">
        <v>11.7</v>
      </c>
      <c r="H3407">
        <v>19.5</v>
      </c>
      <c r="I3407">
        <v>15.3</v>
      </c>
    </row>
    <row r="3408" spans="1:9" ht="24" customHeight="1">
      <c r="A3408" s="6" t="s">
        <v>994</v>
      </c>
      <c r="B3408">
        <v>13902</v>
      </c>
      <c r="C3408">
        <v>2066</v>
      </c>
      <c r="D3408">
        <v>823947</v>
      </c>
      <c r="E3408">
        <v>616627</v>
      </c>
      <c r="F3408">
        <v>5.9</v>
      </c>
      <c r="G3408">
        <v>6.3</v>
      </c>
      <c r="H3408">
        <v>20.6</v>
      </c>
      <c r="I3408">
        <v>20.100000000000001</v>
      </c>
    </row>
    <row r="3409" spans="1:9" ht="24" customHeight="1">
      <c r="A3409" s="6" t="s">
        <v>995</v>
      </c>
      <c r="B3409">
        <v>190381</v>
      </c>
      <c r="C3409">
        <v>69658</v>
      </c>
      <c r="D3409">
        <v>511751</v>
      </c>
      <c r="E3409">
        <v>419413</v>
      </c>
      <c r="F3409">
        <v>14.4</v>
      </c>
      <c r="G3409">
        <v>10</v>
      </c>
      <c r="H3409">
        <v>12.5</v>
      </c>
      <c r="I3409">
        <v>10.6</v>
      </c>
    </row>
    <row r="3410" spans="1:9" ht="24" customHeight="1">
      <c r="A3410" s="6" t="s">
        <v>996</v>
      </c>
      <c r="B3410">
        <v>356</v>
      </c>
      <c r="C3410">
        <v>0</v>
      </c>
      <c r="D3410">
        <v>869121</v>
      </c>
      <c r="E3410"/>
      <c r="F3410">
        <v>3.7</v>
      </c>
      <c r="G3410"/>
      <c r="H3410">
        <v>25.8</v>
      </c>
      <c r="I3410"/>
    </row>
    <row r="3411" spans="1:9" ht="24" customHeight="1">
      <c r="A3411" s="6" t="s">
        <v>997</v>
      </c>
      <c r="B3411">
        <v>632</v>
      </c>
      <c r="C3411">
        <v>46</v>
      </c>
      <c r="D3411">
        <v>736105</v>
      </c>
      <c r="E3411">
        <v>435987</v>
      </c>
      <c r="F3411">
        <v>8.6999999999999993</v>
      </c>
      <c r="G3411">
        <v>5.7</v>
      </c>
      <c r="H3411">
        <v>19.399999999999999</v>
      </c>
      <c r="I3411">
        <v>16.600000000000001</v>
      </c>
    </row>
    <row r="3412" spans="1:9" ht="24" customHeight="1">
      <c r="A3412" s="6" t="s">
        <v>998</v>
      </c>
      <c r="B3412">
        <v>528</v>
      </c>
      <c r="C3412">
        <v>127</v>
      </c>
      <c r="D3412">
        <v>638090</v>
      </c>
      <c r="E3412">
        <v>479349</v>
      </c>
      <c r="F3412">
        <v>20.6</v>
      </c>
      <c r="G3412">
        <v>6.8</v>
      </c>
      <c r="H3412">
        <v>16.8</v>
      </c>
      <c r="I3412">
        <v>19.3</v>
      </c>
    </row>
    <row r="3413" spans="1:9" ht="24" customHeight="1">
      <c r="A3413" s="6" t="s">
        <v>999</v>
      </c>
      <c r="B3413">
        <v>615</v>
      </c>
      <c r="C3413">
        <v>17</v>
      </c>
      <c r="D3413">
        <v>630436</v>
      </c>
      <c r="E3413">
        <v>530220</v>
      </c>
      <c r="F3413">
        <v>22.7</v>
      </c>
      <c r="G3413">
        <v>11</v>
      </c>
      <c r="H3413">
        <v>21.9</v>
      </c>
      <c r="I3413">
        <v>27</v>
      </c>
    </row>
    <row r="3414" spans="1:9" ht="24" customHeight="1">
      <c r="A3414" s="6" t="s">
        <v>1000</v>
      </c>
      <c r="B3414">
        <v>206</v>
      </c>
      <c r="C3414">
        <v>0</v>
      </c>
      <c r="D3414">
        <v>807226</v>
      </c>
      <c r="E3414"/>
      <c r="F3414">
        <v>8.6999999999999993</v>
      </c>
      <c r="G3414"/>
      <c r="H3414">
        <v>19.100000000000001</v>
      </c>
      <c r="I3414"/>
    </row>
    <row r="3415" spans="1:9" ht="24" customHeight="1">
      <c r="A3415" s="6" t="s">
        <v>1001</v>
      </c>
      <c r="B3415">
        <v>7468</v>
      </c>
      <c r="C3415">
        <v>1421</v>
      </c>
      <c r="D3415">
        <v>533809</v>
      </c>
      <c r="E3415">
        <v>384951</v>
      </c>
      <c r="F3415">
        <v>24.4</v>
      </c>
      <c r="G3415">
        <v>13.9</v>
      </c>
      <c r="H3415">
        <v>12.2</v>
      </c>
      <c r="I3415">
        <v>11.5</v>
      </c>
    </row>
    <row r="3416" spans="1:9" ht="24" customHeight="1">
      <c r="A3416" s="6" t="s">
        <v>1002</v>
      </c>
      <c r="B3416">
        <v>8082</v>
      </c>
      <c r="C3416">
        <v>268</v>
      </c>
      <c r="D3416">
        <v>670099</v>
      </c>
      <c r="E3416">
        <v>519597</v>
      </c>
      <c r="F3416">
        <v>2.2999999999999998</v>
      </c>
      <c r="G3416">
        <v>3.8</v>
      </c>
      <c r="H3416">
        <v>22.9</v>
      </c>
      <c r="I3416">
        <v>16.8</v>
      </c>
    </row>
    <row r="3417" spans="1:9" ht="24" customHeight="1">
      <c r="A3417" s="6" t="s">
        <v>1003</v>
      </c>
      <c r="B3417">
        <v>17484</v>
      </c>
      <c r="C3417">
        <v>974</v>
      </c>
      <c r="D3417">
        <v>580180</v>
      </c>
      <c r="E3417">
        <v>489648</v>
      </c>
      <c r="F3417">
        <v>4.4000000000000004</v>
      </c>
      <c r="G3417">
        <v>1.3</v>
      </c>
      <c r="H3417">
        <v>22.6</v>
      </c>
      <c r="I3417">
        <v>21.9</v>
      </c>
    </row>
    <row r="3418" spans="1:9" ht="24" customHeight="1">
      <c r="A3418" s="6" t="s">
        <v>1004</v>
      </c>
      <c r="B3418">
        <v>17350</v>
      </c>
      <c r="C3418">
        <v>2565</v>
      </c>
      <c r="D3418">
        <v>494448</v>
      </c>
      <c r="E3418">
        <v>397339</v>
      </c>
      <c r="F3418">
        <v>13.8</v>
      </c>
      <c r="G3418">
        <v>12</v>
      </c>
      <c r="H3418">
        <v>21.1</v>
      </c>
      <c r="I3418">
        <v>19.2</v>
      </c>
    </row>
    <row r="3419" spans="1:9" ht="24" customHeight="1">
      <c r="A3419" s="6" t="s">
        <v>1005</v>
      </c>
      <c r="B3419">
        <v>18698</v>
      </c>
      <c r="C3419">
        <v>2802</v>
      </c>
      <c r="D3419">
        <v>475976</v>
      </c>
      <c r="E3419">
        <v>323719</v>
      </c>
      <c r="F3419">
        <v>22.2</v>
      </c>
      <c r="G3419">
        <v>8</v>
      </c>
      <c r="H3419">
        <v>18</v>
      </c>
      <c r="I3419">
        <v>17.7</v>
      </c>
    </row>
    <row r="3420" spans="1:9" ht="24" customHeight="1">
      <c r="A3420" s="6" t="s">
        <v>1006</v>
      </c>
      <c r="B3420">
        <v>10104</v>
      </c>
      <c r="C3420">
        <v>1123</v>
      </c>
      <c r="D3420">
        <v>495826</v>
      </c>
      <c r="E3420">
        <v>323198</v>
      </c>
      <c r="F3420">
        <v>9.3000000000000007</v>
      </c>
      <c r="G3420">
        <v>5.2</v>
      </c>
      <c r="H3420">
        <v>19.5</v>
      </c>
      <c r="I3420">
        <v>19.8</v>
      </c>
    </row>
    <row r="3421" spans="1:9" ht="24" customHeight="1">
      <c r="A3421" s="6" t="s">
        <v>1007</v>
      </c>
      <c r="B3421">
        <v>159124</v>
      </c>
      <c r="C3421">
        <v>62319</v>
      </c>
      <c r="D3421">
        <v>390018</v>
      </c>
      <c r="E3421">
        <v>285514</v>
      </c>
      <c r="F3421">
        <v>15.2</v>
      </c>
      <c r="G3421">
        <v>8.8000000000000007</v>
      </c>
      <c r="H3421">
        <v>12</v>
      </c>
      <c r="I3421">
        <v>10.7</v>
      </c>
    </row>
    <row r="3422" spans="1:9" ht="24" customHeight="1">
      <c r="A3422" s="6" t="s">
        <v>1008</v>
      </c>
      <c r="B3422">
        <v>2487</v>
      </c>
      <c r="C3422">
        <v>95</v>
      </c>
      <c r="D3422">
        <v>866900</v>
      </c>
      <c r="E3422">
        <v>663594</v>
      </c>
      <c r="F3422">
        <v>1.1000000000000001</v>
      </c>
      <c r="G3422">
        <v>0</v>
      </c>
      <c r="H3422">
        <v>25.5</v>
      </c>
      <c r="I3422">
        <v>24.9</v>
      </c>
    </row>
    <row r="3423" spans="1:9" ht="24" customHeight="1">
      <c r="A3423" s="6" t="s">
        <v>1009</v>
      </c>
      <c r="B3423">
        <v>5253</v>
      </c>
      <c r="C3423">
        <v>303</v>
      </c>
      <c r="D3423">
        <v>742591</v>
      </c>
      <c r="E3423">
        <v>451887</v>
      </c>
      <c r="F3423">
        <v>2.5</v>
      </c>
      <c r="G3423">
        <v>3.4</v>
      </c>
      <c r="H3423">
        <v>22.1</v>
      </c>
      <c r="I3423">
        <v>17.600000000000001</v>
      </c>
    </row>
    <row r="3424" spans="1:9" ht="24" customHeight="1">
      <c r="A3424" s="6" t="s">
        <v>1010</v>
      </c>
      <c r="B3424">
        <v>3264</v>
      </c>
      <c r="C3424">
        <v>248</v>
      </c>
      <c r="D3424">
        <v>521249</v>
      </c>
      <c r="E3424">
        <v>416222</v>
      </c>
      <c r="F3424">
        <v>20.8</v>
      </c>
      <c r="G3424">
        <v>10.5</v>
      </c>
      <c r="H3424">
        <v>20.100000000000001</v>
      </c>
      <c r="I3424">
        <v>19.7</v>
      </c>
    </row>
    <row r="3425" spans="1:9" ht="24" customHeight="1">
      <c r="A3425" s="6" t="s">
        <v>1011</v>
      </c>
      <c r="B3425">
        <v>3944</v>
      </c>
      <c r="C3425">
        <v>405</v>
      </c>
      <c r="D3425">
        <v>543438</v>
      </c>
      <c r="E3425">
        <v>351229</v>
      </c>
      <c r="F3425">
        <v>25.7</v>
      </c>
      <c r="G3425">
        <v>13.9</v>
      </c>
      <c r="H3425">
        <v>18.8</v>
      </c>
      <c r="I3425">
        <v>16.5</v>
      </c>
    </row>
    <row r="3426" spans="1:9" ht="24" customHeight="1">
      <c r="A3426" s="6" t="s">
        <v>1012</v>
      </c>
      <c r="B3426">
        <v>3651</v>
      </c>
      <c r="C3426">
        <v>306</v>
      </c>
      <c r="D3426">
        <v>629046</v>
      </c>
      <c r="E3426">
        <v>429024</v>
      </c>
      <c r="F3426">
        <v>14.3</v>
      </c>
      <c r="G3426">
        <v>6.2</v>
      </c>
      <c r="H3426">
        <v>20.5</v>
      </c>
      <c r="I3426">
        <v>15.5</v>
      </c>
    </row>
    <row r="3427" spans="1:9" ht="24" customHeight="1">
      <c r="A3427" s="6" t="s">
        <v>1013</v>
      </c>
      <c r="B3427">
        <v>52462</v>
      </c>
      <c r="C3427">
        <v>16820</v>
      </c>
      <c r="D3427">
        <v>439376</v>
      </c>
      <c r="E3427">
        <v>321722</v>
      </c>
      <c r="F3427">
        <v>18.2</v>
      </c>
      <c r="G3427">
        <v>8.9</v>
      </c>
      <c r="H3427">
        <v>13.2</v>
      </c>
      <c r="I3427">
        <v>12.4</v>
      </c>
    </row>
    <row r="3428" spans="1:9" ht="24" customHeight="1">
      <c r="A3428" s="6" t="s">
        <v>1014</v>
      </c>
      <c r="B3428">
        <v>341</v>
      </c>
      <c r="C3428">
        <v>29</v>
      </c>
      <c r="D3428">
        <v>456375</v>
      </c>
      <c r="E3428">
        <v>416574</v>
      </c>
      <c r="F3428">
        <v>0.2</v>
      </c>
      <c r="G3428">
        <v>4.9000000000000004</v>
      </c>
      <c r="H3428">
        <v>17.7</v>
      </c>
      <c r="I3428">
        <v>15.8</v>
      </c>
    </row>
    <row r="3429" spans="1:9" ht="24" customHeight="1">
      <c r="A3429" s="6" t="s">
        <v>1015</v>
      </c>
      <c r="B3429">
        <v>476</v>
      </c>
      <c r="C3429">
        <v>47</v>
      </c>
      <c r="D3429">
        <v>463749</v>
      </c>
      <c r="E3429">
        <v>377107</v>
      </c>
      <c r="F3429">
        <v>0.5</v>
      </c>
      <c r="G3429">
        <v>1</v>
      </c>
      <c r="H3429">
        <v>21.8</v>
      </c>
      <c r="I3429">
        <v>22.3</v>
      </c>
    </row>
    <row r="3430" spans="1:9" ht="24" customHeight="1">
      <c r="A3430" s="6" t="s">
        <v>1016</v>
      </c>
      <c r="B3430">
        <v>555</v>
      </c>
      <c r="C3430">
        <v>70</v>
      </c>
      <c r="D3430">
        <v>369089</v>
      </c>
      <c r="E3430">
        <v>322902</v>
      </c>
      <c r="F3430">
        <v>5.5</v>
      </c>
      <c r="G3430">
        <v>4.5</v>
      </c>
      <c r="H3430">
        <v>14.3</v>
      </c>
      <c r="I3430">
        <v>18.5</v>
      </c>
    </row>
    <row r="3431" spans="1:9" ht="24" customHeight="1">
      <c r="A3431" s="6" t="s">
        <v>1017</v>
      </c>
      <c r="B3431">
        <v>306</v>
      </c>
      <c r="C3431">
        <v>115</v>
      </c>
      <c r="D3431">
        <v>395196</v>
      </c>
      <c r="E3431">
        <v>276271</v>
      </c>
      <c r="F3431">
        <v>16.600000000000001</v>
      </c>
      <c r="G3431">
        <v>2.2000000000000002</v>
      </c>
      <c r="H3431">
        <v>15.5</v>
      </c>
      <c r="I3431">
        <v>16.8</v>
      </c>
    </row>
    <row r="3432" spans="1:9" ht="24" customHeight="1">
      <c r="A3432" s="6" t="s">
        <v>1018</v>
      </c>
      <c r="B3432">
        <v>168</v>
      </c>
      <c r="C3432">
        <v>17</v>
      </c>
      <c r="D3432">
        <v>463770</v>
      </c>
      <c r="E3432">
        <v>387573</v>
      </c>
      <c r="F3432">
        <v>4.5999999999999996</v>
      </c>
      <c r="G3432">
        <v>4.8</v>
      </c>
      <c r="H3432">
        <v>18.8</v>
      </c>
      <c r="I3432">
        <v>15.8</v>
      </c>
    </row>
    <row r="3433" spans="1:9" ht="24" customHeight="1">
      <c r="A3433" s="6" t="s">
        <v>1019</v>
      </c>
      <c r="B3433">
        <v>4003</v>
      </c>
      <c r="C3433">
        <v>4183</v>
      </c>
      <c r="D3433">
        <v>309144</v>
      </c>
      <c r="E3433">
        <v>246717</v>
      </c>
      <c r="F3433">
        <v>4.4000000000000004</v>
      </c>
      <c r="G3433">
        <v>2.7</v>
      </c>
      <c r="H3433">
        <v>11.2</v>
      </c>
      <c r="I3433">
        <v>12.1</v>
      </c>
    </row>
    <row r="3434" spans="1:9" ht="24" customHeight="1">
      <c r="A3434" s="6" t="s">
        <v>1020</v>
      </c>
      <c r="B3434">
        <v>7376</v>
      </c>
      <c r="C3434">
        <v>112</v>
      </c>
      <c r="D3434">
        <v>695408</v>
      </c>
      <c r="E3434">
        <v>889533</v>
      </c>
      <c r="F3434">
        <v>2.1</v>
      </c>
      <c r="G3434">
        <v>1.2</v>
      </c>
      <c r="H3434">
        <v>21.8</v>
      </c>
      <c r="I3434">
        <v>22.2</v>
      </c>
    </row>
    <row r="3435" spans="1:9" ht="24" customHeight="1">
      <c r="A3435" s="6" t="s">
        <v>1021</v>
      </c>
      <c r="B3435">
        <v>11565</v>
      </c>
      <c r="C3435">
        <v>670</v>
      </c>
      <c r="D3435">
        <v>625574</v>
      </c>
      <c r="E3435">
        <v>542379</v>
      </c>
      <c r="F3435">
        <v>4.9000000000000004</v>
      </c>
      <c r="G3435">
        <v>4.8</v>
      </c>
      <c r="H3435">
        <v>21.2</v>
      </c>
      <c r="I3435">
        <v>18.100000000000001</v>
      </c>
    </row>
    <row r="3436" spans="1:9" ht="24" customHeight="1">
      <c r="A3436" s="6" t="s">
        <v>1022</v>
      </c>
      <c r="B3436">
        <v>8902</v>
      </c>
      <c r="C3436">
        <v>991</v>
      </c>
      <c r="D3436">
        <v>559772</v>
      </c>
      <c r="E3436">
        <v>434158</v>
      </c>
      <c r="F3436">
        <v>15.4</v>
      </c>
      <c r="G3436">
        <v>5.0999999999999996</v>
      </c>
      <c r="H3436">
        <v>18.2</v>
      </c>
      <c r="I3436">
        <v>18.899999999999999</v>
      </c>
    </row>
    <row r="3437" spans="1:9" ht="24" customHeight="1">
      <c r="A3437" s="6" t="s">
        <v>1023</v>
      </c>
      <c r="B3437">
        <v>10577</v>
      </c>
      <c r="C3437">
        <v>822</v>
      </c>
      <c r="D3437">
        <v>487491</v>
      </c>
      <c r="E3437">
        <v>316439</v>
      </c>
      <c r="F3437">
        <v>18</v>
      </c>
      <c r="G3437">
        <v>12.7</v>
      </c>
      <c r="H3437">
        <v>18.399999999999999</v>
      </c>
      <c r="I3437">
        <v>14.4</v>
      </c>
    </row>
    <row r="3438" spans="1:9" ht="24" customHeight="1">
      <c r="A3438" s="6" t="s">
        <v>1024</v>
      </c>
      <c r="B3438">
        <v>7943</v>
      </c>
      <c r="C3438">
        <v>945</v>
      </c>
      <c r="D3438">
        <v>565512</v>
      </c>
      <c r="E3438">
        <v>458260</v>
      </c>
      <c r="F3438">
        <v>15.3</v>
      </c>
      <c r="G3438">
        <v>17.100000000000001</v>
      </c>
      <c r="H3438">
        <v>19.5</v>
      </c>
      <c r="I3438">
        <v>23</v>
      </c>
    </row>
    <row r="3439" spans="1:9" ht="24" customHeight="1">
      <c r="A3439" s="6" t="s">
        <v>1025</v>
      </c>
      <c r="B3439">
        <v>99797</v>
      </c>
      <c r="C3439">
        <v>25233</v>
      </c>
      <c r="D3439">
        <v>400183</v>
      </c>
      <c r="E3439">
        <v>321685</v>
      </c>
      <c r="F3439">
        <v>14.9</v>
      </c>
      <c r="G3439">
        <v>6.8</v>
      </c>
      <c r="H3439">
        <v>12.8</v>
      </c>
      <c r="I3439">
        <v>12.7</v>
      </c>
    </row>
    <row r="3440" spans="1:9" ht="24" customHeight="1">
      <c r="A3440" s="6" t="s">
        <v>1026</v>
      </c>
      <c r="B3440">
        <v>4133</v>
      </c>
      <c r="C3440">
        <v>58</v>
      </c>
      <c r="D3440">
        <v>987805</v>
      </c>
      <c r="E3440">
        <v>517404</v>
      </c>
      <c r="F3440">
        <v>0.7</v>
      </c>
      <c r="G3440">
        <v>35.1</v>
      </c>
      <c r="H3440">
        <v>26.3</v>
      </c>
      <c r="I3440">
        <v>2.7</v>
      </c>
    </row>
    <row r="3441" spans="1:9" ht="24" customHeight="1">
      <c r="A3441" s="6" t="s">
        <v>1027</v>
      </c>
      <c r="B3441">
        <v>9054</v>
      </c>
      <c r="C3441">
        <v>438</v>
      </c>
      <c r="D3441">
        <v>786412</v>
      </c>
      <c r="E3441">
        <v>690055</v>
      </c>
      <c r="F3441">
        <v>1.9</v>
      </c>
      <c r="G3441">
        <v>0.3</v>
      </c>
      <c r="H3441">
        <v>22.1</v>
      </c>
      <c r="I3441">
        <v>19.600000000000001</v>
      </c>
    </row>
    <row r="3442" spans="1:9" ht="24" customHeight="1">
      <c r="A3442" s="6" t="s">
        <v>1028</v>
      </c>
      <c r="B3442">
        <v>11253</v>
      </c>
      <c r="C3442">
        <v>831</v>
      </c>
      <c r="D3442">
        <v>629839</v>
      </c>
      <c r="E3442">
        <v>510638</v>
      </c>
      <c r="F3442">
        <v>22.7</v>
      </c>
      <c r="G3442">
        <v>12</v>
      </c>
      <c r="H3442">
        <v>20.399999999999999</v>
      </c>
      <c r="I3442">
        <v>17.899999999999999</v>
      </c>
    </row>
    <row r="3443" spans="1:9" ht="24" customHeight="1">
      <c r="A3443" s="6" t="s">
        <v>1029</v>
      </c>
      <c r="B3443">
        <v>18683</v>
      </c>
      <c r="C3443">
        <v>667</v>
      </c>
      <c r="D3443">
        <v>616176</v>
      </c>
      <c r="E3443">
        <v>400641</v>
      </c>
      <c r="F3443">
        <v>27.7</v>
      </c>
      <c r="G3443">
        <v>15.5</v>
      </c>
      <c r="H3443">
        <v>21.3</v>
      </c>
      <c r="I3443">
        <v>18.399999999999999</v>
      </c>
    </row>
    <row r="3444" spans="1:9" ht="24" customHeight="1">
      <c r="A3444" s="6" t="s">
        <v>1030</v>
      </c>
      <c r="B3444">
        <v>6639</v>
      </c>
      <c r="C3444">
        <v>448</v>
      </c>
      <c r="D3444">
        <v>785368</v>
      </c>
      <c r="E3444">
        <v>506109</v>
      </c>
      <c r="F3444">
        <v>12.4</v>
      </c>
      <c r="G3444">
        <v>14.5</v>
      </c>
      <c r="H3444">
        <v>22.4</v>
      </c>
      <c r="I3444">
        <v>18.100000000000001</v>
      </c>
    </row>
    <row r="3445" spans="1:9" ht="24" customHeight="1">
      <c r="A3445" s="6" t="s">
        <v>1031</v>
      </c>
      <c r="B3445">
        <v>115305</v>
      </c>
      <c r="C3445">
        <v>16155</v>
      </c>
      <c r="D3445">
        <v>464144</v>
      </c>
      <c r="E3445">
        <v>367234</v>
      </c>
      <c r="F3445">
        <v>23</v>
      </c>
      <c r="G3445">
        <v>10.9</v>
      </c>
      <c r="H3445">
        <v>12.3</v>
      </c>
      <c r="I3445">
        <v>12.3</v>
      </c>
    </row>
    <row r="3446" spans="1:9" ht="24" customHeight="1">
      <c r="A3446" s="6" t="s">
        <v>1032</v>
      </c>
      <c r="B3446">
        <v>3029</v>
      </c>
      <c r="C3446">
        <v>42</v>
      </c>
      <c r="D3446">
        <v>971663</v>
      </c>
      <c r="E3446">
        <v>885171</v>
      </c>
      <c r="F3446">
        <v>0.9</v>
      </c>
      <c r="G3446">
        <v>0.9</v>
      </c>
      <c r="H3446">
        <v>24.7</v>
      </c>
      <c r="I3446">
        <v>21</v>
      </c>
    </row>
    <row r="3447" spans="1:9" ht="24" customHeight="1">
      <c r="A3447" s="6" t="s">
        <v>1033</v>
      </c>
      <c r="B3447">
        <v>7006</v>
      </c>
      <c r="C3447">
        <v>368</v>
      </c>
      <c r="D3447">
        <v>696922</v>
      </c>
      <c r="E3447">
        <v>682912</v>
      </c>
      <c r="F3447">
        <v>2.2000000000000002</v>
      </c>
      <c r="G3447">
        <v>1.1000000000000001</v>
      </c>
      <c r="H3447">
        <v>23.5</v>
      </c>
      <c r="I3447">
        <v>21.5</v>
      </c>
    </row>
    <row r="3448" spans="1:9" ht="24" customHeight="1">
      <c r="A3448" s="6" t="s">
        <v>1034</v>
      </c>
      <c r="B3448">
        <v>4973</v>
      </c>
      <c r="C3448">
        <v>305</v>
      </c>
      <c r="D3448">
        <v>603003</v>
      </c>
      <c r="E3448">
        <v>546120</v>
      </c>
      <c r="F3448">
        <v>16.8</v>
      </c>
      <c r="G3448">
        <v>11.8</v>
      </c>
      <c r="H3448">
        <v>21.6</v>
      </c>
      <c r="I3448">
        <v>15.6</v>
      </c>
    </row>
    <row r="3449" spans="1:9" ht="24" customHeight="1">
      <c r="A3449" s="6" t="s">
        <v>1035</v>
      </c>
      <c r="B3449">
        <v>7484</v>
      </c>
      <c r="C3449">
        <v>697</v>
      </c>
      <c r="D3449">
        <v>574589</v>
      </c>
      <c r="E3449">
        <v>399056</v>
      </c>
      <c r="F3449">
        <v>22.6</v>
      </c>
      <c r="G3449">
        <v>17.3</v>
      </c>
      <c r="H3449">
        <v>20.399999999999999</v>
      </c>
      <c r="I3449">
        <v>13.2</v>
      </c>
    </row>
    <row r="3450" spans="1:9" ht="24" customHeight="1">
      <c r="A3450" s="6" t="s">
        <v>1036</v>
      </c>
      <c r="B3450">
        <v>3413</v>
      </c>
      <c r="C3450">
        <v>378</v>
      </c>
      <c r="D3450">
        <v>667221</v>
      </c>
      <c r="E3450">
        <v>565450</v>
      </c>
      <c r="F3450">
        <v>11</v>
      </c>
      <c r="G3450">
        <v>4.9000000000000004</v>
      </c>
      <c r="H3450">
        <v>20.9</v>
      </c>
      <c r="I3450">
        <v>21</v>
      </c>
    </row>
    <row r="3451" spans="1:9" ht="24" customHeight="1">
      <c r="A3451" s="6" t="s">
        <v>1037</v>
      </c>
      <c r="B3451">
        <v>59048</v>
      </c>
      <c r="C3451">
        <v>13724</v>
      </c>
      <c r="D3451">
        <v>452360</v>
      </c>
      <c r="E3451">
        <v>333858</v>
      </c>
      <c r="F3451">
        <v>16.3</v>
      </c>
      <c r="G3451">
        <v>7.4</v>
      </c>
      <c r="H3451">
        <v>14.1</v>
      </c>
      <c r="I3451">
        <v>12.2</v>
      </c>
    </row>
    <row r="3452" spans="1:9" ht="24" customHeight="1">
      <c r="A3452" s="6" t="s">
        <v>1038</v>
      </c>
      <c r="B3452">
        <v>13923</v>
      </c>
      <c r="C3452">
        <v>577</v>
      </c>
      <c r="D3452">
        <v>707363</v>
      </c>
      <c r="E3452">
        <v>643282</v>
      </c>
      <c r="F3452">
        <v>2.2000000000000002</v>
      </c>
      <c r="G3452">
        <v>29.3</v>
      </c>
      <c r="H3452">
        <v>22.5</v>
      </c>
      <c r="I3452">
        <v>16.5</v>
      </c>
    </row>
    <row r="3453" spans="1:9" ht="24" customHeight="1">
      <c r="A3453" s="6" t="s">
        <v>1039</v>
      </c>
      <c r="B3453">
        <v>25617</v>
      </c>
      <c r="C3453">
        <v>2084</v>
      </c>
      <c r="D3453">
        <v>590553</v>
      </c>
      <c r="E3453">
        <v>441424</v>
      </c>
      <c r="F3453">
        <v>5.8</v>
      </c>
      <c r="G3453">
        <v>6.2</v>
      </c>
      <c r="H3453">
        <v>21.6</v>
      </c>
      <c r="I3453">
        <v>14.8</v>
      </c>
    </row>
    <row r="3454" spans="1:9" ht="24" customHeight="1">
      <c r="A3454" s="6" t="s">
        <v>1040</v>
      </c>
      <c r="B3454">
        <v>21048</v>
      </c>
      <c r="C3454">
        <v>1426</v>
      </c>
      <c r="D3454">
        <v>530017</v>
      </c>
      <c r="E3454">
        <v>412575</v>
      </c>
      <c r="F3454">
        <v>16.5</v>
      </c>
      <c r="G3454">
        <v>11</v>
      </c>
      <c r="H3454">
        <v>18.3</v>
      </c>
      <c r="I3454">
        <v>19.899999999999999</v>
      </c>
    </row>
    <row r="3455" spans="1:9" ht="24" customHeight="1">
      <c r="A3455" s="6" t="s">
        <v>1041</v>
      </c>
      <c r="B3455">
        <v>20170</v>
      </c>
      <c r="C3455">
        <v>2798</v>
      </c>
      <c r="D3455">
        <v>490386</v>
      </c>
      <c r="E3455">
        <v>379349</v>
      </c>
      <c r="F3455">
        <v>19.3</v>
      </c>
      <c r="G3455">
        <v>11.9</v>
      </c>
      <c r="H3455">
        <v>18.399999999999999</v>
      </c>
      <c r="I3455">
        <v>13.8</v>
      </c>
    </row>
    <row r="3456" spans="1:9" ht="24" customHeight="1">
      <c r="A3456" s="6" t="s">
        <v>1042</v>
      </c>
      <c r="B3456">
        <v>15288</v>
      </c>
      <c r="C3456">
        <v>2147</v>
      </c>
      <c r="D3456">
        <v>609548</v>
      </c>
      <c r="E3456">
        <v>518505</v>
      </c>
      <c r="F3456">
        <v>11.3</v>
      </c>
      <c r="G3456">
        <v>7.4</v>
      </c>
      <c r="H3456">
        <v>19.5</v>
      </c>
      <c r="I3456">
        <v>24.7</v>
      </c>
    </row>
    <row r="3457" spans="1:9" ht="24" customHeight="1">
      <c r="A3457" s="6" t="s">
        <v>1043</v>
      </c>
      <c r="B3457">
        <v>218646</v>
      </c>
      <c r="C3457">
        <v>66998</v>
      </c>
      <c r="D3457">
        <v>377092</v>
      </c>
      <c r="E3457">
        <v>298297</v>
      </c>
      <c r="F3457">
        <v>14.5</v>
      </c>
      <c r="G3457">
        <v>6.2</v>
      </c>
      <c r="H3457">
        <v>11.5</v>
      </c>
      <c r="I3457">
        <v>10</v>
      </c>
    </row>
    <row r="3458" spans="1:9" ht="24" customHeight="1">
      <c r="A3458" s="6" t="s">
        <v>1044</v>
      </c>
      <c r="B3458">
        <v>8165</v>
      </c>
      <c r="C3458">
        <v>288</v>
      </c>
      <c r="D3458">
        <v>830952</v>
      </c>
      <c r="E3458">
        <v>1039341</v>
      </c>
      <c r="F3458">
        <v>1.6</v>
      </c>
      <c r="G3458">
        <v>0</v>
      </c>
      <c r="H3458">
        <v>25.3</v>
      </c>
      <c r="I3458">
        <v>28.6</v>
      </c>
    </row>
    <row r="3459" spans="1:9" ht="24" customHeight="1">
      <c r="A3459" s="6" t="s">
        <v>1045</v>
      </c>
      <c r="B3459">
        <v>20331</v>
      </c>
      <c r="C3459">
        <v>958</v>
      </c>
      <c r="D3459">
        <v>757761</v>
      </c>
      <c r="E3459">
        <v>728509</v>
      </c>
      <c r="F3459">
        <v>2.4</v>
      </c>
      <c r="G3459">
        <v>1</v>
      </c>
      <c r="H3459">
        <v>23.1</v>
      </c>
      <c r="I3459">
        <v>21</v>
      </c>
    </row>
    <row r="3460" spans="1:9" ht="24" customHeight="1">
      <c r="A3460" s="6" t="s">
        <v>1046</v>
      </c>
      <c r="B3460">
        <v>15828</v>
      </c>
      <c r="C3460">
        <v>1295</v>
      </c>
      <c r="D3460">
        <v>639357</v>
      </c>
      <c r="E3460">
        <v>542338</v>
      </c>
      <c r="F3460">
        <v>20.100000000000001</v>
      </c>
      <c r="G3460">
        <v>11.5</v>
      </c>
      <c r="H3460">
        <v>20</v>
      </c>
      <c r="I3460">
        <v>21.9</v>
      </c>
    </row>
    <row r="3461" spans="1:9" ht="24" customHeight="1">
      <c r="A3461" s="6" t="s">
        <v>1047</v>
      </c>
      <c r="B3461">
        <v>11787</v>
      </c>
      <c r="C3461">
        <v>916</v>
      </c>
      <c r="D3461">
        <v>566152</v>
      </c>
      <c r="E3461">
        <v>523394</v>
      </c>
      <c r="F3461">
        <v>20</v>
      </c>
      <c r="G3461">
        <v>7.6</v>
      </c>
      <c r="H3461">
        <v>18.8</v>
      </c>
      <c r="I3461">
        <v>21.6</v>
      </c>
    </row>
    <row r="3462" spans="1:9" ht="24" customHeight="1">
      <c r="A3462" s="6" t="s">
        <v>1048</v>
      </c>
      <c r="B3462">
        <v>12138</v>
      </c>
      <c r="C3462">
        <v>1214</v>
      </c>
      <c r="D3462">
        <v>692461</v>
      </c>
      <c r="E3462">
        <v>387562</v>
      </c>
      <c r="F3462">
        <v>10.4</v>
      </c>
      <c r="G3462">
        <v>14.1</v>
      </c>
      <c r="H3462">
        <v>21.9</v>
      </c>
      <c r="I3462">
        <v>16.7</v>
      </c>
    </row>
    <row r="3463" spans="1:9" ht="24" customHeight="1">
      <c r="A3463" s="6" t="s">
        <v>1049</v>
      </c>
      <c r="B3463">
        <v>143312</v>
      </c>
      <c r="C3463">
        <v>38749</v>
      </c>
      <c r="D3463">
        <v>451642</v>
      </c>
      <c r="E3463">
        <v>350464</v>
      </c>
      <c r="F3463">
        <v>17.2</v>
      </c>
      <c r="G3463">
        <v>9.6</v>
      </c>
      <c r="H3463">
        <v>12.5</v>
      </c>
      <c r="I3463">
        <v>12</v>
      </c>
    </row>
    <row r="3464" spans="1:9" ht="24" customHeight="1">
      <c r="A3464" s="6" t="s">
        <v>1050</v>
      </c>
      <c r="B3464">
        <v>19452</v>
      </c>
      <c r="C3464">
        <v>565</v>
      </c>
      <c r="D3464">
        <v>803974</v>
      </c>
      <c r="E3464">
        <v>560875</v>
      </c>
      <c r="F3464">
        <v>4.0999999999999996</v>
      </c>
      <c r="G3464">
        <v>5.0999999999999996</v>
      </c>
      <c r="H3464">
        <v>25.1</v>
      </c>
      <c r="I3464">
        <v>19.899999999999999</v>
      </c>
    </row>
    <row r="3465" spans="1:9" ht="24" customHeight="1">
      <c r="A3465" s="6" t="s">
        <v>1051</v>
      </c>
      <c r="B3465">
        <v>35445</v>
      </c>
      <c r="C3465">
        <v>1376</v>
      </c>
      <c r="D3465">
        <v>737441</v>
      </c>
      <c r="E3465">
        <v>567831</v>
      </c>
      <c r="F3465">
        <v>5.2</v>
      </c>
      <c r="G3465">
        <v>2.1</v>
      </c>
      <c r="H3465">
        <v>22.3</v>
      </c>
      <c r="I3465">
        <v>22.4</v>
      </c>
    </row>
    <row r="3466" spans="1:9" ht="24" customHeight="1">
      <c r="A3466" s="6" t="s">
        <v>1052</v>
      </c>
      <c r="B3466">
        <v>23021</v>
      </c>
      <c r="C3466">
        <v>3606</v>
      </c>
      <c r="D3466">
        <v>562633</v>
      </c>
      <c r="E3466">
        <v>485995</v>
      </c>
      <c r="F3466">
        <v>18.5</v>
      </c>
      <c r="G3466">
        <v>10.4</v>
      </c>
      <c r="H3466">
        <v>19.2</v>
      </c>
      <c r="I3466">
        <v>19.100000000000001</v>
      </c>
    </row>
    <row r="3467" spans="1:9" ht="24" customHeight="1">
      <c r="A3467" s="6" t="s">
        <v>1053</v>
      </c>
      <c r="B3467">
        <v>19714</v>
      </c>
      <c r="C3467">
        <v>1276</v>
      </c>
      <c r="D3467">
        <v>561543</v>
      </c>
      <c r="E3467">
        <v>368994</v>
      </c>
      <c r="F3467">
        <v>20.7</v>
      </c>
      <c r="G3467">
        <v>7.8</v>
      </c>
      <c r="H3467">
        <v>20</v>
      </c>
      <c r="I3467">
        <v>17.100000000000001</v>
      </c>
    </row>
    <row r="3468" spans="1:9" ht="24" customHeight="1">
      <c r="A3468" s="6" t="s">
        <v>1054</v>
      </c>
      <c r="B3468">
        <v>14255</v>
      </c>
      <c r="C3468">
        <v>2013</v>
      </c>
      <c r="D3468">
        <v>580656</v>
      </c>
      <c r="E3468">
        <v>524501</v>
      </c>
      <c r="F3468">
        <v>14</v>
      </c>
      <c r="G3468">
        <v>8.9</v>
      </c>
      <c r="H3468">
        <v>20.3</v>
      </c>
      <c r="I3468">
        <v>18.600000000000001</v>
      </c>
    </row>
    <row r="3469" spans="1:9" ht="24" customHeight="1">
      <c r="A3469" s="6" t="s">
        <v>1055</v>
      </c>
      <c r="B3469">
        <v>262454</v>
      </c>
      <c r="C3469">
        <v>61929</v>
      </c>
      <c r="D3469">
        <v>443826</v>
      </c>
      <c r="E3469">
        <v>350510</v>
      </c>
      <c r="F3469">
        <v>17.399999999999999</v>
      </c>
      <c r="G3469">
        <v>8.8000000000000007</v>
      </c>
      <c r="H3469">
        <v>12.8</v>
      </c>
      <c r="I3469">
        <v>10.5</v>
      </c>
    </row>
    <row r="3470" spans="1:9" ht="24" customHeight="1">
      <c r="A3470" s="6" t="s">
        <v>1056</v>
      </c>
      <c r="B3470">
        <v>7274</v>
      </c>
      <c r="C3470">
        <v>197</v>
      </c>
      <c r="D3470">
        <v>834687</v>
      </c>
      <c r="E3470">
        <v>767911</v>
      </c>
      <c r="F3470">
        <v>1.5</v>
      </c>
      <c r="G3470">
        <v>0</v>
      </c>
      <c r="H3470">
        <v>24.9</v>
      </c>
      <c r="I3470">
        <v>25.9</v>
      </c>
    </row>
    <row r="3471" spans="1:9" ht="24" customHeight="1">
      <c r="A3471" s="6" t="s">
        <v>1057</v>
      </c>
      <c r="B3471">
        <v>13376</v>
      </c>
      <c r="C3471">
        <v>936</v>
      </c>
      <c r="D3471">
        <v>720617</v>
      </c>
      <c r="E3471">
        <v>650030</v>
      </c>
      <c r="F3471">
        <v>1.6</v>
      </c>
      <c r="G3471">
        <v>0.4</v>
      </c>
      <c r="H3471">
        <v>22.3</v>
      </c>
      <c r="I3471">
        <v>19.3</v>
      </c>
    </row>
    <row r="3472" spans="1:9" ht="24" customHeight="1">
      <c r="A3472" s="6" t="s">
        <v>1058</v>
      </c>
      <c r="B3472">
        <v>11271</v>
      </c>
      <c r="C3472">
        <v>1991</v>
      </c>
      <c r="D3472">
        <v>591430</v>
      </c>
      <c r="E3472">
        <v>506501</v>
      </c>
      <c r="F3472">
        <v>18.8</v>
      </c>
      <c r="G3472">
        <v>13.8</v>
      </c>
      <c r="H3472">
        <v>17.899999999999999</v>
      </c>
      <c r="I3472">
        <v>16.5</v>
      </c>
    </row>
    <row r="3473" spans="1:9" ht="24" customHeight="1">
      <c r="A3473" s="6" t="s">
        <v>1059</v>
      </c>
      <c r="B3473">
        <v>4180</v>
      </c>
      <c r="C3473">
        <v>576</v>
      </c>
      <c r="D3473">
        <v>492509</v>
      </c>
      <c r="E3473">
        <v>420635</v>
      </c>
      <c r="F3473">
        <v>13</v>
      </c>
      <c r="G3473">
        <v>13.9</v>
      </c>
      <c r="H3473">
        <v>18.100000000000001</v>
      </c>
      <c r="I3473">
        <v>20.7</v>
      </c>
    </row>
    <row r="3474" spans="1:9" ht="24" customHeight="1">
      <c r="A3474" s="6" t="s">
        <v>1060</v>
      </c>
      <c r="B3474">
        <v>7566</v>
      </c>
      <c r="C3474">
        <v>1191</v>
      </c>
      <c r="D3474">
        <v>721193</v>
      </c>
      <c r="E3474">
        <v>536471</v>
      </c>
      <c r="F3474">
        <v>11.6</v>
      </c>
      <c r="G3474">
        <v>7.3</v>
      </c>
      <c r="H3474">
        <v>20.9</v>
      </c>
      <c r="I3474">
        <v>24.2</v>
      </c>
    </row>
    <row r="3475" spans="1:9" ht="24" customHeight="1">
      <c r="A3475" s="6" t="s">
        <v>1061</v>
      </c>
      <c r="B3475">
        <v>82477</v>
      </c>
      <c r="C3475">
        <v>35020</v>
      </c>
      <c r="D3475">
        <v>459577</v>
      </c>
      <c r="E3475">
        <v>355440</v>
      </c>
      <c r="F3475">
        <v>15.5</v>
      </c>
      <c r="G3475">
        <v>8.6999999999999993</v>
      </c>
      <c r="H3475">
        <v>13.2</v>
      </c>
      <c r="I3475">
        <v>12.6</v>
      </c>
    </row>
    <row r="3476" spans="1:9" ht="24" customHeight="1">
      <c r="A3476" s="6" t="s">
        <v>1062</v>
      </c>
      <c r="B3476">
        <v>9364</v>
      </c>
      <c r="C3476">
        <v>353</v>
      </c>
      <c r="D3476">
        <v>888352</v>
      </c>
      <c r="E3476">
        <v>735914</v>
      </c>
      <c r="F3476">
        <v>3.5</v>
      </c>
      <c r="G3476">
        <v>5.9</v>
      </c>
      <c r="H3476">
        <v>26.6</v>
      </c>
      <c r="I3476">
        <v>21.2</v>
      </c>
    </row>
    <row r="3477" spans="1:9" ht="24" customHeight="1">
      <c r="A3477" s="6" t="s">
        <v>1063</v>
      </c>
      <c r="B3477">
        <v>19695</v>
      </c>
      <c r="C3477">
        <v>1076</v>
      </c>
      <c r="D3477">
        <v>744165</v>
      </c>
      <c r="E3477">
        <v>639667</v>
      </c>
      <c r="F3477">
        <v>3.8</v>
      </c>
      <c r="G3477">
        <v>2.6</v>
      </c>
      <c r="H3477">
        <v>24.3</v>
      </c>
      <c r="I3477">
        <v>20.2</v>
      </c>
    </row>
    <row r="3478" spans="1:9" ht="24" customHeight="1">
      <c r="A3478" s="6" t="s">
        <v>1064</v>
      </c>
      <c r="B3478">
        <v>23441</v>
      </c>
      <c r="C3478">
        <v>2705</v>
      </c>
      <c r="D3478">
        <v>644801</v>
      </c>
      <c r="E3478">
        <v>503614</v>
      </c>
      <c r="F3478">
        <v>18.3</v>
      </c>
      <c r="G3478">
        <v>12.2</v>
      </c>
      <c r="H3478">
        <v>21.3</v>
      </c>
      <c r="I3478">
        <v>21.6</v>
      </c>
    </row>
    <row r="3479" spans="1:9" ht="24" customHeight="1">
      <c r="A3479" s="6" t="s">
        <v>1065</v>
      </c>
      <c r="B3479">
        <v>12604</v>
      </c>
      <c r="C3479">
        <v>2178</v>
      </c>
      <c r="D3479">
        <v>498353</v>
      </c>
      <c r="E3479">
        <v>411304</v>
      </c>
      <c r="F3479">
        <v>18.5</v>
      </c>
      <c r="G3479">
        <v>17</v>
      </c>
      <c r="H3479">
        <v>20.7</v>
      </c>
      <c r="I3479">
        <v>20.8</v>
      </c>
    </row>
    <row r="3480" spans="1:9" ht="24" customHeight="1">
      <c r="A3480" s="6" t="s">
        <v>1066</v>
      </c>
      <c r="B3480">
        <v>14144</v>
      </c>
      <c r="C3480">
        <v>2955</v>
      </c>
      <c r="D3480">
        <v>648279</v>
      </c>
      <c r="E3480">
        <v>501672</v>
      </c>
      <c r="F3480">
        <v>8.6999999999999993</v>
      </c>
      <c r="G3480">
        <v>11.7</v>
      </c>
      <c r="H3480">
        <v>20.8</v>
      </c>
      <c r="I3480">
        <v>14.9</v>
      </c>
    </row>
    <row r="3481" spans="1:9" ht="24" customHeight="1">
      <c r="A3481" s="6" t="s">
        <v>1067</v>
      </c>
      <c r="B3481">
        <v>147555</v>
      </c>
      <c r="C3481">
        <v>59681</v>
      </c>
      <c r="D3481">
        <v>454909</v>
      </c>
      <c r="E3481">
        <v>333320</v>
      </c>
      <c r="F3481">
        <v>14.8</v>
      </c>
      <c r="G3481">
        <v>8.1</v>
      </c>
      <c r="H3481">
        <v>14</v>
      </c>
      <c r="I3481">
        <v>14.6</v>
      </c>
    </row>
    <row r="3482" spans="1:9" ht="24" customHeight="1">
      <c r="A3482" s="6" t="s">
        <v>1068</v>
      </c>
      <c r="B3482">
        <v>14904</v>
      </c>
      <c r="C3482">
        <v>313</v>
      </c>
      <c r="D3482">
        <v>851206</v>
      </c>
      <c r="E3482">
        <v>758146</v>
      </c>
      <c r="F3482">
        <v>2.4</v>
      </c>
      <c r="G3482">
        <v>2.8</v>
      </c>
      <c r="H3482">
        <v>26</v>
      </c>
      <c r="I3482">
        <v>26.7</v>
      </c>
    </row>
    <row r="3483" spans="1:9" ht="24" customHeight="1">
      <c r="A3483" s="6" t="s">
        <v>1069</v>
      </c>
      <c r="B3483">
        <v>26080</v>
      </c>
      <c r="C3483">
        <v>1063</v>
      </c>
      <c r="D3483">
        <v>769029</v>
      </c>
      <c r="E3483">
        <v>613187</v>
      </c>
      <c r="F3483">
        <v>1.1000000000000001</v>
      </c>
      <c r="G3483">
        <v>1.2</v>
      </c>
      <c r="H3483">
        <v>23.1</v>
      </c>
      <c r="I3483">
        <v>20.8</v>
      </c>
    </row>
    <row r="3484" spans="1:9" ht="24" customHeight="1">
      <c r="A3484" s="6" t="s">
        <v>1070</v>
      </c>
      <c r="B3484">
        <v>25851</v>
      </c>
      <c r="C3484">
        <v>2513</v>
      </c>
      <c r="D3484">
        <v>619863</v>
      </c>
      <c r="E3484">
        <v>482539</v>
      </c>
      <c r="F3484">
        <v>18.399999999999999</v>
      </c>
      <c r="G3484">
        <v>11.1</v>
      </c>
      <c r="H3484">
        <v>20.3</v>
      </c>
      <c r="I3484">
        <v>21.7</v>
      </c>
    </row>
    <row r="3485" spans="1:9" ht="24" customHeight="1">
      <c r="A3485" s="6" t="s">
        <v>1071</v>
      </c>
      <c r="B3485">
        <v>12084</v>
      </c>
      <c r="C3485">
        <v>1723</v>
      </c>
      <c r="D3485">
        <v>519597</v>
      </c>
      <c r="E3485">
        <v>395780</v>
      </c>
      <c r="F3485">
        <v>17.100000000000001</v>
      </c>
      <c r="G3485">
        <v>14.3</v>
      </c>
      <c r="H3485">
        <v>18.399999999999999</v>
      </c>
      <c r="I3485">
        <v>17.600000000000001</v>
      </c>
    </row>
    <row r="3486" spans="1:9" ht="24" customHeight="1">
      <c r="A3486" s="6" t="s">
        <v>1072</v>
      </c>
      <c r="B3486">
        <v>13062</v>
      </c>
      <c r="C3486">
        <v>1211</v>
      </c>
      <c r="D3486">
        <v>692853</v>
      </c>
      <c r="E3486">
        <v>487328</v>
      </c>
      <c r="F3486">
        <v>10.8</v>
      </c>
      <c r="G3486">
        <v>8.5</v>
      </c>
      <c r="H3486">
        <v>22.2</v>
      </c>
      <c r="I3486">
        <v>21.7</v>
      </c>
    </row>
    <row r="3487" spans="1:9" ht="24" customHeight="1">
      <c r="A3487" s="6" t="s">
        <v>1073</v>
      </c>
      <c r="B3487">
        <v>185907</v>
      </c>
      <c r="C3487">
        <v>81002</v>
      </c>
      <c r="D3487">
        <v>479405</v>
      </c>
      <c r="E3487">
        <v>339834</v>
      </c>
      <c r="F3487">
        <v>15.9</v>
      </c>
      <c r="G3487">
        <v>8.3000000000000007</v>
      </c>
      <c r="H3487">
        <v>13.6</v>
      </c>
      <c r="I3487">
        <v>13.8</v>
      </c>
    </row>
    <row r="3488" spans="1:9" ht="24" customHeight="1">
      <c r="A3488" s="6" t="s">
        <v>1074</v>
      </c>
      <c r="B3488">
        <v>4913</v>
      </c>
      <c r="C3488">
        <v>796</v>
      </c>
      <c r="D3488">
        <v>918162</v>
      </c>
      <c r="E3488">
        <v>1011414</v>
      </c>
      <c r="F3488">
        <v>4</v>
      </c>
      <c r="G3488">
        <v>9.5</v>
      </c>
      <c r="H3488">
        <v>26.6</v>
      </c>
      <c r="I3488">
        <v>22.9</v>
      </c>
    </row>
    <row r="3489" spans="1:9" ht="24" customHeight="1">
      <c r="A3489" s="6" t="s">
        <v>1075</v>
      </c>
      <c r="B3489">
        <v>10225</v>
      </c>
      <c r="C3489">
        <v>903</v>
      </c>
      <c r="D3489">
        <v>778599</v>
      </c>
      <c r="E3489">
        <v>538928</v>
      </c>
      <c r="F3489">
        <v>3.1</v>
      </c>
      <c r="G3489">
        <v>3.3</v>
      </c>
      <c r="H3489">
        <v>25.3</v>
      </c>
      <c r="I3489">
        <v>15.3</v>
      </c>
    </row>
    <row r="3490" spans="1:9" ht="24" customHeight="1">
      <c r="A3490" s="6" t="s">
        <v>1076</v>
      </c>
      <c r="B3490">
        <v>8339</v>
      </c>
      <c r="C3490">
        <v>737</v>
      </c>
      <c r="D3490">
        <v>671163</v>
      </c>
      <c r="E3490">
        <v>568212</v>
      </c>
      <c r="F3490">
        <v>19.3</v>
      </c>
      <c r="G3490">
        <v>11.8</v>
      </c>
      <c r="H3490">
        <v>21.7</v>
      </c>
      <c r="I3490">
        <v>18.899999999999999</v>
      </c>
    </row>
    <row r="3491" spans="1:9" ht="24" customHeight="1">
      <c r="A3491" s="6" t="s">
        <v>1077</v>
      </c>
      <c r="B3491">
        <v>2758</v>
      </c>
      <c r="C3491">
        <v>356</v>
      </c>
      <c r="D3491">
        <v>534775</v>
      </c>
      <c r="E3491">
        <v>362683</v>
      </c>
      <c r="F3491">
        <v>20.7</v>
      </c>
      <c r="G3491">
        <v>16.600000000000001</v>
      </c>
      <c r="H3491">
        <v>21.4</v>
      </c>
      <c r="I3491">
        <v>15.5</v>
      </c>
    </row>
    <row r="3492" spans="1:9" ht="24" customHeight="1">
      <c r="A3492" s="6" t="s">
        <v>1078</v>
      </c>
      <c r="B3492">
        <v>4342</v>
      </c>
      <c r="C3492">
        <v>451</v>
      </c>
      <c r="D3492">
        <v>776949</v>
      </c>
      <c r="E3492">
        <v>544891</v>
      </c>
      <c r="F3492">
        <v>11.2</v>
      </c>
      <c r="G3492">
        <v>5.7</v>
      </c>
      <c r="H3492">
        <v>24.8</v>
      </c>
      <c r="I3492">
        <v>22</v>
      </c>
    </row>
    <row r="3493" spans="1:9" ht="24" customHeight="1">
      <c r="A3493" s="6" t="s">
        <v>1079</v>
      </c>
      <c r="B3493">
        <v>57787</v>
      </c>
      <c r="C3493">
        <v>21764</v>
      </c>
      <c r="D3493">
        <v>486866</v>
      </c>
      <c r="E3493">
        <v>358334</v>
      </c>
      <c r="F3493">
        <v>16.2</v>
      </c>
      <c r="G3493">
        <v>8.6999999999999993</v>
      </c>
      <c r="H3493">
        <v>14.8</v>
      </c>
      <c r="I3493">
        <v>15.6</v>
      </c>
    </row>
    <row r="3494" spans="1:9" ht="24" customHeight="1">
      <c r="A3494" s="6" t="s">
        <v>1080</v>
      </c>
      <c r="B3494">
        <v>20845</v>
      </c>
      <c r="C3494">
        <v>155</v>
      </c>
      <c r="D3494">
        <v>924571</v>
      </c>
      <c r="E3494">
        <v>1176346</v>
      </c>
      <c r="F3494">
        <v>0.7</v>
      </c>
      <c r="G3494">
        <v>0</v>
      </c>
      <c r="H3494">
        <v>26.9</v>
      </c>
      <c r="I3494">
        <v>19.8</v>
      </c>
    </row>
    <row r="3495" spans="1:9" ht="24" customHeight="1">
      <c r="A3495" s="6" t="s">
        <v>1081</v>
      </c>
      <c r="B3495">
        <v>40294</v>
      </c>
      <c r="C3495">
        <v>2188</v>
      </c>
      <c r="D3495">
        <v>761759</v>
      </c>
      <c r="E3495">
        <v>697245</v>
      </c>
      <c r="F3495">
        <v>1.7</v>
      </c>
      <c r="G3495">
        <v>0.9</v>
      </c>
      <c r="H3495">
        <v>23.9</v>
      </c>
      <c r="I3495">
        <v>19.3</v>
      </c>
    </row>
    <row r="3496" spans="1:9" ht="24" customHeight="1">
      <c r="A3496" s="6" t="s">
        <v>1082</v>
      </c>
      <c r="B3496">
        <v>39439</v>
      </c>
      <c r="C3496">
        <v>3161</v>
      </c>
      <c r="D3496">
        <v>614471</v>
      </c>
      <c r="E3496">
        <v>519718</v>
      </c>
      <c r="F3496">
        <v>24.3</v>
      </c>
      <c r="G3496">
        <v>20.8</v>
      </c>
      <c r="H3496">
        <v>20.5</v>
      </c>
      <c r="I3496">
        <v>16.600000000000001</v>
      </c>
    </row>
    <row r="3497" spans="1:9" ht="24" customHeight="1">
      <c r="A3497" s="6" t="s">
        <v>1083</v>
      </c>
      <c r="B3497">
        <v>57127</v>
      </c>
      <c r="C3497">
        <v>2501</v>
      </c>
      <c r="D3497">
        <v>584167</v>
      </c>
      <c r="E3497">
        <v>394659</v>
      </c>
      <c r="F3497">
        <v>27.3</v>
      </c>
      <c r="G3497">
        <v>12.1</v>
      </c>
      <c r="H3497">
        <v>19.7</v>
      </c>
      <c r="I3497">
        <v>17.7</v>
      </c>
    </row>
    <row r="3498" spans="1:9" ht="24" customHeight="1">
      <c r="A3498" s="6" t="s">
        <v>1084</v>
      </c>
      <c r="B3498">
        <v>24284</v>
      </c>
      <c r="C3498">
        <v>1261</v>
      </c>
      <c r="D3498">
        <v>678389</v>
      </c>
      <c r="E3498">
        <v>487528</v>
      </c>
      <c r="F3498">
        <v>15.7</v>
      </c>
      <c r="G3498">
        <v>5.8</v>
      </c>
      <c r="H3498">
        <v>22.5</v>
      </c>
      <c r="I3498">
        <v>15</v>
      </c>
    </row>
    <row r="3499" spans="1:9" ht="24" customHeight="1">
      <c r="A3499" s="6" t="s">
        <v>1085</v>
      </c>
      <c r="B3499">
        <v>427682</v>
      </c>
      <c r="C3499">
        <v>104375</v>
      </c>
      <c r="D3499">
        <v>454238</v>
      </c>
      <c r="E3499">
        <v>335803</v>
      </c>
      <c r="F3499">
        <v>20.399999999999999</v>
      </c>
      <c r="G3499">
        <v>7.9</v>
      </c>
      <c r="H3499">
        <v>14.1</v>
      </c>
      <c r="I3499">
        <v>11</v>
      </c>
    </row>
    <row r="3500" spans="1:9" ht="24" customHeight="1">
      <c r="A3500" s="6" t="s">
        <v>1086</v>
      </c>
      <c r="B3500">
        <v>4577</v>
      </c>
      <c r="C3500">
        <v>325</v>
      </c>
      <c r="D3500">
        <v>770543</v>
      </c>
      <c r="E3500">
        <v>470873</v>
      </c>
      <c r="F3500">
        <v>1.5</v>
      </c>
      <c r="G3500">
        <v>21.6</v>
      </c>
      <c r="H3500">
        <v>23.2</v>
      </c>
      <c r="I3500">
        <v>11.9</v>
      </c>
    </row>
    <row r="3501" spans="1:9" ht="24" customHeight="1">
      <c r="A3501" s="6" t="s">
        <v>1087</v>
      </c>
      <c r="B3501">
        <v>6950</v>
      </c>
      <c r="C3501">
        <v>1005</v>
      </c>
      <c r="D3501">
        <v>634675</v>
      </c>
      <c r="E3501">
        <v>450943</v>
      </c>
      <c r="F3501">
        <v>2.7</v>
      </c>
      <c r="G3501">
        <v>1.9</v>
      </c>
      <c r="H3501">
        <v>22</v>
      </c>
      <c r="I3501">
        <v>12.6</v>
      </c>
    </row>
    <row r="3502" spans="1:9" ht="24" customHeight="1">
      <c r="A3502" s="6" t="s">
        <v>1088</v>
      </c>
      <c r="B3502">
        <v>6541</v>
      </c>
      <c r="C3502">
        <v>1206</v>
      </c>
      <c r="D3502">
        <v>554235</v>
      </c>
      <c r="E3502">
        <v>493857</v>
      </c>
      <c r="F3502">
        <v>14.2</v>
      </c>
      <c r="G3502">
        <v>8.6</v>
      </c>
      <c r="H3502">
        <v>20.100000000000001</v>
      </c>
      <c r="I3502">
        <v>18</v>
      </c>
    </row>
    <row r="3503" spans="1:9" ht="24" customHeight="1">
      <c r="A3503" s="6" t="s">
        <v>1089</v>
      </c>
      <c r="B3503">
        <v>3092</v>
      </c>
      <c r="C3503">
        <v>610</v>
      </c>
      <c r="D3503">
        <v>556781</v>
      </c>
      <c r="E3503">
        <v>427920</v>
      </c>
      <c r="F3503">
        <v>21.6</v>
      </c>
      <c r="G3503">
        <v>13.2</v>
      </c>
      <c r="H3503">
        <v>20.8</v>
      </c>
      <c r="I3503">
        <v>16.600000000000001</v>
      </c>
    </row>
    <row r="3504" spans="1:9" ht="24" customHeight="1">
      <c r="A3504" s="6" t="s">
        <v>1090</v>
      </c>
      <c r="B3504">
        <v>3290</v>
      </c>
      <c r="C3504">
        <v>913</v>
      </c>
      <c r="D3504">
        <v>623607</v>
      </c>
      <c r="E3504">
        <v>385363</v>
      </c>
      <c r="F3504">
        <v>9.6</v>
      </c>
      <c r="G3504">
        <v>4.5999999999999996</v>
      </c>
      <c r="H3504">
        <v>22.1</v>
      </c>
      <c r="I3504">
        <v>17.399999999999999</v>
      </c>
    </row>
    <row r="3505" spans="1:9" ht="24" customHeight="1">
      <c r="A3505" s="6" t="s">
        <v>1091</v>
      </c>
      <c r="B3505">
        <v>52150</v>
      </c>
      <c r="C3505">
        <v>27402</v>
      </c>
      <c r="D3505">
        <v>419449</v>
      </c>
      <c r="E3505">
        <v>326705</v>
      </c>
      <c r="F3505">
        <v>13.4</v>
      </c>
      <c r="G3505">
        <v>8.1</v>
      </c>
      <c r="H3505">
        <v>12.5</v>
      </c>
      <c r="I3505">
        <v>11.2</v>
      </c>
    </row>
    <row r="3506" spans="1:9" ht="24" customHeight="1">
      <c r="A3506" s="6" t="s">
        <v>1092</v>
      </c>
      <c r="B3506">
        <v>363</v>
      </c>
      <c r="C3506">
        <v>21</v>
      </c>
      <c r="D3506">
        <v>933766</v>
      </c>
      <c r="E3506">
        <v>1122346</v>
      </c>
      <c r="F3506">
        <v>1.7</v>
      </c>
      <c r="G3506">
        <v>1.4</v>
      </c>
      <c r="H3506">
        <v>22.1</v>
      </c>
      <c r="I3506">
        <v>28</v>
      </c>
    </row>
    <row r="3507" spans="1:9" ht="24" customHeight="1">
      <c r="A3507" s="6" t="s">
        <v>1093</v>
      </c>
      <c r="B3507">
        <v>601</v>
      </c>
      <c r="C3507">
        <v>29</v>
      </c>
      <c r="D3507">
        <v>896654</v>
      </c>
      <c r="E3507">
        <v>919811</v>
      </c>
      <c r="F3507">
        <v>4.3</v>
      </c>
      <c r="G3507">
        <v>0.9</v>
      </c>
      <c r="H3507">
        <v>22.2</v>
      </c>
      <c r="I3507">
        <v>15.4</v>
      </c>
    </row>
    <row r="3508" spans="1:9" ht="24" customHeight="1">
      <c r="A3508" s="6" t="s">
        <v>1094</v>
      </c>
      <c r="B3508">
        <v>239</v>
      </c>
      <c r="C3508">
        <v>61</v>
      </c>
      <c r="D3508">
        <v>583530</v>
      </c>
      <c r="E3508">
        <v>462937</v>
      </c>
      <c r="F3508">
        <v>10.9</v>
      </c>
      <c r="G3508">
        <v>3.1</v>
      </c>
      <c r="H3508">
        <v>19.2</v>
      </c>
      <c r="I3508">
        <v>20</v>
      </c>
    </row>
    <row r="3509" spans="1:9" ht="24" customHeight="1">
      <c r="A3509" s="6" t="s">
        <v>1095</v>
      </c>
      <c r="B3509">
        <v>515</v>
      </c>
      <c r="C3509">
        <v>0</v>
      </c>
      <c r="D3509">
        <v>510428</v>
      </c>
      <c r="E3509"/>
      <c r="F3509">
        <v>17.600000000000001</v>
      </c>
      <c r="G3509"/>
      <c r="H3509">
        <v>19.100000000000001</v>
      </c>
      <c r="I3509"/>
    </row>
    <row r="3510" spans="1:9" ht="24" customHeight="1">
      <c r="A3510" s="6" t="s">
        <v>1096</v>
      </c>
      <c r="B3510">
        <v>524</v>
      </c>
      <c r="C3510">
        <v>39</v>
      </c>
      <c r="D3510">
        <v>950940</v>
      </c>
      <c r="E3510">
        <v>905230</v>
      </c>
      <c r="F3510">
        <v>2.1</v>
      </c>
      <c r="G3510">
        <v>0.9</v>
      </c>
      <c r="H3510">
        <v>19.3</v>
      </c>
      <c r="I3510">
        <v>13.7</v>
      </c>
    </row>
    <row r="3511" spans="1:9" ht="24" customHeight="1">
      <c r="A3511" s="6" t="s">
        <v>1097</v>
      </c>
      <c r="B3511">
        <v>6320</v>
      </c>
      <c r="C3511">
        <v>1429</v>
      </c>
      <c r="D3511">
        <v>452608</v>
      </c>
      <c r="E3511">
        <v>401433</v>
      </c>
      <c r="F3511">
        <v>14.6</v>
      </c>
      <c r="G3511">
        <v>8.3000000000000007</v>
      </c>
      <c r="H3511">
        <v>11.6</v>
      </c>
      <c r="I3511">
        <v>9.4</v>
      </c>
    </row>
    <row r="3512" spans="1:9" ht="24" customHeight="1">
      <c r="A3512" s="6" t="s">
        <v>1098</v>
      </c>
      <c r="B3512">
        <v>107595</v>
      </c>
      <c r="C3512">
        <v>6232</v>
      </c>
      <c r="D3512">
        <v>740804</v>
      </c>
      <c r="E3512">
        <v>520732</v>
      </c>
      <c r="F3512">
        <v>4.7</v>
      </c>
      <c r="G3512">
        <v>2.9</v>
      </c>
      <c r="H3512">
        <v>24.2</v>
      </c>
      <c r="I3512">
        <v>19.8</v>
      </c>
    </row>
    <row r="3513" spans="1:9" ht="24" customHeight="1">
      <c r="A3513" s="6" t="s">
        <v>1099</v>
      </c>
      <c r="B3513">
        <v>157109</v>
      </c>
      <c r="C3513">
        <v>8175</v>
      </c>
      <c r="D3513">
        <v>690501</v>
      </c>
      <c r="E3513">
        <v>548915</v>
      </c>
      <c r="F3513">
        <v>6.8</v>
      </c>
      <c r="G3513">
        <v>4.9000000000000004</v>
      </c>
      <c r="H3513">
        <v>20</v>
      </c>
      <c r="I3513">
        <v>20.100000000000001</v>
      </c>
    </row>
    <row r="3514" spans="1:9" ht="24" customHeight="1">
      <c r="A3514" s="6" t="s">
        <v>1100</v>
      </c>
      <c r="B3514">
        <v>84159</v>
      </c>
      <c r="C3514">
        <v>19165</v>
      </c>
      <c r="D3514">
        <v>567212</v>
      </c>
      <c r="E3514">
        <v>452347</v>
      </c>
      <c r="F3514">
        <v>19.899999999999999</v>
      </c>
      <c r="G3514">
        <v>13</v>
      </c>
      <c r="H3514">
        <v>16.7</v>
      </c>
      <c r="I3514">
        <v>16.399999999999999</v>
      </c>
    </row>
    <row r="3515" spans="1:9" ht="24" customHeight="1">
      <c r="A3515" s="6" t="s">
        <v>1101</v>
      </c>
      <c r="B3515">
        <v>131806</v>
      </c>
      <c r="C3515">
        <v>3930</v>
      </c>
      <c r="D3515">
        <v>499548</v>
      </c>
      <c r="E3515">
        <v>370034</v>
      </c>
      <c r="F3515">
        <v>13.1</v>
      </c>
      <c r="G3515">
        <v>4.4000000000000004</v>
      </c>
      <c r="H3515">
        <v>15.6</v>
      </c>
      <c r="I3515">
        <v>11.4</v>
      </c>
    </row>
    <row r="3516" spans="1:9" ht="24" customHeight="1">
      <c r="A3516" s="6" t="s">
        <v>1102</v>
      </c>
      <c r="B3516">
        <v>66190</v>
      </c>
      <c r="C3516">
        <v>7244</v>
      </c>
      <c r="D3516">
        <v>628413</v>
      </c>
      <c r="E3516">
        <v>449919</v>
      </c>
      <c r="F3516">
        <v>12.7</v>
      </c>
      <c r="G3516">
        <v>11.1</v>
      </c>
      <c r="H3516">
        <v>18.7</v>
      </c>
      <c r="I3516">
        <v>15.9</v>
      </c>
    </row>
    <row r="3517" spans="1:9" ht="24" customHeight="1">
      <c r="A3517" s="6" t="s">
        <v>1103</v>
      </c>
      <c r="B3517">
        <v>831966</v>
      </c>
      <c r="C3517">
        <v>219881</v>
      </c>
      <c r="D3517">
        <v>429145</v>
      </c>
      <c r="E3517">
        <v>337159</v>
      </c>
      <c r="F3517">
        <v>16.100000000000001</v>
      </c>
      <c r="G3517">
        <v>8.6</v>
      </c>
      <c r="H3517">
        <v>10.199999999999999</v>
      </c>
      <c r="I3517">
        <v>9.1</v>
      </c>
    </row>
    <row r="3518" spans="1:9" ht="24" customHeight="1">
      <c r="A3518" s="6" t="s">
        <v>1104</v>
      </c>
      <c r="B3518">
        <v>193036</v>
      </c>
      <c r="C3518">
        <v>6924</v>
      </c>
      <c r="D3518">
        <v>801810</v>
      </c>
      <c r="E3518">
        <v>706192</v>
      </c>
      <c r="F3518">
        <v>2.2999999999999998</v>
      </c>
      <c r="G3518">
        <v>6.5</v>
      </c>
      <c r="H3518">
        <v>24.9</v>
      </c>
      <c r="I3518">
        <v>20.5</v>
      </c>
    </row>
    <row r="3519" spans="1:9" ht="24" customHeight="1">
      <c r="A3519" s="6" t="s">
        <v>1105</v>
      </c>
      <c r="B3519">
        <v>362124</v>
      </c>
      <c r="C3519">
        <v>24685</v>
      </c>
      <c r="D3519">
        <v>686269</v>
      </c>
      <c r="E3519">
        <v>582828</v>
      </c>
      <c r="F3519">
        <v>3.6</v>
      </c>
      <c r="G3519">
        <v>2.1</v>
      </c>
      <c r="H3519">
        <v>22.5</v>
      </c>
      <c r="I3519">
        <v>19.600000000000001</v>
      </c>
    </row>
    <row r="3520" spans="1:9" ht="24" customHeight="1">
      <c r="A3520" s="6" t="s">
        <v>1106</v>
      </c>
      <c r="B3520">
        <v>315556</v>
      </c>
      <c r="C3520">
        <v>44816</v>
      </c>
      <c r="D3520">
        <v>566126</v>
      </c>
      <c r="E3520">
        <v>457624</v>
      </c>
      <c r="F3520">
        <v>19.899999999999999</v>
      </c>
      <c r="G3520">
        <v>12.1</v>
      </c>
      <c r="H3520">
        <v>19.600000000000001</v>
      </c>
      <c r="I3520">
        <v>18.899999999999999</v>
      </c>
    </row>
    <row r="3521" spans="1:9" ht="24" customHeight="1">
      <c r="A3521" s="6" t="s">
        <v>1107</v>
      </c>
      <c r="B3521">
        <v>286336</v>
      </c>
      <c r="C3521">
        <v>36433</v>
      </c>
      <c r="D3521">
        <v>527396</v>
      </c>
      <c r="E3521">
        <v>363663</v>
      </c>
      <c r="F3521">
        <v>22.4</v>
      </c>
      <c r="G3521">
        <v>13.6</v>
      </c>
      <c r="H3521">
        <v>18.8</v>
      </c>
      <c r="I3521">
        <v>15</v>
      </c>
    </row>
    <row r="3522" spans="1:9" ht="24" customHeight="1">
      <c r="A3522" s="6" t="s">
        <v>1108</v>
      </c>
      <c r="B3522">
        <v>209218</v>
      </c>
      <c r="C3522">
        <v>29961</v>
      </c>
      <c r="D3522">
        <v>643164</v>
      </c>
      <c r="E3522">
        <v>456519</v>
      </c>
      <c r="F3522">
        <v>10.7</v>
      </c>
      <c r="G3522">
        <v>9.6</v>
      </c>
      <c r="H3522">
        <v>21.1</v>
      </c>
      <c r="I3522">
        <v>18.5</v>
      </c>
    </row>
    <row r="3523" spans="1:9" ht="24" customHeight="1">
      <c r="A3523" s="6" t="s">
        <v>1109</v>
      </c>
      <c r="B3523">
        <v>2817720</v>
      </c>
      <c r="C3523">
        <v>1048129</v>
      </c>
      <c r="D3523">
        <v>431114</v>
      </c>
      <c r="E3523">
        <v>317564</v>
      </c>
      <c r="F3523">
        <v>16.7</v>
      </c>
      <c r="G3523">
        <v>8.9</v>
      </c>
      <c r="H3523">
        <v>12.9</v>
      </c>
      <c r="I3523">
        <v>11.3</v>
      </c>
    </row>
    <row r="3524" spans="1:9" ht="24" customHeight="1">
      <c r="A3524" s="6" t="s">
        <v>1110</v>
      </c>
      <c r="B3524">
        <v>1829</v>
      </c>
      <c r="C3524">
        <v>64</v>
      </c>
      <c r="D3524">
        <v>1027355</v>
      </c>
      <c r="E3524">
        <v>995558</v>
      </c>
      <c r="F3524">
        <v>1.1000000000000001</v>
      </c>
      <c r="G3524">
        <v>0</v>
      </c>
      <c r="H3524">
        <v>26.9</v>
      </c>
      <c r="I3524">
        <v>14.7</v>
      </c>
    </row>
    <row r="3525" spans="1:9" ht="24" customHeight="1">
      <c r="A3525" s="6" t="s">
        <v>1111</v>
      </c>
      <c r="B3525">
        <v>8836</v>
      </c>
      <c r="C3525">
        <v>460</v>
      </c>
      <c r="D3525">
        <v>816735</v>
      </c>
      <c r="E3525">
        <v>764912</v>
      </c>
      <c r="F3525">
        <v>3.7</v>
      </c>
      <c r="G3525">
        <v>5.8</v>
      </c>
      <c r="H3525">
        <v>28.3</v>
      </c>
      <c r="I3525">
        <v>22.9</v>
      </c>
    </row>
    <row r="3526" spans="1:9" ht="24" customHeight="1">
      <c r="A3526" s="6" t="s">
        <v>1112</v>
      </c>
      <c r="B3526">
        <v>13546</v>
      </c>
      <c r="C3526">
        <v>1017</v>
      </c>
      <c r="D3526">
        <v>777363</v>
      </c>
      <c r="E3526">
        <v>683177</v>
      </c>
      <c r="F3526">
        <v>18.7</v>
      </c>
      <c r="G3526">
        <v>15</v>
      </c>
      <c r="H3526">
        <v>26</v>
      </c>
      <c r="I3526">
        <v>24.3</v>
      </c>
    </row>
    <row r="3527" spans="1:9" ht="24" customHeight="1">
      <c r="A3527" s="6" t="s">
        <v>1113</v>
      </c>
      <c r="B3527">
        <v>9135</v>
      </c>
      <c r="C3527">
        <v>525</v>
      </c>
      <c r="D3527">
        <v>785640</v>
      </c>
      <c r="E3527">
        <v>664275</v>
      </c>
      <c r="F3527">
        <v>11.8</v>
      </c>
      <c r="G3527">
        <v>12.2</v>
      </c>
      <c r="H3527">
        <v>25.5</v>
      </c>
      <c r="I3527">
        <v>23.7</v>
      </c>
    </row>
    <row r="3528" spans="1:9" ht="24" customHeight="1">
      <c r="A3528" s="6" t="s">
        <v>1114</v>
      </c>
      <c r="B3528">
        <v>77676</v>
      </c>
      <c r="C3528">
        <v>15464</v>
      </c>
      <c r="D3528">
        <v>542228</v>
      </c>
      <c r="E3528">
        <v>473295</v>
      </c>
      <c r="F3528">
        <v>17.5</v>
      </c>
      <c r="G3528">
        <v>12.5</v>
      </c>
      <c r="H3528">
        <v>16.399999999999999</v>
      </c>
      <c r="I3528">
        <v>16.100000000000001</v>
      </c>
    </row>
    <row r="3529" spans="1:9" ht="24" customHeight="1">
      <c r="A3529" s="6" t="s">
        <v>1115</v>
      </c>
      <c r="B3529">
        <v>70566</v>
      </c>
      <c r="C3529">
        <v>6065</v>
      </c>
      <c r="D3529">
        <v>875166</v>
      </c>
      <c r="E3529">
        <v>877373</v>
      </c>
      <c r="F3529">
        <v>0.8</v>
      </c>
      <c r="G3529">
        <v>2.2000000000000002</v>
      </c>
      <c r="H3529">
        <v>19.7</v>
      </c>
      <c r="I3529">
        <v>15.6</v>
      </c>
    </row>
    <row r="3530" spans="1:9" ht="24" customHeight="1">
      <c r="A3530" s="6" t="s">
        <v>1116</v>
      </c>
      <c r="B3530">
        <v>115186</v>
      </c>
      <c r="C3530">
        <v>19792</v>
      </c>
      <c r="D3530">
        <v>710392</v>
      </c>
      <c r="E3530">
        <v>677090</v>
      </c>
      <c r="F3530">
        <v>3.3</v>
      </c>
      <c r="G3530">
        <v>4.0999999999999996</v>
      </c>
      <c r="H3530">
        <v>19.600000000000001</v>
      </c>
      <c r="I3530">
        <v>20.100000000000001</v>
      </c>
    </row>
    <row r="3531" spans="1:9" ht="24" customHeight="1">
      <c r="A3531" s="6" t="s">
        <v>1117</v>
      </c>
      <c r="B3531">
        <v>85366</v>
      </c>
      <c r="C3531">
        <v>27238</v>
      </c>
      <c r="D3531">
        <v>571064</v>
      </c>
      <c r="E3531">
        <v>500146</v>
      </c>
      <c r="F3531">
        <v>16.3</v>
      </c>
      <c r="G3531">
        <v>10.5</v>
      </c>
      <c r="H3531">
        <v>15.6</v>
      </c>
      <c r="I3531">
        <v>13.5</v>
      </c>
    </row>
    <row r="3532" spans="1:9" ht="24" customHeight="1">
      <c r="A3532" s="6" t="s">
        <v>1118</v>
      </c>
      <c r="B3532">
        <v>49850</v>
      </c>
      <c r="C3532">
        <v>12892</v>
      </c>
      <c r="D3532">
        <v>661823</v>
      </c>
      <c r="E3532">
        <v>539242</v>
      </c>
      <c r="F3532">
        <v>10.4</v>
      </c>
      <c r="G3532">
        <v>7.1</v>
      </c>
      <c r="H3532">
        <v>18.5</v>
      </c>
      <c r="I3532">
        <v>18.100000000000001</v>
      </c>
    </row>
    <row r="3533" spans="1:9" ht="24" customHeight="1">
      <c r="A3533" s="6" t="s">
        <v>1119</v>
      </c>
      <c r="B3533">
        <v>617937</v>
      </c>
      <c r="C3533">
        <v>309943</v>
      </c>
      <c r="D3533">
        <v>475938</v>
      </c>
      <c r="E3533">
        <v>390061</v>
      </c>
      <c r="F3533">
        <v>12.7</v>
      </c>
      <c r="G3533">
        <v>9.8000000000000007</v>
      </c>
      <c r="H3533">
        <v>10.1</v>
      </c>
      <c r="I3533">
        <v>7.5</v>
      </c>
    </row>
    <row r="3534" spans="1:9" ht="24" customHeight="1">
      <c r="A3534" s="6" t="s">
        <v>1120</v>
      </c>
      <c r="B3534">
        <v>34682</v>
      </c>
      <c r="C3534">
        <v>2082</v>
      </c>
      <c r="D3534">
        <v>673607</v>
      </c>
      <c r="E3534">
        <v>495506</v>
      </c>
      <c r="F3534">
        <v>4.2</v>
      </c>
      <c r="G3534">
        <v>9.5</v>
      </c>
      <c r="H3534">
        <v>21.6</v>
      </c>
      <c r="I3534">
        <v>17.3</v>
      </c>
    </row>
    <row r="3535" spans="1:9" ht="24" customHeight="1">
      <c r="A3535" s="6" t="s">
        <v>1121</v>
      </c>
      <c r="B3535">
        <v>81654</v>
      </c>
      <c r="C3535">
        <v>5965</v>
      </c>
      <c r="D3535">
        <v>605791</v>
      </c>
      <c r="E3535">
        <v>566376</v>
      </c>
      <c r="F3535">
        <v>6.3</v>
      </c>
      <c r="G3535">
        <v>5.7</v>
      </c>
      <c r="H3535">
        <v>21.9</v>
      </c>
      <c r="I3535">
        <v>22.9</v>
      </c>
    </row>
    <row r="3536" spans="1:9" ht="24" customHeight="1">
      <c r="A3536" s="6" t="s">
        <v>1122</v>
      </c>
      <c r="B3536">
        <v>65894</v>
      </c>
      <c r="C3536">
        <v>10967</v>
      </c>
      <c r="D3536">
        <v>528171</v>
      </c>
      <c r="E3536">
        <v>454769</v>
      </c>
      <c r="F3536">
        <v>26.7</v>
      </c>
      <c r="G3536">
        <v>15.8</v>
      </c>
      <c r="H3536">
        <v>18.5</v>
      </c>
      <c r="I3536">
        <v>17.100000000000001</v>
      </c>
    </row>
    <row r="3537" spans="1:9" ht="24" customHeight="1">
      <c r="A3537" s="6" t="s">
        <v>1123</v>
      </c>
      <c r="B3537">
        <v>73619</v>
      </c>
      <c r="C3537">
        <v>12225</v>
      </c>
      <c r="D3537">
        <v>529987</v>
      </c>
      <c r="E3537">
        <v>419252</v>
      </c>
      <c r="F3537">
        <v>18.7</v>
      </c>
      <c r="G3537">
        <v>12.8</v>
      </c>
      <c r="H3537">
        <v>18.8</v>
      </c>
      <c r="I3537">
        <v>15.4</v>
      </c>
    </row>
    <row r="3538" spans="1:9" ht="24" customHeight="1">
      <c r="A3538" s="6" t="s">
        <v>1124</v>
      </c>
      <c r="B3538">
        <v>1418269</v>
      </c>
      <c r="C3538">
        <v>229897</v>
      </c>
      <c r="D3538">
        <v>406532</v>
      </c>
      <c r="E3538">
        <v>322595</v>
      </c>
      <c r="F3538">
        <v>30</v>
      </c>
      <c r="G3538">
        <v>14.2</v>
      </c>
      <c r="H3538">
        <v>11.9</v>
      </c>
      <c r="I3538">
        <v>9</v>
      </c>
    </row>
    <row r="3539" spans="1:9" ht="24" customHeight="1">
      <c r="A3539" s="6" t="s">
        <v>1125</v>
      </c>
      <c r="B3539">
        <v>173961</v>
      </c>
      <c r="C3539">
        <v>16131</v>
      </c>
      <c r="D3539">
        <v>748845</v>
      </c>
      <c r="E3539">
        <v>660338</v>
      </c>
      <c r="F3539">
        <v>1.6</v>
      </c>
      <c r="G3539">
        <v>0.7</v>
      </c>
      <c r="H3539">
        <v>23.6</v>
      </c>
      <c r="I3539">
        <v>18.100000000000001</v>
      </c>
    </row>
    <row r="3540" spans="1:9" ht="24" customHeight="1">
      <c r="A3540" s="6" t="s">
        <v>1126</v>
      </c>
      <c r="B3540">
        <v>368086</v>
      </c>
      <c r="C3540">
        <v>39122</v>
      </c>
      <c r="D3540">
        <v>647991</v>
      </c>
      <c r="E3540">
        <v>589332</v>
      </c>
      <c r="F3540">
        <v>2.4</v>
      </c>
      <c r="G3540">
        <v>2.7</v>
      </c>
      <c r="H3540">
        <v>21</v>
      </c>
      <c r="I3540">
        <v>18.399999999999999</v>
      </c>
    </row>
    <row r="3541" spans="1:9" ht="24" customHeight="1">
      <c r="A3541" s="6" t="s">
        <v>1127</v>
      </c>
      <c r="B3541">
        <v>289804</v>
      </c>
      <c r="C3541">
        <v>91567</v>
      </c>
      <c r="D3541">
        <v>515217</v>
      </c>
      <c r="E3541">
        <v>418406</v>
      </c>
      <c r="F3541">
        <v>15.9</v>
      </c>
      <c r="G3541">
        <v>10.5</v>
      </c>
      <c r="H3541">
        <v>17.5</v>
      </c>
      <c r="I3541">
        <v>16</v>
      </c>
    </row>
    <row r="3542" spans="1:9" ht="24" customHeight="1">
      <c r="A3542" s="6" t="s">
        <v>1128</v>
      </c>
      <c r="B3542">
        <v>343530</v>
      </c>
      <c r="C3542">
        <v>79190</v>
      </c>
      <c r="D3542">
        <v>534102</v>
      </c>
      <c r="E3542">
        <v>422264</v>
      </c>
      <c r="F3542">
        <v>10.4</v>
      </c>
      <c r="G3542">
        <v>10.8</v>
      </c>
      <c r="H3542">
        <v>16.8</v>
      </c>
      <c r="I3542">
        <v>15</v>
      </c>
    </row>
    <row r="3543" spans="1:9" ht="24" customHeight="1">
      <c r="A3543" s="6" t="s">
        <v>1129</v>
      </c>
      <c r="B3543">
        <v>1789401</v>
      </c>
      <c r="C3543">
        <v>1085215</v>
      </c>
      <c r="D3543">
        <v>419433</v>
      </c>
      <c r="E3543">
        <v>333466</v>
      </c>
      <c r="F3543">
        <v>12.9</v>
      </c>
      <c r="G3543">
        <v>7.7</v>
      </c>
      <c r="H3543">
        <v>10.6</v>
      </c>
      <c r="I3543">
        <v>8.8000000000000007</v>
      </c>
    </row>
    <row r="3544" spans="1:9" ht="24" customHeight="1">
      <c r="A3544" s="6" t="s">
        <v>1130</v>
      </c>
      <c r="B3544">
        <v>33319</v>
      </c>
      <c r="C3544">
        <v>2500</v>
      </c>
      <c r="D3544">
        <v>1172220</v>
      </c>
      <c r="E3544">
        <v>1054015</v>
      </c>
      <c r="F3544">
        <v>0.9</v>
      </c>
      <c r="G3544">
        <v>1.2</v>
      </c>
      <c r="H3544">
        <v>23.9</v>
      </c>
      <c r="I3544">
        <v>22</v>
      </c>
    </row>
    <row r="3545" spans="1:9" ht="24" customHeight="1">
      <c r="A3545" s="6" t="s">
        <v>1131</v>
      </c>
      <c r="B3545">
        <v>67505</v>
      </c>
      <c r="C3545">
        <v>15167</v>
      </c>
      <c r="D3545">
        <v>959195</v>
      </c>
      <c r="E3545">
        <v>769809</v>
      </c>
      <c r="F3545">
        <v>6.1</v>
      </c>
      <c r="G3545">
        <v>10</v>
      </c>
      <c r="H3545">
        <v>21.2</v>
      </c>
      <c r="I3545">
        <v>22.2</v>
      </c>
    </row>
    <row r="3546" spans="1:9" ht="24" customHeight="1">
      <c r="A3546" s="6" t="s">
        <v>1132</v>
      </c>
      <c r="B3546">
        <v>27719</v>
      </c>
      <c r="C3546">
        <v>24071</v>
      </c>
      <c r="D3546">
        <v>633458</v>
      </c>
      <c r="E3546">
        <v>532636</v>
      </c>
      <c r="F3546">
        <v>18.8</v>
      </c>
      <c r="G3546">
        <v>12</v>
      </c>
      <c r="H3546">
        <v>15.5</v>
      </c>
      <c r="I3546">
        <v>18.8</v>
      </c>
    </row>
    <row r="3547" spans="1:9" ht="24" customHeight="1">
      <c r="A3547" s="6" t="s">
        <v>1133</v>
      </c>
      <c r="B3547">
        <v>101646</v>
      </c>
      <c r="C3547">
        <v>54491</v>
      </c>
      <c r="D3547">
        <v>776110</v>
      </c>
      <c r="E3547">
        <v>612969</v>
      </c>
      <c r="F3547">
        <v>14</v>
      </c>
      <c r="G3547">
        <v>18.5</v>
      </c>
      <c r="H3547">
        <v>19.899999999999999</v>
      </c>
      <c r="I3547">
        <v>18.8</v>
      </c>
    </row>
    <row r="3548" spans="1:9" ht="24" customHeight="1">
      <c r="A3548" s="6" t="s">
        <v>1134</v>
      </c>
      <c r="B3548">
        <v>199120</v>
      </c>
      <c r="C3548">
        <v>452135</v>
      </c>
      <c r="D3548">
        <v>576606</v>
      </c>
      <c r="E3548">
        <v>367874</v>
      </c>
      <c r="F3548">
        <v>15.8</v>
      </c>
      <c r="G3548">
        <v>7.5</v>
      </c>
      <c r="H3548">
        <v>10</v>
      </c>
      <c r="I3548">
        <v>10.9</v>
      </c>
    </row>
    <row r="3549" spans="1:9" ht="24" customHeight="1">
      <c r="A3549" s="6" t="s">
        <v>1135</v>
      </c>
      <c r="B3549">
        <v>26403</v>
      </c>
      <c r="C3549">
        <v>2660</v>
      </c>
      <c r="D3549">
        <v>892652</v>
      </c>
      <c r="E3549">
        <v>799865</v>
      </c>
      <c r="F3549">
        <v>1.1000000000000001</v>
      </c>
      <c r="G3549">
        <v>1.3</v>
      </c>
      <c r="H3549">
        <v>18.100000000000001</v>
      </c>
      <c r="I3549">
        <v>13.3</v>
      </c>
    </row>
    <row r="3550" spans="1:9" ht="24" customHeight="1">
      <c r="A3550" s="6" t="s">
        <v>1136</v>
      </c>
      <c r="B3550">
        <v>37044</v>
      </c>
      <c r="C3550">
        <v>6777</v>
      </c>
      <c r="D3550">
        <v>745923</v>
      </c>
      <c r="E3550">
        <v>623847</v>
      </c>
      <c r="F3550">
        <v>2.7</v>
      </c>
      <c r="G3550">
        <v>3.2</v>
      </c>
      <c r="H3550">
        <v>17.2</v>
      </c>
      <c r="I3550">
        <v>17.5</v>
      </c>
    </row>
    <row r="3551" spans="1:9" ht="24" customHeight="1">
      <c r="A3551" s="6" t="s">
        <v>1137</v>
      </c>
      <c r="B3551">
        <v>20791</v>
      </c>
      <c r="C3551">
        <v>8779</v>
      </c>
      <c r="D3551">
        <v>586888</v>
      </c>
      <c r="E3551">
        <v>516777</v>
      </c>
      <c r="F3551">
        <v>10.9</v>
      </c>
      <c r="G3551">
        <v>7.6</v>
      </c>
      <c r="H3551">
        <v>13.8</v>
      </c>
      <c r="I3551">
        <v>14.2</v>
      </c>
    </row>
    <row r="3552" spans="1:9" ht="24" customHeight="1">
      <c r="A3552" s="6" t="s">
        <v>1138</v>
      </c>
      <c r="B3552">
        <v>28929</v>
      </c>
      <c r="C3552">
        <v>8462</v>
      </c>
      <c r="D3552">
        <v>664028</v>
      </c>
      <c r="E3552">
        <v>484715</v>
      </c>
      <c r="F3552">
        <v>9.8000000000000007</v>
      </c>
      <c r="G3552">
        <v>9.9</v>
      </c>
      <c r="H3552">
        <v>15.5</v>
      </c>
      <c r="I3552">
        <v>13.7</v>
      </c>
    </row>
    <row r="3553" spans="1:9" ht="24" customHeight="1">
      <c r="A3553" s="6" t="s">
        <v>1139</v>
      </c>
      <c r="B3553">
        <v>176506</v>
      </c>
      <c r="C3553">
        <v>133289</v>
      </c>
      <c r="D3553">
        <v>452891</v>
      </c>
      <c r="E3553">
        <v>362907</v>
      </c>
      <c r="F3553">
        <v>14.8</v>
      </c>
      <c r="G3553">
        <v>8.6999999999999993</v>
      </c>
      <c r="H3553">
        <v>7.7</v>
      </c>
      <c r="I3553">
        <v>7.5</v>
      </c>
    </row>
    <row r="3554" spans="1:9" ht="24" customHeight="1">
      <c r="A3554" s="6" t="s">
        <v>1140</v>
      </c>
      <c r="B3554">
        <v>61155</v>
      </c>
      <c r="C3554">
        <v>5240</v>
      </c>
      <c r="D3554">
        <v>885700</v>
      </c>
      <c r="E3554">
        <v>711261</v>
      </c>
      <c r="F3554">
        <v>3.1</v>
      </c>
      <c r="G3554">
        <v>3.7</v>
      </c>
      <c r="H3554">
        <v>21.1</v>
      </c>
      <c r="I3554">
        <v>17.899999999999999</v>
      </c>
    </row>
    <row r="3555" spans="1:9" ht="24" customHeight="1">
      <c r="A3555" s="6" t="s">
        <v>1141</v>
      </c>
      <c r="B3555">
        <v>96317</v>
      </c>
      <c r="C3555">
        <v>13832</v>
      </c>
      <c r="D3555">
        <v>794758</v>
      </c>
      <c r="E3555">
        <v>619945</v>
      </c>
      <c r="F3555">
        <v>6.3</v>
      </c>
      <c r="G3555">
        <v>6.2</v>
      </c>
      <c r="H3555">
        <v>19.2</v>
      </c>
      <c r="I3555">
        <v>16</v>
      </c>
    </row>
    <row r="3556" spans="1:9" ht="24" customHeight="1">
      <c r="A3556" s="6" t="s">
        <v>1142</v>
      </c>
      <c r="B3556">
        <v>54304</v>
      </c>
      <c r="C3556">
        <v>17556</v>
      </c>
      <c r="D3556">
        <v>628446</v>
      </c>
      <c r="E3556">
        <v>532631</v>
      </c>
      <c r="F3556">
        <v>15.4</v>
      </c>
      <c r="G3556">
        <v>10.9</v>
      </c>
      <c r="H3556">
        <v>15</v>
      </c>
      <c r="I3556">
        <v>15.2</v>
      </c>
    </row>
    <row r="3557" spans="1:9" ht="24" customHeight="1">
      <c r="A3557" s="6" t="s">
        <v>1143</v>
      </c>
      <c r="B3557">
        <v>70830</v>
      </c>
      <c r="C3557">
        <v>19208</v>
      </c>
      <c r="D3557">
        <v>748619</v>
      </c>
      <c r="E3557">
        <v>549247</v>
      </c>
      <c r="F3557">
        <v>11.2</v>
      </c>
      <c r="G3557">
        <v>11.8</v>
      </c>
      <c r="H3557">
        <v>15.3</v>
      </c>
      <c r="I3557">
        <v>11.9</v>
      </c>
    </row>
    <row r="3558" spans="1:9" ht="24" customHeight="1">
      <c r="A3558" s="6" t="s">
        <v>1144</v>
      </c>
      <c r="B3558">
        <v>488532</v>
      </c>
      <c r="C3558">
        <v>261663</v>
      </c>
      <c r="D3558">
        <v>509426</v>
      </c>
      <c r="E3558">
        <v>388192</v>
      </c>
      <c r="F3558">
        <v>15.2</v>
      </c>
      <c r="G3558">
        <v>9.8000000000000007</v>
      </c>
      <c r="H3558">
        <v>9.6</v>
      </c>
      <c r="I3558">
        <v>7.4</v>
      </c>
    </row>
    <row r="3559" spans="1:9" ht="24" customHeight="1">
      <c r="A3559" s="6" t="s">
        <v>1145</v>
      </c>
      <c r="B3559">
        <v>16454</v>
      </c>
      <c r="C3559">
        <v>2246</v>
      </c>
      <c r="D3559">
        <v>524466</v>
      </c>
      <c r="E3559">
        <v>417943</v>
      </c>
      <c r="F3559">
        <v>5.4</v>
      </c>
      <c r="G3559">
        <v>3.7</v>
      </c>
      <c r="H3559">
        <v>17.2</v>
      </c>
      <c r="I3559">
        <v>14.8</v>
      </c>
    </row>
    <row r="3560" spans="1:9" ht="24" customHeight="1">
      <c r="A3560" s="6" t="s">
        <v>1146</v>
      </c>
      <c r="B3560">
        <v>28822</v>
      </c>
      <c r="C3560">
        <v>6458</v>
      </c>
      <c r="D3560">
        <v>469295</v>
      </c>
      <c r="E3560">
        <v>387113</v>
      </c>
      <c r="F3560">
        <v>7.1</v>
      </c>
      <c r="G3560">
        <v>4.9000000000000004</v>
      </c>
      <c r="H3560">
        <v>16</v>
      </c>
      <c r="I3560">
        <v>15.3</v>
      </c>
    </row>
    <row r="3561" spans="1:9" ht="24" customHeight="1">
      <c r="A3561" s="6" t="s">
        <v>1147</v>
      </c>
      <c r="B3561">
        <v>23131</v>
      </c>
      <c r="C3561">
        <v>9403</v>
      </c>
      <c r="D3561">
        <v>416948</v>
      </c>
      <c r="E3561">
        <v>376653</v>
      </c>
      <c r="F3561">
        <v>16.5</v>
      </c>
      <c r="G3561">
        <v>11.6</v>
      </c>
      <c r="H3561">
        <v>14.1</v>
      </c>
      <c r="I3561">
        <v>13.5</v>
      </c>
    </row>
    <row r="3562" spans="1:9" ht="24" customHeight="1">
      <c r="A3562" s="6" t="s">
        <v>1148</v>
      </c>
      <c r="B3562">
        <v>62603</v>
      </c>
      <c r="C3562">
        <v>17186</v>
      </c>
      <c r="D3562">
        <v>436304</v>
      </c>
      <c r="E3562">
        <v>377412</v>
      </c>
      <c r="F3562">
        <v>14.6</v>
      </c>
      <c r="G3562">
        <v>15</v>
      </c>
      <c r="H3562">
        <v>13.3</v>
      </c>
      <c r="I3562">
        <v>11.6</v>
      </c>
    </row>
    <row r="3563" spans="1:9" ht="24" customHeight="1">
      <c r="A3563" s="6" t="s">
        <v>1149</v>
      </c>
      <c r="B3563">
        <v>219383</v>
      </c>
      <c r="C3563">
        <v>171528</v>
      </c>
      <c r="D3563">
        <v>335196</v>
      </c>
      <c r="E3563">
        <v>277410</v>
      </c>
      <c r="F3563">
        <v>16.5</v>
      </c>
      <c r="G3563">
        <v>11.7</v>
      </c>
      <c r="H3563">
        <v>9.1999999999999993</v>
      </c>
      <c r="I3563">
        <v>7.4</v>
      </c>
    </row>
    <row r="3564" spans="1:9" ht="24" customHeight="1">
      <c r="A3564" s="6" t="s">
        <v>1150</v>
      </c>
      <c r="B3564">
        <v>14608</v>
      </c>
      <c r="C3564">
        <v>1909</v>
      </c>
      <c r="D3564">
        <v>646345</v>
      </c>
      <c r="E3564">
        <v>565231</v>
      </c>
      <c r="F3564">
        <v>2.1</v>
      </c>
      <c r="G3564">
        <v>1.5</v>
      </c>
      <c r="H3564">
        <v>20.2</v>
      </c>
      <c r="I3564">
        <v>17.7</v>
      </c>
    </row>
    <row r="3565" spans="1:9" ht="24" customHeight="1">
      <c r="A3565" s="6" t="s">
        <v>1151</v>
      </c>
      <c r="B3565">
        <v>26325</v>
      </c>
      <c r="C3565">
        <v>5996</v>
      </c>
      <c r="D3565">
        <v>555834</v>
      </c>
      <c r="E3565">
        <v>490053</v>
      </c>
      <c r="F3565">
        <v>4.7</v>
      </c>
      <c r="G3565">
        <v>6.1</v>
      </c>
      <c r="H3565">
        <v>18.100000000000001</v>
      </c>
      <c r="I3565">
        <v>16.8</v>
      </c>
    </row>
    <row r="3566" spans="1:9" ht="24" customHeight="1">
      <c r="A3566" s="6" t="s">
        <v>1152</v>
      </c>
      <c r="B3566">
        <v>24687</v>
      </c>
      <c r="C3566">
        <v>7705</v>
      </c>
      <c r="D3566">
        <v>469722</v>
      </c>
      <c r="E3566">
        <v>418127</v>
      </c>
      <c r="F3566">
        <v>12.4</v>
      </c>
      <c r="G3566">
        <v>11</v>
      </c>
      <c r="H3566">
        <v>15.2</v>
      </c>
      <c r="I3566">
        <v>15.2</v>
      </c>
    </row>
    <row r="3567" spans="1:9" ht="24" customHeight="1">
      <c r="A3567" s="6" t="s">
        <v>1153</v>
      </c>
      <c r="B3567">
        <v>33326</v>
      </c>
      <c r="C3567">
        <v>9382</v>
      </c>
      <c r="D3567">
        <v>459980</v>
      </c>
      <c r="E3567">
        <v>362928</v>
      </c>
      <c r="F3567">
        <v>7.1</v>
      </c>
      <c r="G3567">
        <v>8.6999999999999993</v>
      </c>
      <c r="H3567">
        <v>14.8</v>
      </c>
      <c r="I3567">
        <v>12.7</v>
      </c>
    </row>
    <row r="3568" spans="1:9" ht="24" customHeight="1">
      <c r="A3568" s="6" t="s">
        <v>1154</v>
      </c>
      <c r="B3568">
        <v>161332</v>
      </c>
      <c r="C3568">
        <v>154596</v>
      </c>
      <c r="D3568">
        <v>357313</v>
      </c>
      <c r="E3568">
        <v>287523</v>
      </c>
      <c r="F3568">
        <v>11</v>
      </c>
      <c r="G3568">
        <v>7.2</v>
      </c>
      <c r="H3568">
        <v>10.3</v>
      </c>
      <c r="I3568">
        <v>8.1999999999999993</v>
      </c>
    </row>
    <row r="3569" spans="1:9" ht="24" customHeight="1">
      <c r="A3569" s="6" t="s">
        <v>1155</v>
      </c>
      <c r="B3569">
        <v>14032</v>
      </c>
      <c r="C3569">
        <v>4444</v>
      </c>
      <c r="D3569">
        <v>716273</v>
      </c>
      <c r="E3569">
        <v>572058</v>
      </c>
      <c r="F3569">
        <v>2.8</v>
      </c>
      <c r="G3569">
        <v>1.8</v>
      </c>
      <c r="H3569">
        <v>21.5</v>
      </c>
      <c r="I3569">
        <v>21.7</v>
      </c>
    </row>
    <row r="3570" spans="1:9" ht="24" customHeight="1">
      <c r="A3570" s="6" t="s">
        <v>1156</v>
      </c>
      <c r="B3570">
        <v>22035</v>
      </c>
      <c r="C3570">
        <v>9867</v>
      </c>
      <c r="D3570">
        <v>634187</v>
      </c>
      <c r="E3570">
        <v>590038</v>
      </c>
      <c r="F3570">
        <v>5.2</v>
      </c>
      <c r="G3570">
        <v>3.1</v>
      </c>
      <c r="H3570">
        <v>20.100000000000001</v>
      </c>
      <c r="I3570">
        <v>21.5</v>
      </c>
    </row>
    <row r="3571" spans="1:9" ht="24" customHeight="1">
      <c r="A3571" s="6" t="s">
        <v>1157</v>
      </c>
      <c r="B3571">
        <v>20673</v>
      </c>
      <c r="C3571">
        <v>13829</v>
      </c>
      <c r="D3571">
        <v>564091</v>
      </c>
      <c r="E3571">
        <v>493883</v>
      </c>
      <c r="F3571">
        <v>16.7</v>
      </c>
      <c r="G3571">
        <v>10.4</v>
      </c>
      <c r="H3571">
        <v>16.8</v>
      </c>
      <c r="I3571">
        <v>17</v>
      </c>
    </row>
    <row r="3572" spans="1:9" ht="24" customHeight="1">
      <c r="A3572" s="6" t="s">
        <v>1158</v>
      </c>
      <c r="B3572">
        <v>29051</v>
      </c>
      <c r="C3572">
        <v>15971</v>
      </c>
      <c r="D3572">
        <v>655533</v>
      </c>
      <c r="E3572">
        <v>546589</v>
      </c>
      <c r="F3572">
        <v>5.4</v>
      </c>
      <c r="G3572">
        <v>6</v>
      </c>
      <c r="H3572">
        <v>18.399999999999999</v>
      </c>
      <c r="I3572">
        <v>19.600000000000001</v>
      </c>
    </row>
    <row r="3573" spans="1:9" ht="24" customHeight="1">
      <c r="A3573" s="6" t="s">
        <v>1159</v>
      </c>
      <c r="B3573">
        <v>226143</v>
      </c>
      <c r="C3573">
        <v>254157</v>
      </c>
      <c r="D3573">
        <v>601259</v>
      </c>
      <c r="E3573">
        <v>413494</v>
      </c>
      <c r="F3573">
        <v>6.6</v>
      </c>
      <c r="G3573">
        <v>4.7</v>
      </c>
      <c r="H3573">
        <v>12.8</v>
      </c>
      <c r="I3573">
        <v>9.3000000000000007</v>
      </c>
    </row>
    <row r="3574" spans="1:9" ht="24" customHeight="1">
      <c r="A3574" s="6" t="s">
        <v>1160</v>
      </c>
      <c r="B3574">
        <v>59701</v>
      </c>
      <c r="C3574">
        <v>31873</v>
      </c>
      <c r="D3574">
        <v>854689</v>
      </c>
      <c r="E3574">
        <v>595803</v>
      </c>
      <c r="F3574">
        <v>5.4</v>
      </c>
      <c r="G3574">
        <v>3.4</v>
      </c>
      <c r="H3574">
        <v>15.3</v>
      </c>
      <c r="I3574">
        <v>18.8</v>
      </c>
    </row>
    <row r="3575" spans="1:9" ht="24" customHeight="1">
      <c r="A3575" s="6" t="s">
        <v>1161</v>
      </c>
      <c r="B3575">
        <v>72121</v>
      </c>
      <c r="C3575">
        <v>84673</v>
      </c>
      <c r="D3575">
        <v>593032</v>
      </c>
      <c r="E3575">
        <v>504719</v>
      </c>
      <c r="F3575">
        <v>5.8</v>
      </c>
      <c r="G3575">
        <v>4.4000000000000004</v>
      </c>
      <c r="H3575">
        <v>17.5</v>
      </c>
      <c r="I3575">
        <v>17.7</v>
      </c>
    </row>
    <row r="3576" spans="1:9" ht="24" customHeight="1">
      <c r="A3576" s="6" t="s">
        <v>1162</v>
      </c>
      <c r="B3576">
        <v>77081</v>
      </c>
      <c r="C3576">
        <v>97725</v>
      </c>
      <c r="D3576">
        <v>510985</v>
      </c>
      <c r="E3576">
        <v>455937</v>
      </c>
      <c r="F3576">
        <v>10.199999999999999</v>
      </c>
      <c r="G3576">
        <v>7.7</v>
      </c>
      <c r="H3576">
        <v>14.2</v>
      </c>
      <c r="I3576">
        <v>15.1</v>
      </c>
    </row>
    <row r="3577" spans="1:9" ht="24" customHeight="1">
      <c r="A3577" s="6" t="s">
        <v>1163</v>
      </c>
      <c r="B3577">
        <v>114221</v>
      </c>
      <c r="C3577">
        <v>135149</v>
      </c>
      <c r="D3577">
        <v>633683</v>
      </c>
      <c r="E3577">
        <v>443648</v>
      </c>
      <c r="F3577">
        <v>8.4</v>
      </c>
      <c r="G3577">
        <v>7.1</v>
      </c>
      <c r="H3577">
        <v>14</v>
      </c>
      <c r="I3577">
        <v>14.8</v>
      </c>
    </row>
    <row r="3578" spans="1:9" ht="24" customHeight="1">
      <c r="A3578" s="6" t="s">
        <v>1164</v>
      </c>
      <c r="B3578">
        <v>885665</v>
      </c>
      <c r="C3578">
        <v>2381731</v>
      </c>
      <c r="D3578">
        <v>403723</v>
      </c>
      <c r="E3578">
        <v>345748</v>
      </c>
      <c r="F3578">
        <v>7.1</v>
      </c>
      <c r="G3578">
        <v>5.3</v>
      </c>
      <c r="H3578">
        <v>7.7</v>
      </c>
      <c r="I3578">
        <v>7.8</v>
      </c>
    </row>
    <row r="3579" spans="1:9" ht="24" customHeight="1">
      <c r="A3579" s="6" t="s">
        <v>1165</v>
      </c>
      <c r="B3579">
        <v>9537</v>
      </c>
      <c r="C3579">
        <v>599</v>
      </c>
      <c r="D3579">
        <v>706239</v>
      </c>
      <c r="E3579">
        <v>670886</v>
      </c>
      <c r="F3579">
        <v>0.8</v>
      </c>
      <c r="G3579">
        <v>0.8</v>
      </c>
      <c r="H3579">
        <v>31.7</v>
      </c>
      <c r="I3579">
        <v>27.2</v>
      </c>
    </row>
    <row r="3580" spans="1:9" ht="24" customHeight="1">
      <c r="A3580" s="6" t="s">
        <v>1166</v>
      </c>
      <c r="B3580">
        <v>19916</v>
      </c>
      <c r="C3580">
        <v>3279</v>
      </c>
      <c r="D3580">
        <v>607602</v>
      </c>
      <c r="E3580">
        <v>534611</v>
      </c>
      <c r="F3580">
        <v>8</v>
      </c>
      <c r="G3580">
        <v>3.4</v>
      </c>
      <c r="H3580">
        <v>26.5</v>
      </c>
      <c r="I3580">
        <v>28.1</v>
      </c>
    </row>
    <row r="3581" spans="1:9" ht="24" customHeight="1">
      <c r="A3581" s="6" t="s">
        <v>1167</v>
      </c>
      <c r="B3581">
        <v>13182</v>
      </c>
      <c r="C3581">
        <v>4671</v>
      </c>
      <c r="D3581">
        <v>549335</v>
      </c>
      <c r="E3581">
        <v>474161</v>
      </c>
      <c r="F3581">
        <v>12.6</v>
      </c>
      <c r="G3581">
        <v>6.7</v>
      </c>
      <c r="H3581">
        <v>20.9</v>
      </c>
      <c r="I3581">
        <v>22.7</v>
      </c>
    </row>
    <row r="3582" spans="1:9" ht="24" customHeight="1">
      <c r="A3582" s="6" t="s">
        <v>1168</v>
      </c>
      <c r="B3582">
        <v>23382</v>
      </c>
      <c r="C3582">
        <v>6849</v>
      </c>
      <c r="D3582">
        <v>553580</v>
      </c>
      <c r="E3582">
        <v>484084</v>
      </c>
      <c r="F3582">
        <v>11.1</v>
      </c>
      <c r="G3582">
        <v>6.6</v>
      </c>
      <c r="H3582">
        <v>22.8</v>
      </c>
      <c r="I3582">
        <v>20.9</v>
      </c>
    </row>
    <row r="3583" spans="1:9" ht="24" customHeight="1">
      <c r="A3583" s="6" t="s">
        <v>1169</v>
      </c>
      <c r="B3583">
        <v>65452</v>
      </c>
      <c r="C3583">
        <v>43123</v>
      </c>
      <c r="D3583">
        <v>406184</v>
      </c>
      <c r="E3583">
        <v>332564</v>
      </c>
      <c r="F3583">
        <v>11.9</v>
      </c>
      <c r="G3583">
        <v>5.7</v>
      </c>
      <c r="H3583">
        <v>13.2</v>
      </c>
      <c r="I3583">
        <v>10.7</v>
      </c>
    </row>
    <row r="3584" spans="1:9" ht="24" customHeight="1">
      <c r="A3584" s="6" t="s">
        <v>1170</v>
      </c>
      <c r="B3584">
        <v>55050</v>
      </c>
      <c r="C3584">
        <v>7049</v>
      </c>
      <c r="D3584">
        <v>721342</v>
      </c>
      <c r="E3584">
        <v>694177</v>
      </c>
      <c r="F3584">
        <v>1.6</v>
      </c>
      <c r="G3584">
        <v>1.9</v>
      </c>
      <c r="H3584">
        <v>19</v>
      </c>
      <c r="I3584">
        <v>22.5</v>
      </c>
    </row>
    <row r="3585" spans="1:9" ht="24" customHeight="1">
      <c r="A3585" s="6" t="s">
        <v>1171</v>
      </c>
      <c r="B3585">
        <v>98125</v>
      </c>
      <c r="C3585">
        <v>15513</v>
      </c>
      <c r="D3585">
        <v>624346</v>
      </c>
      <c r="E3585">
        <v>523292</v>
      </c>
      <c r="F3585">
        <v>4</v>
      </c>
      <c r="G3585">
        <v>2.1</v>
      </c>
      <c r="H3585">
        <v>18.899999999999999</v>
      </c>
      <c r="I3585">
        <v>17.899999999999999</v>
      </c>
    </row>
    <row r="3586" spans="1:9" ht="24" customHeight="1">
      <c r="A3586" s="6" t="s">
        <v>1172</v>
      </c>
      <c r="B3586">
        <v>74934</v>
      </c>
      <c r="C3586">
        <v>20905</v>
      </c>
      <c r="D3586">
        <v>521358</v>
      </c>
      <c r="E3586">
        <v>450872</v>
      </c>
      <c r="F3586">
        <v>17.100000000000001</v>
      </c>
      <c r="G3586">
        <v>8.8000000000000007</v>
      </c>
      <c r="H3586">
        <v>17.100000000000001</v>
      </c>
      <c r="I3586">
        <v>15.8</v>
      </c>
    </row>
    <row r="3587" spans="1:9" ht="24" customHeight="1">
      <c r="A3587" s="6" t="s">
        <v>1173</v>
      </c>
      <c r="B3587">
        <v>81464</v>
      </c>
      <c r="C3587">
        <v>23334</v>
      </c>
      <c r="D3587">
        <v>541753</v>
      </c>
      <c r="E3587">
        <v>393466</v>
      </c>
      <c r="F3587">
        <v>15.1</v>
      </c>
      <c r="G3587">
        <v>7.8</v>
      </c>
      <c r="H3587">
        <v>17.600000000000001</v>
      </c>
      <c r="I3587">
        <v>12.4</v>
      </c>
    </row>
    <row r="3588" spans="1:9" ht="24" customHeight="1">
      <c r="A3588" s="6" t="s">
        <v>1174</v>
      </c>
      <c r="B3588">
        <v>984814</v>
      </c>
      <c r="C3588">
        <v>412264</v>
      </c>
      <c r="D3588">
        <v>408066</v>
      </c>
      <c r="E3588">
        <v>324655</v>
      </c>
      <c r="F3588">
        <v>16.2</v>
      </c>
      <c r="G3588">
        <v>9.4</v>
      </c>
      <c r="H3588">
        <v>10.4</v>
      </c>
      <c r="I3588">
        <v>8.4</v>
      </c>
    </row>
    <row r="3589" spans="1:9" ht="24" customHeight="1">
      <c r="A3589" s="6" t="s">
        <v>1175</v>
      </c>
      <c r="B3589">
        <v>213436</v>
      </c>
      <c r="C3589">
        <v>15006</v>
      </c>
      <c r="D3589">
        <v>1049692</v>
      </c>
      <c r="E3589">
        <v>940423</v>
      </c>
      <c r="F3589">
        <v>1.8</v>
      </c>
      <c r="G3589">
        <v>2.2999999999999998</v>
      </c>
      <c r="H3589">
        <v>25.7</v>
      </c>
      <c r="I3589">
        <v>22.2</v>
      </c>
    </row>
    <row r="3590" spans="1:9" ht="24" customHeight="1">
      <c r="A3590" s="6" t="s">
        <v>1176</v>
      </c>
      <c r="B3590">
        <v>532350</v>
      </c>
      <c r="C3590">
        <v>66537</v>
      </c>
      <c r="D3590">
        <v>847306</v>
      </c>
      <c r="E3590">
        <v>744132</v>
      </c>
      <c r="F3590">
        <v>3.9</v>
      </c>
      <c r="G3590">
        <v>5.6</v>
      </c>
      <c r="H3590">
        <v>22.7</v>
      </c>
      <c r="I3590">
        <v>21.6</v>
      </c>
    </row>
    <row r="3591" spans="1:9" ht="24" customHeight="1">
      <c r="A3591" s="6" t="s">
        <v>1177</v>
      </c>
      <c r="B3591">
        <v>437981</v>
      </c>
      <c r="C3591">
        <v>125432</v>
      </c>
      <c r="D3591">
        <v>628321</v>
      </c>
      <c r="E3591">
        <v>519406</v>
      </c>
      <c r="F3591">
        <v>22.2</v>
      </c>
      <c r="G3591">
        <v>14.9</v>
      </c>
      <c r="H3591">
        <v>19.3</v>
      </c>
      <c r="I3591">
        <v>16.8</v>
      </c>
    </row>
    <row r="3592" spans="1:9" ht="24" customHeight="1">
      <c r="A3592" s="6" t="s">
        <v>1178</v>
      </c>
      <c r="B3592">
        <v>116767</v>
      </c>
      <c r="C3592">
        <v>9827</v>
      </c>
      <c r="D3592">
        <v>630458</v>
      </c>
      <c r="E3592">
        <v>412223</v>
      </c>
      <c r="F3592">
        <v>26.8</v>
      </c>
      <c r="G3592">
        <v>20.9</v>
      </c>
      <c r="H3592">
        <v>20.6</v>
      </c>
      <c r="I3592">
        <v>13.2</v>
      </c>
    </row>
    <row r="3593" spans="1:9" ht="24" customHeight="1">
      <c r="A3593" s="6" t="s">
        <v>1179</v>
      </c>
      <c r="B3593">
        <v>557897</v>
      </c>
      <c r="C3593">
        <v>149224</v>
      </c>
      <c r="D3593">
        <v>686171</v>
      </c>
      <c r="E3593">
        <v>554479</v>
      </c>
      <c r="F3593">
        <v>11.6</v>
      </c>
      <c r="G3593">
        <v>14.5</v>
      </c>
      <c r="H3593">
        <v>18.8</v>
      </c>
      <c r="I3593">
        <v>15.9</v>
      </c>
    </row>
    <row r="3594" spans="1:9" ht="24" customHeight="1">
      <c r="A3594" s="6" t="s">
        <v>1180</v>
      </c>
      <c r="B3594">
        <v>3692581</v>
      </c>
      <c r="C3594">
        <v>2191113</v>
      </c>
      <c r="D3594">
        <v>510909</v>
      </c>
      <c r="E3594">
        <v>389858</v>
      </c>
      <c r="F3594">
        <v>19.399999999999999</v>
      </c>
      <c r="G3594">
        <v>10.1</v>
      </c>
      <c r="H3594">
        <v>12.8</v>
      </c>
      <c r="I3594">
        <v>9.8000000000000007</v>
      </c>
    </row>
    <row r="3595" spans="1:9" ht="24" customHeight="1">
      <c r="A3595" s="6" t="s">
        <v>4512</v>
      </c>
      <c r="B3595">
        <v>333158</v>
      </c>
      <c r="C3595">
        <v>47227</v>
      </c>
      <c r="D3595">
        <v>620221</v>
      </c>
      <c r="E3595">
        <v>517401</v>
      </c>
      <c r="F3595">
        <v>3.7</v>
      </c>
      <c r="G3595">
        <v>4.0999999999999996</v>
      </c>
      <c r="H3595">
        <v>19.8</v>
      </c>
      <c r="I3595">
        <v>18</v>
      </c>
    </row>
    <row r="3596" spans="1:9" ht="24" customHeight="1">
      <c r="A3596" s="6" t="s">
        <v>4513</v>
      </c>
      <c r="B3596">
        <v>431727</v>
      </c>
      <c r="C3596">
        <v>86721</v>
      </c>
      <c r="D3596">
        <v>526722</v>
      </c>
      <c r="E3596">
        <v>441012</v>
      </c>
      <c r="F3596">
        <v>5.5</v>
      </c>
      <c r="G3596">
        <v>4.2</v>
      </c>
      <c r="H3596">
        <v>18.100000000000001</v>
      </c>
      <c r="I3596">
        <v>16.3</v>
      </c>
    </row>
    <row r="3597" spans="1:9" ht="24" customHeight="1">
      <c r="A3597" s="6" t="s">
        <v>4514</v>
      </c>
      <c r="B3597">
        <v>287620</v>
      </c>
      <c r="C3597">
        <v>114968</v>
      </c>
      <c r="D3597">
        <v>461490</v>
      </c>
      <c r="E3597">
        <v>394330</v>
      </c>
      <c r="F3597">
        <v>12.4</v>
      </c>
      <c r="G3597">
        <v>6.4</v>
      </c>
      <c r="H3597">
        <v>15.5</v>
      </c>
      <c r="I3597">
        <v>14.4</v>
      </c>
    </row>
    <row r="3598" spans="1:9" ht="24" customHeight="1">
      <c r="A3598" s="6" t="s">
        <v>4515</v>
      </c>
      <c r="B3598">
        <v>167029</v>
      </c>
      <c r="C3598">
        <v>15963</v>
      </c>
      <c r="D3598">
        <v>447109</v>
      </c>
      <c r="E3598">
        <v>307744</v>
      </c>
      <c r="F3598">
        <v>13.2</v>
      </c>
      <c r="G3598">
        <v>6.8</v>
      </c>
      <c r="H3598">
        <v>15.4</v>
      </c>
      <c r="I3598">
        <v>13.6</v>
      </c>
    </row>
    <row r="3599" spans="1:9" ht="24" customHeight="1">
      <c r="A3599" s="6" t="s">
        <v>4516</v>
      </c>
      <c r="B3599">
        <v>289047</v>
      </c>
      <c r="C3599">
        <v>115846</v>
      </c>
      <c r="D3599">
        <v>499128</v>
      </c>
      <c r="E3599">
        <v>391331</v>
      </c>
      <c r="F3599">
        <v>8.9</v>
      </c>
      <c r="G3599">
        <v>6.9</v>
      </c>
      <c r="H3599">
        <v>15.3</v>
      </c>
      <c r="I3599">
        <v>14</v>
      </c>
    </row>
    <row r="3600" spans="1:9" ht="24" customHeight="1">
      <c r="A3600" s="6" t="s">
        <v>4517</v>
      </c>
      <c r="B3600">
        <v>3472216</v>
      </c>
      <c r="C3600">
        <v>2305740</v>
      </c>
      <c r="D3600">
        <v>364102</v>
      </c>
      <c r="E3600">
        <v>298763</v>
      </c>
      <c r="F3600">
        <v>12.7</v>
      </c>
      <c r="G3600">
        <v>5.5</v>
      </c>
      <c r="H3600">
        <v>9.6999999999999993</v>
      </c>
      <c r="I3600">
        <v>8.1999999999999993</v>
      </c>
    </row>
    <row r="3601" spans="1:9" ht="24" customHeight="1">
      <c r="A3601" s="6" t="s">
        <v>4518</v>
      </c>
      <c r="B3601">
        <v>169829</v>
      </c>
      <c r="C3601">
        <v>19286</v>
      </c>
      <c r="D3601">
        <v>764752</v>
      </c>
      <c r="E3601">
        <v>688426</v>
      </c>
      <c r="F3601">
        <v>1.4</v>
      </c>
      <c r="G3601">
        <v>1.8</v>
      </c>
      <c r="H3601">
        <v>21.1</v>
      </c>
      <c r="I3601">
        <v>18.399999999999999</v>
      </c>
    </row>
    <row r="3602" spans="1:9" ht="24" customHeight="1">
      <c r="A3602" s="6" t="s">
        <v>4519</v>
      </c>
      <c r="B3602">
        <v>300755</v>
      </c>
      <c r="C3602">
        <v>59410</v>
      </c>
      <c r="D3602">
        <v>599469</v>
      </c>
      <c r="E3602">
        <v>536021</v>
      </c>
      <c r="F3602">
        <v>3.5</v>
      </c>
      <c r="G3602">
        <v>2.8</v>
      </c>
      <c r="H3602">
        <v>19.899999999999999</v>
      </c>
      <c r="I3602">
        <v>18</v>
      </c>
    </row>
    <row r="3603" spans="1:9" ht="24" customHeight="1">
      <c r="A3603" s="6" t="s">
        <v>4520</v>
      </c>
      <c r="B3603">
        <v>230514</v>
      </c>
      <c r="C3603">
        <v>81492</v>
      </c>
      <c r="D3603">
        <v>495065</v>
      </c>
      <c r="E3603">
        <v>441475</v>
      </c>
      <c r="F3603">
        <v>14.8</v>
      </c>
      <c r="G3603">
        <v>7.9</v>
      </c>
      <c r="H3603">
        <v>16.5</v>
      </c>
      <c r="I3603">
        <v>16.7</v>
      </c>
    </row>
    <row r="3604" spans="1:9" ht="24" customHeight="1">
      <c r="A3604" s="6" t="s">
        <v>4521</v>
      </c>
      <c r="B3604">
        <v>67332</v>
      </c>
      <c r="C3604">
        <v>7217</v>
      </c>
      <c r="D3604">
        <v>483882</v>
      </c>
      <c r="E3604">
        <v>364027</v>
      </c>
      <c r="F3604">
        <v>18.8</v>
      </c>
      <c r="G3604">
        <v>11.6</v>
      </c>
      <c r="H3604">
        <v>17.8</v>
      </c>
      <c r="I3604">
        <v>16.3</v>
      </c>
    </row>
    <row r="3605" spans="1:9" ht="24" customHeight="1">
      <c r="A3605" s="6" t="s">
        <v>4522</v>
      </c>
      <c r="B3605">
        <v>214059</v>
      </c>
      <c r="C3605">
        <v>86183</v>
      </c>
      <c r="D3605">
        <v>533530</v>
      </c>
      <c r="E3605">
        <v>418231</v>
      </c>
      <c r="F3605">
        <v>10</v>
      </c>
      <c r="G3605">
        <v>7</v>
      </c>
      <c r="H3605">
        <v>17.100000000000001</v>
      </c>
      <c r="I3605">
        <v>16.100000000000001</v>
      </c>
    </row>
    <row r="3606" spans="1:9" ht="24" customHeight="1">
      <c r="A3606" s="6" t="s">
        <v>4523</v>
      </c>
      <c r="B3606">
        <v>1901729</v>
      </c>
      <c r="C3606">
        <v>1378474</v>
      </c>
      <c r="D3606">
        <v>394263</v>
      </c>
      <c r="E3606">
        <v>328867</v>
      </c>
      <c r="F3606">
        <v>15.6</v>
      </c>
      <c r="G3606">
        <v>6.7</v>
      </c>
      <c r="H3606">
        <v>10.1</v>
      </c>
      <c r="I3606">
        <v>8.6</v>
      </c>
    </row>
    <row r="3607" spans="1:9" ht="24" customHeight="1">
      <c r="A3607" s="6" t="s">
        <v>4524</v>
      </c>
      <c r="B3607">
        <v>155869</v>
      </c>
      <c r="C3607">
        <v>14523</v>
      </c>
      <c r="D3607">
        <v>859221</v>
      </c>
      <c r="E3607">
        <v>739508</v>
      </c>
      <c r="F3607">
        <v>2.6</v>
      </c>
      <c r="G3607">
        <v>0.9</v>
      </c>
      <c r="H3607">
        <v>24.2</v>
      </c>
      <c r="I3607">
        <v>18.899999999999999</v>
      </c>
    </row>
    <row r="3608" spans="1:9" ht="24" customHeight="1">
      <c r="A3608" s="6" t="s">
        <v>4525</v>
      </c>
      <c r="B3608">
        <v>296976</v>
      </c>
      <c r="C3608">
        <v>47122</v>
      </c>
      <c r="D3608">
        <v>683577</v>
      </c>
      <c r="E3608">
        <v>590627</v>
      </c>
      <c r="F3608">
        <v>4</v>
      </c>
      <c r="G3608">
        <v>3.9</v>
      </c>
      <c r="H3608">
        <v>21.5</v>
      </c>
      <c r="I3608">
        <v>20</v>
      </c>
    </row>
    <row r="3609" spans="1:9" ht="24" customHeight="1">
      <c r="A3609" s="6" t="s">
        <v>4526</v>
      </c>
      <c r="B3609">
        <v>234949</v>
      </c>
      <c r="C3609">
        <v>77582</v>
      </c>
      <c r="D3609">
        <v>554816</v>
      </c>
      <c r="E3609">
        <v>475106</v>
      </c>
      <c r="F3609">
        <v>17.399999999999999</v>
      </c>
      <c r="G3609">
        <v>10.7</v>
      </c>
      <c r="H3609">
        <v>17.600000000000001</v>
      </c>
      <c r="I3609">
        <v>17</v>
      </c>
    </row>
    <row r="3610" spans="1:9" ht="24" customHeight="1">
      <c r="A3610" s="6" t="s">
        <v>4527</v>
      </c>
      <c r="B3610">
        <v>67529</v>
      </c>
      <c r="C3610">
        <v>7357</v>
      </c>
      <c r="D3610">
        <v>536678</v>
      </c>
      <c r="E3610">
        <v>423175</v>
      </c>
      <c r="F3610">
        <v>23</v>
      </c>
      <c r="G3610">
        <v>15.5</v>
      </c>
      <c r="H3610">
        <v>19</v>
      </c>
      <c r="I3610">
        <v>17.5</v>
      </c>
    </row>
    <row r="3611" spans="1:9" ht="24" customHeight="1">
      <c r="A3611" s="6" t="s">
        <v>4528</v>
      </c>
      <c r="B3611">
        <v>236516</v>
      </c>
      <c r="C3611">
        <v>80856</v>
      </c>
      <c r="D3611">
        <v>593180</v>
      </c>
      <c r="E3611">
        <v>468075</v>
      </c>
      <c r="F3611">
        <v>15.6</v>
      </c>
      <c r="G3611">
        <v>10.6</v>
      </c>
      <c r="H3611">
        <v>18.600000000000001</v>
      </c>
      <c r="I3611">
        <v>16.5</v>
      </c>
    </row>
    <row r="3612" spans="1:9" ht="24" customHeight="1">
      <c r="A3612" s="6" t="s">
        <v>4529</v>
      </c>
      <c r="B3612">
        <v>1899711</v>
      </c>
      <c r="C3612">
        <v>1299117</v>
      </c>
      <c r="D3612">
        <v>439105</v>
      </c>
      <c r="E3612">
        <v>354438</v>
      </c>
      <c r="F3612">
        <v>17.3</v>
      </c>
      <c r="G3612">
        <v>7.9</v>
      </c>
      <c r="H3612">
        <v>10.9</v>
      </c>
      <c r="I3612">
        <v>8.6</v>
      </c>
    </row>
    <row r="3613" spans="1:9" ht="24" customHeight="1">
      <c r="A3613" s="6" t="s">
        <v>1181</v>
      </c>
      <c r="B3613">
        <v>872292</v>
      </c>
      <c r="C3613">
        <v>96041</v>
      </c>
      <c r="D3613">
        <v>796152</v>
      </c>
      <c r="E3613">
        <v>651423</v>
      </c>
      <c r="F3613">
        <v>2.6</v>
      </c>
      <c r="G3613">
        <v>2.9</v>
      </c>
      <c r="H3613">
        <v>22.3</v>
      </c>
      <c r="I3613">
        <v>18.899999999999999</v>
      </c>
    </row>
    <row r="3614" spans="1:9" ht="24" customHeight="1">
      <c r="A3614" s="6" t="s">
        <v>1182</v>
      </c>
      <c r="B3614">
        <v>1561808</v>
      </c>
      <c r="C3614">
        <v>259790</v>
      </c>
      <c r="D3614">
        <v>679829</v>
      </c>
      <c r="E3614">
        <v>567512</v>
      </c>
      <c r="F3614">
        <v>4.3</v>
      </c>
      <c r="G3614">
        <v>4.2</v>
      </c>
      <c r="H3614">
        <v>20.7</v>
      </c>
      <c r="I3614">
        <v>18.7</v>
      </c>
    </row>
    <row r="3615" spans="1:9" ht="24" customHeight="1">
      <c r="A3615" s="6" t="s">
        <v>1183</v>
      </c>
      <c r="B3615">
        <v>1191064</v>
      </c>
      <c r="C3615">
        <v>399474</v>
      </c>
      <c r="D3615">
        <v>547745</v>
      </c>
      <c r="E3615">
        <v>458908</v>
      </c>
      <c r="F3615">
        <v>17.5</v>
      </c>
      <c r="G3615">
        <v>10.199999999999999</v>
      </c>
      <c r="H3615">
        <v>17.5</v>
      </c>
      <c r="I3615">
        <v>16.100000000000001</v>
      </c>
    </row>
    <row r="3616" spans="1:9" ht="24" customHeight="1">
      <c r="A3616" s="6" t="s">
        <v>1184</v>
      </c>
      <c r="B3616">
        <v>418657</v>
      </c>
      <c r="C3616">
        <v>40363</v>
      </c>
      <c r="D3616">
        <v>518608</v>
      </c>
      <c r="E3616">
        <v>364283</v>
      </c>
      <c r="F3616">
        <v>19.5</v>
      </c>
      <c r="G3616">
        <v>12.7</v>
      </c>
      <c r="H3616">
        <v>17.8</v>
      </c>
      <c r="I3616">
        <v>14.7</v>
      </c>
    </row>
    <row r="3617" spans="1:9" ht="24" customHeight="1">
      <c r="A3617" s="6" t="s">
        <v>1185</v>
      </c>
      <c r="B3617">
        <v>1297519</v>
      </c>
      <c r="C3617">
        <v>432109</v>
      </c>
      <c r="D3617">
        <v>602371</v>
      </c>
      <c r="E3617">
        <v>467398</v>
      </c>
      <c r="F3617">
        <v>11.5</v>
      </c>
      <c r="G3617">
        <v>10.199999999999999</v>
      </c>
      <c r="H3617">
        <v>17.7</v>
      </c>
      <c r="I3617">
        <v>15.6</v>
      </c>
    </row>
    <row r="3618" spans="1:9" ht="24" customHeight="1">
      <c r="A3618" s="6" t="s">
        <v>1186</v>
      </c>
      <c r="B3618">
        <v>10966237</v>
      </c>
      <c r="C3618">
        <v>7174444</v>
      </c>
      <c r="D3618">
        <v>431759</v>
      </c>
      <c r="E3618">
        <v>342449</v>
      </c>
      <c r="F3618">
        <v>16.3</v>
      </c>
      <c r="G3618">
        <v>7.6</v>
      </c>
      <c r="H3618">
        <v>11</v>
      </c>
      <c r="I3618">
        <v>8.8000000000000007</v>
      </c>
    </row>
    <row r="3619" spans="1:9" ht="24" customHeight="1">
      <c r="A3619" s="5" t="s">
        <v>456</v>
      </c>
      <c r="B3619">
        <v>6218873</v>
      </c>
      <c r="C3619">
        <v>11549356</v>
      </c>
      <c r="D3619">
        <v>195707</v>
      </c>
      <c r="E3619">
        <v>135273</v>
      </c>
      <c r="F3619">
        <v>5.4</v>
      </c>
      <c r="G3619">
        <v>2.6</v>
      </c>
      <c r="H3619">
        <v>7.3</v>
      </c>
      <c r="I3619">
        <v>6.5</v>
      </c>
    </row>
    <row r="3620" spans="1:9" ht="24" customHeight="1">
      <c r="A3620" s="5" t="s">
        <v>454</v>
      </c>
      <c r="B3620">
        <v>2775272</v>
      </c>
      <c r="C3620">
        <v>4977320</v>
      </c>
      <c r="D3620">
        <v>187963</v>
      </c>
      <c r="E3620">
        <v>139721</v>
      </c>
      <c r="F3620">
        <v>5.4</v>
      </c>
      <c r="G3620">
        <v>3.5</v>
      </c>
      <c r="H3620">
        <v>6.3</v>
      </c>
      <c r="I3620">
        <v>6.2</v>
      </c>
    </row>
    <row r="3621" spans="1:9" ht="24" customHeight="1">
      <c r="A3621" s="5" t="s">
        <v>4530</v>
      </c>
      <c r="B3621">
        <v>1678656</v>
      </c>
      <c r="C3621">
        <v>3331411</v>
      </c>
      <c r="D3621">
        <v>178830</v>
      </c>
      <c r="E3621">
        <v>116982</v>
      </c>
      <c r="F3621">
        <v>4.5999999999999996</v>
      </c>
      <c r="G3621">
        <v>1.4</v>
      </c>
      <c r="H3621">
        <v>7.4</v>
      </c>
      <c r="I3621">
        <v>6.5</v>
      </c>
    </row>
    <row r="3622" spans="1:9" ht="24" customHeight="1">
      <c r="A3622" s="5" t="s">
        <v>4531</v>
      </c>
      <c r="B3622">
        <v>870135</v>
      </c>
      <c r="C3622">
        <v>1536247</v>
      </c>
      <c r="D3622">
        <v>228124</v>
      </c>
      <c r="E3622">
        <v>149769</v>
      </c>
      <c r="F3622">
        <v>6.3</v>
      </c>
      <c r="G3622">
        <v>2.6</v>
      </c>
      <c r="H3622">
        <v>9.1999999999999993</v>
      </c>
      <c r="I3622">
        <v>7.4</v>
      </c>
    </row>
    <row r="3623" spans="1:9" ht="24" customHeight="1">
      <c r="A3623" s="5" t="s">
        <v>4532</v>
      </c>
      <c r="B3623">
        <v>894809</v>
      </c>
      <c r="C3623">
        <v>1704378</v>
      </c>
      <c r="D3623">
        <v>219868</v>
      </c>
      <c r="E3623">
        <v>144968</v>
      </c>
      <c r="F3623">
        <v>6.3</v>
      </c>
      <c r="G3623">
        <v>2.6</v>
      </c>
      <c r="H3623">
        <v>8.5</v>
      </c>
      <c r="I3623">
        <v>6.8</v>
      </c>
    </row>
    <row r="3624" spans="1:9" ht="24" customHeight="1">
      <c r="A3624" s="5" t="s">
        <v>421</v>
      </c>
      <c r="B3624">
        <v>1455</v>
      </c>
      <c r="C3624">
        <v>364</v>
      </c>
      <c r="D3624">
        <v>369119</v>
      </c>
      <c r="E3624">
        <v>194957</v>
      </c>
      <c r="F3624">
        <v>9.9</v>
      </c>
      <c r="G3624">
        <v>2.6</v>
      </c>
      <c r="H3624">
        <v>17.2</v>
      </c>
      <c r="I3624">
        <v>13.3</v>
      </c>
    </row>
    <row r="3625" spans="1:9" ht="24" customHeight="1">
      <c r="A3625" s="5" t="s">
        <v>326</v>
      </c>
      <c r="B3625">
        <v>144</v>
      </c>
      <c r="C3625">
        <v>124</v>
      </c>
      <c r="D3625">
        <v>401579</v>
      </c>
      <c r="E3625">
        <v>237025</v>
      </c>
      <c r="F3625">
        <v>6</v>
      </c>
      <c r="G3625">
        <v>3.2</v>
      </c>
      <c r="H3625">
        <v>21.1</v>
      </c>
      <c r="I3625">
        <v>10.6</v>
      </c>
    </row>
    <row r="3626" spans="1:9" ht="24" customHeight="1">
      <c r="A3626" s="5" t="s">
        <v>4533</v>
      </c>
      <c r="B3626">
        <v>1053</v>
      </c>
      <c r="C3626">
        <v>179</v>
      </c>
      <c r="D3626">
        <v>300011</v>
      </c>
      <c r="E3626">
        <v>172950</v>
      </c>
      <c r="F3626">
        <v>11.6</v>
      </c>
      <c r="G3626">
        <v>2.9</v>
      </c>
      <c r="H3626">
        <v>12.9</v>
      </c>
      <c r="I3626">
        <v>15.1</v>
      </c>
    </row>
    <row r="3627" spans="1:9" ht="24" customHeight="1">
      <c r="A3627" s="5" t="s">
        <v>4534</v>
      </c>
      <c r="B3627">
        <v>94</v>
      </c>
      <c r="C3627">
        <v>43</v>
      </c>
      <c r="D3627">
        <v>326405</v>
      </c>
      <c r="E3627">
        <v>177909</v>
      </c>
      <c r="F3627">
        <v>2.9</v>
      </c>
      <c r="G3627">
        <v>0.5</v>
      </c>
      <c r="H3627">
        <v>27.6</v>
      </c>
      <c r="I3627">
        <v>14.8</v>
      </c>
    </row>
    <row r="3628" spans="1:9" ht="24" customHeight="1">
      <c r="A3628" s="5" t="s">
        <v>4535</v>
      </c>
      <c r="B3628">
        <v>163</v>
      </c>
      <c r="C3628">
        <v>19</v>
      </c>
      <c r="D3628">
        <v>810455</v>
      </c>
      <c r="E3628">
        <v>164538</v>
      </c>
      <c r="F3628">
        <v>6.6</v>
      </c>
      <c r="G3628">
        <v>0</v>
      </c>
      <c r="H3628">
        <v>35.6</v>
      </c>
      <c r="I3628">
        <v>9.9</v>
      </c>
    </row>
    <row r="3629" spans="1:9" ht="24" customHeight="1">
      <c r="A3629" s="5" t="s">
        <v>423</v>
      </c>
      <c r="B3629">
        <v>218801</v>
      </c>
      <c r="C3629">
        <v>80247</v>
      </c>
      <c r="D3629">
        <v>330740</v>
      </c>
      <c r="E3629">
        <v>162143</v>
      </c>
      <c r="F3629">
        <v>9.4</v>
      </c>
      <c r="G3629">
        <v>3.2</v>
      </c>
      <c r="H3629">
        <v>11.8</v>
      </c>
      <c r="I3629">
        <v>8.1999999999999993</v>
      </c>
    </row>
    <row r="3630" spans="1:9" ht="24" customHeight="1">
      <c r="A3630" s="5" t="s">
        <v>329</v>
      </c>
      <c r="B3630">
        <v>31419</v>
      </c>
      <c r="C3630">
        <v>14882</v>
      </c>
      <c r="D3630">
        <v>439973</v>
      </c>
      <c r="E3630">
        <v>217989</v>
      </c>
      <c r="F3630">
        <v>11.2</v>
      </c>
      <c r="G3630">
        <v>6</v>
      </c>
      <c r="H3630">
        <v>13.9</v>
      </c>
      <c r="I3630">
        <v>6.6</v>
      </c>
    </row>
    <row r="3631" spans="1:9" ht="24" customHeight="1">
      <c r="A3631" s="5" t="s">
        <v>4536</v>
      </c>
      <c r="B3631">
        <v>142660</v>
      </c>
      <c r="C3631">
        <v>46029</v>
      </c>
      <c r="D3631">
        <v>292839</v>
      </c>
      <c r="E3631">
        <v>125101</v>
      </c>
      <c r="F3631">
        <v>9.6999999999999993</v>
      </c>
      <c r="G3631">
        <v>1.5</v>
      </c>
      <c r="H3631">
        <v>10.199999999999999</v>
      </c>
      <c r="I3631">
        <v>9</v>
      </c>
    </row>
    <row r="3632" spans="1:9" ht="24" customHeight="1">
      <c r="A3632" s="5" t="s">
        <v>4537</v>
      </c>
      <c r="B3632">
        <v>24091</v>
      </c>
      <c r="C3632">
        <v>7621</v>
      </c>
      <c r="D3632">
        <v>370067</v>
      </c>
      <c r="E3632">
        <v>234193</v>
      </c>
      <c r="F3632">
        <v>5.5</v>
      </c>
      <c r="G3632">
        <v>5.0999999999999996</v>
      </c>
      <c r="H3632">
        <v>15.1</v>
      </c>
      <c r="I3632">
        <v>8.4</v>
      </c>
    </row>
    <row r="3633" spans="1:9" ht="24" customHeight="1">
      <c r="A3633" s="5" t="s">
        <v>4538</v>
      </c>
      <c r="B3633">
        <v>20630</v>
      </c>
      <c r="C3633">
        <v>11714</v>
      </c>
      <c r="D3633">
        <v>380541</v>
      </c>
      <c r="E3633">
        <v>189875</v>
      </c>
      <c r="F3633">
        <v>9.9</v>
      </c>
      <c r="G3633">
        <v>4.7</v>
      </c>
      <c r="H3633">
        <v>15.4</v>
      </c>
      <c r="I3633">
        <v>7.1</v>
      </c>
    </row>
    <row r="3634" spans="1:9" ht="24" customHeight="1">
      <c r="A3634" s="5" t="s">
        <v>425</v>
      </c>
      <c r="B3634">
        <v>717665</v>
      </c>
      <c r="C3634">
        <v>1245928</v>
      </c>
      <c r="D3634">
        <v>268680</v>
      </c>
      <c r="E3634">
        <v>162641</v>
      </c>
      <c r="F3634">
        <v>10.4</v>
      </c>
      <c r="G3634">
        <v>8.1999999999999993</v>
      </c>
      <c r="H3634">
        <v>13.5</v>
      </c>
      <c r="I3634">
        <v>8.6999999999999993</v>
      </c>
    </row>
    <row r="3635" spans="1:9" ht="24" customHeight="1">
      <c r="A3635" s="5" t="s">
        <v>332</v>
      </c>
      <c r="B3635">
        <v>232176</v>
      </c>
      <c r="C3635">
        <v>419267</v>
      </c>
      <c r="D3635">
        <v>310612</v>
      </c>
      <c r="E3635">
        <v>185824</v>
      </c>
      <c r="F3635">
        <v>14.1</v>
      </c>
      <c r="G3635">
        <v>14.9</v>
      </c>
      <c r="H3635">
        <v>15.1</v>
      </c>
      <c r="I3635">
        <v>8.3000000000000007</v>
      </c>
    </row>
    <row r="3636" spans="1:9" ht="24" customHeight="1">
      <c r="A3636" s="5" t="s">
        <v>4539</v>
      </c>
      <c r="B3636">
        <v>208410</v>
      </c>
      <c r="C3636">
        <v>391351</v>
      </c>
      <c r="D3636">
        <v>230323</v>
      </c>
      <c r="E3636">
        <v>138034</v>
      </c>
      <c r="F3636">
        <v>8.1</v>
      </c>
      <c r="G3636">
        <v>3.5</v>
      </c>
      <c r="H3636">
        <v>12</v>
      </c>
      <c r="I3636">
        <v>8.9</v>
      </c>
    </row>
    <row r="3637" spans="1:9" ht="24" customHeight="1">
      <c r="A3637" s="5" t="s">
        <v>4540</v>
      </c>
      <c r="B3637">
        <v>129362</v>
      </c>
      <c r="C3637">
        <v>219956</v>
      </c>
      <c r="D3637">
        <v>278128</v>
      </c>
      <c r="E3637">
        <v>171129</v>
      </c>
      <c r="F3637">
        <v>9.5</v>
      </c>
      <c r="G3637">
        <v>6.2</v>
      </c>
      <c r="H3637">
        <v>14.5</v>
      </c>
      <c r="I3637">
        <v>9.5</v>
      </c>
    </row>
    <row r="3638" spans="1:9" ht="24" customHeight="1">
      <c r="A3638" s="5" t="s">
        <v>4541</v>
      </c>
      <c r="B3638">
        <v>147718</v>
      </c>
      <c r="C3638">
        <v>215354</v>
      </c>
      <c r="D3638">
        <v>248616</v>
      </c>
      <c r="E3638">
        <v>153555</v>
      </c>
      <c r="F3638">
        <v>8.8000000000000007</v>
      </c>
      <c r="G3638">
        <v>5.9</v>
      </c>
      <c r="H3638">
        <v>12.1</v>
      </c>
      <c r="I3638">
        <v>8.5</v>
      </c>
    </row>
    <row r="3639" spans="1:9" ht="24" customHeight="1">
      <c r="A3639" s="5" t="s">
        <v>375</v>
      </c>
      <c r="B3639">
        <v>9965</v>
      </c>
      <c r="C3639">
        <v>15826</v>
      </c>
      <c r="D3639">
        <v>238355</v>
      </c>
      <c r="E3639">
        <v>151258</v>
      </c>
      <c r="F3639">
        <v>7.4</v>
      </c>
      <c r="G3639">
        <v>2.5</v>
      </c>
      <c r="H3639">
        <v>12.4</v>
      </c>
      <c r="I3639">
        <v>7.6</v>
      </c>
    </row>
    <row r="3640" spans="1:9" ht="24" customHeight="1">
      <c r="A3640" s="5" t="s">
        <v>226</v>
      </c>
      <c r="B3640">
        <v>1473</v>
      </c>
      <c r="C3640">
        <v>1080</v>
      </c>
      <c r="D3640">
        <v>286091</v>
      </c>
      <c r="E3640">
        <v>218410</v>
      </c>
      <c r="F3640">
        <v>9.1</v>
      </c>
      <c r="G3640">
        <v>5.4</v>
      </c>
      <c r="H3640">
        <v>10.9</v>
      </c>
      <c r="I3640">
        <v>7.6</v>
      </c>
    </row>
    <row r="3641" spans="1:9" ht="24" customHeight="1">
      <c r="A3641" s="5" t="s">
        <v>4542</v>
      </c>
      <c r="B3641">
        <v>4638</v>
      </c>
      <c r="C3641">
        <v>9790</v>
      </c>
      <c r="D3641">
        <v>209210</v>
      </c>
      <c r="E3641">
        <v>136511</v>
      </c>
      <c r="F3641">
        <v>4.4000000000000004</v>
      </c>
      <c r="G3641">
        <v>1.5</v>
      </c>
      <c r="H3641">
        <v>9.8000000000000007</v>
      </c>
      <c r="I3641">
        <v>7</v>
      </c>
    </row>
    <row r="3642" spans="1:9" ht="24" customHeight="1">
      <c r="A3642" s="5" t="s">
        <v>4543</v>
      </c>
      <c r="B3642">
        <v>2136</v>
      </c>
      <c r="C3642">
        <v>3462</v>
      </c>
      <c r="D3642">
        <v>244886</v>
      </c>
      <c r="E3642">
        <v>156460</v>
      </c>
      <c r="F3642">
        <v>7.4</v>
      </c>
      <c r="G3642">
        <v>2.4</v>
      </c>
      <c r="H3642">
        <v>17.899999999999999</v>
      </c>
      <c r="I3642">
        <v>9.4</v>
      </c>
    </row>
    <row r="3643" spans="1:9" ht="24" customHeight="1">
      <c r="A3643" s="5" t="s">
        <v>4544</v>
      </c>
      <c r="B3643">
        <v>1717</v>
      </c>
      <c r="C3643">
        <v>1495</v>
      </c>
      <c r="D3643">
        <v>268008</v>
      </c>
      <c r="E3643">
        <v>187269</v>
      </c>
      <c r="F3643">
        <v>14.1</v>
      </c>
      <c r="G3643">
        <v>6.6</v>
      </c>
      <c r="H3643">
        <v>13.8</v>
      </c>
      <c r="I3643">
        <v>7.3</v>
      </c>
    </row>
    <row r="3644" spans="1:9" ht="24" customHeight="1">
      <c r="A3644" s="5" t="s">
        <v>377</v>
      </c>
      <c r="B3644">
        <v>11801</v>
      </c>
      <c r="C3644">
        <v>54215</v>
      </c>
      <c r="D3644">
        <v>235349</v>
      </c>
      <c r="E3644">
        <v>154543</v>
      </c>
      <c r="F3644">
        <v>7.5</v>
      </c>
      <c r="G3644">
        <v>7.6</v>
      </c>
      <c r="H3644">
        <v>18</v>
      </c>
      <c r="I3644">
        <v>10.4</v>
      </c>
    </row>
    <row r="3645" spans="1:9" ht="24" customHeight="1">
      <c r="A3645" s="5" t="s">
        <v>230</v>
      </c>
      <c r="B3645">
        <v>615</v>
      </c>
      <c r="C3645">
        <v>1517</v>
      </c>
      <c r="D3645">
        <v>337875</v>
      </c>
      <c r="E3645">
        <v>192604</v>
      </c>
      <c r="F3645">
        <v>2.6</v>
      </c>
      <c r="G3645">
        <v>7.5</v>
      </c>
      <c r="H3645">
        <v>26.5</v>
      </c>
      <c r="I3645">
        <v>15.6</v>
      </c>
    </row>
    <row r="3646" spans="1:9" ht="24" customHeight="1">
      <c r="A3646" s="5" t="s">
        <v>4545</v>
      </c>
      <c r="B3646">
        <v>7446</v>
      </c>
      <c r="C3646">
        <v>41673</v>
      </c>
      <c r="D3646">
        <v>212730</v>
      </c>
      <c r="E3646">
        <v>145381</v>
      </c>
      <c r="F3646">
        <v>9.3000000000000007</v>
      </c>
      <c r="G3646">
        <v>7.4</v>
      </c>
      <c r="H3646">
        <v>16.2</v>
      </c>
      <c r="I3646">
        <v>9.5</v>
      </c>
    </row>
    <row r="3647" spans="1:9" ht="24" customHeight="1">
      <c r="A3647" s="5" t="s">
        <v>4546</v>
      </c>
      <c r="B3647">
        <v>2716</v>
      </c>
      <c r="C3647">
        <v>8167</v>
      </c>
      <c r="D3647">
        <v>271241</v>
      </c>
      <c r="E3647">
        <v>190173</v>
      </c>
      <c r="F3647">
        <v>3.6</v>
      </c>
      <c r="G3647">
        <v>9.5</v>
      </c>
      <c r="H3647">
        <v>20.2</v>
      </c>
      <c r="I3647">
        <v>13.4</v>
      </c>
    </row>
    <row r="3648" spans="1:9" ht="24" customHeight="1">
      <c r="A3648" s="5" t="s">
        <v>4547</v>
      </c>
      <c r="B3648">
        <v>1024</v>
      </c>
      <c r="C3648">
        <v>2858</v>
      </c>
      <c r="D3648">
        <v>243034</v>
      </c>
      <c r="E3648">
        <v>166117</v>
      </c>
      <c r="F3648">
        <v>7.1</v>
      </c>
      <c r="G3648">
        <v>5.8</v>
      </c>
      <c r="H3648">
        <v>20.399999999999999</v>
      </c>
      <c r="I3648">
        <v>11.8</v>
      </c>
    </row>
    <row r="3649" spans="1:9" ht="24" customHeight="1">
      <c r="A3649" s="5" t="s">
        <v>379</v>
      </c>
      <c r="B3649">
        <v>10419</v>
      </c>
      <c r="C3649">
        <v>5152</v>
      </c>
      <c r="D3649">
        <v>240577</v>
      </c>
      <c r="E3649">
        <v>140877</v>
      </c>
      <c r="F3649">
        <v>12</v>
      </c>
      <c r="G3649">
        <v>2.6</v>
      </c>
      <c r="H3649">
        <v>10.6</v>
      </c>
      <c r="I3649">
        <v>9.8000000000000007</v>
      </c>
    </row>
    <row r="3650" spans="1:9" ht="24" customHeight="1">
      <c r="A3650" s="5" t="s">
        <v>234</v>
      </c>
      <c r="B3650">
        <v>566</v>
      </c>
      <c r="C3650">
        <v>132</v>
      </c>
      <c r="D3650">
        <v>326407</v>
      </c>
      <c r="E3650">
        <v>256879</v>
      </c>
      <c r="F3650">
        <v>28.2</v>
      </c>
      <c r="G3650">
        <v>10.3</v>
      </c>
      <c r="H3650">
        <v>8.8000000000000007</v>
      </c>
      <c r="I3650">
        <v>10.7</v>
      </c>
    </row>
    <row r="3651" spans="1:9" ht="24" customHeight="1">
      <c r="A3651" s="5" t="s">
        <v>4548</v>
      </c>
      <c r="B3651">
        <v>5564</v>
      </c>
      <c r="C3651">
        <v>3801</v>
      </c>
      <c r="D3651">
        <v>217063</v>
      </c>
      <c r="E3651">
        <v>127654</v>
      </c>
      <c r="F3651">
        <v>6.4</v>
      </c>
      <c r="G3651">
        <v>1.8</v>
      </c>
      <c r="H3651">
        <v>11.5</v>
      </c>
      <c r="I3651">
        <v>9.9</v>
      </c>
    </row>
    <row r="3652" spans="1:9" ht="24" customHeight="1">
      <c r="A3652" s="5" t="s">
        <v>4549</v>
      </c>
      <c r="B3652">
        <v>1652</v>
      </c>
      <c r="C3652">
        <v>840</v>
      </c>
      <c r="D3652">
        <v>263821</v>
      </c>
      <c r="E3652">
        <v>152731</v>
      </c>
      <c r="F3652">
        <v>11.8</v>
      </c>
      <c r="G3652">
        <v>1.8</v>
      </c>
      <c r="H3652">
        <v>13</v>
      </c>
      <c r="I3652">
        <v>11.6</v>
      </c>
    </row>
    <row r="3653" spans="1:9" ht="24" customHeight="1">
      <c r="A3653" s="5" t="s">
        <v>4550</v>
      </c>
      <c r="B3653">
        <v>2637</v>
      </c>
      <c r="C3653">
        <v>379</v>
      </c>
      <c r="D3653">
        <v>257215</v>
      </c>
      <c r="E3653">
        <v>206772</v>
      </c>
      <c r="F3653">
        <v>20.5</v>
      </c>
      <c r="G3653">
        <v>10.3</v>
      </c>
      <c r="H3653">
        <v>7.4</v>
      </c>
      <c r="I3653">
        <v>5.2</v>
      </c>
    </row>
    <row r="3654" spans="1:9" ht="24" customHeight="1">
      <c r="A3654" s="5" t="s">
        <v>381</v>
      </c>
      <c r="B3654">
        <v>7778</v>
      </c>
      <c r="C3654">
        <v>7224</v>
      </c>
      <c r="D3654">
        <v>231897</v>
      </c>
      <c r="E3654">
        <v>157833</v>
      </c>
      <c r="F3654">
        <v>5.9</v>
      </c>
      <c r="G3654">
        <v>3</v>
      </c>
      <c r="H3654">
        <v>14.4</v>
      </c>
      <c r="I3654">
        <v>8.9</v>
      </c>
    </row>
    <row r="3655" spans="1:9" ht="24" customHeight="1">
      <c r="A3655" s="5" t="s">
        <v>238</v>
      </c>
      <c r="B3655">
        <v>1440</v>
      </c>
      <c r="C3655">
        <v>1722</v>
      </c>
      <c r="D3655">
        <v>303847</v>
      </c>
      <c r="E3655">
        <v>221990</v>
      </c>
      <c r="F3655">
        <v>12.1</v>
      </c>
      <c r="G3655">
        <v>6.8</v>
      </c>
      <c r="H3655">
        <v>11.8</v>
      </c>
      <c r="I3655">
        <v>9.6999999999999993</v>
      </c>
    </row>
    <row r="3656" spans="1:9" ht="24" customHeight="1">
      <c r="A3656" s="5" t="s">
        <v>4551</v>
      </c>
      <c r="B3656">
        <v>3606</v>
      </c>
      <c r="C3656">
        <v>4339</v>
      </c>
      <c r="D3656">
        <v>193531</v>
      </c>
      <c r="E3656">
        <v>126690</v>
      </c>
      <c r="F3656">
        <v>4.2</v>
      </c>
      <c r="G3656">
        <v>1.5</v>
      </c>
      <c r="H3656">
        <v>12.9</v>
      </c>
      <c r="I3656">
        <v>8.4</v>
      </c>
    </row>
    <row r="3657" spans="1:9" ht="24" customHeight="1">
      <c r="A3657" s="5" t="s">
        <v>4552</v>
      </c>
      <c r="B3657">
        <v>2187</v>
      </c>
      <c r="C3657">
        <v>895</v>
      </c>
      <c r="D3657">
        <v>241447</v>
      </c>
      <c r="E3657">
        <v>174383</v>
      </c>
      <c r="F3657">
        <v>4.9000000000000004</v>
      </c>
      <c r="G3657">
        <v>2.7</v>
      </c>
      <c r="H3657">
        <v>17.2</v>
      </c>
      <c r="I3657">
        <v>8.6999999999999993</v>
      </c>
    </row>
    <row r="3658" spans="1:9" ht="24" customHeight="1">
      <c r="A3658" s="5" t="s">
        <v>4553</v>
      </c>
      <c r="B3658">
        <v>545</v>
      </c>
      <c r="C3658">
        <v>269</v>
      </c>
      <c r="D3658">
        <v>257381</v>
      </c>
      <c r="E3658">
        <v>194531</v>
      </c>
      <c r="F3658">
        <v>3.9</v>
      </c>
      <c r="G3658">
        <v>3</v>
      </c>
      <c r="H3658">
        <v>19.600000000000001</v>
      </c>
      <c r="I3658">
        <v>11.5</v>
      </c>
    </row>
    <row r="3659" spans="1:9" ht="24" customHeight="1">
      <c r="A3659" s="5" t="s">
        <v>383</v>
      </c>
      <c r="B3659">
        <v>12280</v>
      </c>
      <c r="C3659">
        <v>22303</v>
      </c>
      <c r="D3659">
        <v>238003</v>
      </c>
      <c r="E3659">
        <v>148110</v>
      </c>
      <c r="F3659">
        <v>7</v>
      </c>
      <c r="G3659">
        <v>3</v>
      </c>
      <c r="H3659">
        <v>14.8</v>
      </c>
      <c r="I3659">
        <v>8.9</v>
      </c>
    </row>
    <row r="3660" spans="1:9" ht="24" customHeight="1">
      <c r="A3660" s="5" t="s">
        <v>242</v>
      </c>
      <c r="B3660">
        <v>1361</v>
      </c>
      <c r="C3660">
        <v>762</v>
      </c>
      <c r="D3660">
        <v>334286</v>
      </c>
      <c r="E3660">
        <v>244662</v>
      </c>
      <c r="F3660">
        <v>8.4</v>
      </c>
      <c r="G3660">
        <v>7.7</v>
      </c>
      <c r="H3660">
        <v>25.2</v>
      </c>
      <c r="I3660">
        <v>11.4</v>
      </c>
    </row>
    <row r="3661" spans="1:9" ht="24" customHeight="1">
      <c r="A3661" s="5" t="s">
        <v>4554</v>
      </c>
      <c r="B3661">
        <v>5681</v>
      </c>
      <c r="C3661">
        <v>14179</v>
      </c>
      <c r="D3661">
        <v>219933</v>
      </c>
      <c r="E3661">
        <v>133183</v>
      </c>
      <c r="F3661">
        <v>6.6</v>
      </c>
      <c r="G3661">
        <v>2.2999999999999998</v>
      </c>
      <c r="H3661">
        <v>11.9</v>
      </c>
      <c r="I3661">
        <v>8.3000000000000007</v>
      </c>
    </row>
    <row r="3662" spans="1:9" ht="24" customHeight="1">
      <c r="A3662" s="5" t="s">
        <v>4555</v>
      </c>
      <c r="B3662">
        <v>3811</v>
      </c>
      <c r="C3662">
        <v>5028</v>
      </c>
      <c r="D3662">
        <v>230581</v>
      </c>
      <c r="E3662">
        <v>165339</v>
      </c>
      <c r="F3662">
        <v>7</v>
      </c>
      <c r="G3662">
        <v>3.3</v>
      </c>
      <c r="H3662">
        <v>14.2</v>
      </c>
      <c r="I3662">
        <v>9</v>
      </c>
    </row>
    <row r="3663" spans="1:9" ht="24" customHeight="1">
      <c r="A3663" s="5" t="s">
        <v>4556</v>
      </c>
      <c r="B3663">
        <v>1427</v>
      </c>
      <c r="C3663">
        <v>2334</v>
      </c>
      <c r="D3663">
        <v>237946</v>
      </c>
      <c r="E3663">
        <v>170159</v>
      </c>
      <c r="F3663">
        <v>7.5</v>
      </c>
      <c r="G3663">
        <v>5.0999999999999996</v>
      </c>
      <c r="H3663">
        <v>17.7</v>
      </c>
      <c r="I3663">
        <v>11.6</v>
      </c>
    </row>
    <row r="3664" spans="1:9" ht="24" customHeight="1">
      <c r="A3664" s="5" t="s">
        <v>385</v>
      </c>
      <c r="B3664">
        <v>16067</v>
      </c>
      <c r="C3664">
        <v>33325</v>
      </c>
      <c r="D3664">
        <v>252006</v>
      </c>
      <c r="E3664">
        <v>142102</v>
      </c>
      <c r="F3664">
        <v>10</v>
      </c>
      <c r="G3664">
        <v>3.6</v>
      </c>
      <c r="H3664">
        <v>17.5</v>
      </c>
      <c r="I3664">
        <v>8.1</v>
      </c>
    </row>
    <row r="3665" spans="1:9" ht="24" customHeight="1">
      <c r="A3665" s="5" t="s">
        <v>246</v>
      </c>
      <c r="B3665">
        <v>3503</v>
      </c>
      <c r="C3665">
        <v>6412</v>
      </c>
      <c r="D3665">
        <v>244323</v>
      </c>
      <c r="E3665">
        <v>156774</v>
      </c>
      <c r="F3665">
        <v>15.4</v>
      </c>
      <c r="G3665">
        <v>5.6</v>
      </c>
      <c r="H3665">
        <v>13.5</v>
      </c>
      <c r="I3665">
        <v>7.1</v>
      </c>
    </row>
    <row r="3666" spans="1:9" ht="24" customHeight="1">
      <c r="A3666" s="5" t="s">
        <v>4557</v>
      </c>
      <c r="B3666">
        <v>6669</v>
      </c>
      <c r="C3666">
        <v>16344</v>
      </c>
      <c r="D3666">
        <v>239465</v>
      </c>
      <c r="E3666">
        <v>124363</v>
      </c>
      <c r="F3666">
        <v>5.2</v>
      </c>
      <c r="G3666">
        <v>1.4</v>
      </c>
      <c r="H3666">
        <v>17.2</v>
      </c>
      <c r="I3666">
        <v>8.4</v>
      </c>
    </row>
    <row r="3667" spans="1:9" ht="24" customHeight="1">
      <c r="A3667" s="5" t="s">
        <v>4558</v>
      </c>
      <c r="B3667">
        <v>3550</v>
      </c>
      <c r="C3667">
        <v>8093</v>
      </c>
      <c r="D3667">
        <v>268399</v>
      </c>
      <c r="E3667">
        <v>151690</v>
      </c>
      <c r="F3667">
        <v>14.9</v>
      </c>
      <c r="G3667">
        <v>6.3</v>
      </c>
      <c r="H3667">
        <v>17.2</v>
      </c>
      <c r="I3667">
        <v>8.3000000000000007</v>
      </c>
    </row>
    <row r="3668" spans="1:9" ht="24" customHeight="1">
      <c r="A3668" s="5" t="s">
        <v>4559</v>
      </c>
      <c r="B3668">
        <v>2345</v>
      </c>
      <c r="C3668">
        <v>2476</v>
      </c>
      <c r="D3668">
        <v>274326</v>
      </c>
      <c r="E3668">
        <v>189875</v>
      </c>
      <c r="F3668">
        <v>7.8</v>
      </c>
      <c r="G3668">
        <v>4</v>
      </c>
      <c r="H3668">
        <v>24.7</v>
      </c>
      <c r="I3668">
        <v>8.5</v>
      </c>
    </row>
    <row r="3669" spans="1:9" ht="24" customHeight="1">
      <c r="A3669" s="5" t="s">
        <v>387</v>
      </c>
      <c r="B3669">
        <v>24963</v>
      </c>
      <c r="C3669">
        <v>37724</v>
      </c>
      <c r="D3669">
        <v>362492</v>
      </c>
      <c r="E3669">
        <v>176489</v>
      </c>
      <c r="F3669">
        <v>5.6</v>
      </c>
      <c r="G3669">
        <v>3.4</v>
      </c>
      <c r="H3669">
        <v>19.8</v>
      </c>
      <c r="I3669">
        <v>10</v>
      </c>
    </row>
    <row r="3670" spans="1:9" ht="24" customHeight="1">
      <c r="A3670" s="5" t="s">
        <v>250</v>
      </c>
      <c r="B3670">
        <v>7499</v>
      </c>
      <c r="C3670">
        <v>5714</v>
      </c>
      <c r="D3670">
        <v>426762</v>
      </c>
      <c r="E3670">
        <v>248548</v>
      </c>
      <c r="F3670">
        <v>6.9</v>
      </c>
      <c r="G3670">
        <v>5.0999999999999996</v>
      </c>
      <c r="H3670">
        <v>22.6</v>
      </c>
      <c r="I3670">
        <v>11.7</v>
      </c>
    </row>
    <row r="3671" spans="1:9" ht="24" customHeight="1">
      <c r="A3671" s="5" t="s">
        <v>4560</v>
      </c>
      <c r="B3671">
        <v>4722</v>
      </c>
      <c r="C3671">
        <v>10877</v>
      </c>
      <c r="D3671">
        <v>299732</v>
      </c>
      <c r="E3671">
        <v>132171</v>
      </c>
      <c r="F3671">
        <v>3</v>
      </c>
      <c r="G3671">
        <v>0.8</v>
      </c>
      <c r="H3671">
        <v>15</v>
      </c>
      <c r="I3671">
        <v>10.9</v>
      </c>
    </row>
    <row r="3672" spans="1:9" ht="24" customHeight="1">
      <c r="A3672" s="5" t="s">
        <v>4561</v>
      </c>
      <c r="B3672">
        <v>6614</v>
      </c>
      <c r="C3672">
        <v>14086</v>
      </c>
      <c r="D3672">
        <v>319098</v>
      </c>
      <c r="E3672">
        <v>164177</v>
      </c>
      <c r="F3672">
        <v>4</v>
      </c>
      <c r="G3672">
        <v>4.9000000000000004</v>
      </c>
      <c r="H3672">
        <v>17.600000000000001</v>
      </c>
      <c r="I3672">
        <v>8.3000000000000007</v>
      </c>
    </row>
    <row r="3673" spans="1:9" ht="24" customHeight="1">
      <c r="A3673" s="5" t="s">
        <v>4562</v>
      </c>
      <c r="B3673">
        <v>6128</v>
      </c>
      <c r="C3673">
        <v>7047</v>
      </c>
      <c r="D3673">
        <v>379035</v>
      </c>
      <c r="E3673">
        <v>211072</v>
      </c>
      <c r="F3673">
        <v>7.7</v>
      </c>
      <c r="G3673">
        <v>3.3</v>
      </c>
      <c r="H3673">
        <v>22.3</v>
      </c>
      <c r="I3673">
        <v>10.7</v>
      </c>
    </row>
    <row r="3674" spans="1:9" ht="24" customHeight="1">
      <c r="A3674" s="5" t="s">
        <v>389</v>
      </c>
      <c r="B3674">
        <v>546</v>
      </c>
      <c r="C3674">
        <v>491</v>
      </c>
      <c r="D3674">
        <v>330157</v>
      </c>
      <c r="E3674">
        <v>213863</v>
      </c>
      <c r="F3674">
        <v>10</v>
      </c>
      <c r="G3674">
        <v>1.8</v>
      </c>
      <c r="H3674">
        <v>11.2</v>
      </c>
      <c r="I3674">
        <v>12.8</v>
      </c>
    </row>
    <row r="3675" spans="1:9" ht="24" customHeight="1">
      <c r="A3675" s="5" t="s">
        <v>254</v>
      </c>
      <c r="B3675">
        <v>104</v>
      </c>
      <c r="C3675">
        <v>70</v>
      </c>
      <c r="D3675">
        <v>491974</v>
      </c>
      <c r="E3675">
        <v>264191</v>
      </c>
      <c r="F3675">
        <v>7</v>
      </c>
      <c r="G3675">
        <v>1.8</v>
      </c>
      <c r="H3675">
        <v>33</v>
      </c>
      <c r="I3675">
        <v>29.5</v>
      </c>
    </row>
    <row r="3676" spans="1:9" ht="24" customHeight="1">
      <c r="A3676" s="5" t="s">
        <v>4563</v>
      </c>
      <c r="B3676">
        <v>242</v>
      </c>
      <c r="C3676">
        <v>195</v>
      </c>
      <c r="D3676">
        <v>255721</v>
      </c>
      <c r="E3676">
        <v>182629</v>
      </c>
      <c r="F3676">
        <v>10</v>
      </c>
      <c r="G3676">
        <v>0</v>
      </c>
      <c r="H3676">
        <v>6.3</v>
      </c>
      <c r="I3676">
        <v>10.7</v>
      </c>
    </row>
    <row r="3677" spans="1:9" ht="24" customHeight="1">
      <c r="A3677" s="5" t="s">
        <v>4564</v>
      </c>
      <c r="B3677">
        <v>11</v>
      </c>
      <c r="C3677">
        <v>0</v>
      </c>
      <c r="D3677">
        <v>215872</v>
      </c>
      <c r="E3677"/>
      <c r="F3677">
        <v>0</v>
      </c>
      <c r="G3677"/>
      <c r="H3677">
        <v>18</v>
      </c>
      <c r="I3677"/>
    </row>
    <row r="3678" spans="1:9" ht="24" customHeight="1">
      <c r="A3678" s="5" t="s">
        <v>4565</v>
      </c>
      <c r="B3678">
        <v>189</v>
      </c>
      <c r="C3678">
        <v>227</v>
      </c>
      <c r="D3678">
        <v>342542</v>
      </c>
      <c r="E3678">
        <v>225268</v>
      </c>
      <c r="F3678">
        <v>12.2</v>
      </c>
      <c r="G3678">
        <v>3.3</v>
      </c>
      <c r="H3678">
        <v>5.3</v>
      </c>
      <c r="I3678">
        <v>9.5</v>
      </c>
    </row>
    <row r="3679" spans="1:9" ht="24" customHeight="1">
      <c r="A3679" s="5" t="s">
        <v>391</v>
      </c>
      <c r="B3679">
        <v>33602</v>
      </c>
      <c r="C3679">
        <v>60155</v>
      </c>
      <c r="D3679">
        <v>255276</v>
      </c>
      <c r="E3679">
        <v>165647</v>
      </c>
      <c r="F3679">
        <v>9.1999999999999993</v>
      </c>
      <c r="G3679">
        <v>6.1</v>
      </c>
      <c r="H3679">
        <v>15.1</v>
      </c>
      <c r="I3679">
        <v>8.9</v>
      </c>
    </row>
    <row r="3680" spans="1:9" ht="24" customHeight="1">
      <c r="A3680" s="5" t="s">
        <v>258</v>
      </c>
      <c r="B3680">
        <v>4977</v>
      </c>
      <c r="C3680">
        <v>5716</v>
      </c>
      <c r="D3680">
        <v>326558</v>
      </c>
      <c r="E3680">
        <v>197061</v>
      </c>
      <c r="F3680">
        <v>13.2</v>
      </c>
      <c r="G3680">
        <v>6.9</v>
      </c>
      <c r="H3680">
        <v>16.899999999999999</v>
      </c>
      <c r="I3680">
        <v>8.5</v>
      </c>
    </row>
    <row r="3681" spans="1:9" ht="24" customHeight="1">
      <c r="A3681" s="5" t="s">
        <v>4566</v>
      </c>
      <c r="B3681">
        <v>13710</v>
      </c>
      <c r="C3681">
        <v>34292</v>
      </c>
      <c r="D3681">
        <v>212993</v>
      </c>
      <c r="E3681">
        <v>148158</v>
      </c>
      <c r="F3681">
        <v>9.8000000000000007</v>
      </c>
      <c r="G3681">
        <v>5.6</v>
      </c>
      <c r="H3681">
        <v>14</v>
      </c>
      <c r="I3681">
        <v>8.3000000000000007</v>
      </c>
    </row>
    <row r="3682" spans="1:9" ht="24" customHeight="1">
      <c r="A3682" s="5" t="s">
        <v>4567</v>
      </c>
      <c r="B3682">
        <v>7635</v>
      </c>
      <c r="C3682">
        <v>10494</v>
      </c>
      <c r="D3682">
        <v>278921</v>
      </c>
      <c r="E3682">
        <v>198754</v>
      </c>
      <c r="F3682">
        <v>7.7</v>
      </c>
      <c r="G3682">
        <v>9.3000000000000007</v>
      </c>
      <c r="H3682">
        <v>17.899999999999999</v>
      </c>
      <c r="I3682">
        <v>10.7</v>
      </c>
    </row>
    <row r="3683" spans="1:9" ht="24" customHeight="1">
      <c r="A3683" s="5" t="s">
        <v>4568</v>
      </c>
      <c r="B3683">
        <v>7281</v>
      </c>
      <c r="C3683">
        <v>9653</v>
      </c>
      <c r="D3683">
        <v>261378</v>
      </c>
      <c r="E3683">
        <v>173184</v>
      </c>
      <c r="F3683">
        <v>6.8</v>
      </c>
      <c r="G3683">
        <v>3.8</v>
      </c>
      <c r="H3683">
        <v>13</v>
      </c>
      <c r="I3683">
        <v>9.5</v>
      </c>
    </row>
    <row r="3684" spans="1:9" ht="24" customHeight="1">
      <c r="A3684" s="5" t="s">
        <v>393</v>
      </c>
      <c r="B3684">
        <v>9903</v>
      </c>
      <c r="C3684">
        <v>14356</v>
      </c>
      <c r="D3684">
        <v>300163</v>
      </c>
      <c r="E3684">
        <v>165387</v>
      </c>
      <c r="F3684">
        <v>9.8000000000000007</v>
      </c>
      <c r="G3684">
        <v>4.5</v>
      </c>
      <c r="H3684">
        <v>16.899999999999999</v>
      </c>
      <c r="I3684">
        <v>9</v>
      </c>
    </row>
    <row r="3685" spans="1:9" ht="24" customHeight="1">
      <c r="A3685" s="5" t="s">
        <v>262</v>
      </c>
      <c r="B3685">
        <v>4698</v>
      </c>
      <c r="C3685">
        <v>2239</v>
      </c>
      <c r="D3685">
        <v>355629</v>
      </c>
      <c r="E3685">
        <v>238023</v>
      </c>
      <c r="F3685">
        <v>12.9</v>
      </c>
      <c r="G3685">
        <v>10.3</v>
      </c>
      <c r="H3685">
        <v>16.3</v>
      </c>
      <c r="I3685">
        <v>11.2</v>
      </c>
    </row>
    <row r="3686" spans="1:9" ht="24" customHeight="1">
      <c r="A3686" s="5" t="s">
        <v>4569</v>
      </c>
      <c r="B3686">
        <v>2084</v>
      </c>
      <c r="C3686">
        <v>6942</v>
      </c>
      <c r="D3686">
        <v>193876</v>
      </c>
      <c r="E3686">
        <v>129897</v>
      </c>
      <c r="F3686">
        <v>5.6</v>
      </c>
      <c r="G3686">
        <v>1.8</v>
      </c>
      <c r="H3686">
        <v>15.4</v>
      </c>
      <c r="I3686">
        <v>7.9</v>
      </c>
    </row>
    <row r="3687" spans="1:9" ht="24" customHeight="1">
      <c r="A3687" s="5" t="s">
        <v>4570</v>
      </c>
      <c r="B3687">
        <v>1512</v>
      </c>
      <c r="C3687">
        <v>3429</v>
      </c>
      <c r="D3687">
        <v>260863</v>
      </c>
      <c r="E3687">
        <v>165618</v>
      </c>
      <c r="F3687">
        <v>9</v>
      </c>
      <c r="G3687">
        <v>4</v>
      </c>
      <c r="H3687">
        <v>16.2</v>
      </c>
      <c r="I3687">
        <v>9.4</v>
      </c>
    </row>
    <row r="3688" spans="1:9" ht="24" customHeight="1">
      <c r="A3688" s="5" t="s">
        <v>4571</v>
      </c>
      <c r="B3688">
        <v>1610</v>
      </c>
      <c r="C3688">
        <v>1747</v>
      </c>
      <c r="D3688">
        <v>312800</v>
      </c>
      <c r="E3688">
        <v>212892</v>
      </c>
      <c r="F3688">
        <v>6.8</v>
      </c>
      <c r="G3688">
        <v>9.1</v>
      </c>
      <c r="H3688">
        <v>20.9</v>
      </c>
      <c r="I3688">
        <v>9.8000000000000007</v>
      </c>
    </row>
    <row r="3689" spans="1:9" ht="24" customHeight="1">
      <c r="A3689" s="5" t="s">
        <v>395</v>
      </c>
      <c r="B3689">
        <v>1767</v>
      </c>
      <c r="C3689">
        <v>5066</v>
      </c>
      <c r="D3689">
        <v>197557</v>
      </c>
      <c r="E3689">
        <v>133067</v>
      </c>
      <c r="F3689">
        <v>1.4</v>
      </c>
      <c r="G3689">
        <v>1.7</v>
      </c>
      <c r="H3689">
        <v>24.4</v>
      </c>
      <c r="I3689">
        <v>10.7</v>
      </c>
    </row>
    <row r="3690" spans="1:9" ht="24" customHeight="1">
      <c r="A3690" s="5" t="s">
        <v>459</v>
      </c>
      <c r="B3690">
        <v>1</v>
      </c>
      <c r="C3690">
        <v>12</v>
      </c>
      <c r="D3690">
        <v>319479</v>
      </c>
      <c r="E3690">
        <v>187799</v>
      </c>
      <c r="F3690">
        <v>0</v>
      </c>
      <c r="G3690">
        <v>0</v>
      </c>
      <c r="H3690">
        <v>39</v>
      </c>
      <c r="I3690">
        <v>4.4000000000000004</v>
      </c>
    </row>
    <row r="3691" spans="1:9" ht="24" customHeight="1">
      <c r="A3691" s="5" t="s">
        <v>4572</v>
      </c>
      <c r="B3691">
        <v>1334</v>
      </c>
      <c r="C3691">
        <v>3072</v>
      </c>
      <c r="D3691">
        <v>174904</v>
      </c>
      <c r="E3691">
        <v>123302</v>
      </c>
      <c r="F3691">
        <v>0.4</v>
      </c>
      <c r="G3691">
        <v>0.6</v>
      </c>
      <c r="H3691">
        <v>27.8</v>
      </c>
      <c r="I3691">
        <v>10.5</v>
      </c>
    </row>
    <row r="3692" spans="1:9" ht="24" customHeight="1">
      <c r="A3692" s="5" t="s">
        <v>4573</v>
      </c>
      <c r="B3692">
        <v>419</v>
      </c>
      <c r="C3692">
        <v>1973</v>
      </c>
      <c r="D3692">
        <v>267454</v>
      </c>
      <c r="E3692">
        <v>147072</v>
      </c>
      <c r="F3692">
        <v>4.0999999999999996</v>
      </c>
      <c r="G3692">
        <v>3.3</v>
      </c>
      <c r="H3692">
        <v>13.8</v>
      </c>
      <c r="I3692">
        <v>10.9</v>
      </c>
    </row>
    <row r="3693" spans="1:9" ht="24" customHeight="1">
      <c r="A3693" s="5" t="s">
        <v>4574</v>
      </c>
      <c r="B3693">
        <v>12</v>
      </c>
      <c r="C3693">
        <v>10</v>
      </c>
      <c r="D3693">
        <v>261122</v>
      </c>
      <c r="E3693">
        <v>304267</v>
      </c>
      <c r="F3693">
        <v>10.8</v>
      </c>
      <c r="G3693">
        <v>28.5</v>
      </c>
      <c r="H3693">
        <v>18.8</v>
      </c>
      <c r="I3693">
        <v>10.5</v>
      </c>
    </row>
    <row r="3694" spans="1:9" ht="24" customHeight="1">
      <c r="A3694" s="5" t="s">
        <v>397</v>
      </c>
      <c r="B3694">
        <v>26117</v>
      </c>
      <c r="C3694">
        <v>11548</v>
      </c>
      <c r="D3694">
        <v>292703</v>
      </c>
      <c r="E3694">
        <v>195770</v>
      </c>
      <c r="F3694">
        <v>8.6</v>
      </c>
      <c r="G3694">
        <v>3.2</v>
      </c>
      <c r="H3694">
        <v>14.6</v>
      </c>
      <c r="I3694">
        <v>11.4</v>
      </c>
    </row>
    <row r="3695" spans="1:9" ht="24" customHeight="1">
      <c r="A3695" s="5" t="s">
        <v>267</v>
      </c>
      <c r="B3695">
        <v>3355</v>
      </c>
      <c r="C3695">
        <v>1111</v>
      </c>
      <c r="D3695">
        <v>376780</v>
      </c>
      <c r="E3695">
        <v>263198</v>
      </c>
      <c r="F3695">
        <v>16.5</v>
      </c>
      <c r="G3695">
        <v>7.7</v>
      </c>
      <c r="H3695">
        <v>13</v>
      </c>
      <c r="I3695">
        <v>9.9</v>
      </c>
    </row>
    <row r="3696" spans="1:9" ht="24" customHeight="1">
      <c r="A3696" s="5" t="s">
        <v>4575</v>
      </c>
      <c r="B3696">
        <v>16132</v>
      </c>
      <c r="C3696">
        <v>6640</v>
      </c>
      <c r="D3696">
        <v>269105</v>
      </c>
      <c r="E3696">
        <v>163685</v>
      </c>
      <c r="F3696">
        <v>7.9</v>
      </c>
      <c r="G3696">
        <v>2.2999999999999998</v>
      </c>
      <c r="H3696">
        <v>11.8</v>
      </c>
      <c r="I3696">
        <v>9.5</v>
      </c>
    </row>
    <row r="3697" spans="1:9" ht="24" customHeight="1">
      <c r="A3697" s="5" t="s">
        <v>4576</v>
      </c>
      <c r="B3697">
        <v>4508</v>
      </c>
      <c r="C3697">
        <v>3011</v>
      </c>
      <c r="D3697">
        <v>311878</v>
      </c>
      <c r="E3697">
        <v>230448</v>
      </c>
      <c r="F3697">
        <v>4.8</v>
      </c>
      <c r="G3697">
        <v>2.5</v>
      </c>
      <c r="H3697">
        <v>24.2</v>
      </c>
      <c r="I3697">
        <v>15.8</v>
      </c>
    </row>
    <row r="3698" spans="1:9" ht="24" customHeight="1">
      <c r="A3698" s="5" t="s">
        <v>4577</v>
      </c>
      <c r="B3698">
        <v>2121</v>
      </c>
      <c r="C3698">
        <v>786</v>
      </c>
      <c r="D3698">
        <v>298437</v>
      </c>
      <c r="E3698">
        <v>238668</v>
      </c>
      <c r="F3698">
        <v>10.1</v>
      </c>
      <c r="G3698">
        <v>6.9</v>
      </c>
      <c r="H3698">
        <v>18.7</v>
      </c>
      <c r="I3698">
        <v>12.8</v>
      </c>
    </row>
    <row r="3699" spans="1:9" ht="24" customHeight="1">
      <c r="A3699" s="5" t="s">
        <v>399</v>
      </c>
      <c r="B3699">
        <v>16003</v>
      </c>
      <c r="C3699">
        <v>4259</v>
      </c>
      <c r="D3699">
        <v>293618</v>
      </c>
      <c r="E3699">
        <v>209803</v>
      </c>
      <c r="F3699">
        <v>15.2</v>
      </c>
      <c r="G3699">
        <v>4.7</v>
      </c>
      <c r="H3699">
        <v>14.7</v>
      </c>
      <c r="I3699">
        <v>11</v>
      </c>
    </row>
    <row r="3700" spans="1:9" ht="24" customHeight="1">
      <c r="A3700" s="5" t="s">
        <v>271</v>
      </c>
      <c r="B3700">
        <v>3090</v>
      </c>
      <c r="C3700">
        <v>892</v>
      </c>
      <c r="D3700">
        <v>407155</v>
      </c>
      <c r="E3700">
        <v>278205</v>
      </c>
      <c r="F3700">
        <v>11.9</v>
      </c>
      <c r="G3700">
        <v>10.8</v>
      </c>
      <c r="H3700">
        <v>29.1</v>
      </c>
      <c r="I3700">
        <v>19.5</v>
      </c>
    </row>
    <row r="3701" spans="1:9" ht="24" customHeight="1">
      <c r="A3701" s="5" t="s">
        <v>4578</v>
      </c>
      <c r="B3701">
        <v>5429</v>
      </c>
      <c r="C3701">
        <v>1561</v>
      </c>
      <c r="D3701">
        <v>246179</v>
      </c>
      <c r="E3701">
        <v>163812</v>
      </c>
      <c r="F3701">
        <v>14.1</v>
      </c>
      <c r="G3701">
        <v>2.1</v>
      </c>
      <c r="H3701">
        <v>6.8</v>
      </c>
      <c r="I3701">
        <v>6.3</v>
      </c>
    </row>
    <row r="3702" spans="1:9" ht="24" customHeight="1">
      <c r="A3702" s="5" t="s">
        <v>4579</v>
      </c>
      <c r="B3702">
        <v>4508</v>
      </c>
      <c r="C3702">
        <v>1240</v>
      </c>
      <c r="D3702">
        <v>266558</v>
      </c>
      <c r="E3702">
        <v>205396</v>
      </c>
      <c r="F3702">
        <v>21.7</v>
      </c>
      <c r="G3702">
        <v>3.3</v>
      </c>
      <c r="H3702">
        <v>11.1</v>
      </c>
      <c r="I3702">
        <v>10.6</v>
      </c>
    </row>
    <row r="3703" spans="1:9" ht="24" customHeight="1">
      <c r="A3703" s="5" t="s">
        <v>4580</v>
      </c>
      <c r="B3703">
        <v>2976</v>
      </c>
      <c r="C3703">
        <v>566</v>
      </c>
      <c r="D3703">
        <v>303274</v>
      </c>
      <c r="E3703">
        <v>238500</v>
      </c>
      <c r="F3703">
        <v>10.8</v>
      </c>
      <c r="G3703">
        <v>4.9000000000000004</v>
      </c>
      <c r="H3703">
        <v>19.8</v>
      </c>
      <c r="I3703">
        <v>11.1</v>
      </c>
    </row>
    <row r="3704" spans="1:9" ht="24" customHeight="1">
      <c r="A3704" s="5" t="s">
        <v>401</v>
      </c>
      <c r="B3704">
        <v>10753</v>
      </c>
      <c r="C3704">
        <v>9444</v>
      </c>
      <c r="D3704">
        <v>292782</v>
      </c>
      <c r="E3704">
        <v>191951</v>
      </c>
      <c r="F3704">
        <v>11.2</v>
      </c>
      <c r="G3704">
        <v>6.1</v>
      </c>
      <c r="H3704">
        <v>14.1</v>
      </c>
      <c r="I3704">
        <v>9.6999999999999993</v>
      </c>
    </row>
    <row r="3705" spans="1:9" ht="24" customHeight="1">
      <c r="A3705" s="5" t="s">
        <v>275</v>
      </c>
      <c r="B3705">
        <v>1837</v>
      </c>
      <c r="C3705">
        <v>786</v>
      </c>
      <c r="D3705">
        <v>354587</v>
      </c>
      <c r="E3705">
        <v>234349</v>
      </c>
      <c r="F3705">
        <v>7.1</v>
      </c>
      <c r="G3705">
        <v>5.4</v>
      </c>
      <c r="H3705">
        <v>21.6</v>
      </c>
      <c r="I3705">
        <v>12.8</v>
      </c>
    </row>
    <row r="3706" spans="1:9" ht="24" customHeight="1">
      <c r="A3706" s="5" t="s">
        <v>4581</v>
      </c>
      <c r="B3706">
        <v>4635</v>
      </c>
      <c r="C3706">
        <v>4435</v>
      </c>
      <c r="D3706">
        <v>247159</v>
      </c>
      <c r="E3706">
        <v>163587</v>
      </c>
      <c r="F3706">
        <v>14.2</v>
      </c>
      <c r="G3706">
        <v>4.8</v>
      </c>
      <c r="H3706">
        <v>7.6</v>
      </c>
      <c r="I3706">
        <v>8.6</v>
      </c>
    </row>
    <row r="3707" spans="1:9" ht="24" customHeight="1">
      <c r="A3707" s="5" t="s">
        <v>4582</v>
      </c>
      <c r="B3707">
        <v>1943</v>
      </c>
      <c r="C3707">
        <v>2137</v>
      </c>
      <c r="D3707">
        <v>327346</v>
      </c>
      <c r="E3707">
        <v>212802</v>
      </c>
      <c r="F3707">
        <v>8.9</v>
      </c>
      <c r="G3707">
        <v>6.9</v>
      </c>
      <c r="H3707">
        <v>17.5</v>
      </c>
      <c r="I3707">
        <v>9.8000000000000007</v>
      </c>
    </row>
    <row r="3708" spans="1:9" ht="24" customHeight="1">
      <c r="A3708" s="5" t="s">
        <v>4583</v>
      </c>
      <c r="B3708">
        <v>2338</v>
      </c>
      <c r="C3708">
        <v>2086</v>
      </c>
      <c r="D3708">
        <v>305939</v>
      </c>
      <c r="E3708">
        <v>214905</v>
      </c>
      <c r="F3708">
        <v>10.4</v>
      </c>
      <c r="G3708">
        <v>8.5</v>
      </c>
      <c r="H3708">
        <v>18.3</v>
      </c>
      <c r="I3708">
        <v>10.8</v>
      </c>
    </row>
    <row r="3709" spans="1:9" ht="24" customHeight="1">
      <c r="A3709" s="5" t="s">
        <v>403</v>
      </c>
      <c r="B3709">
        <v>41219</v>
      </c>
      <c r="C3709">
        <v>35276</v>
      </c>
      <c r="D3709">
        <v>265289</v>
      </c>
      <c r="E3709">
        <v>171030</v>
      </c>
      <c r="F3709">
        <v>11.2</v>
      </c>
      <c r="G3709">
        <v>3.2</v>
      </c>
      <c r="H3709">
        <v>13</v>
      </c>
      <c r="I3709">
        <v>9.1</v>
      </c>
    </row>
    <row r="3710" spans="1:9" ht="24" customHeight="1">
      <c r="A3710" s="5" t="s">
        <v>279</v>
      </c>
      <c r="B3710">
        <v>3878</v>
      </c>
      <c r="C3710">
        <v>1893</v>
      </c>
      <c r="D3710">
        <v>332579</v>
      </c>
      <c r="E3710">
        <v>255223</v>
      </c>
      <c r="F3710">
        <v>18.899999999999999</v>
      </c>
      <c r="G3710">
        <v>11.4</v>
      </c>
      <c r="H3710">
        <v>11.8</v>
      </c>
      <c r="I3710">
        <v>10.199999999999999</v>
      </c>
    </row>
    <row r="3711" spans="1:9" ht="24" customHeight="1">
      <c r="A3711" s="5" t="s">
        <v>4584</v>
      </c>
      <c r="B3711">
        <v>23262</v>
      </c>
      <c r="C3711">
        <v>21888</v>
      </c>
      <c r="D3711">
        <v>245272</v>
      </c>
      <c r="E3711">
        <v>139709</v>
      </c>
      <c r="F3711">
        <v>9.1</v>
      </c>
      <c r="G3711">
        <v>1.4</v>
      </c>
      <c r="H3711">
        <v>12.1</v>
      </c>
      <c r="I3711">
        <v>8</v>
      </c>
    </row>
    <row r="3712" spans="1:9" ht="24" customHeight="1">
      <c r="A3712" s="5" t="s">
        <v>4585</v>
      </c>
      <c r="B3712">
        <v>7320</v>
      </c>
      <c r="C3712">
        <v>6992</v>
      </c>
      <c r="D3712">
        <v>268346</v>
      </c>
      <c r="E3712">
        <v>198345</v>
      </c>
      <c r="F3712">
        <v>14</v>
      </c>
      <c r="G3712">
        <v>5.0999999999999996</v>
      </c>
      <c r="H3712">
        <v>15.2</v>
      </c>
      <c r="I3712">
        <v>12.7</v>
      </c>
    </row>
    <row r="3713" spans="1:9" ht="24" customHeight="1">
      <c r="A3713" s="5" t="s">
        <v>4586</v>
      </c>
      <c r="B3713">
        <v>6758</v>
      </c>
      <c r="C3713">
        <v>4503</v>
      </c>
      <c r="D3713">
        <v>292265</v>
      </c>
      <c r="E3713">
        <v>245465</v>
      </c>
      <c r="F3713">
        <v>11</v>
      </c>
      <c r="G3713">
        <v>6.1</v>
      </c>
      <c r="H3713">
        <v>14.5</v>
      </c>
      <c r="I3713">
        <v>8.1</v>
      </c>
    </row>
    <row r="3714" spans="1:9" ht="24" customHeight="1">
      <c r="A3714" s="5" t="s">
        <v>405</v>
      </c>
      <c r="B3714">
        <v>28536</v>
      </c>
      <c r="C3714">
        <v>19915</v>
      </c>
      <c r="D3714">
        <v>312651</v>
      </c>
      <c r="E3714">
        <v>204586</v>
      </c>
      <c r="F3714">
        <v>8.6</v>
      </c>
      <c r="G3714">
        <v>5</v>
      </c>
      <c r="H3714">
        <v>16.100000000000001</v>
      </c>
      <c r="I3714">
        <v>9.1999999999999993</v>
      </c>
    </row>
    <row r="3715" spans="1:9" ht="24" customHeight="1">
      <c r="A3715" s="5" t="s">
        <v>283</v>
      </c>
      <c r="B3715">
        <v>10115</v>
      </c>
      <c r="C3715">
        <v>5940</v>
      </c>
      <c r="D3715">
        <v>388131</v>
      </c>
      <c r="E3715">
        <v>250659</v>
      </c>
      <c r="F3715">
        <v>9.4</v>
      </c>
      <c r="G3715">
        <v>9.1999999999999993</v>
      </c>
      <c r="H3715">
        <v>18.399999999999999</v>
      </c>
      <c r="I3715">
        <v>8.1999999999999993</v>
      </c>
    </row>
    <row r="3716" spans="1:9" ht="24" customHeight="1">
      <c r="A3716" s="5" t="s">
        <v>4587</v>
      </c>
      <c r="B3716">
        <v>7720</v>
      </c>
      <c r="C3716">
        <v>5460</v>
      </c>
      <c r="D3716">
        <v>223074</v>
      </c>
      <c r="E3716">
        <v>153656</v>
      </c>
      <c r="F3716">
        <v>8.1</v>
      </c>
      <c r="G3716">
        <v>2.6</v>
      </c>
      <c r="H3716">
        <v>11</v>
      </c>
      <c r="I3716">
        <v>8.1999999999999993</v>
      </c>
    </row>
    <row r="3717" spans="1:9" ht="24" customHeight="1">
      <c r="A3717" s="5" t="s">
        <v>4588</v>
      </c>
      <c r="B3717">
        <v>5655</v>
      </c>
      <c r="C3717">
        <v>5394</v>
      </c>
      <c r="D3717">
        <v>278892</v>
      </c>
      <c r="E3717">
        <v>203848</v>
      </c>
      <c r="F3717">
        <v>8.1999999999999993</v>
      </c>
      <c r="G3717">
        <v>3.3</v>
      </c>
      <c r="H3717">
        <v>19.899999999999999</v>
      </c>
      <c r="I3717">
        <v>10.9</v>
      </c>
    </row>
    <row r="3718" spans="1:9" ht="24" customHeight="1">
      <c r="A3718" s="5" t="s">
        <v>4589</v>
      </c>
      <c r="B3718">
        <v>5046</v>
      </c>
      <c r="C3718">
        <v>3120</v>
      </c>
      <c r="D3718">
        <v>336230</v>
      </c>
      <c r="E3718">
        <v>207263</v>
      </c>
      <c r="F3718">
        <v>8.1999999999999993</v>
      </c>
      <c r="G3718">
        <v>4.2</v>
      </c>
      <c r="H3718">
        <v>15.1</v>
      </c>
      <c r="I3718">
        <v>9.9</v>
      </c>
    </row>
    <row r="3719" spans="1:9" ht="24" customHeight="1">
      <c r="A3719" s="5" t="s">
        <v>407</v>
      </c>
      <c r="B3719">
        <v>43767</v>
      </c>
      <c r="C3719">
        <v>28269</v>
      </c>
      <c r="D3719">
        <v>313147</v>
      </c>
      <c r="E3719">
        <v>191021</v>
      </c>
      <c r="F3719">
        <v>9.3000000000000007</v>
      </c>
      <c r="G3719">
        <v>4.8</v>
      </c>
      <c r="H3719">
        <v>15.7</v>
      </c>
      <c r="I3719">
        <v>7.8</v>
      </c>
    </row>
    <row r="3720" spans="1:9" ht="24" customHeight="1">
      <c r="A3720" s="5" t="s">
        <v>287</v>
      </c>
      <c r="B3720">
        <v>6728</v>
      </c>
      <c r="C3720">
        <v>4515</v>
      </c>
      <c r="D3720">
        <v>362144</v>
      </c>
      <c r="E3720">
        <v>275035</v>
      </c>
      <c r="F3720">
        <v>8</v>
      </c>
      <c r="G3720">
        <v>9.8000000000000007</v>
      </c>
      <c r="H3720">
        <v>21.9</v>
      </c>
      <c r="I3720">
        <v>7.2</v>
      </c>
    </row>
    <row r="3721" spans="1:9" ht="24" customHeight="1">
      <c r="A3721" s="5" t="s">
        <v>4590</v>
      </c>
      <c r="B3721">
        <v>18211</v>
      </c>
      <c r="C3721">
        <v>11639</v>
      </c>
      <c r="D3721">
        <v>286061</v>
      </c>
      <c r="E3721">
        <v>152909</v>
      </c>
      <c r="F3721">
        <v>9.1999999999999993</v>
      </c>
      <c r="G3721">
        <v>3.7</v>
      </c>
      <c r="H3721">
        <v>12.7</v>
      </c>
      <c r="I3721">
        <v>7.9</v>
      </c>
    </row>
    <row r="3722" spans="1:9" ht="24" customHeight="1">
      <c r="A3722" s="5" t="s">
        <v>4591</v>
      </c>
      <c r="B3722">
        <v>11322</v>
      </c>
      <c r="C3722">
        <v>7221</v>
      </c>
      <c r="D3722">
        <v>288574</v>
      </c>
      <c r="E3722">
        <v>191835</v>
      </c>
      <c r="F3722">
        <v>9.6999999999999993</v>
      </c>
      <c r="G3722">
        <v>5.4</v>
      </c>
      <c r="H3722">
        <v>16.7</v>
      </c>
      <c r="I3722">
        <v>10.6</v>
      </c>
    </row>
    <row r="3723" spans="1:9" ht="24" customHeight="1">
      <c r="A3723" s="5" t="s">
        <v>4592</v>
      </c>
      <c r="B3723">
        <v>7507</v>
      </c>
      <c r="C3723">
        <v>4894</v>
      </c>
      <c r="D3723">
        <v>372011</v>
      </c>
      <c r="E3723">
        <v>202942</v>
      </c>
      <c r="F3723">
        <v>10</v>
      </c>
      <c r="G3723">
        <v>1.6</v>
      </c>
      <c r="H3723">
        <v>16.100000000000001</v>
      </c>
      <c r="I3723">
        <v>4.3</v>
      </c>
    </row>
    <row r="3724" spans="1:9" ht="24" customHeight="1">
      <c r="A3724" s="5" t="s">
        <v>409</v>
      </c>
      <c r="B3724">
        <v>17118</v>
      </c>
      <c r="C3724">
        <v>24469</v>
      </c>
      <c r="D3724">
        <v>314325</v>
      </c>
      <c r="E3724">
        <v>189908</v>
      </c>
      <c r="F3724">
        <v>6.1</v>
      </c>
      <c r="G3724">
        <v>3.8</v>
      </c>
      <c r="H3724">
        <v>18.600000000000001</v>
      </c>
      <c r="I3724">
        <v>9.8000000000000007</v>
      </c>
    </row>
    <row r="3725" spans="1:9" ht="24" customHeight="1">
      <c r="A3725" s="5" t="s">
        <v>291</v>
      </c>
      <c r="B3725">
        <v>6656</v>
      </c>
      <c r="C3725">
        <v>4274</v>
      </c>
      <c r="D3725">
        <v>377083</v>
      </c>
      <c r="E3725">
        <v>246659</v>
      </c>
      <c r="F3725">
        <v>7.7</v>
      </c>
      <c r="G3725">
        <v>6.3</v>
      </c>
      <c r="H3725">
        <v>22.7</v>
      </c>
      <c r="I3725">
        <v>13.7</v>
      </c>
    </row>
    <row r="3726" spans="1:9" ht="24" customHeight="1">
      <c r="A3726" s="5" t="s">
        <v>4593</v>
      </c>
      <c r="B3726">
        <v>4064</v>
      </c>
      <c r="C3726">
        <v>5980</v>
      </c>
      <c r="D3726">
        <v>220293</v>
      </c>
      <c r="E3726">
        <v>149768</v>
      </c>
      <c r="F3726">
        <v>3.7</v>
      </c>
      <c r="G3726">
        <v>2.1</v>
      </c>
      <c r="H3726">
        <v>12.3</v>
      </c>
      <c r="I3726">
        <v>8.1</v>
      </c>
    </row>
    <row r="3727" spans="1:9" ht="24" customHeight="1">
      <c r="A3727" s="5" t="s">
        <v>4594</v>
      </c>
      <c r="B3727">
        <v>3130</v>
      </c>
      <c r="C3727">
        <v>9059</v>
      </c>
      <c r="D3727">
        <v>314914</v>
      </c>
      <c r="E3727">
        <v>174810</v>
      </c>
      <c r="F3727">
        <v>4.3</v>
      </c>
      <c r="G3727">
        <v>2.8</v>
      </c>
      <c r="H3727">
        <v>16.7</v>
      </c>
      <c r="I3727">
        <v>8.8000000000000007</v>
      </c>
    </row>
    <row r="3728" spans="1:9" ht="24" customHeight="1">
      <c r="A3728" s="5" t="s">
        <v>4595</v>
      </c>
      <c r="B3728">
        <v>3268</v>
      </c>
      <c r="C3728">
        <v>5157</v>
      </c>
      <c r="D3728">
        <v>302888</v>
      </c>
      <c r="E3728">
        <v>215947</v>
      </c>
      <c r="F3728">
        <v>7.6</v>
      </c>
      <c r="G3728">
        <v>5.4</v>
      </c>
      <c r="H3728">
        <v>20</v>
      </c>
      <c r="I3728">
        <v>10.1</v>
      </c>
    </row>
    <row r="3729" spans="1:9" ht="24" customHeight="1">
      <c r="A3729" s="5" t="s">
        <v>411</v>
      </c>
      <c r="B3729">
        <v>28668</v>
      </c>
      <c r="C3729">
        <v>41274</v>
      </c>
      <c r="D3729">
        <v>348355</v>
      </c>
      <c r="E3729">
        <v>172195</v>
      </c>
      <c r="F3729">
        <v>7.4</v>
      </c>
      <c r="G3729">
        <v>4.2</v>
      </c>
      <c r="H3729">
        <v>19.7</v>
      </c>
      <c r="I3729">
        <v>10.1</v>
      </c>
    </row>
    <row r="3730" spans="1:9" ht="24" customHeight="1">
      <c r="A3730" s="5" t="s">
        <v>295</v>
      </c>
      <c r="B3730">
        <v>12920</v>
      </c>
      <c r="C3730">
        <v>6996</v>
      </c>
      <c r="D3730">
        <v>428945</v>
      </c>
      <c r="E3730">
        <v>226967</v>
      </c>
      <c r="F3730">
        <v>8.3000000000000007</v>
      </c>
      <c r="G3730">
        <v>4.5</v>
      </c>
      <c r="H3730">
        <v>22.5</v>
      </c>
      <c r="I3730">
        <v>11.2</v>
      </c>
    </row>
    <row r="3731" spans="1:9" ht="24" customHeight="1">
      <c r="A3731" s="5" t="s">
        <v>4596</v>
      </c>
      <c r="B3731">
        <v>4141</v>
      </c>
      <c r="C3731">
        <v>16175</v>
      </c>
      <c r="D3731">
        <v>242573</v>
      </c>
      <c r="E3731">
        <v>135580</v>
      </c>
      <c r="F3731">
        <v>7</v>
      </c>
      <c r="G3731">
        <v>2</v>
      </c>
      <c r="H3731">
        <v>11</v>
      </c>
      <c r="I3731">
        <v>9.1</v>
      </c>
    </row>
    <row r="3732" spans="1:9" ht="24" customHeight="1">
      <c r="A3732" s="5" t="s">
        <v>4597</v>
      </c>
      <c r="B3732">
        <v>6710</v>
      </c>
      <c r="C3732">
        <v>11589</v>
      </c>
      <c r="D3732">
        <v>286283</v>
      </c>
      <c r="E3732">
        <v>171393</v>
      </c>
      <c r="F3732">
        <v>5</v>
      </c>
      <c r="G3732">
        <v>5.2</v>
      </c>
      <c r="H3732">
        <v>19.399999999999999</v>
      </c>
      <c r="I3732">
        <v>9.5</v>
      </c>
    </row>
    <row r="3733" spans="1:9" ht="24" customHeight="1">
      <c r="A3733" s="5" t="s">
        <v>4598</v>
      </c>
      <c r="B3733">
        <v>4897</v>
      </c>
      <c r="C3733">
        <v>6514</v>
      </c>
      <c r="D3733">
        <v>310254</v>
      </c>
      <c r="E3733">
        <v>205713</v>
      </c>
      <c r="F3733">
        <v>8.8000000000000007</v>
      </c>
      <c r="G3733">
        <v>7.9</v>
      </c>
      <c r="H3733">
        <v>20.2</v>
      </c>
      <c r="I3733">
        <v>12.6</v>
      </c>
    </row>
    <row r="3734" spans="1:9" ht="24" customHeight="1">
      <c r="A3734" s="5" t="s">
        <v>413</v>
      </c>
      <c r="B3734">
        <v>40575</v>
      </c>
      <c r="C3734">
        <v>67011</v>
      </c>
      <c r="D3734">
        <v>339775</v>
      </c>
      <c r="E3734">
        <v>194625</v>
      </c>
      <c r="F3734">
        <v>9.5</v>
      </c>
      <c r="G3734">
        <v>6.7</v>
      </c>
      <c r="H3734">
        <v>17.2</v>
      </c>
      <c r="I3734">
        <v>10</v>
      </c>
    </row>
    <row r="3735" spans="1:9" ht="24" customHeight="1">
      <c r="A3735" s="5" t="s">
        <v>299</v>
      </c>
      <c r="B3735">
        <v>16319</v>
      </c>
      <c r="C3735">
        <v>8215</v>
      </c>
      <c r="D3735">
        <v>418512</v>
      </c>
      <c r="E3735">
        <v>280348</v>
      </c>
      <c r="F3735">
        <v>14.5</v>
      </c>
      <c r="G3735">
        <v>11.9</v>
      </c>
      <c r="H3735">
        <v>19.899999999999999</v>
      </c>
      <c r="I3735">
        <v>12.1</v>
      </c>
    </row>
    <row r="3736" spans="1:9" ht="24" customHeight="1">
      <c r="A3736" s="5" t="s">
        <v>4599</v>
      </c>
      <c r="B3736">
        <v>12698</v>
      </c>
      <c r="C3736">
        <v>31689</v>
      </c>
      <c r="D3736">
        <v>235501</v>
      </c>
      <c r="E3736">
        <v>171402</v>
      </c>
      <c r="F3736">
        <v>5.7</v>
      </c>
      <c r="G3736">
        <v>4.2</v>
      </c>
      <c r="H3736">
        <v>14.4</v>
      </c>
      <c r="I3736">
        <v>9.6999999999999993</v>
      </c>
    </row>
    <row r="3737" spans="1:9" ht="24" customHeight="1">
      <c r="A3737" s="5" t="s">
        <v>4600</v>
      </c>
      <c r="B3737">
        <v>5773</v>
      </c>
      <c r="C3737">
        <v>13372</v>
      </c>
      <c r="D3737">
        <v>310105</v>
      </c>
      <c r="E3737">
        <v>180689</v>
      </c>
      <c r="F3737">
        <v>7</v>
      </c>
      <c r="G3737">
        <v>3.9</v>
      </c>
      <c r="H3737">
        <v>16.8</v>
      </c>
      <c r="I3737">
        <v>10.4</v>
      </c>
    </row>
    <row r="3738" spans="1:9" ht="24" customHeight="1">
      <c r="A3738" s="5" t="s">
        <v>4601</v>
      </c>
      <c r="B3738">
        <v>5785</v>
      </c>
      <c r="C3738">
        <v>13735</v>
      </c>
      <c r="D3738">
        <v>376148</v>
      </c>
      <c r="E3738">
        <v>210501</v>
      </c>
      <c r="F3738">
        <v>6.1</v>
      </c>
      <c r="G3738">
        <v>12</v>
      </c>
      <c r="H3738">
        <v>16</v>
      </c>
      <c r="I3738">
        <v>9</v>
      </c>
    </row>
    <row r="3739" spans="1:9" ht="24" customHeight="1">
      <c r="A3739" s="5" t="s">
        <v>415</v>
      </c>
      <c r="B3739">
        <v>9988</v>
      </c>
      <c r="C3739">
        <v>12613</v>
      </c>
      <c r="D3739">
        <v>345335</v>
      </c>
      <c r="E3739">
        <v>160832</v>
      </c>
      <c r="F3739">
        <v>6.3</v>
      </c>
      <c r="G3739">
        <v>3.2</v>
      </c>
      <c r="H3739">
        <v>22.8</v>
      </c>
      <c r="I3739">
        <v>10.9</v>
      </c>
    </row>
    <row r="3740" spans="1:9" ht="24" customHeight="1">
      <c r="A3740" s="5" t="s">
        <v>303</v>
      </c>
      <c r="B3740">
        <v>3811</v>
      </c>
      <c r="C3740">
        <v>1458</v>
      </c>
      <c r="D3740">
        <v>432077</v>
      </c>
      <c r="E3740">
        <v>249957</v>
      </c>
      <c r="F3740">
        <v>9.1</v>
      </c>
      <c r="G3740">
        <v>7.8</v>
      </c>
      <c r="H3740">
        <v>30.2</v>
      </c>
      <c r="I3740">
        <v>16.2</v>
      </c>
    </row>
    <row r="3741" spans="1:9" ht="24" customHeight="1">
      <c r="A3741" s="5" t="s">
        <v>4602</v>
      </c>
      <c r="B3741">
        <v>1510</v>
      </c>
      <c r="C3741">
        <v>5098</v>
      </c>
      <c r="D3741">
        <v>214877</v>
      </c>
      <c r="E3741">
        <v>121493</v>
      </c>
      <c r="F3741">
        <v>3.2</v>
      </c>
      <c r="G3741">
        <v>1.8</v>
      </c>
      <c r="H3741">
        <v>15.5</v>
      </c>
      <c r="I3741">
        <v>8.5</v>
      </c>
    </row>
    <row r="3742" spans="1:9" ht="24" customHeight="1">
      <c r="A3742" s="5" t="s">
        <v>4603</v>
      </c>
      <c r="B3742">
        <v>2603</v>
      </c>
      <c r="C3742">
        <v>4152</v>
      </c>
      <c r="D3742">
        <v>270267</v>
      </c>
      <c r="E3742">
        <v>160375</v>
      </c>
      <c r="F3742">
        <v>4.9000000000000004</v>
      </c>
      <c r="G3742">
        <v>1.5</v>
      </c>
      <c r="H3742">
        <v>13</v>
      </c>
      <c r="I3742">
        <v>10.3</v>
      </c>
    </row>
    <row r="3743" spans="1:9" ht="24" customHeight="1">
      <c r="A3743" s="5" t="s">
        <v>4604</v>
      </c>
      <c r="B3743">
        <v>2065</v>
      </c>
      <c r="C3743">
        <v>1905</v>
      </c>
      <c r="D3743">
        <v>375241</v>
      </c>
      <c r="E3743">
        <v>198859</v>
      </c>
      <c r="F3743">
        <v>5.4</v>
      </c>
      <c r="G3743">
        <v>7.4</v>
      </c>
      <c r="H3743">
        <v>26.9</v>
      </c>
      <c r="I3743">
        <v>14.8</v>
      </c>
    </row>
    <row r="3744" spans="1:9" ht="24" customHeight="1">
      <c r="A3744" s="5" t="s">
        <v>417</v>
      </c>
      <c r="B3744">
        <v>79433</v>
      </c>
      <c r="C3744">
        <v>52003</v>
      </c>
      <c r="D3744">
        <v>335773</v>
      </c>
      <c r="E3744">
        <v>183169</v>
      </c>
      <c r="F3744">
        <v>12.9</v>
      </c>
      <c r="G3744">
        <v>7.1</v>
      </c>
      <c r="H3744">
        <v>13.4</v>
      </c>
      <c r="I3744">
        <v>9.5</v>
      </c>
    </row>
    <row r="3745" spans="1:9" ht="24" customHeight="1">
      <c r="A3745" s="5" t="s">
        <v>307</v>
      </c>
      <c r="B3745">
        <v>30787</v>
      </c>
      <c r="C3745">
        <v>10302</v>
      </c>
      <c r="D3745">
        <v>401357</v>
      </c>
      <c r="E3745">
        <v>313929</v>
      </c>
      <c r="F3745">
        <v>14.3</v>
      </c>
      <c r="G3745">
        <v>15.3</v>
      </c>
      <c r="H3745">
        <v>18.100000000000001</v>
      </c>
      <c r="I3745">
        <v>7.9</v>
      </c>
    </row>
    <row r="3746" spans="1:9" ht="24" customHeight="1">
      <c r="A3746" s="5" t="s">
        <v>4605</v>
      </c>
      <c r="B3746">
        <v>15442</v>
      </c>
      <c r="C3746">
        <v>20121</v>
      </c>
      <c r="D3746">
        <v>234880</v>
      </c>
      <c r="E3746">
        <v>114286</v>
      </c>
      <c r="F3746">
        <v>14</v>
      </c>
      <c r="G3746">
        <v>1.7</v>
      </c>
      <c r="H3746">
        <v>9.6</v>
      </c>
      <c r="I3746">
        <v>10.6</v>
      </c>
    </row>
    <row r="3747" spans="1:9" ht="24" customHeight="1">
      <c r="A3747" s="5" t="s">
        <v>4606</v>
      </c>
      <c r="B3747">
        <v>13285</v>
      </c>
      <c r="C3747">
        <v>13796</v>
      </c>
      <c r="D3747">
        <v>367954</v>
      </c>
      <c r="E3747">
        <v>181286</v>
      </c>
      <c r="F3747">
        <v>11.4</v>
      </c>
      <c r="G3747">
        <v>6.2</v>
      </c>
      <c r="H3747">
        <v>9.6</v>
      </c>
      <c r="I3747">
        <v>9.6</v>
      </c>
    </row>
    <row r="3748" spans="1:9" ht="24" customHeight="1">
      <c r="A3748" s="5" t="s">
        <v>4607</v>
      </c>
      <c r="B3748">
        <v>19919</v>
      </c>
      <c r="C3748">
        <v>7784</v>
      </c>
      <c r="D3748">
        <v>291158</v>
      </c>
      <c r="E3748">
        <v>191513</v>
      </c>
      <c r="F3748">
        <v>10.9</v>
      </c>
      <c r="G3748">
        <v>11.6</v>
      </c>
      <c r="H3748">
        <v>11.4</v>
      </c>
      <c r="I3748">
        <v>8.6</v>
      </c>
    </row>
    <row r="3749" spans="1:9" ht="24" customHeight="1">
      <c r="A3749" s="5" t="s">
        <v>419</v>
      </c>
      <c r="B3749">
        <v>12320</v>
      </c>
      <c r="C3749">
        <v>25591</v>
      </c>
      <c r="D3749">
        <v>265599</v>
      </c>
      <c r="E3749">
        <v>160739</v>
      </c>
      <c r="F3749">
        <v>5.0999999999999996</v>
      </c>
      <c r="G3749">
        <v>2</v>
      </c>
      <c r="H3749">
        <v>15.5</v>
      </c>
      <c r="I3749">
        <v>9</v>
      </c>
    </row>
    <row r="3750" spans="1:9" ht="24" customHeight="1">
      <c r="A3750" s="5" t="s">
        <v>311</v>
      </c>
      <c r="B3750">
        <v>1628</v>
      </c>
      <c r="C3750">
        <v>2032</v>
      </c>
      <c r="D3750">
        <v>341806</v>
      </c>
      <c r="E3750">
        <v>239220</v>
      </c>
      <c r="F3750">
        <v>11.2</v>
      </c>
      <c r="G3750">
        <v>7.6</v>
      </c>
      <c r="H3750">
        <v>22</v>
      </c>
      <c r="I3750">
        <v>11.7</v>
      </c>
    </row>
    <row r="3751" spans="1:9" ht="24" customHeight="1">
      <c r="A3751" s="5" t="s">
        <v>4608</v>
      </c>
      <c r="B3751">
        <v>5496</v>
      </c>
      <c r="C3751">
        <v>14221</v>
      </c>
      <c r="D3751">
        <v>190673</v>
      </c>
      <c r="E3751">
        <v>131103</v>
      </c>
      <c r="F3751">
        <v>1.7</v>
      </c>
      <c r="G3751">
        <v>0.7</v>
      </c>
      <c r="H3751">
        <v>11.3</v>
      </c>
      <c r="I3751">
        <v>9.1</v>
      </c>
    </row>
    <row r="3752" spans="1:9" ht="24" customHeight="1">
      <c r="A3752" s="5" t="s">
        <v>4609</v>
      </c>
      <c r="B3752">
        <v>3409</v>
      </c>
      <c r="C3752">
        <v>6284</v>
      </c>
      <c r="D3752">
        <v>353758</v>
      </c>
      <c r="E3752">
        <v>194323</v>
      </c>
      <c r="F3752">
        <v>6.5</v>
      </c>
      <c r="G3752">
        <v>1.9</v>
      </c>
      <c r="H3752">
        <v>20</v>
      </c>
      <c r="I3752">
        <v>8</v>
      </c>
    </row>
    <row r="3753" spans="1:9" ht="24" customHeight="1">
      <c r="A3753" s="5" t="s">
        <v>4610</v>
      </c>
      <c r="B3753">
        <v>1786</v>
      </c>
      <c r="C3753">
        <v>3054</v>
      </c>
      <c r="D3753">
        <v>258417</v>
      </c>
      <c r="E3753">
        <v>177419</v>
      </c>
      <c r="F3753">
        <v>7.7</v>
      </c>
      <c r="G3753">
        <v>4.4000000000000004</v>
      </c>
      <c r="H3753">
        <v>13.9</v>
      </c>
      <c r="I3753">
        <v>8.9</v>
      </c>
    </row>
    <row r="3754" spans="1:9" ht="24" customHeight="1">
      <c r="A3754" s="5" t="s">
        <v>373</v>
      </c>
      <c r="B3754">
        <v>224078</v>
      </c>
      <c r="C3754">
        <v>658418</v>
      </c>
      <c r="D3754">
        <v>194839</v>
      </c>
      <c r="E3754">
        <v>153775</v>
      </c>
      <c r="F3754">
        <v>12.4</v>
      </c>
      <c r="G3754">
        <v>11.2</v>
      </c>
      <c r="H3754">
        <v>8.6</v>
      </c>
      <c r="I3754">
        <v>8.1</v>
      </c>
    </row>
    <row r="3755" spans="1:9" ht="24" customHeight="1">
      <c r="A3755" s="5" t="s">
        <v>222</v>
      </c>
      <c r="B3755">
        <v>104818</v>
      </c>
      <c r="C3755">
        <v>345477</v>
      </c>
      <c r="D3755">
        <v>216953</v>
      </c>
      <c r="E3755">
        <v>172820</v>
      </c>
      <c r="F3755">
        <v>16.8</v>
      </c>
      <c r="G3755">
        <v>16.2</v>
      </c>
      <c r="H3755">
        <v>9.6</v>
      </c>
      <c r="I3755">
        <v>7.9</v>
      </c>
    </row>
    <row r="3756" spans="1:9" ht="24" customHeight="1">
      <c r="A3756" s="5" t="s">
        <v>4611</v>
      </c>
      <c r="B3756">
        <v>33974</v>
      </c>
      <c r="C3756">
        <v>100943</v>
      </c>
      <c r="D3756">
        <v>185747</v>
      </c>
      <c r="E3756">
        <v>126673</v>
      </c>
      <c r="F3756">
        <v>7.2</v>
      </c>
      <c r="G3756">
        <v>4</v>
      </c>
      <c r="H3756">
        <v>10.1</v>
      </c>
      <c r="I3756">
        <v>8.8000000000000007</v>
      </c>
    </row>
    <row r="3757" spans="1:9" ht="24" customHeight="1">
      <c r="A3757" s="5" t="s">
        <v>4612</v>
      </c>
      <c r="B3757">
        <v>26951</v>
      </c>
      <c r="C3757">
        <v>79244</v>
      </c>
      <c r="D3757">
        <v>208811</v>
      </c>
      <c r="E3757">
        <v>155188</v>
      </c>
      <c r="F3757">
        <v>11.9</v>
      </c>
      <c r="G3757">
        <v>8.3000000000000007</v>
      </c>
      <c r="H3757">
        <v>7.7</v>
      </c>
      <c r="I3757">
        <v>8.5</v>
      </c>
    </row>
    <row r="3758" spans="1:9" ht="24" customHeight="1">
      <c r="A3758" s="5" t="s">
        <v>4613</v>
      </c>
      <c r="B3758">
        <v>58335</v>
      </c>
      <c r="C3758">
        <v>132754</v>
      </c>
      <c r="D3758">
        <v>153944</v>
      </c>
      <c r="E3758">
        <v>123974</v>
      </c>
      <c r="F3758">
        <v>7.8</v>
      </c>
      <c r="G3758">
        <v>5.3</v>
      </c>
      <c r="H3758">
        <v>6.2</v>
      </c>
      <c r="I3758">
        <v>7.8</v>
      </c>
    </row>
    <row r="3759" spans="1:9" ht="24" customHeight="1">
      <c r="A3759" s="5" t="s">
        <v>427</v>
      </c>
      <c r="B3759">
        <v>10804</v>
      </c>
      <c r="C3759">
        <v>3765</v>
      </c>
      <c r="D3759">
        <v>352806</v>
      </c>
      <c r="E3759">
        <v>231289</v>
      </c>
      <c r="F3759">
        <v>5.7</v>
      </c>
      <c r="G3759">
        <v>2.4</v>
      </c>
      <c r="H3759">
        <v>13.5</v>
      </c>
      <c r="I3759">
        <v>7.2</v>
      </c>
    </row>
    <row r="3760" spans="1:9" ht="24" customHeight="1">
      <c r="A3760" s="5" t="s">
        <v>335</v>
      </c>
      <c r="B3760">
        <v>6464</v>
      </c>
      <c r="C3760">
        <v>2443</v>
      </c>
      <c r="D3760">
        <v>377004</v>
      </c>
      <c r="E3760">
        <v>252948</v>
      </c>
      <c r="F3760">
        <v>6.4</v>
      </c>
      <c r="G3760">
        <v>2.6</v>
      </c>
      <c r="H3760">
        <v>13.3</v>
      </c>
      <c r="I3760">
        <v>7.1</v>
      </c>
    </row>
    <row r="3761" spans="1:9" ht="24" customHeight="1">
      <c r="A3761" s="5" t="s">
        <v>4614</v>
      </c>
      <c r="B3761">
        <v>1728</v>
      </c>
      <c r="C3761">
        <v>639</v>
      </c>
      <c r="D3761">
        <v>307296</v>
      </c>
      <c r="E3761">
        <v>168928</v>
      </c>
      <c r="F3761">
        <v>3.2</v>
      </c>
      <c r="G3761">
        <v>1.2</v>
      </c>
      <c r="H3761">
        <v>14.8</v>
      </c>
      <c r="I3761">
        <v>6.5</v>
      </c>
    </row>
    <row r="3762" spans="1:9" ht="24" customHeight="1">
      <c r="A3762" s="5" t="s">
        <v>4615</v>
      </c>
      <c r="B3762">
        <v>1115</v>
      </c>
      <c r="C3762">
        <v>322</v>
      </c>
      <c r="D3762">
        <v>337708</v>
      </c>
      <c r="E3762">
        <v>173561</v>
      </c>
      <c r="F3762">
        <v>5.0999999999999996</v>
      </c>
      <c r="G3762">
        <v>1</v>
      </c>
      <c r="H3762">
        <v>12.4</v>
      </c>
      <c r="I3762">
        <v>8.4</v>
      </c>
    </row>
    <row r="3763" spans="1:9" ht="24" customHeight="1">
      <c r="A3763" s="5" t="s">
        <v>4616</v>
      </c>
      <c r="B3763">
        <v>1498</v>
      </c>
      <c r="C3763">
        <v>361</v>
      </c>
      <c r="D3763">
        <v>312113</v>
      </c>
      <c r="E3763">
        <v>246494</v>
      </c>
      <c r="F3763">
        <v>5.8</v>
      </c>
      <c r="G3763">
        <v>4.4000000000000004</v>
      </c>
      <c r="H3763">
        <v>13.6</v>
      </c>
      <c r="I3763">
        <v>8.6</v>
      </c>
    </row>
    <row r="3764" spans="1:9" ht="24" customHeight="1">
      <c r="A3764" s="5" t="s">
        <v>429</v>
      </c>
      <c r="B3764">
        <v>96460</v>
      </c>
      <c r="C3764">
        <v>94746</v>
      </c>
      <c r="D3764">
        <v>365594</v>
      </c>
      <c r="E3764">
        <v>223403</v>
      </c>
      <c r="F3764">
        <v>5.6</v>
      </c>
      <c r="G3764">
        <v>4.0999999999999996</v>
      </c>
      <c r="H3764">
        <v>12.3</v>
      </c>
      <c r="I3764">
        <v>5.9</v>
      </c>
    </row>
    <row r="3765" spans="1:9" ht="24" customHeight="1">
      <c r="A3765" s="5" t="s">
        <v>338</v>
      </c>
      <c r="B3765">
        <v>36868</v>
      </c>
      <c r="C3765">
        <v>30307</v>
      </c>
      <c r="D3765">
        <v>354552</v>
      </c>
      <c r="E3765">
        <v>225927</v>
      </c>
      <c r="F3765">
        <v>6.1</v>
      </c>
      <c r="G3765">
        <v>3.5</v>
      </c>
      <c r="H3765">
        <v>15.2</v>
      </c>
      <c r="I3765">
        <v>5.2</v>
      </c>
    </row>
    <row r="3766" spans="1:9" ht="24" customHeight="1">
      <c r="A3766" s="5" t="s">
        <v>4617</v>
      </c>
      <c r="B3766">
        <v>28787</v>
      </c>
      <c r="C3766">
        <v>28121</v>
      </c>
      <c r="D3766">
        <v>376765</v>
      </c>
      <c r="E3766">
        <v>202934</v>
      </c>
      <c r="F3766">
        <v>3.2</v>
      </c>
      <c r="G3766">
        <v>3.3</v>
      </c>
      <c r="H3766">
        <v>9</v>
      </c>
      <c r="I3766">
        <v>5.4</v>
      </c>
    </row>
    <row r="3767" spans="1:9" ht="24" customHeight="1">
      <c r="A3767" s="5" t="s">
        <v>4618</v>
      </c>
      <c r="B3767">
        <v>18540</v>
      </c>
      <c r="C3767">
        <v>21660</v>
      </c>
      <c r="D3767">
        <v>376368</v>
      </c>
      <c r="E3767">
        <v>259761</v>
      </c>
      <c r="F3767">
        <v>8.1999999999999993</v>
      </c>
      <c r="G3767">
        <v>5.9</v>
      </c>
      <c r="H3767">
        <v>10.6</v>
      </c>
      <c r="I3767">
        <v>5.7</v>
      </c>
    </row>
    <row r="3768" spans="1:9" ht="24" customHeight="1">
      <c r="A3768" s="5" t="s">
        <v>4619</v>
      </c>
      <c r="B3768">
        <v>12265</v>
      </c>
      <c r="C3768">
        <v>14657</v>
      </c>
      <c r="D3768">
        <v>356278</v>
      </c>
      <c r="E3768">
        <v>203730</v>
      </c>
      <c r="F3768">
        <v>5.9</v>
      </c>
      <c r="G3768">
        <v>3.9</v>
      </c>
      <c r="H3768">
        <v>14.5</v>
      </c>
      <c r="I3768">
        <v>8.8000000000000007</v>
      </c>
    </row>
    <row r="3769" spans="1:9" ht="24" customHeight="1">
      <c r="A3769" s="5" t="s">
        <v>431</v>
      </c>
      <c r="B3769">
        <v>405802</v>
      </c>
      <c r="C3769">
        <v>303036</v>
      </c>
      <c r="D3769">
        <v>236267</v>
      </c>
      <c r="E3769">
        <v>143356</v>
      </c>
      <c r="F3769">
        <v>13.6</v>
      </c>
      <c r="G3769">
        <v>5</v>
      </c>
      <c r="H3769">
        <v>11.4</v>
      </c>
      <c r="I3769">
        <v>7.6</v>
      </c>
    </row>
    <row r="3770" spans="1:9" ht="24" customHeight="1">
      <c r="A3770" s="5" t="s">
        <v>341</v>
      </c>
      <c r="B3770">
        <v>131400</v>
      </c>
      <c r="C3770">
        <v>132897</v>
      </c>
      <c r="D3770">
        <v>230263</v>
      </c>
      <c r="E3770">
        <v>152241</v>
      </c>
      <c r="F3770">
        <v>12.3</v>
      </c>
      <c r="G3770">
        <v>6.5</v>
      </c>
      <c r="H3770">
        <v>10.7</v>
      </c>
      <c r="I3770">
        <v>7.6</v>
      </c>
    </row>
    <row r="3771" spans="1:9" ht="24" customHeight="1">
      <c r="A3771" s="5" t="s">
        <v>4620</v>
      </c>
      <c r="B3771">
        <v>115063</v>
      </c>
      <c r="C3771">
        <v>47376</v>
      </c>
      <c r="D3771">
        <v>229558</v>
      </c>
      <c r="E3771">
        <v>134265</v>
      </c>
      <c r="F3771">
        <v>13.3</v>
      </c>
      <c r="G3771">
        <v>2.7</v>
      </c>
      <c r="H3771">
        <v>11.1</v>
      </c>
      <c r="I3771">
        <v>7.7</v>
      </c>
    </row>
    <row r="3772" spans="1:9" ht="24" customHeight="1">
      <c r="A3772" s="5" t="s">
        <v>4621</v>
      </c>
      <c r="B3772">
        <v>98312</v>
      </c>
      <c r="C3772">
        <v>44231</v>
      </c>
      <c r="D3772">
        <v>250884</v>
      </c>
      <c r="E3772">
        <v>150827</v>
      </c>
      <c r="F3772">
        <v>16</v>
      </c>
      <c r="G3772">
        <v>4.4000000000000004</v>
      </c>
      <c r="H3772">
        <v>13.3</v>
      </c>
      <c r="I3772">
        <v>8.6999999999999993</v>
      </c>
    </row>
    <row r="3773" spans="1:9" ht="24" customHeight="1">
      <c r="A3773" s="5" t="s">
        <v>4622</v>
      </c>
      <c r="B3773">
        <v>61026</v>
      </c>
      <c r="C3773">
        <v>78533</v>
      </c>
      <c r="D3773">
        <v>238296</v>
      </c>
      <c r="E3773">
        <v>129595</v>
      </c>
      <c r="F3773">
        <v>12.8</v>
      </c>
      <c r="G3773">
        <v>4.0999999999999996</v>
      </c>
      <c r="H3773">
        <v>10.3</v>
      </c>
      <c r="I3773">
        <v>7.1</v>
      </c>
    </row>
    <row r="3774" spans="1:9" ht="24" customHeight="1">
      <c r="A3774" s="5" t="s">
        <v>433</v>
      </c>
      <c r="B3774">
        <v>1583094</v>
      </c>
      <c r="C3774">
        <v>3266422</v>
      </c>
      <c r="D3774">
        <v>144000</v>
      </c>
      <c r="E3774">
        <v>119488</v>
      </c>
      <c r="F3774">
        <v>2.9</v>
      </c>
      <c r="G3774">
        <v>1.6</v>
      </c>
      <c r="H3774">
        <v>6.3</v>
      </c>
      <c r="I3774">
        <v>7</v>
      </c>
    </row>
    <row r="3775" spans="1:9" ht="24" customHeight="1">
      <c r="A3775" s="5" t="s">
        <v>344</v>
      </c>
      <c r="B3775">
        <v>923267</v>
      </c>
      <c r="C3775">
        <v>1891466</v>
      </c>
      <c r="D3775">
        <v>135528</v>
      </c>
      <c r="E3775">
        <v>124873</v>
      </c>
      <c r="F3775">
        <v>2.9</v>
      </c>
      <c r="G3775">
        <v>1.7</v>
      </c>
      <c r="H3775">
        <v>5</v>
      </c>
      <c r="I3775">
        <v>7</v>
      </c>
    </row>
    <row r="3776" spans="1:9" ht="24" customHeight="1">
      <c r="A3776" s="5" t="s">
        <v>4623</v>
      </c>
      <c r="B3776">
        <v>393814</v>
      </c>
      <c r="C3776">
        <v>775859</v>
      </c>
      <c r="D3776">
        <v>122831</v>
      </c>
      <c r="E3776">
        <v>97922</v>
      </c>
      <c r="F3776">
        <v>2.2999999999999998</v>
      </c>
      <c r="G3776">
        <v>1</v>
      </c>
      <c r="H3776">
        <v>6.5</v>
      </c>
      <c r="I3776">
        <v>6.6</v>
      </c>
    </row>
    <row r="3777" spans="1:9" ht="24" customHeight="1">
      <c r="A3777" s="5" t="s">
        <v>4624</v>
      </c>
      <c r="B3777">
        <v>119927</v>
      </c>
      <c r="C3777">
        <v>225677</v>
      </c>
      <c r="D3777">
        <v>186692</v>
      </c>
      <c r="E3777">
        <v>132891</v>
      </c>
      <c r="F3777">
        <v>3.6</v>
      </c>
      <c r="G3777">
        <v>2.2999999999999998</v>
      </c>
      <c r="H3777">
        <v>9.4</v>
      </c>
      <c r="I3777">
        <v>8</v>
      </c>
    </row>
    <row r="3778" spans="1:9" ht="24" customHeight="1">
      <c r="A3778" s="5" t="s">
        <v>4625</v>
      </c>
      <c r="B3778">
        <v>146086</v>
      </c>
      <c r="C3778">
        <v>373419</v>
      </c>
      <c r="D3778">
        <v>219563</v>
      </c>
      <c r="E3778">
        <v>128919</v>
      </c>
      <c r="F3778">
        <v>4</v>
      </c>
      <c r="G3778">
        <v>1.9</v>
      </c>
      <c r="H3778">
        <v>11.8</v>
      </c>
      <c r="I3778">
        <v>7.4</v>
      </c>
    </row>
    <row r="3779" spans="1:9" ht="24" customHeight="1">
      <c r="A3779" s="5" t="s">
        <v>435</v>
      </c>
      <c r="B3779">
        <v>48247</v>
      </c>
      <c r="C3779">
        <v>140430</v>
      </c>
      <c r="D3779">
        <v>416095</v>
      </c>
      <c r="E3779">
        <v>199304</v>
      </c>
      <c r="F3779">
        <v>5.0999999999999996</v>
      </c>
      <c r="G3779">
        <v>3.8</v>
      </c>
      <c r="H3779">
        <v>17.2</v>
      </c>
      <c r="I3779">
        <v>11.1</v>
      </c>
    </row>
    <row r="3780" spans="1:9" ht="24" customHeight="1">
      <c r="A3780" s="5" t="s">
        <v>347</v>
      </c>
      <c r="B3780">
        <v>23689</v>
      </c>
      <c r="C3780">
        <v>113150</v>
      </c>
      <c r="D3780">
        <v>436475</v>
      </c>
      <c r="E3780">
        <v>196195</v>
      </c>
      <c r="F3780">
        <v>6.9</v>
      </c>
      <c r="G3780">
        <v>3.9</v>
      </c>
      <c r="H3780">
        <v>17.8</v>
      </c>
      <c r="I3780">
        <v>11.2</v>
      </c>
    </row>
    <row r="3781" spans="1:9" ht="24" customHeight="1">
      <c r="A3781" s="5" t="s">
        <v>4626</v>
      </c>
      <c r="B3781">
        <v>7709</v>
      </c>
      <c r="C3781">
        <v>8730</v>
      </c>
      <c r="D3781">
        <v>349707</v>
      </c>
      <c r="E3781">
        <v>185103</v>
      </c>
      <c r="F3781">
        <v>1.6</v>
      </c>
      <c r="G3781">
        <v>1.4</v>
      </c>
      <c r="H3781">
        <v>11.7</v>
      </c>
      <c r="I3781">
        <v>10.1</v>
      </c>
    </row>
    <row r="3782" spans="1:9" ht="24" customHeight="1">
      <c r="A3782" s="5" t="s">
        <v>4627</v>
      </c>
      <c r="B3782">
        <v>6751</v>
      </c>
      <c r="C3782">
        <v>5641</v>
      </c>
      <c r="D3782">
        <v>444095</v>
      </c>
      <c r="E3782">
        <v>235818</v>
      </c>
      <c r="F3782">
        <v>3.3</v>
      </c>
      <c r="G3782">
        <v>3.1</v>
      </c>
      <c r="H3782">
        <v>18.2</v>
      </c>
      <c r="I3782">
        <v>10.1</v>
      </c>
    </row>
    <row r="3783" spans="1:9" ht="24" customHeight="1">
      <c r="A3783" s="5" t="s">
        <v>4628</v>
      </c>
      <c r="B3783">
        <v>10099</v>
      </c>
      <c r="C3783">
        <v>12908</v>
      </c>
      <c r="D3783">
        <v>400245</v>
      </c>
      <c r="E3783">
        <v>220207</v>
      </c>
      <c r="F3783">
        <v>4.9000000000000004</v>
      </c>
      <c r="G3783">
        <v>4.7</v>
      </c>
      <c r="H3783">
        <v>19.5</v>
      </c>
      <c r="I3783">
        <v>10.8</v>
      </c>
    </row>
    <row r="3784" spans="1:9" ht="24" customHeight="1">
      <c r="A3784" s="5" t="s">
        <v>437</v>
      </c>
      <c r="B3784">
        <v>101286</v>
      </c>
      <c r="C3784">
        <v>129055</v>
      </c>
      <c r="D3784">
        <v>201147</v>
      </c>
      <c r="E3784">
        <v>134319</v>
      </c>
      <c r="F3784">
        <v>4</v>
      </c>
      <c r="G3784">
        <v>1.8</v>
      </c>
      <c r="H3784">
        <v>6.9</v>
      </c>
      <c r="I3784">
        <v>5.6</v>
      </c>
    </row>
    <row r="3785" spans="1:9" ht="24" customHeight="1">
      <c r="A3785" s="5" t="s">
        <v>350</v>
      </c>
      <c r="B3785">
        <v>48200</v>
      </c>
      <c r="C3785">
        <v>38129</v>
      </c>
      <c r="D3785">
        <v>187340</v>
      </c>
      <c r="E3785">
        <v>148257</v>
      </c>
      <c r="F3785">
        <v>4.3</v>
      </c>
      <c r="G3785">
        <v>2.6</v>
      </c>
      <c r="H3785">
        <v>6.4</v>
      </c>
      <c r="I3785">
        <v>6.2</v>
      </c>
    </row>
    <row r="3786" spans="1:9" ht="24" customHeight="1">
      <c r="A3786" s="5" t="s">
        <v>4629</v>
      </c>
      <c r="B3786">
        <v>24067</v>
      </c>
      <c r="C3786">
        <v>42455</v>
      </c>
      <c r="D3786">
        <v>208159</v>
      </c>
      <c r="E3786">
        <v>122756</v>
      </c>
      <c r="F3786">
        <v>2.2999999999999998</v>
      </c>
      <c r="G3786">
        <v>1.1000000000000001</v>
      </c>
      <c r="H3786">
        <v>6.9</v>
      </c>
      <c r="I3786">
        <v>5.5</v>
      </c>
    </row>
    <row r="3787" spans="1:9" ht="24" customHeight="1">
      <c r="A3787" s="5" t="s">
        <v>4630</v>
      </c>
      <c r="B3787">
        <v>16938</v>
      </c>
      <c r="C3787">
        <v>24212</v>
      </c>
      <c r="D3787">
        <v>198887</v>
      </c>
      <c r="E3787">
        <v>144396</v>
      </c>
      <c r="F3787">
        <v>3.8</v>
      </c>
      <c r="G3787">
        <v>1.1000000000000001</v>
      </c>
      <c r="H3787">
        <v>7.2</v>
      </c>
      <c r="I3787">
        <v>4.8</v>
      </c>
    </row>
    <row r="3788" spans="1:9" ht="24" customHeight="1">
      <c r="A3788" s="5" t="s">
        <v>4631</v>
      </c>
      <c r="B3788">
        <v>12081</v>
      </c>
      <c r="C3788">
        <v>24259</v>
      </c>
      <c r="D3788">
        <v>245431</v>
      </c>
      <c r="E3788">
        <v>122591</v>
      </c>
      <c r="F3788">
        <v>6.6</v>
      </c>
      <c r="G3788">
        <v>2.5</v>
      </c>
      <c r="H3788">
        <v>8.6</v>
      </c>
      <c r="I3788">
        <v>5.8</v>
      </c>
    </row>
    <row r="3789" spans="1:9" ht="24" customHeight="1">
      <c r="A3789" s="5" t="s">
        <v>439</v>
      </c>
      <c r="B3789">
        <v>120996</v>
      </c>
      <c r="C3789">
        <v>124198</v>
      </c>
      <c r="D3789">
        <v>379077</v>
      </c>
      <c r="E3789">
        <v>192762</v>
      </c>
      <c r="F3789">
        <v>5</v>
      </c>
      <c r="G3789">
        <v>3.4</v>
      </c>
      <c r="H3789">
        <v>11.4</v>
      </c>
      <c r="I3789">
        <v>6.2</v>
      </c>
    </row>
    <row r="3790" spans="1:9" ht="24" customHeight="1">
      <c r="A3790" s="5" t="s">
        <v>353</v>
      </c>
      <c r="B3790">
        <v>46827</v>
      </c>
      <c r="C3790">
        <v>37461</v>
      </c>
      <c r="D3790">
        <v>409582</v>
      </c>
      <c r="E3790">
        <v>231086</v>
      </c>
      <c r="F3790">
        <v>6.1</v>
      </c>
      <c r="G3790">
        <v>6.2</v>
      </c>
      <c r="H3790">
        <v>14.5</v>
      </c>
      <c r="I3790">
        <v>6.8</v>
      </c>
    </row>
    <row r="3791" spans="1:9" ht="24" customHeight="1">
      <c r="A3791" s="5" t="s">
        <v>4632</v>
      </c>
      <c r="B3791">
        <v>36368</v>
      </c>
      <c r="C3791">
        <v>54202</v>
      </c>
      <c r="D3791">
        <v>322330</v>
      </c>
      <c r="E3791">
        <v>152598</v>
      </c>
      <c r="F3791">
        <v>4.2</v>
      </c>
      <c r="G3791">
        <v>1.5</v>
      </c>
      <c r="H3791">
        <v>9.1</v>
      </c>
      <c r="I3791">
        <v>5.6</v>
      </c>
    </row>
    <row r="3792" spans="1:9" ht="24" customHeight="1">
      <c r="A3792" s="5" t="s">
        <v>4633</v>
      </c>
      <c r="B3792">
        <v>26197</v>
      </c>
      <c r="C3792">
        <v>24916</v>
      </c>
      <c r="D3792">
        <v>395475</v>
      </c>
      <c r="E3792">
        <v>218582</v>
      </c>
      <c r="F3792">
        <v>3.8</v>
      </c>
      <c r="G3792">
        <v>3</v>
      </c>
      <c r="H3792">
        <v>9.3000000000000007</v>
      </c>
      <c r="I3792">
        <v>6.7</v>
      </c>
    </row>
    <row r="3793" spans="1:9" ht="24" customHeight="1">
      <c r="A3793" s="5" t="s">
        <v>4634</v>
      </c>
      <c r="B3793">
        <v>11604</v>
      </c>
      <c r="C3793">
        <v>7620</v>
      </c>
      <c r="D3793">
        <v>396812</v>
      </c>
      <c r="E3793">
        <v>205617</v>
      </c>
      <c r="F3793">
        <v>5.4</v>
      </c>
      <c r="G3793">
        <v>4.5999999999999996</v>
      </c>
      <c r="H3793">
        <v>11.3</v>
      </c>
      <c r="I3793">
        <v>6.5</v>
      </c>
    </row>
    <row r="3794" spans="1:9" ht="24" customHeight="1">
      <c r="A3794" s="5" t="s">
        <v>441</v>
      </c>
      <c r="B3794">
        <v>876643</v>
      </c>
      <c r="C3794">
        <v>1799044</v>
      </c>
      <c r="D3794">
        <v>86268</v>
      </c>
      <c r="E3794">
        <v>83237</v>
      </c>
      <c r="F3794">
        <v>2.2999999999999998</v>
      </c>
      <c r="G3794">
        <v>1.6</v>
      </c>
      <c r="H3794">
        <v>2.6</v>
      </c>
      <c r="I3794">
        <v>4.3</v>
      </c>
    </row>
    <row r="3795" spans="1:9" ht="24" customHeight="1">
      <c r="A3795" s="5" t="s">
        <v>356</v>
      </c>
      <c r="B3795">
        <v>505662</v>
      </c>
      <c r="C3795">
        <v>983411</v>
      </c>
      <c r="D3795">
        <v>82659</v>
      </c>
      <c r="E3795">
        <v>85551</v>
      </c>
      <c r="F3795">
        <v>2.4</v>
      </c>
      <c r="G3795">
        <v>1.8</v>
      </c>
      <c r="H3795">
        <v>2.2999999999999998</v>
      </c>
      <c r="I3795">
        <v>4.3</v>
      </c>
    </row>
    <row r="3796" spans="1:9" ht="24" customHeight="1">
      <c r="A3796" s="5" t="s">
        <v>4635</v>
      </c>
      <c r="B3796">
        <v>204834</v>
      </c>
      <c r="C3796">
        <v>487726</v>
      </c>
      <c r="D3796">
        <v>86163</v>
      </c>
      <c r="E3796">
        <v>77293</v>
      </c>
      <c r="F3796">
        <v>1.9</v>
      </c>
      <c r="G3796">
        <v>1</v>
      </c>
      <c r="H3796">
        <v>3.1</v>
      </c>
      <c r="I3796">
        <v>4.5</v>
      </c>
    </row>
    <row r="3797" spans="1:9" ht="24" customHeight="1">
      <c r="A3797" s="5" t="s">
        <v>4636</v>
      </c>
      <c r="B3797">
        <v>75057</v>
      </c>
      <c r="C3797">
        <v>152179</v>
      </c>
      <c r="D3797">
        <v>93746</v>
      </c>
      <c r="E3797">
        <v>82623</v>
      </c>
      <c r="F3797">
        <v>2.8</v>
      </c>
      <c r="G3797">
        <v>1.5</v>
      </c>
      <c r="H3797">
        <v>3.1</v>
      </c>
      <c r="I3797">
        <v>4.4000000000000004</v>
      </c>
    </row>
    <row r="3798" spans="1:9" ht="24" customHeight="1">
      <c r="A3798" s="5" t="s">
        <v>4637</v>
      </c>
      <c r="B3798">
        <v>91090</v>
      </c>
      <c r="C3798">
        <v>175728</v>
      </c>
      <c r="D3798">
        <v>100374</v>
      </c>
      <c r="E3798">
        <v>87322</v>
      </c>
      <c r="F3798">
        <v>3</v>
      </c>
      <c r="G3798">
        <v>1.7</v>
      </c>
      <c r="H3798">
        <v>2.9</v>
      </c>
      <c r="I3798">
        <v>4</v>
      </c>
    </row>
    <row r="3799" spans="1:9" ht="24" customHeight="1">
      <c r="A3799" s="5" t="s">
        <v>443</v>
      </c>
      <c r="B3799">
        <v>238182</v>
      </c>
      <c r="C3799">
        <v>468493</v>
      </c>
      <c r="D3799">
        <v>132281</v>
      </c>
      <c r="E3799">
        <v>117234</v>
      </c>
      <c r="F3799">
        <v>2.8</v>
      </c>
      <c r="G3799">
        <v>1.8</v>
      </c>
      <c r="H3799">
        <v>5.0999999999999996</v>
      </c>
      <c r="I3799">
        <v>6.7</v>
      </c>
    </row>
    <row r="3800" spans="1:9" ht="24" customHeight="1">
      <c r="A3800" s="5" t="s">
        <v>359</v>
      </c>
      <c r="B3800">
        <v>97134</v>
      </c>
      <c r="C3800">
        <v>173279</v>
      </c>
      <c r="D3800">
        <v>120767</v>
      </c>
      <c r="E3800">
        <v>119666</v>
      </c>
      <c r="F3800">
        <v>2.8</v>
      </c>
      <c r="G3800">
        <v>2.2000000000000002</v>
      </c>
      <c r="H3800">
        <v>4.5999999999999996</v>
      </c>
      <c r="I3800">
        <v>5.2</v>
      </c>
    </row>
    <row r="3801" spans="1:9" ht="24" customHeight="1">
      <c r="A3801" s="5" t="s">
        <v>4638</v>
      </c>
      <c r="B3801">
        <v>71360</v>
      </c>
      <c r="C3801">
        <v>155208</v>
      </c>
      <c r="D3801">
        <v>140837</v>
      </c>
      <c r="E3801">
        <v>114423</v>
      </c>
      <c r="F3801">
        <v>2.6</v>
      </c>
      <c r="G3801">
        <v>1.5</v>
      </c>
      <c r="H3801">
        <v>5.6</v>
      </c>
      <c r="I3801">
        <v>7.9</v>
      </c>
    </row>
    <row r="3802" spans="1:9" ht="24" customHeight="1">
      <c r="A3802" s="5" t="s">
        <v>4639</v>
      </c>
      <c r="B3802">
        <v>40931</v>
      </c>
      <c r="C3802">
        <v>79936</v>
      </c>
      <c r="D3802">
        <v>142458</v>
      </c>
      <c r="E3802">
        <v>118679</v>
      </c>
      <c r="F3802">
        <v>3.3</v>
      </c>
      <c r="G3802">
        <v>1.6</v>
      </c>
      <c r="H3802">
        <v>5.6</v>
      </c>
      <c r="I3802">
        <v>7.2</v>
      </c>
    </row>
    <row r="3803" spans="1:9" ht="24" customHeight="1">
      <c r="A3803" s="5" t="s">
        <v>4640</v>
      </c>
      <c r="B3803">
        <v>28757</v>
      </c>
      <c r="C3803">
        <v>60070</v>
      </c>
      <c r="D3803">
        <v>135453</v>
      </c>
      <c r="E3803">
        <v>115559</v>
      </c>
      <c r="F3803">
        <v>3</v>
      </c>
      <c r="G3803">
        <v>1.9</v>
      </c>
      <c r="H3803">
        <v>4.5999999999999996</v>
      </c>
      <c r="I3803">
        <v>6.8</v>
      </c>
    </row>
    <row r="3804" spans="1:9" ht="24" customHeight="1">
      <c r="A3804" s="5" t="s">
        <v>445</v>
      </c>
      <c r="B3804">
        <v>339282</v>
      </c>
      <c r="C3804">
        <v>475337</v>
      </c>
      <c r="D3804">
        <v>182752</v>
      </c>
      <c r="E3804">
        <v>139737</v>
      </c>
      <c r="F3804">
        <v>1.3</v>
      </c>
      <c r="G3804">
        <v>1.1000000000000001</v>
      </c>
      <c r="H3804">
        <v>5.8</v>
      </c>
      <c r="I3804">
        <v>5.7</v>
      </c>
    </row>
    <row r="3805" spans="1:9" ht="24" customHeight="1">
      <c r="A3805" s="5" t="s">
        <v>362</v>
      </c>
      <c r="B3805">
        <v>164766</v>
      </c>
      <c r="C3805">
        <v>172567</v>
      </c>
      <c r="D3805">
        <v>199499</v>
      </c>
      <c r="E3805">
        <v>144364</v>
      </c>
      <c r="F3805">
        <v>1</v>
      </c>
      <c r="G3805">
        <v>1.5</v>
      </c>
      <c r="H3805">
        <v>5</v>
      </c>
      <c r="I3805">
        <v>5</v>
      </c>
    </row>
    <row r="3806" spans="1:9" ht="24" customHeight="1">
      <c r="A3806" s="5" t="s">
        <v>4641</v>
      </c>
      <c r="B3806">
        <v>64043</v>
      </c>
      <c r="C3806">
        <v>154802</v>
      </c>
      <c r="D3806">
        <v>141114</v>
      </c>
      <c r="E3806">
        <v>118893</v>
      </c>
      <c r="F3806">
        <v>1.9</v>
      </c>
      <c r="G3806">
        <v>0.6</v>
      </c>
      <c r="H3806">
        <v>6.3</v>
      </c>
      <c r="I3806">
        <v>6.4</v>
      </c>
    </row>
    <row r="3807" spans="1:9" ht="24" customHeight="1">
      <c r="A3807" s="5" t="s">
        <v>4642</v>
      </c>
      <c r="B3807">
        <v>49644</v>
      </c>
      <c r="C3807">
        <v>65945</v>
      </c>
      <c r="D3807">
        <v>202688</v>
      </c>
      <c r="E3807">
        <v>158765</v>
      </c>
      <c r="F3807">
        <v>2.1</v>
      </c>
      <c r="G3807">
        <v>1.1000000000000001</v>
      </c>
      <c r="H3807">
        <v>6.9</v>
      </c>
      <c r="I3807">
        <v>5.9</v>
      </c>
    </row>
    <row r="3808" spans="1:9" ht="24" customHeight="1">
      <c r="A3808" s="5" t="s">
        <v>4643</v>
      </c>
      <c r="B3808">
        <v>60829</v>
      </c>
      <c r="C3808">
        <v>82023</v>
      </c>
      <c r="D3808">
        <v>164956</v>
      </c>
      <c r="E3808">
        <v>154045</v>
      </c>
      <c r="F3808">
        <v>1</v>
      </c>
      <c r="G3808">
        <v>1.3</v>
      </c>
      <c r="H3808">
        <v>6.3</v>
      </c>
      <c r="I3808">
        <v>5.8</v>
      </c>
    </row>
    <row r="3809" spans="1:9" ht="24" customHeight="1">
      <c r="A3809" s="5" t="s">
        <v>447</v>
      </c>
      <c r="B3809">
        <v>487815</v>
      </c>
      <c r="C3809">
        <v>2038061</v>
      </c>
      <c r="D3809">
        <v>225457</v>
      </c>
      <c r="E3809">
        <v>157275</v>
      </c>
      <c r="F3809">
        <v>3.2</v>
      </c>
      <c r="G3809">
        <v>1.4</v>
      </c>
      <c r="H3809">
        <v>5.8</v>
      </c>
      <c r="I3809">
        <v>7</v>
      </c>
    </row>
    <row r="3810" spans="1:9" ht="24" customHeight="1">
      <c r="A3810" s="5" t="s">
        <v>365</v>
      </c>
      <c r="B3810">
        <v>102234</v>
      </c>
      <c r="C3810">
        <v>306435</v>
      </c>
      <c r="D3810">
        <v>321974</v>
      </c>
      <c r="E3810">
        <v>186309</v>
      </c>
      <c r="F3810">
        <v>9</v>
      </c>
      <c r="G3810">
        <v>3.1</v>
      </c>
      <c r="H3810">
        <v>5.5</v>
      </c>
      <c r="I3810">
        <v>6.9</v>
      </c>
    </row>
    <row r="3811" spans="1:9" ht="24" customHeight="1">
      <c r="A3811" s="5" t="s">
        <v>4644</v>
      </c>
      <c r="B3811">
        <v>183813</v>
      </c>
      <c r="C3811">
        <v>915266</v>
      </c>
      <c r="D3811">
        <v>164810</v>
      </c>
      <c r="E3811">
        <v>136058</v>
      </c>
      <c r="F3811">
        <v>1.2</v>
      </c>
      <c r="G3811">
        <v>1</v>
      </c>
      <c r="H3811">
        <v>5.2</v>
      </c>
      <c r="I3811">
        <v>6.2</v>
      </c>
    </row>
    <row r="3812" spans="1:9" ht="24" customHeight="1">
      <c r="A3812" s="5" t="s">
        <v>4645</v>
      </c>
      <c r="B3812">
        <v>112284</v>
      </c>
      <c r="C3812">
        <v>461813</v>
      </c>
      <c r="D3812">
        <v>235397</v>
      </c>
      <c r="E3812">
        <v>165078</v>
      </c>
      <c r="F3812">
        <v>1.7</v>
      </c>
      <c r="G3812">
        <v>1.2</v>
      </c>
      <c r="H3812">
        <v>7.2</v>
      </c>
      <c r="I3812">
        <v>8</v>
      </c>
    </row>
    <row r="3813" spans="1:9" ht="24" customHeight="1">
      <c r="A3813" s="5" t="s">
        <v>4646</v>
      </c>
      <c r="B3813">
        <v>89484</v>
      </c>
      <c r="C3813">
        <v>354547</v>
      </c>
      <c r="D3813">
        <v>227293</v>
      </c>
      <c r="E3813">
        <v>176792</v>
      </c>
      <c r="F3813">
        <v>2.2999999999999998</v>
      </c>
      <c r="G3813">
        <v>1.2</v>
      </c>
      <c r="H3813">
        <v>5.9</v>
      </c>
      <c r="I3813">
        <v>7.8</v>
      </c>
    </row>
    <row r="3814" spans="1:9" ht="24" customHeight="1">
      <c r="A3814" s="5" t="s">
        <v>449</v>
      </c>
      <c r="B3814">
        <v>61825</v>
      </c>
      <c r="C3814">
        <v>56929</v>
      </c>
      <c r="D3814">
        <v>266519</v>
      </c>
      <c r="E3814">
        <v>183583</v>
      </c>
      <c r="F3814">
        <v>9</v>
      </c>
      <c r="G3814">
        <v>4.9000000000000004</v>
      </c>
      <c r="H3814">
        <v>12.2</v>
      </c>
      <c r="I3814">
        <v>10.5</v>
      </c>
    </row>
    <row r="3815" spans="1:9" ht="24" customHeight="1">
      <c r="A3815" s="5" t="s">
        <v>368</v>
      </c>
      <c r="B3815">
        <v>51099</v>
      </c>
      <c r="C3815">
        <v>41605</v>
      </c>
      <c r="D3815">
        <v>275346</v>
      </c>
      <c r="E3815">
        <v>186516</v>
      </c>
      <c r="F3815">
        <v>9.9</v>
      </c>
      <c r="G3815">
        <v>5</v>
      </c>
      <c r="H3815">
        <v>11.6</v>
      </c>
      <c r="I3815">
        <v>10.1</v>
      </c>
    </row>
    <row r="3816" spans="1:9" ht="24" customHeight="1">
      <c r="A3816" s="5" t="s">
        <v>4647</v>
      </c>
      <c r="B3816">
        <v>2871</v>
      </c>
      <c r="C3816">
        <v>2330</v>
      </c>
      <c r="D3816">
        <v>229694</v>
      </c>
      <c r="E3816">
        <v>170029</v>
      </c>
      <c r="F3816">
        <v>3.2</v>
      </c>
      <c r="G3816">
        <v>4.7</v>
      </c>
      <c r="H3816">
        <v>15.1</v>
      </c>
      <c r="I3816">
        <v>8.8000000000000007</v>
      </c>
    </row>
    <row r="3817" spans="1:9" ht="24" customHeight="1">
      <c r="A3817" s="5" t="s">
        <v>4648</v>
      </c>
      <c r="B3817">
        <v>2735</v>
      </c>
      <c r="C3817">
        <v>4266</v>
      </c>
      <c r="D3817">
        <v>230307</v>
      </c>
      <c r="E3817">
        <v>183321</v>
      </c>
      <c r="F3817">
        <v>5.6</v>
      </c>
      <c r="G3817">
        <v>3.9</v>
      </c>
      <c r="H3817">
        <v>12.8</v>
      </c>
      <c r="I3817">
        <v>11.4</v>
      </c>
    </row>
    <row r="3818" spans="1:9" ht="24" customHeight="1">
      <c r="A3818" s="5" t="s">
        <v>4649</v>
      </c>
      <c r="B3818">
        <v>5119</v>
      </c>
      <c r="C3818">
        <v>8729</v>
      </c>
      <c r="D3818">
        <v>218419</v>
      </c>
      <c r="E3818">
        <v>173352</v>
      </c>
      <c r="F3818">
        <v>5</v>
      </c>
      <c r="G3818">
        <v>4.5999999999999996</v>
      </c>
      <c r="H3818">
        <v>16</v>
      </c>
      <c r="I3818">
        <v>12.4</v>
      </c>
    </row>
    <row r="3819" spans="1:9" ht="24" customHeight="1">
      <c r="A3819" s="5" t="s">
        <v>451</v>
      </c>
      <c r="B3819">
        <v>910516</v>
      </c>
      <c r="C3819">
        <v>1323302</v>
      </c>
      <c r="D3819">
        <v>226819</v>
      </c>
      <c r="E3819">
        <v>165853</v>
      </c>
      <c r="F3819">
        <v>7.8</v>
      </c>
      <c r="G3819">
        <v>3.2</v>
      </c>
      <c r="H3819">
        <v>5.9</v>
      </c>
      <c r="I3819">
        <v>4.9000000000000004</v>
      </c>
    </row>
    <row r="3820" spans="1:9" ht="24" customHeight="1">
      <c r="A3820" s="5" t="s">
        <v>371</v>
      </c>
      <c r="B3820">
        <v>373922</v>
      </c>
      <c r="C3820">
        <v>619895</v>
      </c>
      <c r="D3820">
        <v>248236</v>
      </c>
      <c r="E3820">
        <v>192329</v>
      </c>
      <c r="F3820">
        <v>8.4</v>
      </c>
      <c r="G3820">
        <v>3.8</v>
      </c>
      <c r="H3820">
        <v>5.2</v>
      </c>
      <c r="I3820">
        <v>4.3</v>
      </c>
    </row>
    <row r="3821" spans="1:9" ht="24" customHeight="1">
      <c r="A3821" s="5" t="s">
        <v>4650</v>
      </c>
      <c r="B3821">
        <v>192076</v>
      </c>
      <c r="C3821">
        <v>221139</v>
      </c>
      <c r="D3821">
        <v>191688</v>
      </c>
      <c r="E3821">
        <v>126037</v>
      </c>
      <c r="F3821">
        <v>5.0999999999999996</v>
      </c>
      <c r="G3821">
        <v>2</v>
      </c>
      <c r="H3821">
        <v>6.7</v>
      </c>
      <c r="I3821">
        <v>6.2</v>
      </c>
    </row>
    <row r="3822" spans="1:9" ht="24" customHeight="1">
      <c r="A3822" s="5" t="s">
        <v>4651</v>
      </c>
      <c r="B3822">
        <v>148158</v>
      </c>
      <c r="C3822">
        <v>197831</v>
      </c>
      <c r="D3822">
        <v>219002</v>
      </c>
      <c r="E3822">
        <v>143991</v>
      </c>
      <c r="F3822">
        <v>7.7</v>
      </c>
      <c r="G3822">
        <v>2.8</v>
      </c>
      <c r="H3822">
        <v>6.5</v>
      </c>
      <c r="I3822">
        <v>5.7</v>
      </c>
    </row>
    <row r="3823" spans="1:9" ht="24" customHeight="1">
      <c r="A3823" s="5" t="s">
        <v>4652</v>
      </c>
      <c r="B3823">
        <v>196360</v>
      </c>
      <c r="C3823">
        <v>284437</v>
      </c>
      <c r="D3823">
        <v>226300</v>
      </c>
      <c r="E3823">
        <v>154312</v>
      </c>
      <c r="F3823">
        <v>9.1999999999999993</v>
      </c>
      <c r="G3823">
        <v>3</v>
      </c>
      <c r="H3823">
        <v>5.7</v>
      </c>
      <c r="I3823">
        <v>4.9000000000000004</v>
      </c>
    </row>
    <row r="3824" spans="1:9" ht="24" customHeight="1">
      <c r="A3824" s="10" t="s">
        <v>1217</v>
      </c>
      <c r="B3824">
        <v>22526451</v>
      </c>
      <c r="C3824">
        <v>19951577</v>
      </c>
      <c r="D3824">
        <v>415476</v>
      </c>
      <c r="E3824">
        <v>232021</v>
      </c>
      <c r="F3824">
        <v>11.8</v>
      </c>
      <c r="G3824">
        <v>4.8</v>
      </c>
      <c r="H3824">
        <v>11.9</v>
      </c>
      <c r="I3824">
        <v>8</v>
      </c>
    </row>
    <row r="3825" spans="1:3" ht="24" customHeight="1">
      <c r="A3825" s="5" t="s">
        <v>4669</v>
      </c>
      <c r="B3825">
        <v>17</v>
      </c>
      <c r="C3825">
        <v>2</v>
      </c>
    </row>
    <row r="3826" spans="1:3" ht="24" customHeight="1">
      <c r="A3826" s="5" t="s">
        <v>4671</v>
      </c>
      <c r="B3826">
        <v>3559</v>
      </c>
      <c r="C3826">
        <v>849</v>
      </c>
    </row>
    <row r="3827" spans="1:3" ht="24" customHeight="1">
      <c r="A3827" s="5" t="s">
        <v>4675</v>
      </c>
      <c r="B3827">
        <v>10120</v>
      </c>
      <c r="C3827">
        <v>17691</v>
      </c>
    </row>
    <row r="3828" spans="1:3" ht="24" customHeight="1">
      <c r="A3828" s="5" t="s">
        <v>4676</v>
      </c>
      <c r="B3828">
        <v>3740</v>
      </c>
      <c r="C3828">
        <v>11459</v>
      </c>
    </row>
    <row r="3829" spans="1:3" ht="24" customHeight="1">
      <c r="A3829" s="5" t="s">
        <v>4677</v>
      </c>
      <c r="B3829">
        <v>900</v>
      </c>
      <c r="C3829">
        <v>6270</v>
      </c>
    </row>
    <row r="3830" spans="1:3" ht="24" customHeight="1">
      <c r="A3830" s="5" t="s">
        <v>4858</v>
      </c>
      <c r="B3830">
        <v>574</v>
      </c>
      <c r="C3830">
        <v>1168</v>
      </c>
    </row>
    <row r="3831" spans="1:3" ht="24" customHeight="1">
      <c r="A3831" s="5" t="s">
        <v>4857</v>
      </c>
      <c r="B3831">
        <v>456</v>
      </c>
      <c r="C3831">
        <v>1057</v>
      </c>
    </row>
    <row r="3832" spans="1:3" ht="24" customHeight="1">
      <c r="A3832" s="5" t="s">
        <v>4938</v>
      </c>
      <c r="B3832">
        <v>1809</v>
      </c>
      <c r="C3832">
        <v>2965</v>
      </c>
    </row>
    <row r="3833" spans="1:3" ht="24" customHeight="1">
      <c r="A3833" s="5" t="s">
        <v>4678</v>
      </c>
      <c r="B3833">
        <v>130</v>
      </c>
      <c r="C3833">
        <v>194</v>
      </c>
    </row>
    <row r="3834" spans="1:3" ht="24" customHeight="1">
      <c r="A3834" s="5" t="s">
        <v>4679</v>
      </c>
      <c r="B3834">
        <v>13</v>
      </c>
      <c r="C3834">
        <v>8</v>
      </c>
    </row>
    <row r="3835" spans="1:3" ht="24" customHeight="1">
      <c r="A3835" s="5" t="s">
        <v>4859</v>
      </c>
      <c r="B3835">
        <v>83</v>
      </c>
      <c r="C3835">
        <v>140</v>
      </c>
    </row>
    <row r="3836" spans="1:3" ht="24" customHeight="1">
      <c r="A3836" s="5" t="s">
        <v>5018</v>
      </c>
      <c r="B3836">
        <v>17</v>
      </c>
      <c r="C3836">
        <v>24</v>
      </c>
    </row>
    <row r="3837" spans="1:3" ht="24" customHeight="1">
      <c r="A3837" s="5" t="s">
        <v>4939</v>
      </c>
      <c r="B3837">
        <v>16</v>
      </c>
      <c r="C3837">
        <v>22</v>
      </c>
    </row>
    <row r="3838" spans="1:3" ht="24" customHeight="1">
      <c r="A3838" s="5" t="s">
        <v>4680</v>
      </c>
      <c r="B3838">
        <v>120</v>
      </c>
      <c r="C3838">
        <v>628</v>
      </c>
    </row>
    <row r="3839" spans="1:3" ht="24" customHeight="1">
      <c r="A3839" s="5" t="s">
        <v>4681</v>
      </c>
      <c r="B3839">
        <v>2</v>
      </c>
      <c r="C3839">
        <v>18</v>
      </c>
    </row>
    <row r="3840" spans="1:3" ht="24" customHeight="1">
      <c r="A3840" s="5" t="s">
        <v>4860</v>
      </c>
      <c r="B3840">
        <v>100</v>
      </c>
      <c r="C3840">
        <v>478</v>
      </c>
    </row>
    <row r="3841" spans="1:3" ht="24" customHeight="1">
      <c r="A3841" s="5" t="s">
        <v>5019</v>
      </c>
      <c r="B3841">
        <v>14</v>
      </c>
      <c r="C3841">
        <v>81</v>
      </c>
    </row>
    <row r="3842" spans="1:3" ht="24" customHeight="1">
      <c r="A3842" s="5" t="s">
        <v>4940</v>
      </c>
      <c r="B3842">
        <v>4</v>
      </c>
      <c r="C3842">
        <v>50</v>
      </c>
    </row>
    <row r="3843" spans="1:3" ht="24" customHeight="1">
      <c r="A3843" s="5" t="s">
        <v>4682</v>
      </c>
      <c r="B3843">
        <v>146</v>
      </c>
      <c r="C3843">
        <v>91</v>
      </c>
    </row>
    <row r="3844" spans="1:3" ht="24" customHeight="1">
      <c r="A3844" s="5" t="s">
        <v>4683</v>
      </c>
      <c r="B3844">
        <v>15</v>
      </c>
      <c r="C3844">
        <v>3</v>
      </c>
    </row>
    <row r="3845" spans="1:3" ht="24" customHeight="1">
      <c r="A3845" s="5" t="s">
        <v>4861</v>
      </c>
      <c r="B3845">
        <v>59</v>
      </c>
      <c r="C3845">
        <v>66</v>
      </c>
    </row>
    <row r="3846" spans="1:3" ht="24" customHeight="1">
      <c r="A3846" s="5" t="s">
        <v>5020</v>
      </c>
      <c r="B3846">
        <v>27</v>
      </c>
      <c r="C3846">
        <v>12</v>
      </c>
    </row>
    <row r="3847" spans="1:3" ht="24" customHeight="1">
      <c r="A3847" s="5" t="s">
        <v>4941</v>
      </c>
      <c r="B3847">
        <v>44</v>
      </c>
      <c r="C3847">
        <v>10</v>
      </c>
    </row>
    <row r="3848" spans="1:3" ht="24" customHeight="1">
      <c r="A3848" s="5" t="s">
        <v>4684</v>
      </c>
      <c r="B3848">
        <v>113</v>
      </c>
      <c r="C3848">
        <v>76</v>
      </c>
    </row>
    <row r="3849" spans="1:3" ht="24" customHeight="1">
      <c r="A3849" s="5" t="s">
        <v>4685</v>
      </c>
      <c r="B3849">
        <v>18</v>
      </c>
      <c r="C3849">
        <v>10</v>
      </c>
    </row>
    <row r="3850" spans="1:3" ht="24" customHeight="1">
      <c r="A3850" s="5" t="s">
        <v>4862</v>
      </c>
      <c r="B3850">
        <v>47</v>
      </c>
      <c r="C3850">
        <v>53</v>
      </c>
    </row>
    <row r="3851" spans="1:3" ht="24" customHeight="1">
      <c r="A3851" s="5" t="s">
        <v>5021</v>
      </c>
      <c r="B3851">
        <v>38</v>
      </c>
      <c r="C3851">
        <v>10</v>
      </c>
    </row>
    <row r="3852" spans="1:3" ht="24" customHeight="1">
      <c r="A3852" s="5" t="s">
        <v>4942</v>
      </c>
      <c r="B3852">
        <v>9</v>
      </c>
      <c r="C3852">
        <v>3</v>
      </c>
    </row>
    <row r="3853" spans="1:3" ht="24" customHeight="1">
      <c r="A3853" s="5" t="s">
        <v>4686</v>
      </c>
      <c r="B3853">
        <v>136</v>
      </c>
      <c r="C3853">
        <v>182</v>
      </c>
    </row>
    <row r="3854" spans="1:3" ht="24" customHeight="1">
      <c r="A3854" s="5" t="s">
        <v>4687</v>
      </c>
      <c r="B3854">
        <v>11</v>
      </c>
      <c r="C3854">
        <v>7</v>
      </c>
    </row>
    <row r="3855" spans="1:3" ht="24" customHeight="1">
      <c r="A3855" s="5" t="s">
        <v>4863</v>
      </c>
      <c r="B3855">
        <v>80</v>
      </c>
      <c r="C3855">
        <v>121</v>
      </c>
    </row>
    <row r="3856" spans="1:3" ht="24" customHeight="1">
      <c r="A3856" s="5" t="s">
        <v>5022</v>
      </c>
      <c r="B3856">
        <v>35</v>
      </c>
      <c r="C3856">
        <v>44</v>
      </c>
    </row>
    <row r="3857" spans="1:3" ht="24" customHeight="1">
      <c r="A3857" s="5" t="s">
        <v>4943</v>
      </c>
      <c r="B3857">
        <v>10</v>
      </c>
      <c r="C3857">
        <v>10</v>
      </c>
    </row>
    <row r="3858" spans="1:3" ht="24" customHeight="1">
      <c r="A3858" s="5" t="s">
        <v>4688</v>
      </c>
      <c r="B3858">
        <v>163</v>
      </c>
      <c r="C3858">
        <v>337</v>
      </c>
    </row>
    <row r="3859" spans="1:3" ht="24" customHeight="1">
      <c r="A3859" s="5" t="s">
        <v>4689</v>
      </c>
      <c r="B3859">
        <v>44</v>
      </c>
      <c r="C3859">
        <v>47</v>
      </c>
    </row>
    <row r="3860" spans="1:3" ht="24" customHeight="1">
      <c r="A3860" s="5" t="s">
        <v>4864</v>
      </c>
      <c r="B3860">
        <v>50</v>
      </c>
      <c r="C3860">
        <v>172</v>
      </c>
    </row>
    <row r="3861" spans="1:3" ht="24" customHeight="1">
      <c r="A3861" s="5" t="s">
        <v>5023</v>
      </c>
      <c r="B3861">
        <v>46</v>
      </c>
      <c r="C3861">
        <v>87</v>
      </c>
    </row>
    <row r="3862" spans="1:3" ht="24" customHeight="1">
      <c r="A3862" s="5" t="s">
        <v>4944</v>
      </c>
      <c r="B3862">
        <v>23</v>
      </c>
      <c r="C3862">
        <v>32</v>
      </c>
    </row>
    <row r="3863" spans="1:3" ht="24" customHeight="1">
      <c r="A3863" s="5" t="s">
        <v>4690</v>
      </c>
      <c r="B3863">
        <v>179</v>
      </c>
      <c r="C3863">
        <v>373</v>
      </c>
    </row>
    <row r="3864" spans="1:3" ht="24" customHeight="1">
      <c r="A3864" s="5" t="s">
        <v>4691</v>
      </c>
      <c r="B3864">
        <v>59</v>
      </c>
      <c r="C3864">
        <v>43</v>
      </c>
    </row>
    <row r="3865" spans="1:3" ht="24" customHeight="1">
      <c r="A3865" s="5" t="s">
        <v>4865</v>
      </c>
      <c r="B3865">
        <v>41</v>
      </c>
      <c r="C3865">
        <v>45</v>
      </c>
    </row>
    <row r="3866" spans="1:3" ht="24" customHeight="1">
      <c r="A3866" s="5" t="s">
        <v>5024</v>
      </c>
      <c r="B3866">
        <v>49</v>
      </c>
      <c r="C3866">
        <v>235</v>
      </c>
    </row>
    <row r="3867" spans="1:3" ht="24" customHeight="1">
      <c r="A3867" s="5" t="s">
        <v>4945</v>
      </c>
      <c r="B3867">
        <v>30</v>
      </c>
      <c r="C3867">
        <v>50</v>
      </c>
    </row>
    <row r="3868" spans="1:3" ht="24" customHeight="1">
      <c r="A3868" s="5" t="s">
        <v>4692</v>
      </c>
      <c r="B3868">
        <v>2</v>
      </c>
      <c r="C3868">
        <v>1</v>
      </c>
    </row>
    <row r="3869" spans="1:3" ht="24" customHeight="1">
      <c r="A3869" s="5" t="s">
        <v>4693</v>
      </c>
      <c r="B3869">
        <v>2</v>
      </c>
      <c r="C3869">
        <v>0</v>
      </c>
    </row>
    <row r="3870" spans="1:3" ht="24" customHeight="1">
      <c r="A3870" s="5" t="s">
        <v>4866</v>
      </c>
      <c r="B3870">
        <v>0</v>
      </c>
      <c r="C3870">
        <v>0</v>
      </c>
    </row>
    <row r="3871" spans="1:3" ht="24" customHeight="1">
      <c r="A3871" s="5" t="s">
        <v>4946</v>
      </c>
      <c r="B3871">
        <v>0</v>
      </c>
      <c r="C3871">
        <v>1</v>
      </c>
    </row>
    <row r="3872" spans="1:3" ht="24" customHeight="1">
      <c r="A3872" s="5" t="s">
        <v>4694</v>
      </c>
      <c r="B3872">
        <v>432</v>
      </c>
      <c r="C3872">
        <v>711</v>
      </c>
    </row>
    <row r="3873" spans="1:3" ht="24" customHeight="1">
      <c r="A3873" s="5" t="s">
        <v>4695</v>
      </c>
      <c r="B3873">
        <v>71</v>
      </c>
      <c r="C3873">
        <v>23</v>
      </c>
    </row>
    <row r="3874" spans="1:3" ht="24" customHeight="1">
      <c r="A3874" s="5" t="s">
        <v>4867</v>
      </c>
      <c r="B3874">
        <v>217</v>
      </c>
      <c r="C3874">
        <v>433</v>
      </c>
    </row>
    <row r="3875" spans="1:3" ht="24" customHeight="1">
      <c r="A3875" s="5" t="s">
        <v>5025</v>
      </c>
      <c r="B3875">
        <v>27</v>
      </c>
      <c r="C3875">
        <v>114</v>
      </c>
    </row>
    <row r="3876" spans="1:3" ht="24" customHeight="1">
      <c r="A3876" s="5" t="s">
        <v>4947</v>
      </c>
      <c r="B3876">
        <v>118</v>
      </c>
      <c r="C3876">
        <v>142</v>
      </c>
    </row>
    <row r="3877" spans="1:3" ht="24" customHeight="1">
      <c r="A3877" s="5" t="s">
        <v>4696</v>
      </c>
      <c r="B3877">
        <v>104</v>
      </c>
      <c r="C3877">
        <v>150</v>
      </c>
    </row>
    <row r="3878" spans="1:3" ht="24" customHeight="1">
      <c r="A3878" s="5" t="s">
        <v>4697</v>
      </c>
      <c r="B3878">
        <v>63</v>
      </c>
      <c r="C3878">
        <v>21</v>
      </c>
    </row>
    <row r="3879" spans="1:3" ht="24" customHeight="1">
      <c r="A3879" s="5" t="s">
        <v>4868</v>
      </c>
      <c r="B3879">
        <v>18</v>
      </c>
      <c r="C3879">
        <v>74</v>
      </c>
    </row>
    <row r="3880" spans="1:3" ht="24" customHeight="1">
      <c r="A3880" s="5" t="s">
        <v>5026</v>
      </c>
      <c r="B3880">
        <v>10</v>
      </c>
      <c r="C3880">
        <v>30</v>
      </c>
    </row>
    <row r="3881" spans="1:3" ht="24" customHeight="1">
      <c r="A3881" s="5" t="s">
        <v>4948</v>
      </c>
      <c r="B3881">
        <v>13</v>
      </c>
      <c r="C3881">
        <v>25</v>
      </c>
    </row>
    <row r="3882" spans="1:3" ht="24" customHeight="1">
      <c r="A3882" s="5" t="s">
        <v>4698</v>
      </c>
      <c r="B3882">
        <v>11</v>
      </c>
      <c r="C3882">
        <v>56</v>
      </c>
    </row>
    <row r="3883" spans="1:3" ht="24" customHeight="1">
      <c r="A3883" s="5" t="s">
        <v>4699</v>
      </c>
      <c r="B3883">
        <v>0</v>
      </c>
      <c r="C3883">
        <v>0</v>
      </c>
    </row>
    <row r="3884" spans="1:3" ht="24" customHeight="1">
      <c r="A3884" s="5" t="s">
        <v>4869</v>
      </c>
      <c r="B3884">
        <v>6</v>
      </c>
      <c r="C3884">
        <v>50</v>
      </c>
    </row>
    <row r="3885" spans="1:3" ht="24" customHeight="1">
      <c r="A3885" s="5" t="s">
        <v>5027</v>
      </c>
      <c r="B3885">
        <v>4</v>
      </c>
      <c r="C3885">
        <v>6</v>
      </c>
    </row>
    <row r="3886" spans="1:3" ht="24" customHeight="1">
      <c r="A3886" s="5" t="s">
        <v>4700</v>
      </c>
      <c r="B3886">
        <v>279</v>
      </c>
      <c r="C3886">
        <v>105</v>
      </c>
    </row>
    <row r="3887" spans="1:3" ht="24" customHeight="1">
      <c r="A3887" s="5" t="s">
        <v>4701</v>
      </c>
      <c r="B3887">
        <v>41</v>
      </c>
      <c r="C3887">
        <v>19</v>
      </c>
    </row>
    <row r="3888" spans="1:3" ht="24" customHeight="1">
      <c r="A3888" s="5" t="s">
        <v>4870</v>
      </c>
      <c r="B3888">
        <v>197</v>
      </c>
      <c r="C3888">
        <v>70</v>
      </c>
    </row>
    <row r="3889" spans="1:3" ht="24" customHeight="1">
      <c r="A3889" s="5" t="s">
        <v>5028</v>
      </c>
      <c r="B3889">
        <v>21</v>
      </c>
      <c r="C3889">
        <v>11</v>
      </c>
    </row>
    <row r="3890" spans="1:3" ht="24" customHeight="1">
      <c r="A3890" s="5" t="s">
        <v>4949</v>
      </c>
      <c r="B3890">
        <v>19</v>
      </c>
      <c r="C3890">
        <v>5</v>
      </c>
    </row>
    <row r="3891" spans="1:3" ht="24" customHeight="1">
      <c r="A3891" s="5" t="s">
        <v>4702</v>
      </c>
      <c r="B3891">
        <v>300</v>
      </c>
      <c r="C3891">
        <v>41</v>
      </c>
    </row>
    <row r="3892" spans="1:3" ht="24" customHeight="1">
      <c r="A3892" s="5" t="s">
        <v>4703</v>
      </c>
      <c r="B3892">
        <v>19</v>
      </c>
      <c r="C3892">
        <v>12</v>
      </c>
    </row>
    <row r="3893" spans="1:3" ht="24" customHeight="1">
      <c r="A3893" s="5" t="s">
        <v>4871</v>
      </c>
      <c r="B3893">
        <v>106</v>
      </c>
      <c r="C3893">
        <v>21</v>
      </c>
    </row>
    <row r="3894" spans="1:3" ht="24" customHeight="1">
      <c r="A3894" s="5" t="s">
        <v>5029</v>
      </c>
      <c r="B3894">
        <v>155</v>
      </c>
      <c r="C3894">
        <v>1</v>
      </c>
    </row>
    <row r="3895" spans="1:3" ht="24" customHeight="1">
      <c r="A3895" s="5" t="s">
        <v>4950</v>
      </c>
      <c r="B3895">
        <v>20</v>
      </c>
      <c r="C3895">
        <v>6</v>
      </c>
    </row>
    <row r="3896" spans="1:3" ht="24" customHeight="1">
      <c r="A3896" s="5" t="s">
        <v>4704</v>
      </c>
      <c r="B3896">
        <v>161</v>
      </c>
      <c r="C3896">
        <v>100</v>
      </c>
    </row>
    <row r="3897" spans="1:3" ht="24" customHeight="1">
      <c r="A3897" s="5" t="s">
        <v>4705</v>
      </c>
      <c r="B3897">
        <v>15</v>
      </c>
      <c r="C3897">
        <v>12</v>
      </c>
    </row>
    <row r="3898" spans="1:3" ht="24" customHeight="1">
      <c r="A3898" s="5" t="s">
        <v>4872</v>
      </c>
      <c r="B3898">
        <v>88</v>
      </c>
      <c r="C3898">
        <v>44</v>
      </c>
    </row>
    <row r="3899" spans="1:3" ht="24" customHeight="1">
      <c r="A3899" s="5" t="s">
        <v>5030</v>
      </c>
      <c r="B3899">
        <v>21</v>
      </c>
      <c r="C3899">
        <v>17</v>
      </c>
    </row>
    <row r="3900" spans="1:3" ht="24" customHeight="1">
      <c r="A3900" s="5" t="s">
        <v>4951</v>
      </c>
      <c r="B3900">
        <v>36</v>
      </c>
      <c r="C3900">
        <v>27</v>
      </c>
    </row>
    <row r="3901" spans="1:3" ht="24" customHeight="1">
      <c r="A3901" s="5" t="s">
        <v>4706</v>
      </c>
      <c r="B3901">
        <v>638</v>
      </c>
      <c r="C3901">
        <v>300</v>
      </c>
    </row>
    <row r="3902" spans="1:3" ht="24" customHeight="1">
      <c r="A3902" s="5" t="s">
        <v>4707</v>
      </c>
      <c r="B3902">
        <v>77</v>
      </c>
      <c r="C3902">
        <v>22</v>
      </c>
    </row>
    <row r="3903" spans="1:3" ht="24" customHeight="1">
      <c r="A3903" s="5" t="s">
        <v>4873</v>
      </c>
      <c r="B3903">
        <v>406</v>
      </c>
      <c r="C3903">
        <v>215</v>
      </c>
    </row>
    <row r="3904" spans="1:3" ht="24" customHeight="1">
      <c r="A3904" s="5" t="s">
        <v>5031</v>
      </c>
      <c r="B3904">
        <v>42</v>
      </c>
      <c r="C3904">
        <v>27</v>
      </c>
    </row>
    <row r="3905" spans="1:3" ht="24" customHeight="1">
      <c r="A3905" s="5" t="s">
        <v>4952</v>
      </c>
      <c r="B3905">
        <v>113</v>
      </c>
      <c r="C3905">
        <v>37</v>
      </c>
    </row>
    <row r="3906" spans="1:3" ht="24" customHeight="1">
      <c r="A3906" s="5" t="s">
        <v>4708</v>
      </c>
      <c r="B3906">
        <v>343</v>
      </c>
      <c r="C3906">
        <v>216</v>
      </c>
    </row>
    <row r="3907" spans="1:3" ht="24" customHeight="1">
      <c r="A3907" s="5" t="s">
        <v>4709</v>
      </c>
      <c r="B3907">
        <v>86</v>
      </c>
      <c r="C3907">
        <v>83</v>
      </c>
    </row>
    <row r="3908" spans="1:3" ht="24" customHeight="1">
      <c r="A3908" s="5" t="s">
        <v>4874</v>
      </c>
      <c r="B3908">
        <v>148</v>
      </c>
      <c r="C3908">
        <v>47</v>
      </c>
    </row>
    <row r="3909" spans="1:3" ht="24" customHeight="1">
      <c r="A3909" s="5" t="s">
        <v>5032</v>
      </c>
      <c r="B3909">
        <v>39</v>
      </c>
      <c r="C3909">
        <v>43</v>
      </c>
    </row>
    <row r="3910" spans="1:3" ht="24" customHeight="1">
      <c r="A3910" s="5" t="s">
        <v>4953</v>
      </c>
      <c r="B3910">
        <v>70</v>
      </c>
      <c r="C3910">
        <v>43</v>
      </c>
    </row>
    <row r="3911" spans="1:3" ht="24" customHeight="1">
      <c r="A3911" s="5" t="s">
        <v>4710</v>
      </c>
      <c r="B3911">
        <v>371</v>
      </c>
      <c r="C3911">
        <v>448</v>
      </c>
    </row>
    <row r="3912" spans="1:3" ht="24" customHeight="1">
      <c r="A3912" s="5" t="s">
        <v>4711</v>
      </c>
      <c r="B3912">
        <v>37</v>
      </c>
      <c r="C3912">
        <v>47</v>
      </c>
    </row>
    <row r="3913" spans="1:3" ht="24" customHeight="1">
      <c r="A3913" s="5" t="s">
        <v>4875</v>
      </c>
      <c r="B3913">
        <v>152</v>
      </c>
      <c r="C3913">
        <v>233</v>
      </c>
    </row>
    <row r="3914" spans="1:3" ht="24" customHeight="1">
      <c r="A3914" s="5" t="s">
        <v>5033</v>
      </c>
      <c r="B3914">
        <v>134</v>
      </c>
      <c r="C3914">
        <v>45</v>
      </c>
    </row>
    <row r="3915" spans="1:3" ht="24" customHeight="1">
      <c r="A3915" s="5" t="s">
        <v>4954</v>
      </c>
      <c r="B3915">
        <v>49</v>
      </c>
      <c r="C3915">
        <v>123</v>
      </c>
    </row>
    <row r="3916" spans="1:3" ht="24" customHeight="1">
      <c r="A3916" s="5" t="s">
        <v>4712</v>
      </c>
      <c r="B3916">
        <v>127</v>
      </c>
      <c r="C3916">
        <v>193</v>
      </c>
    </row>
    <row r="3917" spans="1:3" ht="24" customHeight="1">
      <c r="A3917" s="5" t="s">
        <v>4713</v>
      </c>
      <c r="B3917">
        <v>35</v>
      </c>
      <c r="C3917">
        <v>34</v>
      </c>
    </row>
    <row r="3918" spans="1:3" ht="24" customHeight="1">
      <c r="A3918" s="5" t="s">
        <v>4876</v>
      </c>
      <c r="B3918">
        <v>45</v>
      </c>
      <c r="C3918">
        <v>60</v>
      </c>
    </row>
    <row r="3919" spans="1:3" ht="24" customHeight="1">
      <c r="A3919" s="5" t="s">
        <v>5034</v>
      </c>
      <c r="B3919">
        <v>21</v>
      </c>
      <c r="C3919">
        <v>62</v>
      </c>
    </row>
    <row r="3920" spans="1:3" ht="24" customHeight="1">
      <c r="A3920" s="5" t="s">
        <v>4955</v>
      </c>
      <c r="B3920">
        <v>25</v>
      </c>
      <c r="C3920">
        <v>37</v>
      </c>
    </row>
    <row r="3921" spans="1:3" ht="24" customHeight="1">
      <c r="A3921" s="5" t="s">
        <v>4714</v>
      </c>
      <c r="B3921">
        <v>291</v>
      </c>
      <c r="C3921">
        <v>381</v>
      </c>
    </row>
    <row r="3922" spans="1:3" ht="24" customHeight="1">
      <c r="A3922" s="5" t="s">
        <v>4715</v>
      </c>
      <c r="B3922">
        <v>141</v>
      </c>
      <c r="C3922">
        <v>61</v>
      </c>
    </row>
    <row r="3923" spans="1:3" ht="24" customHeight="1">
      <c r="A3923" s="5" t="s">
        <v>4877</v>
      </c>
      <c r="B3923">
        <v>48</v>
      </c>
      <c r="C3923">
        <v>174</v>
      </c>
    </row>
    <row r="3924" spans="1:3" ht="24" customHeight="1">
      <c r="A3924" s="5" t="s">
        <v>5035</v>
      </c>
      <c r="B3924">
        <v>43</v>
      </c>
      <c r="C3924">
        <v>115</v>
      </c>
    </row>
    <row r="3925" spans="1:3" ht="24" customHeight="1">
      <c r="A3925" s="5" t="s">
        <v>4956</v>
      </c>
      <c r="B3925">
        <v>59</v>
      </c>
      <c r="C3925">
        <v>31</v>
      </c>
    </row>
    <row r="3926" spans="1:3" ht="24" customHeight="1">
      <c r="A3926" s="5" t="s">
        <v>4716</v>
      </c>
      <c r="B3926">
        <v>499</v>
      </c>
      <c r="C3926">
        <v>478</v>
      </c>
    </row>
    <row r="3927" spans="1:3" ht="24" customHeight="1">
      <c r="A3927" s="5" t="s">
        <v>4717</v>
      </c>
      <c r="B3927">
        <v>225</v>
      </c>
      <c r="C3927">
        <v>53</v>
      </c>
    </row>
    <row r="3928" spans="1:3" ht="24" customHeight="1">
      <c r="A3928" s="5" t="s">
        <v>4878</v>
      </c>
      <c r="B3928">
        <v>124</v>
      </c>
      <c r="C3928">
        <v>249</v>
      </c>
    </row>
    <row r="3929" spans="1:3" ht="24" customHeight="1">
      <c r="A3929" s="5" t="s">
        <v>5036</v>
      </c>
      <c r="B3929">
        <v>49</v>
      </c>
      <c r="C3929">
        <v>93</v>
      </c>
    </row>
    <row r="3930" spans="1:3" ht="24" customHeight="1">
      <c r="A3930" s="5" t="s">
        <v>4957</v>
      </c>
      <c r="B3930">
        <v>102</v>
      </c>
      <c r="C3930">
        <v>83</v>
      </c>
    </row>
    <row r="3931" spans="1:3" ht="24" customHeight="1">
      <c r="A3931" s="5" t="s">
        <v>4718</v>
      </c>
      <c r="B3931">
        <v>62</v>
      </c>
      <c r="C3931">
        <v>100</v>
      </c>
    </row>
    <row r="3932" spans="1:3" ht="24" customHeight="1">
      <c r="A3932" s="5" t="s">
        <v>4719</v>
      </c>
      <c r="B3932">
        <v>6</v>
      </c>
      <c r="C3932">
        <v>15</v>
      </c>
    </row>
    <row r="3933" spans="1:3" ht="24" customHeight="1">
      <c r="A3933" s="5" t="s">
        <v>4879</v>
      </c>
      <c r="B3933">
        <v>7</v>
      </c>
      <c r="C3933">
        <v>39</v>
      </c>
    </row>
    <row r="3934" spans="1:3" ht="24" customHeight="1">
      <c r="A3934" s="5" t="s">
        <v>5037</v>
      </c>
      <c r="B3934">
        <v>38</v>
      </c>
      <c r="C3934">
        <v>35</v>
      </c>
    </row>
    <row r="3935" spans="1:3" ht="24" customHeight="1">
      <c r="A3935" s="5" t="s">
        <v>4958</v>
      </c>
      <c r="B3935">
        <v>12</v>
      </c>
      <c r="C3935">
        <v>10</v>
      </c>
    </row>
    <row r="3936" spans="1:3" ht="24" customHeight="1">
      <c r="A3936" s="5" t="s">
        <v>4720</v>
      </c>
      <c r="B3936">
        <v>1608</v>
      </c>
      <c r="C3936">
        <v>755</v>
      </c>
    </row>
    <row r="3937" spans="1:3" ht="24" customHeight="1">
      <c r="A3937" s="5" t="s">
        <v>4721</v>
      </c>
      <c r="B3937">
        <v>628</v>
      </c>
      <c r="C3937">
        <v>222</v>
      </c>
    </row>
    <row r="3938" spans="1:3" ht="24" customHeight="1">
      <c r="A3938" s="5" t="s">
        <v>4880</v>
      </c>
      <c r="B3938">
        <v>321</v>
      </c>
      <c r="C3938">
        <v>177</v>
      </c>
    </row>
    <row r="3939" spans="1:3" ht="24" customHeight="1">
      <c r="A3939" s="5" t="s">
        <v>5038</v>
      </c>
      <c r="B3939">
        <v>371</v>
      </c>
      <c r="C3939">
        <v>319</v>
      </c>
    </row>
    <row r="3940" spans="1:3" ht="24" customHeight="1">
      <c r="A3940" s="5" t="s">
        <v>4959</v>
      </c>
      <c r="B3940">
        <v>288</v>
      </c>
      <c r="C3940">
        <v>37</v>
      </c>
    </row>
    <row r="3941" spans="1:3" ht="24" customHeight="1">
      <c r="A3941" s="5" t="s">
        <v>4722</v>
      </c>
      <c r="B3941">
        <v>166</v>
      </c>
      <c r="C3941">
        <v>315</v>
      </c>
    </row>
    <row r="3942" spans="1:3" ht="24" customHeight="1">
      <c r="A3942" s="5" t="s">
        <v>4723</v>
      </c>
      <c r="B3942">
        <v>15</v>
      </c>
      <c r="C3942">
        <v>19</v>
      </c>
    </row>
    <row r="3943" spans="1:3" ht="24" customHeight="1">
      <c r="A3943" s="5" t="s">
        <v>4881</v>
      </c>
      <c r="B3943">
        <v>98</v>
      </c>
      <c r="C3943">
        <v>157</v>
      </c>
    </row>
    <row r="3944" spans="1:3" ht="24" customHeight="1">
      <c r="A3944" s="5" t="s">
        <v>5039</v>
      </c>
      <c r="B3944">
        <v>29</v>
      </c>
      <c r="C3944">
        <v>103</v>
      </c>
    </row>
    <row r="3945" spans="1:3" ht="24" customHeight="1">
      <c r="A3945" s="5" t="s">
        <v>4960</v>
      </c>
      <c r="B3945">
        <v>24</v>
      </c>
      <c r="C3945">
        <v>37</v>
      </c>
    </row>
    <row r="3946" spans="1:3" ht="24" customHeight="1">
      <c r="A3946" s="5" t="s">
        <v>4724</v>
      </c>
      <c r="B3946">
        <v>214</v>
      </c>
      <c r="C3946">
        <v>81</v>
      </c>
    </row>
    <row r="3947" spans="1:3" ht="24" customHeight="1">
      <c r="A3947" s="5" t="s">
        <v>4729</v>
      </c>
      <c r="B3947">
        <v>1257</v>
      </c>
      <c r="C3947">
        <v>2221</v>
      </c>
    </row>
    <row r="3948" spans="1:3" ht="24" customHeight="1">
      <c r="A3948" s="5" t="s">
        <v>4735</v>
      </c>
      <c r="B3948">
        <v>3991</v>
      </c>
      <c r="C3948">
        <v>3516</v>
      </c>
    </row>
    <row r="3949" spans="1:3" ht="24" customHeight="1">
      <c r="A3949" s="5" t="s">
        <v>4744</v>
      </c>
      <c r="B3949">
        <v>45815</v>
      </c>
      <c r="C3949">
        <v>52168</v>
      </c>
    </row>
    <row r="3950" spans="1:3" ht="24" customHeight="1">
      <c r="A3950" s="5" t="s">
        <v>4763</v>
      </c>
      <c r="B3950">
        <v>349</v>
      </c>
      <c r="C3950">
        <v>767</v>
      </c>
    </row>
    <row r="3951" spans="1:3" ht="24" customHeight="1">
      <c r="A3951" s="5" t="s">
        <v>4776</v>
      </c>
      <c r="B3951">
        <v>1457</v>
      </c>
      <c r="C3951">
        <v>2222</v>
      </c>
    </row>
    <row r="3952" spans="1:3" ht="24" customHeight="1">
      <c r="A3952" s="5" t="s">
        <v>4783</v>
      </c>
      <c r="B3952">
        <v>2089</v>
      </c>
      <c r="C3952">
        <v>2646</v>
      </c>
    </row>
    <row r="3953" spans="1:3" ht="24" customHeight="1">
      <c r="A3953" s="5" t="s">
        <v>4792</v>
      </c>
      <c r="B3953">
        <v>35175</v>
      </c>
      <c r="C3953">
        <v>54693</v>
      </c>
    </row>
    <row r="3954" spans="1:3" ht="24" customHeight="1">
      <c r="A3954" s="5" t="s">
        <v>4799</v>
      </c>
      <c r="B3954">
        <v>6555</v>
      </c>
      <c r="C3954">
        <v>9392</v>
      </c>
    </row>
    <row r="3955" spans="1:3" ht="24" customHeight="1">
      <c r="A3955" s="5" t="s">
        <v>4806</v>
      </c>
      <c r="B3955">
        <v>8167</v>
      </c>
      <c r="C3955">
        <v>10290</v>
      </c>
    </row>
    <row r="3956" spans="1:3" ht="24" customHeight="1">
      <c r="A3956" s="5" t="s">
        <v>4811</v>
      </c>
      <c r="B3956">
        <v>9488</v>
      </c>
      <c r="C3956">
        <v>25574</v>
      </c>
    </row>
    <row r="3957" spans="1:3" ht="24" customHeight="1">
      <c r="A3957" s="5" t="s">
        <v>4818</v>
      </c>
      <c r="B3957">
        <v>402</v>
      </c>
      <c r="C3957">
        <v>379</v>
      </c>
    </row>
    <row r="3958" spans="1:3" ht="24" customHeight="1">
      <c r="A3958" s="5" t="s">
        <v>4823</v>
      </c>
      <c r="B3958">
        <v>20675</v>
      </c>
      <c r="C3958">
        <v>29754</v>
      </c>
    </row>
    <row r="3959" spans="1:3" ht="24" customHeight="1">
      <c r="A3959" s="5" t="s">
        <v>4669</v>
      </c>
      <c r="B3959">
        <v>17</v>
      </c>
      <c r="C3959">
        <v>2</v>
      </c>
    </row>
    <row r="3960" spans="1:3" ht="24" customHeight="1">
      <c r="A3960" s="5" t="s">
        <v>4840</v>
      </c>
      <c r="B3960">
        <v>2</v>
      </c>
      <c r="C3960">
        <v>0</v>
      </c>
    </row>
    <row r="3961" spans="1:3" ht="24" customHeight="1">
      <c r="A3961" s="5" t="s">
        <v>4882</v>
      </c>
      <c r="B3961">
        <v>15</v>
      </c>
      <c r="C3961">
        <v>1</v>
      </c>
    </row>
    <row r="3962" spans="1:3" ht="24" customHeight="1">
      <c r="A3962" s="5" t="s">
        <v>5040</v>
      </c>
      <c r="B3962">
        <v>0</v>
      </c>
      <c r="C3962">
        <v>0</v>
      </c>
    </row>
    <row r="3963" spans="1:3" ht="24" customHeight="1">
      <c r="A3963" s="5" t="s">
        <v>4961</v>
      </c>
      <c r="B3963">
        <v>0</v>
      </c>
      <c r="C3963">
        <v>1</v>
      </c>
    </row>
    <row r="3964" spans="1:3" ht="24" customHeight="1">
      <c r="A3964" s="5" t="s">
        <v>4671</v>
      </c>
      <c r="B3964">
        <v>3559</v>
      </c>
      <c r="C3964">
        <v>849</v>
      </c>
    </row>
    <row r="3965" spans="1:3" ht="24" customHeight="1">
      <c r="A3965" s="5" t="s">
        <v>4841</v>
      </c>
      <c r="B3965">
        <v>349</v>
      </c>
      <c r="C3965">
        <v>161</v>
      </c>
    </row>
    <row r="3966" spans="1:3" ht="24" customHeight="1">
      <c r="A3966" s="5" t="s">
        <v>4883</v>
      </c>
      <c r="B3966">
        <v>2761</v>
      </c>
      <c r="C3966">
        <v>537</v>
      </c>
    </row>
    <row r="3967" spans="1:3" ht="24" customHeight="1">
      <c r="A3967" s="5" t="s">
        <v>5041</v>
      </c>
      <c r="B3967">
        <v>195</v>
      </c>
      <c r="C3967">
        <v>58</v>
      </c>
    </row>
    <row r="3968" spans="1:3" ht="24" customHeight="1">
      <c r="A3968" s="5" t="s">
        <v>4962</v>
      </c>
      <c r="B3968">
        <v>255</v>
      </c>
      <c r="C3968">
        <v>94</v>
      </c>
    </row>
    <row r="3969" spans="1:3" ht="24" customHeight="1">
      <c r="A3969" s="5" t="s">
        <v>4675</v>
      </c>
      <c r="B3969">
        <v>10120</v>
      </c>
      <c r="C3969">
        <v>17691</v>
      </c>
    </row>
    <row r="3970" spans="1:3" ht="24" customHeight="1">
      <c r="A3970" s="5" t="s">
        <v>4842</v>
      </c>
      <c r="B3970">
        <v>2524</v>
      </c>
      <c r="C3970">
        <v>7049</v>
      </c>
    </row>
    <row r="3971" spans="1:3" ht="24" customHeight="1">
      <c r="A3971" s="5" t="s">
        <v>4884</v>
      </c>
      <c r="B3971">
        <v>3017</v>
      </c>
      <c r="C3971">
        <v>4286</v>
      </c>
    </row>
    <row r="3972" spans="1:3" ht="24" customHeight="1">
      <c r="A3972" s="5" t="s">
        <v>5042</v>
      </c>
      <c r="B3972">
        <v>1686</v>
      </c>
      <c r="C3972">
        <v>2571</v>
      </c>
    </row>
    <row r="3973" spans="1:3" ht="24" customHeight="1">
      <c r="A3973" s="5" t="s">
        <v>4963</v>
      </c>
      <c r="B3973">
        <v>2893</v>
      </c>
      <c r="C3973">
        <v>3784</v>
      </c>
    </row>
    <row r="3974" spans="1:3" ht="24" customHeight="1">
      <c r="A3974" s="5" t="s">
        <v>4724</v>
      </c>
      <c r="B3974">
        <v>214</v>
      </c>
      <c r="C3974">
        <v>81</v>
      </c>
    </row>
    <row r="3975" spans="1:3" ht="24" customHeight="1">
      <c r="A3975" s="5" t="s">
        <v>4843</v>
      </c>
      <c r="B3975">
        <v>169</v>
      </c>
      <c r="C3975">
        <v>61</v>
      </c>
    </row>
    <row r="3976" spans="1:3" ht="24" customHeight="1">
      <c r="A3976" s="5" t="s">
        <v>4885</v>
      </c>
      <c r="B3976">
        <v>17</v>
      </c>
      <c r="C3976">
        <v>12</v>
      </c>
    </row>
    <row r="3977" spans="1:3" ht="24" customHeight="1">
      <c r="A3977" s="5" t="s">
        <v>5043</v>
      </c>
      <c r="B3977">
        <v>9</v>
      </c>
      <c r="C3977">
        <v>4</v>
      </c>
    </row>
    <row r="3978" spans="1:3" ht="24" customHeight="1">
      <c r="A3978" s="5" t="s">
        <v>4964</v>
      </c>
      <c r="B3978">
        <v>19</v>
      </c>
      <c r="C3978">
        <v>5</v>
      </c>
    </row>
    <row r="3979" spans="1:3" ht="24" customHeight="1">
      <c r="A3979" s="5" t="s">
        <v>4729</v>
      </c>
      <c r="B3979">
        <v>1257</v>
      </c>
      <c r="C3979">
        <v>2221</v>
      </c>
    </row>
    <row r="3980" spans="1:3" ht="24" customHeight="1">
      <c r="A3980" s="5" t="s">
        <v>4844</v>
      </c>
      <c r="B3980">
        <v>609</v>
      </c>
      <c r="C3980">
        <v>829</v>
      </c>
    </row>
    <row r="3981" spans="1:3" ht="24" customHeight="1">
      <c r="A3981" s="5" t="s">
        <v>4886</v>
      </c>
      <c r="B3981">
        <v>251</v>
      </c>
      <c r="C3981">
        <v>777</v>
      </c>
    </row>
    <row r="3982" spans="1:3" ht="24" customHeight="1">
      <c r="A3982" s="5" t="s">
        <v>5044</v>
      </c>
      <c r="B3982">
        <v>298</v>
      </c>
      <c r="C3982">
        <v>414</v>
      </c>
    </row>
    <row r="3983" spans="1:3" ht="24" customHeight="1">
      <c r="A3983" s="5" t="s">
        <v>4965</v>
      </c>
      <c r="B3983">
        <v>99</v>
      </c>
      <c r="C3983">
        <v>201</v>
      </c>
    </row>
    <row r="3984" spans="1:3" ht="24" customHeight="1">
      <c r="A3984" s="5" t="s">
        <v>4735</v>
      </c>
      <c r="B3984">
        <v>3991</v>
      </c>
      <c r="C3984">
        <v>3516</v>
      </c>
    </row>
    <row r="3985" spans="1:3" ht="24" customHeight="1">
      <c r="A3985" s="5" t="s">
        <v>4845</v>
      </c>
      <c r="B3985">
        <v>1754</v>
      </c>
      <c r="C3985">
        <v>1507</v>
      </c>
    </row>
    <row r="3986" spans="1:3" ht="24" customHeight="1">
      <c r="A3986" s="5" t="s">
        <v>4887</v>
      </c>
      <c r="B3986">
        <v>1009</v>
      </c>
      <c r="C3986">
        <v>455</v>
      </c>
    </row>
    <row r="3987" spans="1:3" ht="24" customHeight="1">
      <c r="A3987" s="5" t="s">
        <v>5045</v>
      </c>
      <c r="B3987">
        <v>656</v>
      </c>
      <c r="C3987">
        <v>338</v>
      </c>
    </row>
    <row r="3988" spans="1:3" ht="24" customHeight="1">
      <c r="A3988" s="5" t="s">
        <v>4966</v>
      </c>
      <c r="B3988">
        <v>572</v>
      </c>
      <c r="C3988">
        <v>1216</v>
      </c>
    </row>
    <row r="3989" spans="1:3" ht="24" customHeight="1">
      <c r="A3989" s="5" t="s">
        <v>4744</v>
      </c>
      <c r="B3989">
        <v>45815</v>
      </c>
      <c r="C3989">
        <v>52168</v>
      </c>
    </row>
    <row r="3990" spans="1:3" ht="24" customHeight="1">
      <c r="A3990" s="5" t="s">
        <v>4846</v>
      </c>
      <c r="B3990">
        <v>32633</v>
      </c>
      <c r="C3990">
        <v>31239</v>
      </c>
    </row>
    <row r="3991" spans="1:3" ht="24" customHeight="1">
      <c r="A3991" s="5" t="s">
        <v>4888</v>
      </c>
      <c r="B3991">
        <v>7915</v>
      </c>
      <c r="C3991">
        <v>12393</v>
      </c>
    </row>
    <row r="3992" spans="1:3" ht="24" customHeight="1">
      <c r="A3992" s="5" t="s">
        <v>5046</v>
      </c>
      <c r="B3992">
        <v>2653</v>
      </c>
      <c r="C3992">
        <v>3043</v>
      </c>
    </row>
    <row r="3993" spans="1:3" ht="24" customHeight="1">
      <c r="A3993" s="5" t="s">
        <v>4967</v>
      </c>
      <c r="B3993">
        <v>2614</v>
      </c>
      <c r="C3993">
        <v>5492</v>
      </c>
    </row>
    <row r="3994" spans="1:3" ht="24" customHeight="1">
      <c r="A3994" s="5" t="s">
        <v>4763</v>
      </c>
      <c r="B3994">
        <v>349</v>
      </c>
      <c r="C3994">
        <v>767</v>
      </c>
    </row>
    <row r="3995" spans="1:3" ht="24" customHeight="1">
      <c r="A3995" s="5" t="s">
        <v>4847</v>
      </c>
      <c r="B3995">
        <v>170</v>
      </c>
      <c r="C3995">
        <v>478</v>
      </c>
    </row>
    <row r="3996" spans="1:3" ht="24" customHeight="1">
      <c r="A3996" s="5" t="s">
        <v>4889</v>
      </c>
      <c r="B3996">
        <v>48</v>
      </c>
      <c r="C3996">
        <v>130</v>
      </c>
    </row>
    <row r="3997" spans="1:3" ht="24" customHeight="1">
      <c r="A3997" s="5" t="s">
        <v>5047</v>
      </c>
      <c r="B3997">
        <v>48</v>
      </c>
      <c r="C3997">
        <v>73</v>
      </c>
    </row>
    <row r="3998" spans="1:3" ht="24" customHeight="1">
      <c r="A3998" s="5" t="s">
        <v>4968</v>
      </c>
      <c r="B3998">
        <v>82</v>
      </c>
      <c r="C3998">
        <v>86</v>
      </c>
    </row>
    <row r="3999" spans="1:3" ht="24" customHeight="1">
      <c r="A3999" s="5" t="s">
        <v>4776</v>
      </c>
      <c r="B3999">
        <v>1457</v>
      </c>
      <c r="C3999">
        <v>2222</v>
      </c>
    </row>
    <row r="4000" spans="1:3" ht="24" customHeight="1">
      <c r="A4000" s="5" t="s">
        <v>4848</v>
      </c>
      <c r="B4000">
        <v>487</v>
      </c>
      <c r="C4000">
        <v>609</v>
      </c>
    </row>
    <row r="4001" spans="1:3" ht="24" customHeight="1">
      <c r="A4001" s="5" t="s">
        <v>4890</v>
      </c>
      <c r="B4001">
        <v>469</v>
      </c>
      <c r="C4001">
        <v>764</v>
      </c>
    </row>
    <row r="4002" spans="1:3" ht="24" customHeight="1">
      <c r="A4002" s="5" t="s">
        <v>5048</v>
      </c>
      <c r="B4002">
        <v>316</v>
      </c>
      <c r="C4002">
        <v>411</v>
      </c>
    </row>
    <row r="4003" spans="1:3" ht="24" customHeight="1">
      <c r="A4003" s="5" t="s">
        <v>4969</v>
      </c>
      <c r="B4003">
        <v>185</v>
      </c>
      <c r="C4003">
        <v>438</v>
      </c>
    </row>
    <row r="4004" spans="1:3" ht="24" customHeight="1">
      <c r="A4004" s="5" t="s">
        <v>4783</v>
      </c>
      <c r="B4004">
        <v>2089</v>
      </c>
      <c r="C4004">
        <v>2646</v>
      </c>
    </row>
    <row r="4005" spans="1:3" ht="24" customHeight="1">
      <c r="A4005" s="5" t="s">
        <v>4849</v>
      </c>
      <c r="B4005">
        <v>849</v>
      </c>
      <c r="C4005">
        <v>770</v>
      </c>
    </row>
    <row r="4006" spans="1:3" ht="24" customHeight="1">
      <c r="A4006" s="5" t="s">
        <v>4891</v>
      </c>
      <c r="B4006">
        <v>660</v>
      </c>
      <c r="C4006">
        <v>1253</v>
      </c>
    </row>
    <row r="4007" spans="1:3" ht="24" customHeight="1">
      <c r="A4007" s="5" t="s">
        <v>5049</v>
      </c>
      <c r="B4007">
        <v>402</v>
      </c>
      <c r="C4007">
        <v>512</v>
      </c>
    </row>
    <row r="4008" spans="1:3" ht="24" customHeight="1">
      <c r="A4008" s="5" t="s">
        <v>4970</v>
      </c>
      <c r="B4008">
        <v>178</v>
      </c>
      <c r="C4008">
        <v>111</v>
      </c>
    </row>
    <row r="4009" spans="1:3" ht="24" customHeight="1">
      <c r="A4009" s="5" t="s">
        <v>4792</v>
      </c>
      <c r="B4009">
        <v>35175</v>
      </c>
      <c r="C4009">
        <v>54693</v>
      </c>
    </row>
    <row r="4010" spans="1:3" ht="24" customHeight="1">
      <c r="A4010" s="5" t="s">
        <v>4850</v>
      </c>
      <c r="B4010">
        <v>21113</v>
      </c>
      <c r="C4010">
        <v>30846</v>
      </c>
    </row>
    <row r="4011" spans="1:3" ht="24" customHeight="1">
      <c r="A4011" s="5" t="s">
        <v>4892</v>
      </c>
      <c r="B4011">
        <v>7754</v>
      </c>
      <c r="C4011">
        <v>13763</v>
      </c>
    </row>
    <row r="4012" spans="1:3" ht="24" customHeight="1">
      <c r="A4012" s="5" t="s">
        <v>5050</v>
      </c>
      <c r="B4012">
        <v>2781</v>
      </c>
      <c r="C4012">
        <v>4567</v>
      </c>
    </row>
    <row r="4013" spans="1:3" ht="24" customHeight="1">
      <c r="A4013" s="5" t="s">
        <v>4971</v>
      </c>
      <c r="B4013">
        <v>3528</v>
      </c>
      <c r="C4013">
        <v>5517</v>
      </c>
    </row>
    <row r="4014" spans="1:3" ht="24" customHeight="1">
      <c r="A4014" s="5" t="s">
        <v>4799</v>
      </c>
      <c r="B4014">
        <v>6555</v>
      </c>
      <c r="C4014">
        <v>9392</v>
      </c>
    </row>
    <row r="4015" spans="1:3" ht="24" customHeight="1">
      <c r="A4015" s="5" t="s">
        <v>4851</v>
      </c>
      <c r="B4015">
        <v>3138</v>
      </c>
      <c r="C4015">
        <v>4455</v>
      </c>
    </row>
    <row r="4016" spans="1:3" ht="24" customHeight="1">
      <c r="A4016" s="5" t="s">
        <v>4893</v>
      </c>
      <c r="B4016">
        <v>1503</v>
      </c>
      <c r="C4016">
        <v>2371</v>
      </c>
    </row>
    <row r="4017" spans="1:3" ht="24" customHeight="1">
      <c r="A4017" s="5" t="s">
        <v>5051</v>
      </c>
      <c r="B4017">
        <v>1012</v>
      </c>
      <c r="C4017">
        <v>1272</v>
      </c>
    </row>
    <row r="4018" spans="1:3" ht="24" customHeight="1">
      <c r="A4018" s="5" t="s">
        <v>4972</v>
      </c>
      <c r="B4018">
        <v>903</v>
      </c>
      <c r="C4018">
        <v>1294</v>
      </c>
    </row>
    <row r="4019" spans="1:3" ht="24" customHeight="1">
      <c r="A4019" s="5" t="s">
        <v>4806</v>
      </c>
      <c r="B4019">
        <v>8167</v>
      </c>
      <c r="C4019">
        <v>10290</v>
      </c>
    </row>
    <row r="4020" spans="1:3" ht="24" customHeight="1">
      <c r="A4020" s="5" t="s">
        <v>4852</v>
      </c>
      <c r="B4020">
        <v>4433</v>
      </c>
      <c r="C4020">
        <v>4335</v>
      </c>
    </row>
    <row r="4021" spans="1:3" ht="24" customHeight="1">
      <c r="A4021" s="5" t="s">
        <v>4894</v>
      </c>
      <c r="B4021">
        <v>1250</v>
      </c>
      <c r="C4021">
        <v>2495</v>
      </c>
    </row>
    <row r="4022" spans="1:3" ht="24" customHeight="1">
      <c r="A4022" s="5" t="s">
        <v>5052</v>
      </c>
      <c r="B4022">
        <v>1135</v>
      </c>
      <c r="C4022">
        <v>1383</v>
      </c>
    </row>
    <row r="4023" spans="1:3" ht="24" customHeight="1">
      <c r="A4023" s="5" t="s">
        <v>4973</v>
      </c>
      <c r="B4023">
        <v>1349</v>
      </c>
      <c r="C4023">
        <v>2078</v>
      </c>
    </row>
    <row r="4024" spans="1:3" ht="24" customHeight="1">
      <c r="A4024" s="5" t="s">
        <v>4811</v>
      </c>
      <c r="B4024">
        <v>9488</v>
      </c>
      <c r="C4024">
        <v>25574</v>
      </c>
    </row>
    <row r="4025" spans="1:3" ht="24" customHeight="1">
      <c r="A4025" s="5" t="s">
        <v>4853</v>
      </c>
      <c r="B4025">
        <v>2765</v>
      </c>
      <c r="C4025">
        <v>4188</v>
      </c>
    </row>
    <row r="4026" spans="1:3" ht="24" customHeight="1">
      <c r="A4026" s="5" t="s">
        <v>4895</v>
      </c>
      <c r="B4026">
        <v>3112</v>
      </c>
      <c r="C4026">
        <v>12479</v>
      </c>
    </row>
    <row r="4027" spans="1:3" ht="24" customHeight="1">
      <c r="A4027" s="5" t="s">
        <v>5053</v>
      </c>
      <c r="B4027">
        <v>1698</v>
      </c>
      <c r="C4027">
        <v>4722</v>
      </c>
    </row>
    <row r="4028" spans="1:3" ht="24" customHeight="1">
      <c r="A4028" s="5" t="s">
        <v>4974</v>
      </c>
      <c r="B4028">
        <v>1913</v>
      </c>
      <c r="C4028">
        <v>4184</v>
      </c>
    </row>
    <row r="4029" spans="1:3" ht="24" customHeight="1">
      <c r="A4029" s="5" t="s">
        <v>4818</v>
      </c>
      <c r="B4029">
        <v>402</v>
      </c>
      <c r="C4029">
        <v>379</v>
      </c>
    </row>
    <row r="4030" spans="1:3" ht="24" customHeight="1">
      <c r="A4030" s="5" t="s">
        <v>4854</v>
      </c>
      <c r="B4030">
        <v>283</v>
      </c>
      <c r="C4030">
        <v>263</v>
      </c>
    </row>
    <row r="4031" spans="1:3" ht="24" customHeight="1">
      <c r="A4031" s="5" t="s">
        <v>4896</v>
      </c>
      <c r="B4031">
        <v>31</v>
      </c>
      <c r="C4031">
        <v>24</v>
      </c>
    </row>
    <row r="4032" spans="1:3" ht="24" customHeight="1">
      <c r="A4032" s="5" t="s">
        <v>5054</v>
      </c>
      <c r="B4032">
        <v>34</v>
      </c>
      <c r="C4032">
        <v>27</v>
      </c>
    </row>
    <row r="4033" spans="1:3" ht="24" customHeight="1">
      <c r="A4033" s="5" t="s">
        <v>4975</v>
      </c>
      <c r="B4033">
        <v>54</v>
      </c>
      <c r="C4033">
        <v>65</v>
      </c>
    </row>
    <row r="4034" spans="1:3" ht="24" customHeight="1">
      <c r="A4034" s="5" t="s">
        <v>4823</v>
      </c>
      <c r="B4034">
        <v>20675</v>
      </c>
      <c r="C4034">
        <v>29754</v>
      </c>
    </row>
    <row r="4035" spans="1:3" ht="24" customHeight="1">
      <c r="A4035" s="5" t="s">
        <v>4855</v>
      </c>
      <c r="B4035">
        <v>11144</v>
      </c>
      <c r="C4035">
        <v>16508</v>
      </c>
    </row>
    <row r="4036" spans="1:3" ht="24" customHeight="1">
      <c r="A4036" s="5" t="s">
        <v>4897</v>
      </c>
      <c r="B4036">
        <v>2937</v>
      </c>
      <c r="C4036">
        <v>3395</v>
      </c>
    </row>
    <row r="4037" spans="1:3" ht="24" customHeight="1">
      <c r="A4037" s="5" t="s">
        <v>5055</v>
      </c>
      <c r="B4037">
        <v>2773</v>
      </c>
      <c r="C4037">
        <v>3786</v>
      </c>
    </row>
    <row r="4038" spans="1:3" ht="24" customHeight="1">
      <c r="A4038" s="5" t="s">
        <v>4976</v>
      </c>
      <c r="B4038">
        <v>3820</v>
      </c>
      <c r="C4038">
        <v>6065</v>
      </c>
    </row>
    <row r="4039" spans="1:3" ht="24" customHeight="1">
      <c r="A4039" s="5" t="s">
        <v>4669</v>
      </c>
      <c r="B4039">
        <v>17</v>
      </c>
      <c r="C4039">
        <v>2</v>
      </c>
    </row>
    <row r="4040" spans="1:3" ht="24" customHeight="1">
      <c r="A4040" s="5" t="s">
        <v>4671</v>
      </c>
      <c r="B4040">
        <v>3559</v>
      </c>
      <c r="C4040">
        <v>849</v>
      </c>
    </row>
    <row r="4041" spans="1:3" ht="24" customHeight="1">
      <c r="A4041" s="5" t="s">
        <v>4675</v>
      </c>
      <c r="B4041">
        <v>10120</v>
      </c>
      <c r="C4041">
        <v>17691</v>
      </c>
    </row>
    <row r="4042" spans="1:3" ht="24" customHeight="1">
      <c r="A4042" s="5" t="s">
        <v>4676</v>
      </c>
      <c r="B4042">
        <v>3740</v>
      </c>
      <c r="C4042">
        <v>11459</v>
      </c>
    </row>
    <row r="4043" spans="1:3" ht="24" customHeight="1">
      <c r="A4043" s="5" t="s">
        <v>4678</v>
      </c>
      <c r="B4043">
        <v>130</v>
      </c>
      <c r="C4043">
        <v>194</v>
      </c>
    </row>
    <row r="4044" spans="1:3" ht="24" customHeight="1">
      <c r="A4044" s="5" t="s">
        <v>4680</v>
      </c>
      <c r="B4044">
        <v>120</v>
      </c>
      <c r="C4044">
        <v>628</v>
      </c>
    </row>
    <row r="4045" spans="1:3" ht="24" customHeight="1">
      <c r="A4045" s="5" t="s">
        <v>4682</v>
      </c>
      <c r="B4045">
        <v>146</v>
      </c>
      <c r="C4045">
        <v>91</v>
      </c>
    </row>
    <row r="4046" spans="1:3" ht="24" customHeight="1">
      <c r="A4046" s="5" t="s">
        <v>4684</v>
      </c>
      <c r="B4046">
        <v>113</v>
      </c>
      <c r="C4046">
        <v>76</v>
      </c>
    </row>
    <row r="4047" spans="1:3" ht="24" customHeight="1">
      <c r="A4047" s="5" t="s">
        <v>4686</v>
      </c>
      <c r="B4047">
        <v>136</v>
      </c>
      <c r="C4047">
        <v>182</v>
      </c>
    </row>
    <row r="4048" spans="1:3" ht="24" customHeight="1">
      <c r="A4048" s="5" t="s">
        <v>4688</v>
      </c>
      <c r="B4048">
        <v>163</v>
      </c>
      <c r="C4048">
        <v>337</v>
      </c>
    </row>
    <row r="4049" spans="1:3" ht="24" customHeight="1">
      <c r="A4049" s="5" t="s">
        <v>4690</v>
      </c>
      <c r="B4049">
        <v>179</v>
      </c>
      <c r="C4049">
        <v>373</v>
      </c>
    </row>
    <row r="4050" spans="1:3" ht="24" customHeight="1">
      <c r="A4050" s="5" t="s">
        <v>4692</v>
      </c>
      <c r="B4050">
        <v>2</v>
      </c>
      <c r="C4050">
        <v>1</v>
      </c>
    </row>
    <row r="4051" spans="1:3" ht="24" customHeight="1">
      <c r="A4051" s="5" t="s">
        <v>4694</v>
      </c>
      <c r="B4051">
        <v>432</v>
      </c>
      <c r="C4051">
        <v>711</v>
      </c>
    </row>
    <row r="4052" spans="1:3" ht="24" customHeight="1">
      <c r="A4052" s="5" t="s">
        <v>4696</v>
      </c>
      <c r="B4052">
        <v>104</v>
      </c>
      <c r="C4052">
        <v>150</v>
      </c>
    </row>
    <row r="4053" spans="1:3" ht="24" customHeight="1">
      <c r="A4053" s="5" t="s">
        <v>4698</v>
      </c>
      <c r="B4053">
        <v>11</v>
      </c>
      <c r="C4053">
        <v>56</v>
      </c>
    </row>
    <row r="4054" spans="1:3" ht="24" customHeight="1">
      <c r="A4054" s="5" t="s">
        <v>4700</v>
      </c>
      <c r="B4054">
        <v>279</v>
      </c>
      <c r="C4054">
        <v>105</v>
      </c>
    </row>
    <row r="4055" spans="1:3" ht="24" customHeight="1">
      <c r="A4055" s="5" t="s">
        <v>4702</v>
      </c>
      <c r="B4055">
        <v>300</v>
      </c>
      <c r="C4055">
        <v>41</v>
      </c>
    </row>
    <row r="4056" spans="1:3" ht="24" customHeight="1">
      <c r="A4056" s="5" t="s">
        <v>4704</v>
      </c>
      <c r="B4056">
        <v>161</v>
      </c>
      <c r="C4056">
        <v>100</v>
      </c>
    </row>
    <row r="4057" spans="1:3" ht="24" customHeight="1">
      <c r="A4057" s="5" t="s">
        <v>4706</v>
      </c>
      <c r="B4057">
        <v>638</v>
      </c>
      <c r="C4057">
        <v>300</v>
      </c>
    </row>
    <row r="4058" spans="1:3" ht="24" customHeight="1">
      <c r="A4058" s="5" t="s">
        <v>4708</v>
      </c>
      <c r="B4058">
        <v>343</v>
      </c>
      <c r="C4058">
        <v>216</v>
      </c>
    </row>
    <row r="4059" spans="1:3" ht="24" customHeight="1">
      <c r="A4059" s="5" t="s">
        <v>4710</v>
      </c>
      <c r="B4059">
        <v>371</v>
      </c>
      <c r="C4059">
        <v>448</v>
      </c>
    </row>
    <row r="4060" spans="1:3" ht="24" customHeight="1">
      <c r="A4060" s="5" t="s">
        <v>4712</v>
      </c>
      <c r="B4060">
        <v>127</v>
      </c>
      <c r="C4060">
        <v>193</v>
      </c>
    </row>
    <row r="4061" spans="1:3" ht="24" customHeight="1">
      <c r="A4061" s="5" t="s">
        <v>4714</v>
      </c>
      <c r="B4061">
        <v>291</v>
      </c>
      <c r="C4061">
        <v>381</v>
      </c>
    </row>
    <row r="4062" spans="1:3" ht="24" customHeight="1">
      <c r="A4062" s="5" t="s">
        <v>4716</v>
      </c>
      <c r="B4062">
        <v>499</v>
      </c>
      <c r="C4062">
        <v>478</v>
      </c>
    </row>
    <row r="4063" spans="1:3" ht="24" customHeight="1">
      <c r="A4063" s="5" t="s">
        <v>4718</v>
      </c>
      <c r="B4063">
        <v>62</v>
      </c>
      <c r="C4063">
        <v>100</v>
      </c>
    </row>
    <row r="4064" spans="1:3" ht="24" customHeight="1">
      <c r="A4064" s="5" t="s">
        <v>4720</v>
      </c>
      <c r="B4064">
        <v>1608</v>
      </c>
      <c r="C4064">
        <v>755</v>
      </c>
    </row>
    <row r="4065" spans="1:3" ht="24" customHeight="1">
      <c r="A4065" s="5" t="s">
        <v>4722</v>
      </c>
      <c r="B4065">
        <v>166</v>
      </c>
      <c r="C4065">
        <v>315</v>
      </c>
    </row>
    <row r="4066" spans="1:3" ht="24" customHeight="1">
      <c r="A4066" s="5" t="s">
        <v>4724</v>
      </c>
      <c r="B4066">
        <v>214</v>
      </c>
      <c r="C4066">
        <v>81</v>
      </c>
    </row>
    <row r="4067" spans="1:3" ht="24" customHeight="1">
      <c r="A4067" s="5" t="s">
        <v>4729</v>
      </c>
      <c r="B4067">
        <v>1257</v>
      </c>
      <c r="C4067">
        <v>2221</v>
      </c>
    </row>
    <row r="4068" spans="1:3" ht="24" customHeight="1">
      <c r="A4068" s="5" t="s">
        <v>4735</v>
      </c>
      <c r="B4068">
        <v>3991</v>
      </c>
      <c r="C4068">
        <v>3516</v>
      </c>
    </row>
    <row r="4069" spans="1:3" ht="24" customHeight="1">
      <c r="A4069" s="5" t="s">
        <v>4744</v>
      </c>
      <c r="B4069">
        <v>45815</v>
      </c>
      <c r="C4069">
        <v>52168</v>
      </c>
    </row>
    <row r="4070" spans="1:3" ht="24" customHeight="1">
      <c r="A4070" s="5" t="s">
        <v>4763</v>
      </c>
      <c r="B4070">
        <v>349</v>
      </c>
      <c r="C4070">
        <v>767</v>
      </c>
    </row>
    <row r="4071" spans="1:3" ht="24" customHeight="1">
      <c r="A4071" s="5" t="s">
        <v>4776</v>
      </c>
      <c r="B4071">
        <v>1457</v>
      </c>
      <c r="C4071">
        <v>2222</v>
      </c>
    </row>
    <row r="4072" spans="1:3" ht="24" customHeight="1">
      <c r="A4072" s="5" t="s">
        <v>4783</v>
      </c>
      <c r="B4072">
        <v>2089</v>
      </c>
      <c r="C4072">
        <v>2646</v>
      </c>
    </row>
    <row r="4073" spans="1:3" ht="24" customHeight="1">
      <c r="A4073" s="5" t="s">
        <v>4792</v>
      </c>
      <c r="B4073">
        <v>35175</v>
      </c>
      <c r="C4073">
        <v>54693</v>
      </c>
    </row>
    <row r="4074" spans="1:3" ht="24" customHeight="1">
      <c r="A4074" s="5" t="s">
        <v>4799</v>
      </c>
      <c r="B4074">
        <v>6555</v>
      </c>
      <c r="C4074">
        <v>9392</v>
      </c>
    </row>
    <row r="4075" spans="1:3" ht="24" customHeight="1">
      <c r="A4075" s="5" t="s">
        <v>4806</v>
      </c>
      <c r="B4075">
        <v>8167</v>
      </c>
      <c r="C4075">
        <v>10290</v>
      </c>
    </row>
    <row r="4076" spans="1:3" ht="24" customHeight="1">
      <c r="A4076" s="5" t="s">
        <v>4811</v>
      </c>
      <c r="B4076">
        <v>9488</v>
      </c>
      <c r="C4076">
        <v>25574</v>
      </c>
    </row>
    <row r="4077" spans="1:3" ht="24" customHeight="1">
      <c r="A4077" s="5" t="s">
        <v>4818</v>
      </c>
      <c r="B4077">
        <v>402</v>
      </c>
      <c r="C4077">
        <v>379</v>
      </c>
    </row>
    <row r="4078" spans="1:3" ht="24" customHeight="1">
      <c r="A4078" s="5" t="s">
        <v>4823</v>
      </c>
      <c r="B4078">
        <v>20675</v>
      </c>
      <c r="C4078">
        <v>29754</v>
      </c>
    </row>
    <row r="4079" spans="1:3" ht="24" customHeight="1">
      <c r="A4079" s="5" t="s">
        <v>4856</v>
      </c>
      <c r="B4079">
        <v>149329</v>
      </c>
      <c r="C4079">
        <v>212244</v>
      </c>
    </row>
    <row r="4080" spans="1:3" ht="24" customHeight="1">
      <c r="A4080" s="5" t="s">
        <v>4977</v>
      </c>
      <c r="B4080">
        <v>218</v>
      </c>
      <c r="C4080">
        <v>466</v>
      </c>
    </row>
    <row r="4081" spans="1:3" ht="24" customHeight="1">
      <c r="A4081" s="5" t="s">
        <v>4751</v>
      </c>
      <c r="B4081">
        <v>760</v>
      </c>
      <c r="C4081">
        <v>1734</v>
      </c>
    </row>
    <row r="4082" spans="1:3" ht="24" customHeight="1">
      <c r="A4082" s="5" t="s">
        <v>4752</v>
      </c>
      <c r="B4082">
        <v>634</v>
      </c>
      <c r="C4082">
        <v>1358</v>
      </c>
    </row>
    <row r="4083" spans="1:3" ht="24" customHeight="1">
      <c r="A4083" s="5" t="s">
        <v>4898</v>
      </c>
      <c r="B4083">
        <v>3</v>
      </c>
      <c r="C4083">
        <v>1</v>
      </c>
    </row>
    <row r="4084" spans="1:3" ht="24" customHeight="1">
      <c r="A4084" s="5" t="s">
        <v>5056</v>
      </c>
      <c r="B4084">
        <v>75</v>
      </c>
      <c r="C4084">
        <v>193</v>
      </c>
    </row>
    <row r="4085" spans="1:3" ht="24" customHeight="1">
      <c r="A4085" s="5" t="s">
        <v>4978</v>
      </c>
      <c r="B4085">
        <v>48</v>
      </c>
      <c r="C4085">
        <v>183</v>
      </c>
    </row>
    <row r="4086" spans="1:3" ht="24" customHeight="1">
      <c r="A4086" s="5" t="s">
        <v>4753</v>
      </c>
      <c r="B4086">
        <v>928</v>
      </c>
      <c r="C4086">
        <v>2043</v>
      </c>
    </row>
    <row r="4087" spans="1:3" ht="24" customHeight="1">
      <c r="A4087" s="5" t="s">
        <v>4754</v>
      </c>
      <c r="B4087">
        <v>395</v>
      </c>
      <c r="C4087">
        <v>1002</v>
      </c>
    </row>
    <row r="4088" spans="1:3" ht="24" customHeight="1">
      <c r="A4088" s="5" t="s">
        <v>4899</v>
      </c>
      <c r="B4088">
        <v>423</v>
      </c>
      <c r="C4088">
        <v>774</v>
      </c>
    </row>
    <row r="4089" spans="1:3" ht="24" customHeight="1">
      <c r="A4089" s="5" t="s">
        <v>5057</v>
      </c>
      <c r="B4089">
        <v>102</v>
      </c>
      <c r="C4089">
        <v>165</v>
      </c>
    </row>
    <row r="4090" spans="1:3" ht="24" customHeight="1">
      <c r="A4090" s="5" t="s">
        <v>4979</v>
      </c>
      <c r="B4090">
        <v>8</v>
      </c>
      <c r="C4090">
        <v>102</v>
      </c>
    </row>
    <row r="4091" spans="1:3" ht="24" customHeight="1">
      <c r="A4091" s="5" t="s">
        <v>4755</v>
      </c>
      <c r="B4091">
        <v>12575</v>
      </c>
      <c r="C4091">
        <v>23474</v>
      </c>
    </row>
    <row r="4092" spans="1:3" ht="24" customHeight="1">
      <c r="A4092" s="5" t="s">
        <v>4756</v>
      </c>
      <c r="B4092">
        <v>5541</v>
      </c>
      <c r="C4092">
        <v>11330</v>
      </c>
    </row>
    <row r="4093" spans="1:3" ht="24" customHeight="1">
      <c r="A4093" s="5" t="s">
        <v>4900</v>
      </c>
      <c r="B4093">
        <v>5458</v>
      </c>
      <c r="C4093">
        <v>8420</v>
      </c>
    </row>
    <row r="4094" spans="1:3" ht="24" customHeight="1">
      <c r="A4094" s="5" t="s">
        <v>5058</v>
      </c>
      <c r="B4094">
        <v>1007</v>
      </c>
      <c r="C4094">
        <v>1223</v>
      </c>
    </row>
    <row r="4095" spans="1:3" ht="24" customHeight="1">
      <c r="A4095" s="5" t="s">
        <v>4980</v>
      </c>
      <c r="B4095">
        <v>569</v>
      </c>
      <c r="C4095">
        <v>2501</v>
      </c>
    </row>
    <row r="4096" spans="1:3" ht="24" customHeight="1">
      <c r="A4096" s="5" t="s">
        <v>4757</v>
      </c>
      <c r="B4096">
        <v>808</v>
      </c>
      <c r="C4096">
        <v>468</v>
      </c>
    </row>
    <row r="4097" spans="1:3" ht="24" customHeight="1">
      <c r="A4097" s="5" t="s">
        <v>4758</v>
      </c>
      <c r="B4097">
        <v>425</v>
      </c>
      <c r="C4097">
        <v>326</v>
      </c>
    </row>
    <row r="4098" spans="1:3" ht="24" customHeight="1">
      <c r="A4098" s="5" t="s">
        <v>4901</v>
      </c>
      <c r="B4098">
        <v>115</v>
      </c>
      <c r="C4098">
        <v>99</v>
      </c>
    </row>
    <row r="4099" spans="1:3" ht="24" customHeight="1">
      <c r="A4099" s="5" t="s">
        <v>5059</v>
      </c>
      <c r="B4099">
        <v>100</v>
      </c>
      <c r="C4099">
        <v>23</v>
      </c>
    </row>
    <row r="4100" spans="1:3" ht="24" customHeight="1">
      <c r="A4100" s="5" t="s">
        <v>4981</v>
      </c>
      <c r="B4100">
        <v>169</v>
      </c>
      <c r="C4100">
        <v>20</v>
      </c>
    </row>
    <row r="4101" spans="1:3" ht="24" customHeight="1">
      <c r="A4101" s="5" t="s">
        <v>4759</v>
      </c>
      <c r="B4101">
        <v>5919</v>
      </c>
      <c r="C4101">
        <v>13255</v>
      </c>
    </row>
    <row r="4102" spans="1:3" ht="24" customHeight="1">
      <c r="A4102" s="5" t="s">
        <v>4760</v>
      </c>
      <c r="B4102">
        <v>3667</v>
      </c>
      <c r="C4102">
        <v>10199</v>
      </c>
    </row>
    <row r="4103" spans="1:3" ht="24" customHeight="1">
      <c r="A4103" s="5" t="s">
        <v>4902</v>
      </c>
      <c r="B4103">
        <v>613</v>
      </c>
      <c r="C4103">
        <v>1099</v>
      </c>
    </row>
    <row r="4104" spans="1:3" ht="24" customHeight="1">
      <c r="A4104" s="5" t="s">
        <v>5060</v>
      </c>
      <c r="B4104">
        <v>774</v>
      </c>
      <c r="C4104">
        <v>709</v>
      </c>
    </row>
    <row r="4105" spans="1:3" ht="24" customHeight="1">
      <c r="A4105" s="5" t="s">
        <v>4982</v>
      </c>
      <c r="B4105">
        <v>866</v>
      </c>
      <c r="C4105">
        <v>1248</v>
      </c>
    </row>
    <row r="4106" spans="1:3" ht="24" customHeight="1">
      <c r="A4106" s="5" t="s">
        <v>4761</v>
      </c>
      <c r="B4106">
        <v>594</v>
      </c>
      <c r="C4106">
        <v>1303</v>
      </c>
    </row>
    <row r="4107" spans="1:3" ht="24" customHeight="1">
      <c r="A4107" s="5" t="s">
        <v>4762</v>
      </c>
      <c r="B4107">
        <v>153</v>
      </c>
      <c r="C4107">
        <v>265</v>
      </c>
    </row>
    <row r="4108" spans="1:3" ht="24" customHeight="1">
      <c r="A4108" s="5" t="s">
        <v>4903</v>
      </c>
      <c r="B4108">
        <v>369</v>
      </c>
      <c r="C4108">
        <v>603</v>
      </c>
    </row>
    <row r="4109" spans="1:3" ht="24" customHeight="1">
      <c r="A4109" s="5" t="s">
        <v>5061</v>
      </c>
      <c r="B4109">
        <v>44</v>
      </c>
      <c r="C4109">
        <v>216</v>
      </c>
    </row>
    <row r="4110" spans="1:3" ht="24" customHeight="1">
      <c r="A4110" s="5" t="s">
        <v>4983</v>
      </c>
      <c r="B4110">
        <v>27</v>
      </c>
      <c r="C4110">
        <v>218</v>
      </c>
    </row>
    <row r="4111" spans="1:3" ht="24" customHeight="1">
      <c r="A4111" s="5" t="s">
        <v>4763</v>
      </c>
      <c r="B4111">
        <v>349</v>
      </c>
      <c r="C4111">
        <v>767</v>
      </c>
    </row>
    <row r="4112" spans="1:3" ht="24" customHeight="1">
      <c r="A4112" s="5" t="s">
        <v>4764</v>
      </c>
      <c r="B4112">
        <v>92</v>
      </c>
      <c r="C4112">
        <v>282</v>
      </c>
    </row>
    <row r="4113" spans="1:3" ht="24" customHeight="1">
      <c r="A4113" s="5" t="s">
        <v>4765</v>
      </c>
      <c r="B4113">
        <v>79</v>
      </c>
      <c r="C4113">
        <v>245</v>
      </c>
    </row>
    <row r="4114" spans="1:3" ht="24" customHeight="1">
      <c r="A4114" s="5" t="s">
        <v>4904</v>
      </c>
      <c r="B4114">
        <v>3</v>
      </c>
      <c r="C4114">
        <v>16</v>
      </c>
    </row>
    <row r="4115" spans="1:3" ht="24" customHeight="1">
      <c r="A4115" s="5" t="s">
        <v>5062</v>
      </c>
      <c r="B4115">
        <v>1</v>
      </c>
      <c r="C4115">
        <v>1</v>
      </c>
    </row>
    <row r="4116" spans="1:3" ht="24" customHeight="1">
      <c r="A4116" s="5" t="s">
        <v>4984</v>
      </c>
      <c r="B4116">
        <v>9</v>
      </c>
      <c r="C4116">
        <v>21</v>
      </c>
    </row>
    <row r="4117" spans="1:3" ht="24" customHeight="1">
      <c r="A4117" s="5" t="s">
        <v>4766</v>
      </c>
      <c r="B4117">
        <v>19</v>
      </c>
      <c r="C4117">
        <v>90</v>
      </c>
    </row>
    <row r="4118" spans="1:3" ht="24" customHeight="1">
      <c r="A4118" s="5" t="s">
        <v>4767</v>
      </c>
      <c r="B4118">
        <v>7</v>
      </c>
      <c r="C4118">
        <v>27</v>
      </c>
    </row>
    <row r="4119" spans="1:3" ht="24" customHeight="1">
      <c r="A4119" s="5" t="s">
        <v>4905</v>
      </c>
      <c r="B4119">
        <v>0</v>
      </c>
      <c r="C4119">
        <v>36</v>
      </c>
    </row>
    <row r="4120" spans="1:3" ht="24" customHeight="1">
      <c r="A4120" s="5" t="s">
        <v>5063</v>
      </c>
      <c r="B4120">
        <v>2</v>
      </c>
      <c r="C4120">
        <v>11</v>
      </c>
    </row>
    <row r="4121" spans="1:3" ht="24" customHeight="1">
      <c r="A4121" s="5" t="s">
        <v>4985</v>
      </c>
      <c r="B4121">
        <v>9</v>
      </c>
      <c r="C4121">
        <v>16</v>
      </c>
    </row>
    <row r="4122" spans="1:3" ht="24" customHeight="1">
      <c r="A4122" s="5" t="s">
        <v>4768</v>
      </c>
      <c r="B4122">
        <v>58</v>
      </c>
      <c r="C4122">
        <v>101</v>
      </c>
    </row>
    <row r="4123" spans="1:3" ht="24" customHeight="1">
      <c r="A4123" s="5" t="s">
        <v>4769</v>
      </c>
      <c r="B4123">
        <v>15</v>
      </c>
      <c r="C4123">
        <v>69</v>
      </c>
    </row>
    <row r="4124" spans="1:3" ht="24" customHeight="1">
      <c r="A4124" s="5" t="s">
        <v>4906</v>
      </c>
      <c r="B4124">
        <v>8</v>
      </c>
      <c r="C4124">
        <v>13</v>
      </c>
    </row>
    <row r="4125" spans="1:3" ht="24" customHeight="1">
      <c r="A4125" s="5" t="s">
        <v>5064</v>
      </c>
      <c r="B4125">
        <v>15</v>
      </c>
      <c r="C4125">
        <v>4</v>
      </c>
    </row>
    <row r="4126" spans="1:3" ht="24" customHeight="1">
      <c r="A4126" s="5" t="s">
        <v>4986</v>
      </c>
      <c r="B4126">
        <v>20</v>
      </c>
      <c r="C4126">
        <v>15</v>
      </c>
    </row>
    <row r="4127" spans="1:3" ht="24" customHeight="1">
      <c r="A4127" s="5" t="s">
        <v>4770</v>
      </c>
      <c r="B4127">
        <v>34</v>
      </c>
      <c r="C4127">
        <v>27</v>
      </c>
    </row>
    <row r="4128" spans="1:3" ht="24" customHeight="1">
      <c r="A4128" s="5" t="s">
        <v>4771</v>
      </c>
      <c r="B4128">
        <v>13</v>
      </c>
      <c r="C4128">
        <v>13</v>
      </c>
    </row>
    <row r="4129" spans="1:3" ht="24" customHeight="1">
      <c r="A4129" s="5" t="s">
        <v>4907</v>
      </c>
      <c r="B4129">
        <v>11</v>
      </c>
      <c r="C4129">
        <v>8</v>
      </c>
    </row>
    <row r="4130" spans="1:3" ht="24" customHeight="1">
      <c r="A4130" s="5" t="s">
        <v>5065</v>
      </c>
      <c r="B4130">
        <v>4</v>
      </c>
      <c r="C4130">
        <v>2</v>
      </c>
    </row>
    <row r="4131" spans="1:3" ht="24" customHeight="1">
      <c r="A4131" s="5" t="s">
        <v>4987</v>
      </c>
      <c r="B4131">
        <v>7</v>
      </c>
      <c r="C4131">
        <v>4</v>
      </c>
    </row>
    <row r="4132" spans="1:3" ht="24" customHeight="1">
      <c r="A4132" s="5" t="s">
        <v>4772</v>
      </c>
      <c r="B4132">
        <v>23</v>
      </c>
      <c r="C4132">
        <v>33</v>
      </c>
    </row>
    <row r="4133" spans="1:3" ht="24" customHeight="1">
      <c r="A4133" s="5" t="s">
        <v>4773</v>
      </c>
      <c r="B4133">
        <v>0</v>
      </c>
      <c r="C4133">
        <v>1</v>
      </c>
    </row>
    <row r="4134" spans="1:3" ht="24" customHeight="1">
      <c r="A4134" s="5" t="s">
        <v>4908</v>
      </c>
      <c r="B4134">
        <v>9</v>
      </c>
      <c r="C4134">
        <v>8</v>
      </c>
    </row>
    <row r="4135" spans="1:3" ht="24" customHeight="1">
      <c r="A4135" s="5" t="s">
        <v>5066</v>
      </c>
      <c r="B4135">
        <v>12</v>
      </c>
      <c r="C4135">
        <v>18</v>
      </c>
    </row>
    <row r="4136" spans="1:3" ht="24" customHeight="1">
      <c r="A4136" s="5" t="s">
        <v>4988</v>
      </c>
      <c r="B4136">
        <v>3</v>
      </c>
      <c r="C4136">
        <v>7</v>
      </c>
    </row>
    <row r="4137" spans="1:3" ht="24" customHeight="1">
      <c r="A4137" s="5" t="s">
        <v>4774</v>
      </c>
      <c r="B4137">
        <v>123</v>
      </c>
      <c r="C4137">
        <v>234</v>
      </c>
    </row>
    <row r="4138" spans="1:3" ht="24" customHeight="1">
      <c r="A4138" s="5" t="s">
        <v>4775</v>
      </c>
      <c r="B4138">
        <v>57</v>
      </c>
      <c r="C4138">
        <v>124</v>
      </c>
    </row>
    <row r="4139" spans="1:3" ht="24" customHeight="1">
      <c r="A4139" s="5" t="s">
        <v>4909</v>
      </c>
      <c r="B4139">
        <v>17</v>
      </c>
      <c r="C4139">
        <v>49</v>
      </c>
    </row>
    <row r="4140" spans="1:3" ht="24" customHeight="1">
      <c r="A4140" s="5" t="s">
        <v>5067</v>
      </c>
      <c r="B4140">
        <v>14</v>
      </c>
      <c r="C4140">
        <v>37</v>
      </c>
    </row>
    <row r="4141" spans="1:3" ht="24" customHeight="1">
      <c r="A4141" s="5" t="s">
        <v>4989</v>
      </c>
      <c r="B4141">
        <v>35</v>
      </c>
      <c r="C4141">
        <v>23</v>
      </c>
    </row>
    <row r="4142" spans="1:3" ht="24" customHeight="1">
      <c r="A4142" s="5" t="s">
        <v>4776</v>
      </c>
      <c r="B4142">
        <v>1457</v>
      </c>
      <c r="C4142">
        <v>2222</v>
      </c>
    </row>
    <row r="4143" spans="1:3" ht="24" customHeight="1">
      <c r="A4143" s="5" t="s">
        <v>4777</v>
      </c>
      <c r="B4143">
        <v>137</v>
      </c>
      <c r="C4143">
        <v>467</v>
      </c>
    </row>
    <row r="4144" spans="1:3" ht="24" customHeight="1">
      <c r="A4144" s="5" t="s">
        <v>4778</v>
      </c>
      <c r="B4144">
        <v>36</v>
      </c>
      <c r="C4144">
        <v>203</v>
      </c>
    </row>
    <row r="4145" spans="1:3" ht="24" customHeight="1">
      <c r="A4145" s="5" t="s">
        <v>4910</v>
      </c>
      <c r="B4145">
        <v>64</v>
      </c>
      <c r="C4145">
        <v>137</v>
      </c>
    </row>
    <row r="4146" spans="1:3" ht="24" customHeight="1">
      <c r="A4146" s="5" t="s">
        <v>5068</v>
      </c>
      <c r="B4146">
        <v>22</v>
      </c>
      <c r="C4146">
        <v>98</v>
      </c>
    </row>
    <row r="4147" spans="1:3" ht="24" customHeight="1">
      <c r="A4147" s="5" t="s">
        <v>4990</v>
      </c>
      <c r="B4147">
        <v>15</v>
      </c>
      <c r="C4147">
        <v>28</v>
      </c>
    </row>
    <row r="4148" spans="1:3" ht="24" customHeight="1">
      <c r="A4148" s="5" t="s">
        <v>4779</v>
      </c>
      <c r="B4148">
        <v>766</v>
      </c>
      <c r="C4148">
        <v>1291</v>
      </c>
    </row>
    <row r="4149" spans="1:3" ht="24" customHeight="1">
      <c r="A4149" s="5" t="s">
        <v>4780</v>
      </c>
      <c r="B4149">
        <v>238</v>
      </c>
      <c r="C4149">
        <v>273</v>
      </c>
    </row>
    <row r="4150" spans="1:3" ht="24" customHeight="1">
      <c r="A4150" s="5" t="s">
        <v>4911</v>
      </c>
      <c r="B4150">
        <v>324</v>
      </c>
      <c r="C4150">
        <v>481</v>
      </c>
    </row>
    <row r="4151" spans="1:3" ht="24" customHeight="1">
      <c r="A4151" s="5" t="s">
        <v>5069</v>
      </c>
      <c r="B4151">
        <v>118</v>
      </c>
      <c r="C4151">
        <v>179</v>
      </c>
    </row>
    <row r="4152" spans="1:3" ht="24" customHeight="1">
      <c r="A4152" s="5" t="s">
        <v>4991</v>
      </c>
      <c r="B4152">
        <v>86</v>
      </c>
      <c r="C4152">
        <v>358</v>
      </c>
    </row>
    <row r="4153" spans="1:3" ht="24" customHeight="1">
      <c r="A4153" s="5" t="s">
        <v>4781</v>
      </c>
      <c r="B4153">
        <v>554</v>
      </c>
      <c r="C4153">
        <v>464</v>
      </c>
    </row>
    <row r="4154" spans="1:3" ht="24" customHeight="1">
      <c r="A4154" s="5" t="s">
        <v>4782</v>
      </c>
      <c r="B4154">
        <v>213</v>
      </c>
      <c r="C4154">
        <v>133</v>
      </c>
    </row>
    <row r="4155" spans="1:3" ht="24" customHeight="1">
      <c r="A4155" s="5" t="s">
        <v>4912</v>
      </c>
      <c r="B4155">
        <v>81</v>
      </c>
      <c r="C4155">
        <v>146</v>
      </c>
    </row>
    <row r="4156" spans="1:3" ht="24" customHeight="1">
      <c r="A4156" s="5" t="s">
        <v>5070</v>
      </c>
      <c r="B4156">
        <v>176</v>
      </c>
      <c r="C4156">
        <v>133</v>
      </c>
    </row>
    <row r="4157" spans="1:3" ht="24" customHeight="1">
      <c r="A4157" s="5" t="s">
        <v>4992</v>
      </c>
      <c r="B4157">
        <v>83</v>
      </c>
      <c r="C4157">
        <v>52</v>
      </c>
    </row>
    <row r="4158" spans="1:3" ht="24" customHeight="1">
      <c r="A4158" s="5" t="s">
        <v>4783</v>
      </c>
      <c r="B4158">
        <v>2089</v>
      </c>
      <c r="C4158">
        <v>2646</v>
      </c>
    </row>
    <row r="4159" spans="1:3" ht="24" customHeight="1">
      <c r="A4159" s="5" t="s">
        <v>4784</v>
      </c>
      <c r="B4159">
        <v>757</v>
      </c>
      <c r="C4159">
        <v>615</v>
      </c>
    </row>
    <row r="4160" spans="1:3" ht="24" customHeight="1">
      <c r="A4160" s="5" t="s">
        <v>4785</v>
      </c>
      <c r="B4160">
        <v>577</v>
      </c>
      <c r="C4160">
        <v>498</v>
      </c>
    </row>
    <row r="4161" spans="1:3" ht="24" customHeight="1">
      <c r="A4161" s="5" t="s">
        <v>4913</v>
      </c>
      <c r="B4161">
        <v>113</v>
      </c>
      <c r="C4161">
        <v>76</v>
      </c>
    </row>
    <row r="4162" spans="1:3" ht="24" customHeight="1">
      <c r="A4162" s="5" t="s">
        <v>5071</v>
      </c>
      <c r="B4162">
        <v>45</v>
      </c>
      <c r="C4162">
        <v>25</v>
      </c>
    </row>
    <row r="4163" spans="1:3" ht="24" customHeight="1">
      <c r="A4163" s="5" t="s">
        <v>4993</v>
      </c>
      <c r="B4163">
        <v>22</v>
      </c>
      <c r="C4163">
        <v>16</v>
      </c>
    </row>
    <row r="4164" spans="1:3" ht="24" customHeight="1">
      <c r="A4164" s="5" t="s">
        <v>4786</v>
      </c>
      <c r="B4164">
        <v>367</v>
      </c>
      <c r="C4164">
        <v>1145</v>
      </c>
    </row>
    <row r="4165" spans="1:3" ht="24" customHeight="1">
      <c r="A4165" s="5" t="s">
        <v>4787</v>
      </c>
      <c r="B4165">
        <v>17</v>
      </c>
      <c r="C4165">
        <v>42</v>
      </c>
    </row>
    <row r="4166" spans="1:3" ht="24" customHeight="1">
      <c r="A4166" s="5" t="s">
        <v>4914</v>
      </c>
      <c r="B4166">
        <v>270</v>
      </c>
      <c r="C4166">
        <v>869</v>
      </c>
    </row>
    <row r="4167" spans="1:3" ht="24" customHeight="1">
      <c r="A4167" s="5" t="s">
        <v>5072</v>
      </c>
      <c r="B4167">
        <v>59</v>
      </c>
      <c r="C4167">
        <v>212</v>
      </c>
    </row>
    <row r="4168" spans="1:3" ht="24" customHeight="1">
      <c r="A4168" s="5" t="s">
        <v>4994</v>
      </c>
      <c r="B4168">
        <v>21</v>
      </c>
      <c r="C4168">
        <v>22</v>
      </c>
    </row>
    <row r="4169" spans="1:3" ht="24" customHeight="1">
      <c r="A4169" s="5" t="s">
        <v>4788</v>
      </c>
      <c r="B4169">
        <v>177</v>
      </c>
      <c r="C4169">
        <v>276</v>
      </c>
    </row>
    <row r="4170" spans="1:3" ht="24" customHeight="1">
      <c r="A4170" s="5" t="s">
        <v>4789</v>
      </c>
      <c r="B4170">
        <v>6</v>
      </c>
      <c r="C4170">
        <v>3</v>
      </c>
    </row>
    <row r="4171" spans="1:3" ht="24" customHeight="1">
      <c r="A4171" s="5" t="s">
        <v>4915</v>
      </c>
      <c r="B4171">
        <v>48</v>
      </c>
      <c r="C4171">
        <v>118</v>
      </c>
    </row>
    <row r="4172" spans="1:3" ht="24" customHeight="1">
      <c r="A4172" s="5" t="s">
        <v>5073</v>
      </c>
      <c r="B4172">
        <v>103</v>
      </c>
      <c r="C4172">
        <v>135</v>
      </c>
    </row>
    <row r="4173" spans="1:3" ht="24" customHeight="1">
      <c r="A4173" s="5" t="s">
        <v>4995</v>
      </c>
      <c r="B4173">
        <v>20</v>
      </c>
      <c r="C4173">
        <v>20</v>
      </c>
    </row>
    <row r="4174" spans="1:3" ht="24" customHeight="1">
      <c r="A4174" s="5" t="s">
        <v>4790</v>
      </c>
      <c r="B4174">
        <v>788</v>
      </c>
      <c r="C4174">
        <v>610</v>
      </c>
    </row>
    <row r="4175" spans="1:3" ht="24" customHeight="1">
      <c r="A4175" s="5" t="s">
        <v>4791</v>
      </c>
      <c r="B4175">
        <v>250</v>
      </c>
      <c r="C4175">
        <v>226</v>
      </c>
    </row>
    <row r="4176" spans="1:3" ht="24" customHeight="1">
      <c r="A4176" s="5" t="s">
        <v>4916</v>
      </c>
      <c r="B4176">
        <v>229</v>
      </c>
      <c r="C4176">
        <v>190</v>
      </c>
    </row>
    <row r="4177" spans="1:3" ht="24" customHeight="1">
      <c r="A4177" s="5" t="s">
        <v>5074</v>
      </c>
      <c r="B4177">
        <v>195</v>
      </c>
      <c r="C4177">
        <v>140</v>
      </c>
    </row>
    <row r="4178" spans="1:3" ht="24" customHeight="1">
      <c r="A4178" s="5" t="s">
        <v>4996</v>
      </c>
      <c r="B4178">
        <v>115</v>
      </c>
      <c r="C4178">
        <v>53</v>
      </c>
    </row>
    <row r="4179" spans="1:3" ht="24" customHeight="1">
      <c r="A4179" s="5" t="s">
        <v>4792</v>
      </c>
      <c r="B4179">
        <v>35175</v>
      </c>
      <c r="C4179">
        <v>54693</v>
      </c>
    </row>
    <row r="4180" spans="1:3" ht="24" customHeight="1">
      <c r="A4180" s="5" t="s">
        <v>4793</v>
      </c>
      <c r="B4180">
        <v>2516</v>
      </c>
      <c r="C4180">
        <v>4452</v>
      </c>
    </row>
    <row r="4181" spans="1:3" ht="24" customHeight="1">
      <c r="A4181" s="5" t="s">
        <v>4794</v>
      </c>
      <c r="B4181">
        <v>697</v>
      </c>
      <c r="C4181">
        <v>1380</v>
      </c>
    </row>
    <row r="4182" spans="1:3" ht="24" customHeight="1">
      <c r="A4182" s="5" t="s">
        <v>4917</v>
      </c>
      <c r="B4182">
        <v>953</v>
      </c>
      <c r="C4182">
        <v>1742</v>
      </c>
    </row>
    <row r="4183" spans="1:3" ht="24" customHeight="1">
      <c r="A4183" s="5" t="s">
        <v>5075</v>
      </c>
      <c r="B4183">
        <v>501</v>
      </c>
      <c r="C4183">
        <v>762</v>
      </c>
    </row>
    <row r="4184" spans="1:3" ht="24" customHeight="1">
      <c r="A4184" s="5" t="s">
        <v>4997</v>
      </c>
      <c r="B4184">
        <v>365</v>
      </c>
      <c r="C4184">
        <v>568</v>
      </c>
    </row>
    <row r="4185" spans="1:3" ht="24" customHeight="1">
      <c r="A4185" s="5" t="s">
        <v>4795</v>
      </c>
      <c r="B4185">
        <v>30736</v>
      </c>
      <c r="C4185">
        <v>46904</v>
      </c>
    </row>
    <row r="4186" spans="1:3" ht="24" customHeight="1">
      <c r="A4186" s="5" t="s">
        <v>4796</v>
      </c>
      <c r="B4186">
        <v>19412</v>
      </c>
      <c r="C4186">
        <v>27720</v>
      </c>
    </row>
    <row r="4187" spans="1:3" ht="24" customHeight="1">
      <c r="A4187" s="5" t="s">
        <v>4918</v>
      </c>
      <c r="B4187">
        <v>6312</v>
      </c>
      <c r="C4187">
        <v>11257</v>
      </c>
    </row>
    <row r="4188" spans="1:3" ht="24" customHeight="1">
      <c r="A4188" s="5" t="s">
        <v>5076</v>
      </c>
      <c r="B4188">
        <v>2028</v>
      </c>
      <c r="C4188">
        <v>3286</v>
      </c>
    </row>
    <row r="4189" spans="1:3" ht="24" customHeight="1">
      <c r="A4189" s="5" t="s">
        <v>4998</v>
      </c>
      <c r="B4189">
        <v>2983</v>
      </c>
      <c r="C4189">
        <v>4641</v>
      </c>
    </row>
    <row r="4190" spans="1:3" ht="24" customHeight="1">
      <c r="A4190" s="5" t="s">
        <v>4797</v>
      </c>
      <c r="B4190">
        <v>1924</v>
      </c>
      <c r="C4190">
        <v>3337</v>
      </c>
    </row>
    <row r="4191" spans="1:3" ht="24" customHeight="1">
      <c r="A4191" s="5" t="s">
        <v>4798</v>
      </c>
      <c r="B4191">
        <v>1004</v>
      </c>
      <c r="C4191">
        <v>1746</v>
      </c>
    </row>
    <row r="4192" spans="1:3" ht="24" customHeight="1">
      <c r="A4192" s="5" t="s">
        <v>4919</v>
      </c>
      <c r="B4192">
        <v>488</v>
      </c>
      <c r="C4192">
        <v>764</v>
      </c>
    </row>
    <row r="4193" spans="1:3" ht="24" customHeight="1">
      <c r="A4193" s="5" t="s">
        <v>5077</v>
      </c>
      <c r="B4193">
        <v>252</v>
      </c>
      <c r="C4193">
        <v>518</v>
      </c>
    </row>
    <row r="4194" spans="1:3" ht="24" customHeight="1">
      <c r="A4194" s="5" t="s">
        <v>4999</v>
      </c>
      <c r="B4194">
        <v>179</v>
      </c>
      <c r="C4194">
        <v>308</v>
      </c>
    </row>
    <row r="4195" spans="1:3" ht="24" customHeight="1">
      <c r="A4195" s="5" t="s">
        <v>4799</v>
      </c>
      <c r="B4195">
        <v>6555</v>
      </c>
      <c r="C4195">
        <v>9392</v>
      </c>
    </row>
    <row r="4196" spans="1:3" ht="24" customHeight="1">
      <c r="A4196" s="5" t="s">
        <v>4800</v>
      </c>
      <c r="B4196">
        <v>723</v>
      </c>
      <c r="C4196">
        <v>2101</v>
      </c>
    </row>
    <row r="4197" spans="1:3" ht="24" customHeight="1">
      <c r="A4197" s="5" t="s">
        <v>4801</v>
      </c>
      <c r="B4197">
        <v>137</v>
      </c>
      <c r="C4197">
        <v>662</v>
      </c>
    </row>
    <row r="4198" spans="1:3" ht="24" customHeight="1">
      <c r="A4198" s="5" t="s">
        <v>4920</v>
      </c>
      <c r="B4198">
        <v>320</v>
      </c>
      <c r="C4198">
        <v>875</v>
      </c>
    </row>
    <row r="4199" spans="1:3" ht="24" customHeight="1">
      <c r="A4199" s="5" t="s">
        <v>5078</v>
      </c>
      <c r="B4199">
        <v>132</v>
      </c>
      <c r="C4199">
        <v>263</v>
      </c>
    </row>
    <row r="4200" spans="1:3" ht="24" customHeight="1">
      <c r="A4200" s="5" t="s">
        <v>5000</v>
      </c>
      <c r="B4200">
        <v>133</v>
      </c>
      <c r="C4200">
        <v>301</v>
      </c>
    </row>
    <row r="4201" spans="1:3" ht="24" customHeight="1">
      <c r="A4201" s="5" t="s">
        <v>4802</v>
      </c>
      <c r="B4201">
        <v>713</v>
      </c>
      <c r="C4201">
        <v>1644</v>
      </c>
    </row>
    <row r="4202" spans="1:3" ht="24" customHeight="1">
      <c r="A4202" s="5" t="s">
        <v>4803</v>
      </c>
      <c r="B4202">
        <v>334</v>
      </c>
      <c r="C4202">
        <v>695</v>
      </c>
    </row>
    <row r="4203" spans="1:3" ht="24" customHeight="1">
      <c r="A4203" s="5" t="s">
        <v>4921</v>
      </c>
      <c r="B4203">
        <v>212</v>
      </c>
      <c r="C4203">
        <v>477</v>
      </c>
    </row>
    <row r="4204" spans="1:3" ht="24" customHeight="1">
      <c r="A4204" s="5" t="s">
        <v>5079</v>
      </c>
      <c r="B4204">
        <v>98</v>
      </c>
      <c r="C4204">
        <v>227</v>
      </c>
    </row>
    <row r="4205" spans="1:3" ht="24" customHeight="1">
      <c r="A4205" s="5" t="s">
        <v>5001</v>
      </c>
      <c r="B4205">
        <v>69</v>
      </c>
      <c r="C4205">
        <v>246</v>
      </c>
    </row>
    <row r="4206" spans="1:3" ht="24" customHeight="1">
      <c r="A4206" s="5" t="s">
        <v>4804</v>
      </c>
      <c r="B4206">
        <v>5119</v>
      </c>
      <c r="C4206">
        <v>5647</v>
      </c>
    </row>
    <row r="4207" spans="1:3" ht="24" customHeight="1">
      <c r="A4207" s="5" t="s">
        <v>4805</v>
      </c>
      <c r="B4207">
        <v>2667</v>
      </c>
      <c r="C4207">
        <v>3098</v>
      </c>
    </row>
    <row r="4208" spans="1:3" ht="24" customHeight="1">
      <c r="A4208" s="5" t="s">
        <v>4922</v>
      </c>
      <c r="B4208">
        <v>970</v>
      </c>
      <c r="C4208">
        <v>1019</v>
      </c>
    </row>
    <row r="4209" spans="1:3" ht="24" customHeight="1">
      <c r="A4209" s="5" t="s">
        <v>5080</v>
      </c>
      <c r="B4209">
        <v>782</v>
      </c>
      <c r="C4209">
        <v>783</v>
      </c>
    </row>
    <row r="4210" spans="1:3" ht="24" customHeight="1">
      <c r="A4210" s="5" t="s">
        <v>5002</v>
      </c>
      <c r="B4210">
        <v>700</v>
      </c>
      <c r="C4210">
        <v>747</v>
      </c>
    </row>
    <row r="4211" spans="1:3" ht="24" customHeight="1">
      <c r="A4211" s="5" t="s">
        <v>4806</v>
      </c>
      <c r="B4211">
        <v>8167</v>
      </c>
      <c r="C4211">
        <v>10290</v>
      </c>
    </row>
    <row r="4212" spans="1:3" ht="24" customHeight="1">
      <c r="A4212" s="5" t="s">
        <v>4807</v>
      </c>
      <c r="B4212">
        <v>5019</v>
      </c>
      <c r="C4212">
        <v>6381</v>
      </c>
    </row>
    <row r="4213" spans="1:3" ht="24" customHeight="1">
      <c r="A4213" s="5" t="s">
        <v>4808</v>
      </c>
      <c r="B4213">
        <v>2894</v>
      </c>
      <c r="C4213">
        <v>2464</v>
      </c>
    </row>
    <row r="4214" spans="1:3" ht="24" customHeight="1">
      <c r="A4214" s="5" t="s">
        <v>4923</v>
      </c>
      <c r="B4214">
        <v>429</v>
      </c>
      <c r="C4214">
        <v>1263</v>
      </c>
    </row>
    <row r="4215" spans="1:3" ht="24" customHeight="1">
      <c r="A4215" s="5" t="s">
        <v>5081</v>
      </c>
      <c r="B4215">
        <v>678</v>
      </c>
      <c r="C4215">
        <v>922</v>
      </c>
    </row>
    <row r="4216" spans="1:3" ht="24" customHeight="1">
      <c r="A4216" s="5" t="s">
        <v>5003</v>
      </c>
      <c r="B4216">
        <v>1018</v>
      </c>
      <c r="C4216">
        <v>1732</v>
      </c>
    </row>
    <row r="4217" spans="1:3" ht="24" customHeight="1">
      <c r="A4217" s="5" t="s">
        <v>4809</v>
      </c>
      <c r="B4217">
        <v>3148</v>
      </c>
      <c r="C4217">
        <v>3909</v>
      </c>
    </row>
    <row r="4218" spans="1:3" ht="24" customHeight="1">
      <c r="A4218" s="5" t="s">
        <v>4810</v>
      </c>
      <c r="B4218">
        <v>1539</v>
      </c>
      <c r="C4218">
        <v>1871</v>
      </c>
    </row>
    <row r="4219" spans="1:3" ht="24" customHeight="1">
      <c r="A4219" s="5" t="s">
        <v>4924</v>
      </c>
      <c r="B4219">
        <v>821</v>
      </c>
      <c r="C4219">
        <v>1231</v>
      </c>
    </row>
    <row r="4220" spans="1:3" ht="24" customHeight="1">
      <c r="A4220" s="5" t="s">
        <v>5082</v>
      </c>
      <c r="B4220">
        <v>457</v>
      </c>
      <c r="C4220">
        <v>461</v>
      </c>
    </row>
    <row r="4221" spans="1:3" ht="24" customHeight="1">
      <c r="A4221" s="5" t="s">
        <v>5004</v>
      </c>
      <c r="B4221">
        <v>331</v>
      </c>
      <c r="C4221">
        <v>346</v>
      </c>
    </row>
    <row r="4222" spans="1:3" ht="24" customHeight="1">
      <c r="A4222" s="5" t="s">
        <v>4811</v>
      </c>
      <c r="B4222">
        <v>9488</v>
      </c>
      <c r="C4222">
        <v>25574</v>
      </c>
    </row>
    <row r="4223" spans="1:3" ht="24" customHeight="1">
      <c r="A4223" s="5" t="s">
        <v>4812</v>
      </c>
      <c r="B4223">
        <v>3946</v>
      </c>
      <c r="C4223">
        <v>8762</v>
      </c>
    </row>
    <row r="4224" spans="1:3" ht="24" customHeight="1">
      <c r="A4224" s="5" t="s">
        <v>4813</v>
      </c>
      <c r="B4224">
        <v>2046</v>
      </c>
      <c r="C4224">
        <v>2273</v>
      </c>
    </row>
    <row r="4225" spans="1:3" ht="24" customHeight="1">
      <c r="A4225" s="5" t="s">
        <v>4925</v>
      </c>
      <c r="B4225">
        <v>633</v>
      </c>
      <c r="C4225">
        <v>3639</v>
      </c>
    </row>
    <row r="4226" spans="1:3" ht="24" customHeight="1">
      <c r="A4226" s="5" t="s">
        <v>5083</v>
      </c>
      <c r="B4226">
        <v>557</v>
      </c>
      <c r="C4226">
        <v>1579</v>
      </c>
    </row>
    <row r="4227" spans="1:3" ht="24" customHeight="1">
      <c r="A4227" s="5" t="s">
        <v>5005</v>
      </c>
      <c r="B4227">
        <v>710</v>
      </c>
      <c r="C4227">
        <v>1271</v>
      </c>
    </row>
    <row r="4228" spans="1:3" ht="24" customHeight="1">
      <c r="A4228" s="5" t="s">
        <v>4814</v>
      </c>
      <c r="B4228">
        <v>92</v>
      </c>
      <c r="C4228">
        <v>214</v>
      </c>
    </row>
    <row r="4229" spans="1:3" ht="24" customHeight="1">
      <c r="A4229" s="5" t="s">
        <v>4815</v>
      </c>
      <c r="B4229">
        <v>0</v>
      </c>
      <c r="C4229">
        <v>18</v>
      </c>
    </row>
    <row r="4230" spans="1:3" ht="24" customHeight="1">
      <c r="A4230" s="5" t="s">
        <v>4926</v>
      </c>
      <c r="B4230">
        <v>69</v>
      </c>
      <c r="C4230">
        <v>96</v>
      </c>
    </row>
    <row r="4231" spans="1:3" ht="24" customHeight="1">
      <c r="A4231" s="5" t="s">
        <v>5084</v>
      </c>
      <c r="B4231">
        <v>14</v>
      </c>
      <c r="C4231">
        <v>64</v>
      </c>
    </row>
    <row r="4232" spans="1:3" ht="24" customHeight="1">
      <c r="A4232" s="5" t="s">
        <v>5006</v>
      </c>
      <c r="B4232">
        <v>9</v>
      </c>
      <c r="C4232">
        <v>37</v>
      </c>
    </row>
    <row r="4233" spans="1:3" ht="24" customHeight="1">
      <c r="A4233" s="5" t="s">
        <v>4816</v>
      </c>
      <c r="B4233">
        <v>5450</v>
      </c>
      <c r="C4233">
        <v>16597</v>
      </c>
    </row>
    <row r="4234" spans="1:3" ht="24" customHeight="1">
      <c r="A4234" s="5" t="s">
        <v>4817</v>
      </c>
      <c r="B4234">
        <v>719</v>
      </c>
      <c r="C4234">
        <v>1898</v>
      </c>
    </row>
    <row r="4235" spans="1:3" ht="24" customHeight="1">
      <c r="A4235" s="5" t="s">
        <v>4927</v>
      </c>
      <c r="B4235">
        <v>2410</v>
      </c>
      <c r="C4235">
        <v>8745</v>
      </c>
    </row>
    <row r="4236" spans="1:3" ht="24" customHeight="1">
      <c r="A4236" s="5" t="s">
        <v>5085</v>
      </c>
      <c r="B4236">
        <v>1127</v>
      </c>
      <c r="C4236">
        <v>3079</v>
      </c>
    </row>
    <row r="4237" spans="1:3" ht="24" customHeight="1">
      <c r="A4237" s="5" t="s">
        <v>5007</v>
      </c>
      <c r="B4237">
        <v>1194</v>
      </c>
      <c r="C4237">
        <v>2876</v>
      </c>
    </row>
    <row r="4238" spans="1:3" ht="24" customHeight="1">
      <c r="A4238" s="5" t="s">
        <v>4818</v>
      </c>
      <c r="B4238">
        <v>402</v>
      </c>
      <c r="C4238">
        <v>379</v>
      </c>
    </row>
    <row r="4239" spans="1:3" ht="24" customHeight="1">
      <c r="A4239" s="5" t="s">
        <v>4819</v>
      </c>
      <c r="B4239">
        <v>265</v>
      </c>
      <c r="C4239">
        <v>248</v>
      </c>
    </row>
    <row r="4240" spans="1:3" ht="24" customHeight="1">
      <c r="A4240" s="5" t="s">
        <v>4820</v>
      </c>
      <c r="B4240">
        <v>265</v>
      </c>
      <c r="C4240">
        <v>246</v>
      </c>
    </row>
    <row r="4241" spans="1:3" ht="24" customHeight="1">
      <c r="A4241" s="5" t="s">
        <v>4928</v>
      </c>
      <c r="B4241">
        <v>0</v>
      </c>
      <c r="C4241">
        <v>0</v>
      </c>
    </row>
    <row r="4242" spans="1:3" ht="24" customHeight="1">
      <c r="A4242" s="5" t="s">
        <v>5008</v>
      </c>
      <c r="B4242">
        <v>0</v>
      </c>
      <c r="C4242">
        <v>2</v>
      </c>
    </row>
    <row r="4243" spans="1:3" ht="24" customHeight="1">
      <c r="A4243" s="5" t="s">
        <v>4821</v>
      </c>
      <c r="B4243">
        <v>137</v>
      </c>
      <c r="C4243">
        <v>131</v>
      </c>
    </row>
    <row r="4244" spans="1:3" ht="24" customHeight="1">
      <c r="A4244" s="5" t="s">
        <v>4822</v>
      </c>
      <c r="B4244">
        <v>18</v>
      </c>
      <c r="C4244">
        <v>16</v>
      </c>
    </row>
    <row r="4245" spans="1:3" ht="24" customHeight="1">
      <c r="A4245" s="5" t="s">
        <v>4929</v>
      </c>
      <c r="B4245">
        <v>31</v>
      </c>
      <c r="C4245">
        <v>24</v>
      </c>
    </row>
    <row r="4246" spans="1:3" ht="24" customHeight="1">
      <c r="A4246" s="5" t="s">
        <v>5086</v>
      </c>
      <c r="B4246">
        <v>34</v>
      </c>
      <c r="C4246">
        <v>27</v>
      </c>
    </row>
    <row r="4247" spans="1:3" ht="24" customHeight="1">
      <c r="A4247" s="5" t="s">
        <v>5009</v>
      </c>
      <c r="B4247">
        <v>54</v>
      </c>
      <c r="C4247">
        <v>63</v>
      </c>
    </row>
    <row r="4248" spans="1:3" ht="24" customHeight="1">
      <c r="A4248" s="5" t="s">
        <v>4823</v>
      </c>
      <c r="B4248">
        <v>20675</v>
      </c>
      <c r="C4248">
        <v>29754</v>
      </c>
    </row>
    <row r="4249" spans="1:3" ht="24" customHeight="1">
      <c r="A4249" s="5" t="s">
        <v>4824</v>
      </c>
      <c r="B4249">
        <v>499</v>
      </c>
      <c r="C4249">
        <v>1159</v>
      </c>
    </row>
    <row r="4250" spans="1:3" ht="24" customHeight="1">
      <c r="A4250" s="5" t="s">
        <v>4825</v>
      </c>
      <c r="B4250">
        <v>151</v>
      </c>
      <c r="C4250">
        <v>1003</v>
      </c>
    </row>
    <row r="4251" spans="1:3" ht="24" customHeight="1">
      <c r="A4251" s="5" t="s">
        <v>4930</v>
      </c>
      <c r="B4251">
        <v>277</v>
      </c>
      <c r="C4251">
        <v>135</v>
      </c>
    </row>
    <row r="4252" spans="1:3" ht="24" customHeight="1">
      <c r="A4252" s="5" t="s">
        <v>5087</v>
      </c>
      <c r="B4252">
        <v>52</v>
      </c>
      <c r="C4252">
        <v>18</v>
      </c>
    </row>
    <row r="4253" spans="1:3" ht="24" customHeight="1">
      <c r="A4253" s="5" t="s">
        <v>5010</v>
      </c>
      <c r="B4253">
        <v>19</v>
      </c>
      <c r="C4253">
        <v>3</v>
      </c>
    </row>
    <row r="4254" spans="1:3" ht="24" customHeight="1">
      <c r="A4254" s="5" t="s">
        <v>4826</v>
      </c>
      <c r="B4254">
        <v>101</v>
      </c>
      <c r="C4254">
        <v>44</v>
      </c>
    </row>
    <row r="4255" spans="1:3" ht="24" customHeight="1">
      <c r="A4255" s="5" t="s">
        <v>4827</v>
      </c>
      <c r="B4255">
        <v>6</v>
      </c>
      <c r="C4255">
        <v>6</v>
      </c>
    </row>
    <row r="4256" spans="1:3" ht="24" customHeight="1">
      <c r="A4256" s="5" t="s">
        <v>4931</v>
      </c>
      <c r="B4256">
        <v>58</v>
      </c>
      <c r="C4256">
        <v>14</v>
      </c>
    </row>
    <row r="4257" spans="1:3" ht="24" customHeight="1">
      <c r="A4257" s="5" t="s">
        <v>5088</v>
      </c>
      <c r="B4257">
        <v>17</v>
      </c>
      <c r="C4257">
        <v>10</v>
      </c>
    </row>
    <row r="4258" spans="1:3" ht="24" customHeight="1">
      <c r="A4258" s="5" t="s">
        <v>5011</v>
      </c>
      <c r="B4258">
        <v>20</v>
      </c>
      <c r="C4258">
        <v>15</v>
      </c>
    </row>
    <row r="4259" spans="1:3" ht="24" customHeight="1">
      <c r="A4259" s="5" t="s">
        <v>4828</v>
      </c>
      <c r="B4259">
        <v>247</v>
      </c>
      <c r="C4259">
        <v>62</v>
      </c>
    </row>
    <row r="4260" spans="1:3" ht="24" customHeight="1">
      <c r="A4260" s="5" t="s">
        <v>4829</v>
      </c>
      <c r="B4260">
        <v>142</v>
      </c>
      <c r="C4260">
        <v>24</v>
      </c>
    </row>
    <row r="4261" spans="1:3" ht="24" customHeight="1">
      <c r="A4261" s="5" t="s">
        <v>4932</v>
      </c>
      <c r="B4261">
        <v>62</v>
      </c>
      <c r="C4261">
        <v>21</v>
      </c>
    </row>
    <row r="4262" spans="1:3" ht="24" customHeight="1">
      <c r="A4262" s="5" t="s">
        <v>5089</v>
      </c>
      <c r="B4262">
        <v>24</v>
      </c>
      <c r="C4262">
        <v>13</v>
      </c>
    </row>
    <row r="4263" spans="1:3" ht="24" customHeight="1">
      <c r="A4263" s="5" t="s">
        <v>5012</v>
      </c>
      <c r="B4263">
        <v>19</v>
      </c>
      <c r="C4263">
        <v>5</v>
      </c>
    </row>
    <row r="4264" spans="1:3" ht="24" customHeight="1">
      <c r="A4264" s="5" t="s">
        <v>4830</v>
      </c>
      <c r="B4264">
        <v>12772</v>
      </c>
      <c r="C4264">
        <v>17516</v>
      </c>
    </row>
    <row r="4265" spans="1:3" ht="24" customHeight="1">
      <c r="A4265" s="5" t="s">
        <v>4831</v>
      </c>
      <c r="B4265">
        <v>8626</v>
      </c>
      <c r="C4265">
        <v>11994</v>
      </c>
    </row>
    <row r="4266" spans="1:3" ht="24" customHeight="1">
      <c r="A4266" s="5" t="s">
        <v>4933</v>
      </c>
      <c r="B4266">
        <v>616</v>
      </c>
      <c r="C4266">
        <v>690</v>
      </c>
    </row>
    <row r="4267" spans="1:3" ht="24" customHeight="1">
      <c r="A4267" s="5" t="s">
        <v>5090</v>
      </c>
      <c r="B4267">
        <v>1371</v>
      </c>
      <c r="C4267">
        <v>1764</v>
      </c>
    </row>
    <row r="4268" spans="1:3" ht="24" customHeight="1">
      <c r="A4268" s="5" t="s">
        <v>5013</v>
      </c>
      <c r="B4268">
        <v>2160</v>
      </c>
      <c r="C4268">
        <v>3067</v>
      </c>
    </row>
    <row r="4269" spans="1:3" ht="24" customHeight="1">
      <c r="A4269" s="5" t="s">
        <v>4832</v>
      </c>
      <c r="B4269">
        <v>6523</v>
      </c>
      <c r="C4269">
        <v>10108</v>
      </c>
    </row>
    <row r="4270" spans="1:3" ht="24" customHeight="1">
      <c r="A4270" s="5" t="s">
        <v>4833</v>
      </c>
      <c r="B4270">
        <v>2183</v>
      </c>
      <c r="C4270">
        <v>3395</v>
      </c>
    </row>
    <row r="4271" spans="1:3" ht="24" customHeight="1">
      <c r="A4271" s="5" t="s">
        <v>4934</v>
      </c>
      <c r="B4271">
        <v>1590</v>
      </c>
      <c r="C4271">
        <v>2019</v>
      </c>
    </row>
    <row r="4272" spans="1:3" ht="24" customHeight="1">
      <c r="A4272" s="5" t="s">
        <v>5091</v>
      </c>
      <c r="B4272">
        <v>1252</v>
      </c>
      <c r="C4272">
        <v>1866</v>
      </c>
    </row>
    <row r="4273" spans="1:3" ht="24" customHeight="1">
      <c r="A4273" s="5" t="s">
        <v>5014</v>
      </c>
      <c r="B4273">
        <v>1498</v>
      </c>
      <c r="C4273">
        <v>2828</v>
      </c>
    </row>
    <row r="4274" spans="1:3" ht="24" customHeight="1">
      <c r="A4274" s="5" t="s">
        <v>4834</v>
      </c>
      <c r="B4274">
        <v>400</v>
      </c>
      <c r="C4274">
        <v>604</v>
      </c>
    </row>
    <row r="4275" spans="1:3" ht="24" customHeight="1">
      <c r="A4275" s="5" t="s">
        <v>4835</v>
      </c>
      <c r="B4275">
        <v>12</v>
      </c>
      <c r="C4275">
        <v>30</v>
      </c>
    </row>
    <row r="4276" spans="1:3" ht="24" customHeight="1">
      <c r="A4276" s="5" t="s">
        <v>4935</v>
      </c>
      <c r="B4276">
        <v>249</v>
      </c>
      <c r="C4276">
        <v>352</v>
      </c>
    </row>
    <row r="4277" spans="1:3" ht="24" customHeight="1">
      <c r="A4277" s="5" t="s">
        <v>5092</v>
      </c>
      <c r="B4277">
        <v>47</v>
      </c>
      <c r="C4277">
        <v>91</v>
      </c>
    </row>
    <row r="4278" spans="1:3" ht="24" customHeight="1">
      <c r="A4278" s="5" t="s">
        <v>5015</v>
      </c>
      <c r="B4278">
        <v>92</v>
      </c>
      <c r="C4278">
        <v>131</v>
      </c>
    </row>
    <row r="4279" spans="1:3" ht="24" customHeight="1">
      <c r="A4279" s="5" t="s">
        <v>4836</v>
      </c>
      <c r="B4279">
        <v>42</v>
      </c>
      <c r="C4279">
        <v>135</v>
      </c>
    </row>
    <row r="4280" spans="1:3" ht="24" customHeight="1">
      <c r="A4280" s="5" t="s">
        <v>4837</v>
      </c>
      <c r="B4280">
        <v>10</v>
      </c>
      <c r="C4280">
        <v>27</v>
      </c>
    </row>
    <row r="4281" spans="1:3" ht="24" customHeight="1">
      <c r="A4281" s="5" t="s">
        <v>4936</v>
      </c>
      <c r="B4281">
        <v>31</v>
      </c>
      <c r="C4281">
        <v>81</v>
      </c>
    </row>
    <row r="4282" spans="1:3" ht="24" customHeight="1">
      <c r="A4282" s="5" t="s">
        <v>5093</v>
      </c>
      <c r="B4282">
        <v>1</v>
      </c>
      <c r="C4282">
        <v>15</v>
      </c>
    </row>
    <row r="4283" spans="1:3" ht="24" customHeight="1">
      <c r="A4283" s="5" t="s">
        <v>5016</v>
      </c>
      <c r="B4283">
        <v>0</v>
      </c>
      <c r="C4283">
        <v>12</v>
      </c>
    </row>
    <row r="4284" spans="1:3" ht="24" customHeight="1">
      <c r="A4284" s="5" t="s">
        <v>4838</v>
      </c>
      <c r="B4284">
        <v>90</v>
      </c>
      <c r="C4284">
        <v>126</v>
      </c>
    </row>
    <row r="4285" spans="1:3" ht="24" customHeight="1">
      <c r="A4285" s="5" t="s">
        <v>4839</v>
      </c>
      <c r="B4285">
        <v>14</v>
      </c>
      <c r="C4285">
        <v>30</v>
      </c>
    </row>
    <row r="4286" spans="1:3" ht="24" customHeight="1">
      <c r="A4286" s="5" t="s">
        <v>4937</v>
      </c>
      <c r="B4286">
        <v>55</v>
      </c>
      <c r="C4286">
        <v>82</v>
      </c>
    </row>
    <row r="4287" spans="1:3" ht="24" customHeight="1">
      <c r="A4287" s="5" t="s">
        <v>5094</v>
      </c>
      <c r="B4287">
        <v>10</v>
      </c>
      <c r="C4287">
        <v>9</v>
      </c>
    </row>
    <row r="4288" spans="1:3" ht="24" customHeight="1">
      <c r="A4288" s="5" t="s">
        <v>5017</v>
      </c>
      <c r="B4288">
        <v>12</v>
      </c>
      <c r="C4288">
        <v>5</v>
      </c>
    </row>
    <row r="4289" spans="1:3" ht="24" customHeight="1">
      <c r="A4289" s="5" t="s">
        <v>4669</v>
      </c>
      <c r="B4289">
        <v>17</v>
      </c>
      <c r="C4289">
        <v>2</v>
      </c>
    </row>
    <row r="4290" spans="1:3" ht="24" customHeight="1">
      <c r="A4290" s="5" t="s">
        <v>4840</v>
      </c>
      <c r="B4290">
        <v>2</v>
      </c>
      <c r="C4290">
        <v>0</v>
      </c>
    </row>
    <row r="4291" spans="1:3" ht="24" customHeight="1">
      <c r="A4291" s="5" t="s">
        <v>4882</v>
      </c>
      <c r="B4291">
        <v>15</v>
      </c>
      <c r="C4291">
        <v>1</v>
      </c>
    </row>
    <row r="4292" spans="1:3" ht="24" customHeight="1">
      <c r="A4292" s="5" t="s">
        <v>5040</v>
      </c>
      <c r="B4292">
        <v>0</v>
      </c>
      <c r="C4292">
        <v>0</v>
      </c>
    </row>
    <row r="4293" spans="1:3" ht="24" customHeight="1">
      <c r="A4293" s="5" t="s">
        <v>4961</v>
      </c>
      <c r="B4293">
        <v>0</v>
      </c>
      <c r="C4293">
        <v>1</v>
      </c>
    </row>
    <row r="4294" spans="1:3" ht="24" customHeight="1">
      <c r="A4294" s="5" t="s">
        <v>4671</v>
      </c>
      <c r="B4294">
        <v>3559</v>
      </c>
      <c r="C4294">
        <v>849</v>
      </c>
    </row>
    <row r="4295" spans="1:3" ht="24" customHeight="1">
      <c r="A4295" s="5" t="s">
        <v>4841</v>
      </c>
      <c r="B4295">
        <v>349</v>
      </c>
      <c r="C4295">
        <v>161</v>
      </c>
    </row>
    <row r="4296" spans="1:3" ht="24" customHeight="1">
      <c r="A4296" s="5" t="s">
        <v>4883</v>
      </c>
      <c r="B4296">
        <v>2761</v>
      </c>
      <c r="C4296">
        <v>537</v>
      </c>
    </row>
    <row r="4297" spans="1:3" ht="24" customHeight="1">
      <c r="A4297" s="5" t="s">
        <v>5041</v>
      </c>
      <c r="B4297">
        <v>195</v>
      </c>
      <c r="C4297">
        <v>58</v>
      </c>
    </row>
    <row r="4298" spans="1:3" ht="24" customHeight="1">
      <c r="A4298" s="5" t="s">
        <v>4962</v>
      </c>
      <c r="B4298">
        <v>255</v>
      </c>
      <c r="C4298">
        <v>94</v>
      </c>
    </row>
    <row r="4299" spans="1:3" ht="24" customHeight="1">
      <c r="A4299" s="5" t="s">
        <v>4675</v>
      </c>
      <c r="B4299">
        <v>10120</v>
      </c>
      <c r="C4299">
        <v>17691</v>
      </c>
    </row>
    <row r="4300" spans="1:3" ht="24" customHeight="1">
      <c r="A4300" s="5" t="s">
        <v>4842</v>
      </c>
      <c r="B4300">
        <v>2524</v>
      </c>
      <c r="C4300">
        <v>7049</v>
      </c>
    </row>
    <row r="4301" spans="1:3" ht="24" customHeight="1">
      <c r="A4301" s="5" t="s">
        <v>4884</v>
      </c>
      <c r="B4301">
        <v>3017</v>
      </c>
      <c r="C4301">
        <v>4286</v>
      </c>
    </row>
    <row r="4302" spans="1:3" ht="24" customHeight="1">
      <c r="A4302" s="5" t="s">
        <v>5042</v>
      </c>
      <c r="B4302">
        <v>1686</v>
      </c>
      <c r="C4302">
        <v>2571</v>
      </c>
    </row>
    <row r="4303" spans="1:3" ht="24" customHeight="1">
      <c r="A4303" s="5" t="s">
        <v>4963</v>
      </c>
      <c r="B4303">
        <v>2893</v>
      </c>
      <c r="C4303">
        <v>3784</v>
      </c>
    </row>
    <row r="4304" spans="1:3" ht="24" customHeight="1">
      <c r="A4304" s="5" t="s">
        <v>4724</v>
      </c>
      <c r="B4304">
        <v>214</v>
      </c>
      <c r="C4304">
        <v>81</v>
      </c>
    </row>
    <row r="4305" spans="1:3" ht="24" customHeight="1">
      <c r="A4305" s="5" t="s">
        <v>4843</v>
      </c>
      <c r="B4305">
        <v>169</v>
      </c>
      <c r="C4305">
        <v>61</v>
      </c>
    </row>
    <row r="4306" spans="1:3" ht="24" customHeight="1">
      <c r="A4306" s="5" t="s">
        <v>4885</v>
      </c>
      <c r="B4306">
        <v>17</v>
      </c>
      <c r="C4306">
        <v>12</v>
      </c>
    </row>
    <row r="4307" spans="1:3" ht="24" customHeight="1">
      <c r="A4307" s="5" t="s">
        <v>5043</v>
      </c>
      <c r="B4307">
        <v>9</v>
      </c>
      <c r="C4307">
        <v>4</v>
      </c>
    </row>
    <row r="4308" spans="1:3" ht="24" customHeight="1">
      <c r="A4308" s="5" t="s">
        <v>4964</v>
      </c>
      <c r="B4308">
        <v>19</v>
      </c>
      <c r="C4308">
        <v>5</v>
      </c>
    </row>
    <row r="4309" spans="1:3" ht="24" customHeight="1">
      <c r="A4309" s="5" t="s">
        <v>4729</v>
      </c>
      <c r="B4309">
        <v>1257</v>
      </c>
      <c r="C4309">
        <v>2221</v>
      </c>
    </row>
    <row r="4310" spans="1:3" ht="24" customHeight="1">
      <c r="A4310" s="5" t="s">
        <v>4844</v>
      </c>
      <c r="B4310">
        <v>609</v>
      </c>
      <c r="C4310">
        <v>829</v>
      </c>
    </row>
    <row r="4311" spans="1:3" ht="24" customHeight="1">
      <c r="A4311" s="5" t="s">
        <v>4886</v>
      </c>
      <c r="B4311">
        <v>251</v>
      </c>
      <c r="C4311">
        <v>777</v>
      </c>
    </row>
    <row r="4312" spans="1:3" ht="24" customHeight="1">
      <c r="A4312" s="5" t="s">
        <v>5044</v>
      </c>
      <c r="B4312">
        <v>298</v>
      </c>
      <c r="C4312">
        <v>414</v>
      </c>
    </row>
    <row r="4313" spans="1:3" ht="24" customHeight="1">
      <c r="A4313" s="5" t="s">
        <v>4965</v>
      </c>
      <c r="B4313">
        <v>99</v>
      </c>
      <c r="C4313">
        <v>201</v>
      </c>
    </row>
    <row r="4314" spans="1:3" ht="24" customHeight="1">
      <c r="A4314" s="5" t="s">
        <v>4735</v>
      </c>
      <c r="B4314">
        <v>3991</v>
      </c>
      <c r="C4314">
        <v>3516</v>
      </c>
    </row>
    <row r="4315" spans="1:3" ht="24" customHeight="1">
      <c r="A4315" s="5" t="s">
        <v>4845</v>
      </c>
      <c r="B4315">
        <v>1754</v>
      </c>
      <c r="C4315">
        <v>1507</v>
      </c>
    </row>
    <row r="4316" spans="1:3" ht="24" customHeight="1">
      <c r="A4316" s="5" t="s">
        <v>4887</v>
      </c>
      <c r="B4316">
        <v>1009</v>
      </c>
      <c r="C4316">
        <v>455</v>
      </c>
    </row>
    <row r="4317" spans="1:3" ht="24" customHeight="1">
      <c r="A4317" s="5" t="s">
        <v>5045</v>
      </c>
      <c r="B4317">
        <v>656</v>
      </c>
      <c r="C4317">
        <v>338</v>
      </c>
    </row>
    <row r="4318" spans="1:3" ht="24" customHeight="1">
      <c r="A4318" s="5" t="s">
        <v>4966</v>
      </c>
      <c r="B4318">
        <v>572</v>
      </c>
      <c r="C4318">
        <v>1216</v>
      </c>
    </row>
    <row r="4319" spans="1:3" ht="24" customHeight="1">
      <c r="A4319" s="5" t="s">
        <v>4744</v>
      </c>
      <c r="B4319">
        <v>45815</v>
      </c>
      <c r="C4319">
        <v>52168</v>
      </c>
    </row>
    <row r="4320" spans="1:3" ht="24" customHeight="1">
      <c r="A4320" s="5" t="s">
        <v>4846</v>
      </c>
      <c r="B4320">
        <v>32633</v>
      </c>
      <c r="C4320">
        <v>31239</v>
      </c>
    </row>
    <row r="4321" spans="1:3" ht="24" customHeight="1">
      <c r="A4321" s="5" t="s">
        <v>4888</v>
      </c>
      <c r="B4321">
        <v>7915</v>
      </c>
      <c r="C4321">
        <v>12393</v>
      </c>
    </row>
    <row r="4322" spans="1:3" ht="24" customHeight="1">
      <c r="A4322" s="5" t="s">
        <v>5046</v>
      </c>
      <c r="B4322">
        <v>2653</v>
      </c>
      <c r="C4322">
        <v>3043</v>
      </c>
    </row>
    <row r="4323" spans="1:3" ht="24" customHeight="1">
      <c r="A4323" s="5" t="s">
        <v>4967</v>
      </c>
      <c r="B4323">
        <v>2614</v>
      </c>
      <c r="C4323">
        <v>5492</v>
      </c>
    </row>
    <row r="4324" spans="1:3" ht="24" customHeight="1">
      <c r="A4324" s="5" t="s">
        <v>4763</v>
      </c>
      <c r="B4324">
        <v>349</v>
      </c>
      <c r="C4324">
        <v>767</v>
      </c>
    </row>
    <row r="4325" spans="1:3" ht="24" customHeight="1">
      <c r="A4325" s="5" t="s">
        <v>4847</v>
      </c>
      <c r="B4325">
        <v>170</v>
      </c>
      <c r="C4325">
        <v>478</v>
      </c>
    </row>
    <row r="4326" spans="1:3" ht="24" customHeight="1">
      <c r="A4326" s="5" t="s">
        <v>4889</v>
      </c>
      <c r="B4326">
        <v>48</v>
      </c>
      <c r="C4326">
        <v>130</v>
      </c>
    </row>
    <row r="4327" spans="1:3" ht="24" customHeight="1">
      <c r="A4327" s="5" t="s">
        <v>5047</v>
      </c>
      <c r="B4327">
        <v>48</v>
      </c>
      <c r="C4327">
        <v>73</v>
      </c>
    </row>
    <row r="4328" spans="1:3" ht="24" customHeight="1">
      <c r="A4328" s="5" t="s">
        <v>4968</v>
      </c>
      <c r="B4328">
        <v>82</v>
      </c>
      <c r="C4328">
        <v>86</v>
      </c>
    </row>
    <row r="4329" spans="1:3" ht="24" customHeight="1">
      <c r="A4329" s="5" t="s">
        <v>4776</v>
      </c>
      <c r="B4329">
        <v>1457</v>
      </c>
      <c r="C4329">
        <v>2222</v>
      </c>
    </row>
    <row r="4330" spans="1:3" ht="24" customHeight="1">
      <c r="A4330" s="5" t="s">
        <v>4848</v>
      </c>
      <c r="B4330">
        <v>487</v>
      </c>
      <c r="C4330">
        <v>609</v>
      </c>
    </row>
    <row r="4331" spans="1:3" ht="24" customHeight="1">
      <c r="A4331" s="5" t="s">
        <v>4890</v>
      </c>
      <c r="B4331">
        <v>469</v>
      </c>
      <c r="C4331">
        <v>764</v>
      </c>
    </row>
    <row r="4332" spans="1:3" ht="24" customHeight="1">
      <c r="A4332" s="5" t="s">
        <v>5048</v>
      </c>
      <c r="B4332">
        <v>316</v>
      </c>
      <c r="C4332">
        <v>411</v>
      </c>
    </row>
    <row r="4333" spans="1:3" ht="24" customHeight="1">
      <c r="A4333" s="5" t="s">
        <v>4969</v>
      </c>
      <c r="B4333">
        <v>185</v>
      </c>
      <c r="C4333">
        <v>438</v>
      </c>
    </row>
    <row r="4334" spans="1:3" ht="24" customHeight="1">
      <c r="A4334" s="5" t="s">
        <v>4783</v>
      </c>
      <c r="B4334">
        <v>2089</v>
      </c>
      <c r="C4334">
        <v>2646</v>
      </c>
    </row>
    <row r="4335" spans="1:3" ht="24" customHeight="1">
      <c r="A4335" s="5" t="s">
        <v>4849</v>
      </c>
      <c r="B4335">
        <v>849</v>
      </c>
      <c r="C4335">
        <v>770</v>
      </c>
    </row>
    <row r="4336" spans="1:3" ht="24" customHeight="1">
      <c r="A4336" s="5" t="s">
        <v>4891</v>
      </c>
      <c r="B4336">
        <v>660</v>
      </c>
      <c r="C4336">
        <v>1253</v>
      </c>
    </row>
    <row r="4337" spans="1:3" ht="24" customHeight="1">
      <c r="A4337" s="5" t="s">
        <v>5049</v>
      </c>
      <c r="B4337">
        <v>402</v>
      </c>
      <c r="C4337">
        <v>512</v>
      </c>
    </row>
    <row r="4338" spans="1:3" ht="24" customHeight="1">
      <c r="A4338" s="5" t="s">
        <v>4970</v>
      </c>
      <c r="B4338">
        <v>178</v>
      </c>
      <c r="C4338">
        <v>111</v>
      </c>
    </row>
    <row r="4339" spans="1:3" ht="24" customHeight="1">
      <c r="A4339" s="5" t="s">
        <v>4792</v>
      </c>
      <c r="B4339">
        <v>35175</v>
      </c>
      <c r="C4339">
        <v>54693</v>
      </c>
    </row>
    <row r="4340" spans="1:3" ht="24" customHeight="1">
      <c r="A4340" s="5" t="s">
        <v>4850</v>
      </c>
      <c r="B4340">
        <v>21113</v>
      </c>
      <c r="C4340">
        <v>30846</v>
      </c>
    </row>
    <row r="4341" spans="1:3" ht="24" customHeight="1">
      <c r="A4341" s="5" t="s">
        <v>4892</v>
      </c>
      <c r="B4341">
        <v>7754</v>
      </c>
      <c r="C4341">
        <v>13763</v>
      </c>
    </row>
    <row r="4342" spans="1:3" ht="24" customHeight="1">
      <c r="A4342" s="5" t="s">
        <v>5050</v>
      </c>
      <c r="B4342">
        <v>2781</v>
      </c>
      <c r="C4342">
        <v>4567</v>
      </c>
    </row>
    <row r="4343" spans="1:3" ht="24" customHeight="1">
      <c r="A4343" s="5" t="s">
        <v>4971</v>
      </c>
      <c r="B4343">
        <v>3528</v>
      </c>
      <c r="C4343">
        <v>5517</v>
      </c>
    </row>
    <row r="4344" spans="1:3" ht="24" customHeight="1">
      <c r="A4344" s="5" t="s">
        <v>4799</v>
      </c>
      <c r="B4344">
        <v>6555</v>
      </c>
      <c r="C4344">
        <v>9392</v>
      </c>
    </row>
    <row r="4345" spans="1:3" ht="24" customHeight="1">
      <c r="A4345" s="5" t="s">
        <v>4851</v>
      </c>
      <c r="B4345">
        <v>3138</v>
      </c>
      <c r="C4345">
        <v>4455</v>
      </c>
    </row>
    <row r="4346" spans="1:3" ht="24" customHeight="1">
      <c r="A4346" s="5" t="s">
        <v>4893</v>
      </c>
      <c r="B4346">
        <v>1503</v>
      </c>
      <c r="C4346">
        <v>2371</v>
      </c>
    </row>
    <row r="4347" spans="1:3" ht="24" customHeight="1">
      <c r="A4347" s="5" t="s">
        <v>5051</v>
      </c>
      <c r="B4347">
        <v>1012</v>
      </c>
      <c r="C4347">
        <v>1272</v>
      </c>
    </row>
    <row r="4348" spans="1:3" ht="24" customHeight="1">
      <c r="A4348" s="5" t="s">
        <v>4972</v>
      </c>
      <c r="B4348">
        <v>903</v>
      </c>
      <c r="C4348">
        <v>1294</v>
      </c>
    </row>
    <row r="4349" spans="1:3" ht="24" customHeight="1">
      <c r="A4349" s="5" t="s">
        <v>4806</v>
      </c>
      <c r="B4349">
        <v>8167</v>
      </c>
      <c r="C4349">
        <v>10290</v>
      </c>
    </row>
    <row r="4350" spans="1:3" ht="24" customHeight="1">
      <c r="A4350" s="5" t="s">
        <v>4852</v>
      </c>
      <c r="B4350">
        <v>4433</v>
      </c>
      <c r="C4350">
        <v>4335</v>
      </c>
    </row>
    <row r="4351" spans="1:3" ht="24" customHeight="1">
      <c r="A4351" s="5" t="s">
        <v>4894</v>
      </c>
      <c r="B4351">
        <v>1250</v>
      </c>
      <c r="C4351">
        <v>2495</v>
      </c>
    </row>
    <row r="4352" spans="1:3" ht="24" customHeight="1">
      <c r="A4352" s="5" t="s">
        <v>5052</v>
      </c>
      <c r="B4352">
        <v>1135</v>
      </c>
      <c r="C4352">
        <v>1383</v>
      </c>
    </row>
    <row r="4353" spans="1:3" ht="24" customHeight="1">
      <c r="A4353" s="5" t="s">
        <v>4973</v>
      </c>
      <c r="B4353">
        <v>1349</v>
      </c>
      <c r="C4353">
        <v>2078</v>
      </c>
    </row>
    <row r="4354" spans="1:3" ht="24" customHeight="1">
      <c r="A4354" s="5" t="s">
        <v>4811</v>
      </c>
      <c r="B4354">
        <v>9488</v>
      </c>
      <c r="C4354">
        <v>25574</v>
      </c>
    </row>
    <row r="4355" spans="1:3" ht="24" customHeight="1">
      <c r="A4355" s="5" t="s">
        <v>4853</v>
      </c>
      <c r="B4355">
        <v>2765</v>
      </c>
      <c r="C4355">
        <v>4188</v>
      </c>
    </row>
    <row r="4356" spans="1:3" ht="24" customHeight="1">
      <c r="A4356" s="5" t="s">
        <v>4895</v>
      </c>
      <c r="B4356">
        <v>3112</v>
      </c>
      <c r="C4356">
        <v>12479</v>
      </c>
    </row>
    <row r="4357" spans="1:3" ht="24" customHeight="1">
      <c r="A4357" s="5" t="s">
        <v>5053</v>
      </c>
      <c r="B4357">
        <v>1698</v>
      </c>
      <c r="C4357">
        <v>4722</v>
      </c>
    </row>
    <row r="4358" spans="1:3" ht="24" customHeight="1">
      <c r="A4358" s="5" t="s">
        <v>4974</v>
      </c>
      <c r="B4358">
        <v>1913</v>
      </c>
      <c r="C4358">
        <v>4184</v>
      </c>
    </row>
    <row r="4359" spans="1:3" ht="24" customHeight="1">
      <c r="A4359" s="5" t="s">
        <v>4818</v>
      </c>
      <c r="B4359">
        <v>402</v>
      </c>
      <c r="C4359">
        <v>379</v>
      </c>
    </row>
    <row r="4360" spans="1:3" ht="24" customHeight="1">
      <c r="A4360" s="5" t="s">
        <v>4854</v>
      </c>
      <c r="B4360">
        <v>283</v>
      </c>
      <c r="C4360">
        <v>263</v>
      </c>
    </row>
    <row r="4361" spans="1:3" ht="24" customHeight="1">
      <c r="A4361" s="5" t="s">
        <v>4896</v>
      </c>
      <c r="B4361">
        <v>31</v>
      </c>
      <c r="C4361">
        <v>24</v>
      </c>
    </row>
    <row r="4362" spans="1:3" ht="24" customHeight="1">
      <c r="A4362" s="5" t="s">
        <v>5054</v>
      </c>
      <c r="B4362">
        <v>34</v>
      </c>
      <c r="C4362">
        <v>27</v>
      </c>
    </row>
    <row r="4363" spans="1:3" ht="24" customHeight="1">
      <c r="A4363" s="5" t="s">
        <v>4975</v>
      </c>
      <c r="B4363">
        <v>54</v>
      </c>
      <c r="C4363">
        <v>65</v>
      </c>
    </row>
    <row r="4364" spans="1:3" ht="24" customHeight="1">
      <c r="A4364" s="5" t="s">
        <v>4823</v>
      </c>
      <c r="B4364">
        <v>20675</v>
      </c>
      <c r="C4364">
        <v>29754</v>
      </c>
    </row>
    <row r="4365" spans="1:3" ht="24" customHeight="1">
      <c r="A4365" s="5" t="s">
        <v>4855</v>
      </c>
      <c r="B4365">
        <v>11144</v>
      </c>
      <c r="C4365">
        <v>16508</v>
      </c>
    </row>
    <row r="4366" spans="1:3" ht="24" customHeight="1">
      <c r="A4366" s="5" t="s">
        <v>4897</v>
      </c>
      <c r="B4366">
        <v>2937</v>
      </c>
      <c r="C4366">
        <v>3395</v>
      </c>
    </row>
    <row r="4367" spans="1:3" ht="24" customHeight="1">
      <c r="A4367" s="5" t="s">
        <v>5055</v>
      </c>
      <c r="B4367">
        <v>2773</v>
      </c>
      <c r="C4367">
        <v>3786</v>
      </c>
    </row>
    <row r="4368" spans="1:3" ht="24" customHeight="1">
      <c r="A4368" s="5" t="s">
        <v>4976</v>
      </c>
      <c r="B4368">
        <v>3820</v>
      </c>
      <c r="C4368">
        <v>6065</v>
      </c>
    </row>
    <row r="4369" spans="1:3" ht="24" customHeight="1">
      <c r="A4369" s="5" t="s">
        <v>4669</v>
      </c>
      <c r="B4369">
        <v>17</v>
      </c>
      <c r="C4369">
        <v>2</v>
      </c>
    </row>
    <row r="4370" spans="1:3" ht="24" customHeight="1">
      <c r="A4370" s="5" t="s">
        <v>4670</v>
      </c>
      <c r="B4370">
        <v>17</v>
      </c>
      <c r="C4370">
        <v>2</v>
      </c>
    </row>
    <row r="4371" spans="1:3" ht="24" customHeight="1">
      <c r="A4371" s="5" t="s">
        <v>4671</v>
      </c>
      <c r="B4371">
        <v>3559</v>
      </c>
      <c r="C4371">
        <v>849</v>
      </c>
    </row>
    <row r="4372" spans="1:3" ht="24" customHeight="1">
      <c r="A4372" s="5" t="s">
        <v>4672</v>
      </c>
      <c r="B4372">
        <v>2203</v>
      </c>
      <c r="C4372">
        <v>507</v>
      </c>
    </row>
    <row r="4373" spans="1:3" ht="24" customHeight="1">
      <c r="A4373" s="5" t="s">
        <v>4673</v>
      </c>
      <c r="B4373">
        <v>791</v>
      </c>
      <c r="C4373">
        <v>134</v>
      </c>
    </row>
    <row r="4374" spans="1:3" ht="24" customHeight="1">
      <c r="A4374" s="5" t="s">
        <v>4674</v>
      </c>
      <c r="B4374">
        <v>566</v>
      </c>
      <c r="C4374">
        <v>208</v>
      </c>
    </row>
    <row r="4375" spans="1:3" ht="24" customHeight="1">
      <c r="A4375" s="5" t="s">
        <v>4675</v>
      </c>
      <c r="B4375">
        <v>10120</v>
      </c>
      <c r="C4375">
        <v>17691</v>
      </c>
    </row>
    <row r="4376" spans="1:3" ht="24" customHeight="1">
      <c r="A4376" s="5" t="s">
        <v>4676</v>
      </c>
      <c r="B4376">
        <v>3740</v>
      </c>
      <c r="C4376">
        <v>11459</v>
      </c>
    </row>
    <row r="4377" spans="1:3" ht="24" customHeight="1">
      <c r="A4377" s="5" t="s">
        <v>4678</v>
      </c>
      <c r="B4377">
        <v>130</v>
      </c>
      <c r="C4377">
        <v>194</v>
      </c>
    </row>
    <row r="4378" spans="1:3" ht="24" customHeight="1">
      <c r="A4378" s="5" t="s">
        <v>4680</v>
      </c>
      <c r="B4378">
        <v>120</v>
      </c>
      <c r="C4378">
        <v>628</v>
      </c>
    </row>
    <row r="4379" spans="1:3" ht="24" customHeight="1">
      <c r="A4379" s="5" t="s">
        <v>4682</v>
      </c>
      <c r="B4379">
        <v>146</v>
      </c>
      <c r="C4379">
        <v>91</v>
      </c>
    </row>
    <row r="4380" spans="1:3" ht="24" customHeight="1">
      <c r="A4380" s="5" t="s">
        <v>4684</v>
      </c>
      <c r="B4380">
        <v>113</v>
      </c>
      <c r="C4380">
        <v>76</v>
      </c>
    </row>
    <row r="4381" spans="1:3" ht="24" customHeight="1">
      <c r="A4381" s="5" t="s">
        <v>4686</v>
      </c>
      <c r="B4381">
        <v>136</v>
      </c>
      <c r="C4381">
        <v>182</v>
      </c>
    </row>
    <row r="4382" spans="1:3" ht="24" customHeight="1">
      <c r="A4382" s="5" t="s">
        <v>4688</v>
      </c>
      <c r="B4382">
        <v>163</v>
      </c>
      <c r="C4382">
        <v>337</v>
      </c>
    </row>
    <row r="4383" spans="1:3" ht="24" customHeight="1">
      <c r="A4383" s="5" t="s">
        <v>4690</v>
      </c>
      <c r="B4383">
        <v>179</v>
      </c>
      <c r="C4383">
        <v>373</v>
      </c>
    </row>
    <row r="4384" spans="1:3" ht="24" customHeight="1">
      <c r="A4384" s="5" t="s">
        <v>4692</v>
      </c>
      <c r="B4384">
        <v>2</v>
      </c>
      <c r="C4384">
        <v>1</v>
      </c>
    </row>
    <row r="4385" spans="1:3" ht="24" customHeight="1">
      <c r="A4385" s="5" t="s">
        <v>4694</v>
      </c>
      <c r="B4385">
        <v>432</v>
      </c>
      <c r="C4385">
        <v>711</v>
      </c>
    </row>
    <row r="4386" spans="1:3" ht="24" customHeight="1">
      <c r="A4386" s="5" t="s">
        <v>4696</v>
      </c>
      <c r="B4386">
        <v>104</v>
      </c>
      <c r="C4386">
        <v>150</v>
      </c>
    </row>
    <row r="4387" spans="1:3" ht="24" customHeight="1">
      <c r="A4387" s="5" t="s">
        <v>4698</v>
      </c>
      <c r="B4387">
        <v>11</v>
      </c>
      <c r="C4387">
        <v>56</v>
      </c>
    </row>
    <row r="4388" spans="1:3" ht="24" customHeight="1">
      <c r="A4388" s="5" t="s">
        <v>4700</v>
      </c>
      <c r="B4388">
        <v>279</v>
      </c>
      <c r="C4388">
        <v>105</v>
      </c>
    </row>
    <row r="4389" spans="1:3" ht="24" customHeight="1">
      <c r="A4389" s="5" t="s">
        <v>4702</v>
      </c>
      <c r="B4389">
        <v>300</v>
      </c>
      <c r="C4389">
        <v>41</v>
      </c>
    </row>
    <row r="4390" spans="1:3" ht="24" customHeight="1">
      <c r="A4390" s="5" t="s">
        <v>4704</v>
      </c>
      <c r="B4390">
        <v>161</v>
      </c>
      <c r="C4390">
        <v>100</v>
      </c>
    </row>
    <row r="4391" spans="1:3" ht="24" customHeight="1">
      <c r="A4391" s="5" t="s">
        <v>4706</v>
      </c>
      <c r="B4391">
        <v>638</v>
      </c>
      <c r="C4391">
        <v>300</v>
      </c>
    </row>
    <row r="4392" spans="1:3" ht="24" customHeight="1">
      <c r="A4392" s="5" t="s">
        <v>4708</v>
      </c>
      <c r="B4392">
        <v>343</v>
      </c>
      <c r="C4392">
        <v>216</v>
      </c>
    </row>
    <row r="4393" spans="1:3" ht="24" customHeight="1">
      <c r="A4393" s="5" t="s">
        <v>4710</v>
      </c>
      <c r="B4393">
        <v>371</v>
      </c>
      <c r="C4393">
        <v>448</v>
      </c>
    </row>
    <row r="4394" spans="1:3" ht="24" customHeight="1">
      <c r="A4394" s="5" t="s">
        <v>4712</v>
      </c>
      <c r="B4394">
        <v>127</v>
      </c>
      <c r="C4394">
        <v>193</v>
      </c>
    </row>
    <row r="4395" spans="1:3" ht="24" customHeight="1">
      <c r="A4395" s="5" t="s">
        <v>4714</v>
      </c>
      <c r="B4395">
        <v>291</v>
      </c>
      <c r="C4395">
        <v>381</v>
      </c>
    </row>
    <row r="4396" spans="1:3" ht="24" customHeight="1">
      <c r="A4396" s="5" t="s">
        <v>4716</v>
      </c>
      <c r="B4396">
        <v>499</v>
      </c>
      <c r="C4396">
        <v>478</v>
      </c>
    </row>
    <row r="4397" spans="1:3" ht="24" customHeight="1">
      <c r="A4397" s="5" t="s">
        <v>4718</v>
      </c>
      <c r="B4397">
        <v>62</v>
      </c>
      <c r="C4397">
        <v>100</v>
      </c>
    </row>
    <row r="4398" spans="1:3" ht="24" customHeight="1">
      <c r="A4398" s="5" t="s">
        <v>4720</v>
      </c>
      <c r="B4398">
        <v>1608</v>
      </c>
      <c r="C4398">
        <v>755</v>
      </c>
    </row>
    <row r="4399" spans="1:3" ht="24" customHeight="1">
      <c r="A4399" s="5" t="s">
        <v>4722</v>
      </c>
      <c r="B4399">
        <v>166</v>
      </c>
      <c r="C4399">
        <v>315</v>
      </c>
    </row>
    <row r="4400" spans="1:3" ht="24" customHeight="1">
      <c r="A4400" s="5" t="s">
        <v>4724</v>
      </c>
      <c r="B4400">
        <v>214</v>
      </c>
      <c r="C4400">
        <v>81</v>
      </c>
    </row>
    <row r="4401" spans="1:3" ht="24" customHeight="1">
      <c r="A4401" s="5" t="s">
        <v>4725</v>
      </c>
      <c r="B4401">
        <v>165</v>
      </c>
      <c r="C4401">
        <v>70</v>
      </c>
    </row>
    <row r="4402" spans="1:3" ht="24" customHeight="1">
      <c r="A4402" s="5" t="s">
        <v>4726</v>
      </c>
      <c r="B4402">
        <v>7</v>
      </c>
      <c r="C4402">
        <v>4</v>
      </c>
    </row>
    <row r="4403" spans="1:3" ht="24" customHeight="1">
      <c r="A4403" s="5" t="s">
        <v>4727</v>
      </c>
      <c r="B4403">
        <v>3</v>
      </c>
      <c r="C4403">
        <v>1</v>
      </c>
    </row>
    <row r="4404" spans="1:3" ht="24" customHeight="1">
      <c r="A4404" s="5" t="s">
        <v>4728</v>
      </c>
      <c r="B4404">
        <v>39</v>
      </c>
      <c r="C4404">
        <v>6</v>
      </c>
    </row>
    <row r="4405" spans="1:3" ht="24" customHeight="1">
      <c r="A4405" s="5" t="s">
        <v>4729</v>
      </c>
      <c r="B4405">
        <v>1257</v>
      </c>
      <c r="C4405">
        <v>2221</v>
      </c>
    </row>
    <row r="4406" spans="1:3" ht="24" customHeight="1">
      <c r="A4406" s="5" t="s">
        <v>4730</v>
      </c>
      <c r="B4406">
        <v>55</v>
      </c>
      <c r="C4406">
        <v>17</v>
      </c>
    </row>
    <row r="4407" spans="1:3" ht="24" customHeight="1">
      <c r="A4407" s="5" t="s">
        <v>4731</v>
      </c>
      <c r="B4407">
        <v>206</v>
      </c>
      <c r="C4407">
        <v>294</v>
      </c>
    </row>
    <row r="4408" spans="1:3" ht="24" customHeight="1">
      <c r="A4408" s="5" t="s">
        <v>4732</v>
      </c>
      <c r="B4408">
        <v>573</v>
      </c>
      <c r="C4408">
        <v>736</v>
      </c>
    </row>
    <row r="4409" spans="1:3" ht="24" customHeight="1">
      <c r="A4409" s="5" t="s">
        <v>4733</v>
      </c>
      <c r="B4409">
        <v>190</v>
      </c>
      <c r="C4409">
        <v>349</v>
      </c>
    </row>
    <row r="4410" spans="1:3" ht="24" customHeight="1">
      <c r="A4410" s="5" t="s">
        <v>4734</v>
      </c>
      <c r="B4410">
        <v>233</v>
      </c>
      <c r="C4410">
        <v>826</v>
      </c>
    </row>
    <row r="4411" spans="1:3" ht="24" customHeight="1">
      <c r="A4411" s="5" t="s">
        <v>4735</v>
      </c>
      <c r="B4411">
        <v>3991</v>
      </c>
      <c r="C4411">
        <v>3516</v>
      </c>
    </row>
    <row r="4412" spans="1:3" ht="24" customHeight="1">
      <c r="A4412" s="5" t="s">
        <v>4736</v>
      </c>
      <c r="B4412">
        <v>131</v>
      </c>
      <c r="C4412">
        <v>32</v>
      </c>
    </row>
    <row r="4413" spans="1:3" ht="24" customHeight="1">
      <c r="A4413" s="5" t="s">
        <v>4737</v>
      </c>
      <c r="B4413">
        <v>677</v>
      </c>
      <c r="C4413">
        <v>183</v>
      </c>
    </row>
    <row r="4414" spans="1:3" ht="24" customHeight="1">
      <c r="A4414" s="5" t="s">
        <v>4738</v>
      </c>
      <c r="B4414">
        <v>2107</v>
      </c>
      <c r="C4414">
        <v>2136</v>
      </c>
    </row>
    <row r="4415" spans="1:3" ht="24" customHeight="1">
      <c r="A4415" s="5" t="s">
        <v>4739</v>
      </c>
      <c r="B4415">
        <v>34</v>
      </c>
      <c r="C4415">
        <v>21</v>
      </c>
    </row>
    <row r="4416" spans="1:3" ht="24" customHeight="1">
      <c r="A4416" s="5" t="s">
        <v>4740</v>
      </c>
      <c r="B4416">
        <v>43</v>
      </c>
      <c r="C4416">
        <v>48</v>
      </c>
    </row>
    <row r="4417" spans="1:3" ht="24" customHeight="1">
      <c r="A4417" s="5" t="s">
        <v>4741</v>
      </c>
      <c r="B4417">
        <v>237</v>
      </c>
      <c r="C4417">
        <v>480</v>
      </c>
    </row>
    <row r="4418" spans="1:3" ht="24" customHeight="1">
      <c r="A4418" s="5" t="s">
        <v>4742</v>
      </c>
      <c r="B4418">
        <v>680</v>
      </c>
      <c r="C4418">
        <v>567</v>
      </c>
    </row>
    <row r="4419" spans="1:3" ht="24" customHeight="1">
      <c r="A4419" s="5" t="s">
        <v>4743</v>
      </c>
      <c r="B4419">
        <v>81</v>
      </c>
      <c r="C4419">
        <v>48</v>
      </c>
    </row>
    <row r="4420" spans="1:3" ht="24" customHeight="1">
      <c r="A4420" s="5" t="s">
        <v>4744</v>
      </c>
      <c r="B4420">
        <v>45815</v>
      </c>
      <c r="C4420">
        <v>52168</v>
      </c>
    </row>
    <row r="4421" spans="1:3" ht="24" customHeight="1">
      <c r="A4421" s="5" t="s">
        <v>4745</v>
      </c>
      <c r="B4421">
        <v>18</v>
      </c>
      <c r="C4421">
        <v>38</v>
      </c>
    </row>
    <row r="4422" spans="1:3" ht="24" customHeight="1">
      <c r="A4422" s="5" t="s">
        <v>4746</v>
      </c>
      <c r="B4422">
        <v>71</v>
      </c>
      <c r="C4422">
        <v>289</v>
      </c>
    </row>
    <row r="4423" spans="1:3" ht="24" customHeight="1">
      <c r="A4423" s="5" t="s">
        <v>4747</v>
      </c>
      <c r="B4423">
        <v>22496</v>
      </c>
      <c r="C4423">
        <v>7696</v>
      </c>
    </row>
    <row r="4424" spans="1:3" ht="24" customHeight="1">
      <c r="A4424" s="5" t="s">
        <v>4748</v>
      </c>
      <c r="B4424">
        <v>517</v>
      </c>
      <c r="C4424">
        <v>436</v>
      </c>
    </row>
    <row r="4425" spans="1:3" ht="24" customHeight="1">
      <c r="A4425" s="5" t="s">
        <v>4749</v>
      </c>
      <c r="B4425">
        <v>555</v>
      </c>
      <c r="C4425">
        <v>335</v>
      </c>
    </row>
    <row r="4426" spans="1:3" ht="24" customHeight="1">
      <c r="A4426" s="5" t="s">
        <v>4750</v>
      </c>
      <c r="B4426">
        <v>574</v>
      </c>
      <c r="C4426">
        <v>1096</v>
      </c>
    </row>
    <row r="4427" spans="1:3" ht="24" customHeight="1">
      <c r="A4427" s="5" t="s">
        <v>4751</v>
      </c>
      <c r="B4427">
        <v>760</v>
      </c>
      <c r="C4427">
        <v>1734</v>
      </c>
    </row>
    <row r="4428" spans="1:3" ht="24" customHeight="1">
      <c r="A4428" s="5" t="s">
        <v>4753</v>
      </c>
      <c r="B4428">
        <v>928</v>
      </c>
      <c r="C4428">
        <v>2043</v>
      </c>
    </row>
    <row r="4429" spans="1:3" ht="24" customHeight="1">
      <c r="A4429" s="5" t="s">
        <v>4755</v>
      </c>
      <c r="B4429">
        <v>12575</v>
      </c>
      <c r="C4429">
        <v>23474</v>
      </c>
    </row>
    <row r="4430" spans="1:3" ht="24" customHeight="1">
      <c r="A4430" s="5" t="s">
        <v>4757</v>
      </c>
      <c r="B4430">
        <v>808</v>
      </c>
      <c r="C4430">
        <v>468</v>
      </c>
    </row>
    <row r="4431" spans="1:3" ht="24" customHeight="1">
      <c r="A4431" s="5" t="s">
        <v>4759</v>
      </c>
      <c r="B4431">
        <v>5919</v>
      </c>
      <c r="C4431">
        <v>13255</v>
      </c>
    </row>
    <row r="4432" spans="1:3" ht="24" customHeight="1">
      <c r="A4432" s="5" t="s">
        <v>4761</v>
      </c>
      <c r="B4432">
        <v>594</v>
      </c>
      <c r="C4432">
        <v>1303</v>
      </c>
    </row>
    <row r="4433" spans="1:3" ht="24" customHeight="1">
      <c r="A4433" s="5" t="s">
        <v>4763</v>
      </c>
      <c r="B4433">
        <v>349</v>
      </c>
      <c r="C4433">
        <v>767</v>
      </c>
    </row>
    <row r="4434" spans="1:3" ht="24" customHeight="1">
      <c r="A4434" s="5" t="s">
        <v>4764</v>
      </c>
      <c r="B4434">
        <v>92</v>
      </c>
      <c r="C4434">
        <v>282</v>
      </c>
    </row>
    <row r="4435" spans="1:3" ht="24" customHeight="1">
      <c r="A4435" s="5" t="s">
        <v>4766</v>
      </c>
      <c r="B4435">
        <v>19</v>
      </c>
      <c r="C4435">
        <v>90</v>
      </c>
    </row>
    <row r="4436" spans="1:3" ht="24" customHeight="1">
      <c r="A4436" s="5" t="s">
        <v>4768</v>
      </c>
      <c r="B4436">
        <v>58</v>
      </c>
      <c r="C4436">
        <v>101</v>
      </c>
    </row>
    <row r="4437" spans="1:3" ht="24" customHeight="1">
      <c r="A4437" s="5" t="s">
        <v>4770</v>
      </c>
      <c r="B4437">
        <v>34</v>
      </c>
      <c r="C4437">
        <v>27</v>
      </c>
    </row>
    <row r="4438" spans="1:3" ht="24" customHeight="1">
      <c r="A4438" s="5" t="s">
        <v>4772</v>
      </c>
      <c r="B4438">
        <v>23</v>
      </c>
      <c r="C4438">
        <v>33</v>
      </c>
    </row>
    <row r="4439" spans="1:3" ht="24" customHeight="1">
      <c r="A4439" s="5" t="s">
        <v>4774</v>
      </c>
      <c r="B4439">
        <v>123</v>
      </c>
      <c r="C4439">
        <v>234</v>
      </c>
    </row>
    <row r="4440" spans="1:3" ht="24" customHeight="1">
      <c r="A4440" s="5" t="s">
        <v>4776</v>
      </c>
      <c r="B4440">
        <v>1457</v>
      </c>
      <c r="C4440">
        <v>2222</v>
      </c>
    </row>
    <row r="4441" spans="1:3" ht="24" customHeight="1">
      <c r="A4441" s="5" t="s">
        <v>4777</v>
      </c>
      <c r="B4441">
        <v>137</v>
      </c>
      <c r="C4441">
        <v>467</v>
      </c>
    </row>
    <row r="4442" spans="1:3" ht="24" customHeight="1">
      <c r="A4442" s="5" t="s">
        <v>4779</v>
      </c>
      <c r="B4442">
        <v>766</v>
      </c>
      <c r="C4442">
        <v>1291</v>
      </c>
    </row>
    <row r="4443" spans="1:3" ht="24" customHeight="1">
      <c r="A4443" s="5" t="s">
        <v>4781</v>
      </c>
      <c r="B4443">
        <v>554</v>
      </c>
      <c r="C4443">
        <v>464</v>
      </c>
    </row>
    <row r="4444" spans="1:3" ht="24" customHeight="1">
      <c r="A4444" s="5" t="s">
        <v>4783</v>
      </c>
      <c r="B4444">
        <v>2089</v>
      </c>
      <c r="C4444">
        <v>2646</v>
      </c>
    </row>
    <row r="4445" spans="1:3" ht="24" customHeight="1">
      <c r="A4445" s="5" t="s">
        <v>4784</v>
      </c>
      <c r="B4445">
        <v>757</v>
      </c>
      <c r="C4445">
        <v>615</v>
      </c>
    </row>
    <row r="4446" spans="1:3" ht="24" customHeight="1">
      <c r="A4446" s="5" t="s">
        <v>4786</v>
      </c>
      <c r="B4446">
        <v>367</v>
      </c>
      <c r="C4446">
        <v>1145</v>
      </c>
    </row>
    <row r="4447" spans="1:3" ht="24" customHeight="1">
      <c r="A4447" s="5" t="s">
        <v>4788</v>
      </c>
      <c r="B4447">
        <v>177</v>
      </c>
      <c r="C4447">
        <v>276</v>
      </c>
    </row>
    <row r="4448" spans="1:3" ht="24" customHeight="1">
      <c r="A4448" s="5" t="s">
        <v>4790</v>
      </c>
      <c r="B4448">
        <v>788</v>
      </c>
      <c r="C4448">
        <v>610</v>
      </c>
    </row>
    <row r="4449" spans="1:3" ht="24" customHeight="1">
      <c r="A4449" s="5" t="s">
        <v>4792</v>
      </c>
      <c r="B4449">
        <v>35175</v>
      </c>
      <c r="C4449">
        <v>54693</v>
      </c>
    </row>
    <row r="4450" spans="1:3" ht="24" customHeight="1">
      <c r="A4450" s="5" t="s">
        <v>4793</v>
      </c>
      <c r="B4450">
        <v>2516</v>
      </c>
      <c r="C4450">
        <v>4452</v>
      </c>
    </row>
    <row r="4451" spans="1:3" ht="24" customHeight="1">
      <c r="A4451" s="5" t="s">
        <v>4795</v>
      </c>
      <c r="B4451">
        <v>30736</v>
      </c>
      <c r="C4451">
        <v>46904</v>
      </c>
    </row>
    <row r="4452" spans="1:3" ht="24" customHeight="1">
      <c r="A4452" s="5" t="s">
        <v>4797</v>
      </c>
      <c r="B4452">
        <v>1924</v>
      </c>
      <c r="C4452">
        <v>3337</v>
      </c>
    </row>
    <row r="4453" spans="1:3" ht="24" customHeight="1">
      <c r="A4453" s="5" t="s">
        <v>4799</v>
      </c>
      <c r="B4453">
        <v>6555</v>
      </c>
      <c r="C4453">
        <v>9392</v>
      </c>
    </row>
    <row r="4454" spans="1:3" ht="24" customHeight="1">
      <c r="A4454" s="5" t="s">
        <v>4800</v>
      </c>
      <c r="B4454">
        <v>723</v>
      </c>
      <c r="C4454">
        <v>2101</v>
      </c>
    </row>
    <row r="4455" spans="1:3" ht="24" customHeight="1">
      <c r="A4455" s="5" t="s">
        <v>4802</v>
      </c>
      <c r="B4455">
        <v>713</v>
      </c>
      <c r="C4455">
        <v>1644</v>
      </c>
    </row>
    <row r="4456" spans="1:3" ht="24" customHeight="1">
      <c r="A4456" s="5" t="s">
        <v>4804</v>
      </c>
      <c r="B4456">
        <v>5119</v>
      </c>
      <c r="C4456">
        <v>5647</v>
      </c>
    </row>
    <row r="4457" spans="1:3" ht="24" customHeight="1">
      <c r="A4457" s="5" t="s">
        <v>4806</v>
      </c>
      <c r="B4457">
        <v>8167</v>
      </c>
      <c r="C4457">
        <v>10290</v>
      </c>
    </row>
    <row r="4458" spans="1:3" ht="24" customHeight="1">
      <c r="A4458" s="5" t="s">
        <v>4807</v>
      </c>
      <c r="B4458">
        <v>5019</v>
      </c>
      <c r="C4458">
        <v>6381</v>
      </c>
    </row>
    <row r="4459" spans="1:3" ht="24" customHeight="1">
      <c r="A4459" s="5" t="s">
        <v>4809</v>
      </c>
      <c r="B4459">
        <v>3148</v>
      </c>
      <c r="C4459">
        <v>3909</v>
      </c>
    </row>
    <row r="4460" spans="1:3" ht="24" customHeight="1">
      <c r="A4460" s="5" t="s">
        <v>4811</v>
      </c>
      <c r="B4460">
        <v>9488</v>
      </c>
      <c r="C4460">
        <v>25574</v>
      </c>
    </row>
    <row r="4461" spans="1:3" ht="24" customHeight="1">
      <c r="A4461" s="5" t="s">
        <v>4812</v>
      </c>
      <c r="B4461">
        <v>3946</v>
      </c>
      <c r="C4461">
        <v>8762</v>
      </c>
    </row>
    <row r="4462" spans="1:3" ht="24" customHeight="1">
      <c r="A4462" s="5" t="s">
        <v>4814</v>
      </c>
      <c r="B4462">
        <v>92</v>
      </c>
      <c r="C4462">
        <v>214</v>
      </c>
    </row>
    <row r="4463" spans="1:3" ht="24" customHeight="1">
      <c r="A4463" s="5" t="s">
        <v>4816</v>
      </c>
      <c r="B4463">
        <v>5450</v>
      </c>
      <c r="C4463">
        <v>16597</v>
      </c>
    </row>
    <row r="4464" spans="1:3" ht="24" customHeight="1">
      <c r="A4464" s="5" t="s">
        <v>4818</v>
      </c>
      <c r="B4464">
        <v>402</v>
      </c>
      <c r="C4464">
        <v>379</v>
      </c>
    </row>
    <row r="4465" spans="1:3" ht="24" customHeight="1">
      <c r="A4465" s="5" t="s">
        <v>4819</v>
      </c>
      <c r="B4465">
        <v>265</v>
      </c>
      <c r="C4465">
        <v>248</v>
      </c>
    </row>
    <row r="4466" spans="1:3" ht="24" customHeight="1">
      <c r="A4466" s="5" t="s">
        <v>4821</v>
      </c>
      <c r="B4466">
        <v>137</v>
      </c>
      <c r="C4466">
        <v>131</v>
      </c>
    </row>
    <row r="4467" spans="1:3" ht="24" customHeight="1">
      <c r="A4467" s="5" t="s">
        <v>4823</v>
      </c>
      <c r="B4467">
        <v>20675</v>
      </c>
      <c r="C4467">
        <v>29754</v>
      </c>
    </row>
    <row r="4468" spans="1:3" ht="24" customHeight="1">
      <c r="A4468" s="5" t="s">
        <v>4824</v>
      </c>
      <c r="B4468">
        <v>499</v>
      </c>
      <c r="C4468">
        <v>1159</v>
      </c>
    </row>
    <row r="4469" spans="1:3" ht="24" customHeight="1">
      <c r="A4469" s="5" t="s">
        <v>4826</v>
      </c>
      <c r="B4469">
        <v>101</v>
      </c>
      <c r="C4469">
        <v>44</v>
      </c>
    </row>
    <row r="4470" spans="1:3" ht="24" customHeight="1">
      <c r="A4470" s="5" t="s">
        <v>4828</v>
      </c>
      <c r="B4470">
        <v>247</v>
      </c>
      <c r="C4470">
        <v>62</v>
      </c>
    </row>
    <row r="4471" spans="1:3" ht="24" customHeight="1">
      <c r="A4471" s="5" t="s">
        <v>4830</v>
      </c>
      <c r="B4471">
        <v>12772</v>
      </c>
      <c r="C4471">
        <v>17516</v>
      </c>
    </row>
    <row r="4472" spans="1:3" ht="24" customHeight="1">
      <c r="A4472" s="5" t="s">
        <v>4832</v>
      </c>
      <c r="B4472">
        <v>6523</v>
      </c>
      <c r="C4472">
        <v>10108</v>
      </c>
    </row>
    <row r="4473" spans="1:3" ht="24" customHeight="1">
      <c r="A4473" s="5" t="s">
        <v>4834</v>
      </c>
      <c r="B4473">
        <v>400</v>
      </c>
      <c r="C4473">
        <v>604</v>
      </c>
    </row>
    <row r="4474" spans="1:3" ht="24" customHeight="1">
      <c r="A4474" s="5" t="s">
        <v>4836</v>
      </c>
      <c r="B4474">
        <v>42</v>
      </c>
      <c r="C4474">
        <v>135</v>
      </c>
    </row>
    <row r="4475" spans="1:3" ht="24" customHeight="1">
      <c r="A4475" s="5" t="s">
        <v>4838</v>
      </c>
      <c r="B4475">
        <v>90</v>
      </c>
      <c r="C4475">
        <v>126</v>
      </c>
    </row>
    <row r="4476" spans="1:3" ht="24" customHeight="1">
      <c r="A4476" s="5" t="s">
        <v>4856</v>
      </c>
      <c r="B4476">
        <v>149329</v>
      </c>
      <c r="C4476">
        <v>212244</v>
      </c>
    </row>
  </sheetData>
  <sheetProtection algorithmName="SHA-512" hashValue="fKSAgYSBvIgvDZu5jJiISfAOcJqoXlklol9CoT5GQ+2TKWz20Pqak4kZ4UtlAqnr1EUgWwb3btxnjY+GhTCaYQ==" saltValue="lnsLdyHUeHE2wNC9st2C8Q==" spinCount="100000" sheet="1" objects="1" scenarios="1" selectLockedCells="1" selectUnlockedCells="1"/>
  <mergeCells count="6">
    <mergeCell ref="B1:I1"/>
    <mergeCell ref="A2:A3"/>
    <mergeCell ref="B2:C2"/>
    <mergeCell ref="D2:E2"/>
    <mergeCell ref="F2:G2"/>
    <mergeCell ref="H2:I2"/>
  </mergeCells>
  <phoneticPr fontId="3"/>
  <pageMargins left="0.7" right="0.7" top="0.75" bottom="0.75" header="0.3" footer="0.3"/>
  <pageSetup paperSize="9"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A1BE8-0207-6E4D-9DD1-238833F59492}">
  <dimension ref="A1:C658"/>
  <sheetViews>
    <sheetView topLeftCell="XFD1" workbookViewId="0">
      <selection sqref="A1:XFD1048576"/>
    </sheetView>
  </sheetViews>
  <sheetFormatPr defaultColWidth="0" defaultRowHeight="19.5"/>
  <cols>
    <col min="1" max="1" width="14.6640625" hidden="1" customWidth="1"/>
    <col min="2" max="3" width="8.77734375" style="358" hidden="1" customWidth="1"/>
    <col min="4" max="16384" width="8.77734375" hidden="1"/>
  </cols>
  <sheetData>
    <row r="1" spans="1:3" ht="15" customHeight="1">
      <c r="A1" s="355" t="s">
        <v>1369</v>
      </c>
      <c r="B1" s="355" t="s">
        <v>1366</v>
      </c>
      <c r="C1" s="355" t="s">
        <v>1367</v>
      </c>
    </row>
    <row r="2" spans="1:3" s="355" customFormat="1" ht="15" customHeight="1">
      <c r="A2" s="355" t="s">
        <v>1370</v>
      </c>
      <c r="B2" s="357">
        <v>1816</v>
      </c>
      <c r="C2" s="357">
        <v>1470.5</v>
      </c>
    </row>
    <row r="3" spans="1:3" s="355" customFormat="1" ht="15" customHeight="1">
      <c r="A3" s="355" t="s">
        <v>1375</v>
      </c>
      <c r="B3" s="357">
        <v>0.6</v>
      </c>
      <c r="C3" s="357">
        <v>0.2</v>
      </c>
    </row>
    <row r="4" spans="1:3" s="355" customFormat="1" ht="15" customHeight="1">
      <c r="A4" s="355" t="s">
        <v>1376</v>
      </c>
      <c r="B4" s="357">
        <v>165.1</v>
      </c>
      <c r="C4" s="357">
        <v>46.5</v>
      </c>
    </row>
    <row r="5" spans="1:3" s="355" customFormat="1" ht="15" customHeight="1">
      <c r="A5" s="355" t="s">
        <v>1377</v>
      </c>
      <c r="B5" s="357">
        <v>303.10000000000002</v>
      </c>
      <c r="C5" s="357">
        <v>115.2</v>
      </c>
    </row>
    <row r="6" spans="1:3" s="355" customFormat="1" ht="15" customHeight="1">
      <c r="A6" s="355" t="s">
        <v>1378</v>
      </c>
      <c r="B6" s="357">
        <v>35.799999999999997</v>
      </c>
      <c r="C6" s="357">
        <v>32</v>
      </c>
    </row>
    <row r="7" spans="1:3" s="355" customFormat="1" ht="15" customHeight="1">
      <c r="A7" s="355" t="s">
        <v>1379</v>
      </c>
      <c r="B7" s="357">
        <v>3.1</v>
      </c>
      <c r="C7" s="357">
        <v>8.1</v>
      </c>
    </row>
    <row r="8" spans="1:3" s="355" customFormat="1" ht="15" customHeight="1">
      <c r="A8" s="355" t="s">
        <v>1380</v>
      </c>
      <c r="B8" s="357">
        <v>3</v>
      </c>
      <c r="C8" s="357">
        <v>0.2</v>
      </c>
    </row>
    <row r="9" spans="1:3" s="355" customFormat="1" ht="15" customHeight="1">
      <c r="A9" s="355" t="s">
        <v>1381</v>
      </c>
      <c r="B9" s="357">
        <v>3.6</v>
      </c>
      <c r="C9" s="357">
        <v>1.5</v>
      </c>
    </row>
    <row r="10" spans="1:3" s="355" customFormat="1" ht="15" customHeight="1">
      <c r="A10" s="355" t="s">
        <v>1382</v>
      </c>
      <c r="B10" s="357">
        <v>4.5999999999999996</v>
      </c>
      <c r="C10" s="357">
        <v>2</v>
      </c>
    </row>
    <row r="11" spans="1:3" s="355" customFormat="1" ht="15" customHeight="1">
      <c r="A11" s="355" t="s">
        <v>1383</v>
      </c>
      <c r="B11" s="357">
        <v>5.2</v>
      </c>
      <c r="C11" s="357">
        <v>3.3</v>
      </c>
    </row>
    <row r="12" spans="1:3" s="355" customFormat="1" ht="15" customHeight="1">
      <c r="A12" s="355" t="s">
        <v>1384</v>
      </c>
      <c r="B12" s="357">
        <v>20.100000000000001</v>
      </c>
      <c r="C12" s="357">
        <v>5.4</v>
      </c>
    </row>
    <row r="13" spans="1:3" s="355" customFormat="1" ht="15" customHeight="1">
      <c r="A13" s="355" t="s">
        <v>1385</v>
      </c>
      <c r="B13" s="357">
        <v>18.8</v>
      </c>
      <c r="C13" s="357">
        <v>7.9</v>
      </c>
    </row>
    <row r="14" spans="1:3" s="355" customFormat="1" ht="15" customHeight="1">
      <c r="A14" s="355" t="s">
        <v>1386</v>
      </c>
      <c r="B14" s="357">
        <v>4.4000000000000004</v>
      </c>
      <c r="C14" s="357">
        <v>0.6</v>
      </c>
    </row>
    <row r="15" spans="1:3" s="355" customFormat="1" ht="15" customHeight="1">
      <c r="A15" s="355" t="s">
        <v>1387</v>
      </c>
      <c r="B15" s="357">
        <v>12.1</v>
      </c>
      <c r="C15" s="357">
        <v>2</v>
      </c>
    </row>
    <row r="16" spans="1:3" s="355" customFormat="1" ht="15" customHeight="1">
      <c r="A16" s="355" t="s">
        <v>1388</v>
      </c>
      <c r="B16" s="357">
        <v>10</v>
      </c>
      <c r="C16" s="357">
        <v>1</v>
      </c>
    </row>
    <row r="17" spans="1:3" s="355" customFormat="1" ht="15" customHeight="1">
      <c r="A17" s="355" t="s">
        <v>1374</v>
      </c>
      <c r="B17" s="357">
        <v>7.8</v>
      </c>
      <c r="C17" s="357">
        <v>2.2999999999999998</v>
      </c>
    </row>
    <row r="18" spans="1:3" s="355" customFormat="1" ht="15" customHeight="1">
      <c r="A18" s="355" t="s">
        <v>1389</v>
      </c>
      <c r="B18" s="357">
        <v>22.5</v>
      </c>
      <c r="C18" s="357">
        <v>7.4</v>
      </c>
    </row>
    <row r="19" spans="1:3" s="355" customFormat="1" ht="15" customHeight="1">
      <c r="A19" s="355" t="s">
        <v>1390</v>
      </c>
      <c r="B19" s="357">
        <v>15.1</v>
      </c>
      <c r="C19" s="357">
        <v>4.8</v>
      </c>
    </row>
    <row r="20" spans="1:3" s="355" customFormat="1" ht="15" customHeight="1">
      <c r="A20" s="355" t="s">
        <v>1391</v>
      </c>
      <c r="B20" s="357">
        <v>25.5</v>
      </c>
      <c r="C20" s="357">
        <v>6.6</v>
      </c>
    </row>
    <row r="21" spans="1:3" s="355" customFormat="1" ht="15" customHeight="1">
      <c r="A21" s="355" t="s">
        <v>1392</v>
      </c>
      <c r="B21" s="357">
        <v>5.7</v>
      </c>
      <c r="C21" s="357">
        <v>3.3</v>
      </c>
    </row>
    <row r="22" spans="1:3" s="355" customFormat="1" ht="15" customHeight="1">
      <c r="A22" s="355" t="s">
        <v>1393</v>
      </c>
      <c r="B22" s="357">
        <v>14.8</v>
      </c>
      <c r="C22" s="357">
        <v>4.0999999999999996</v>
      </c>
    </row>
    <row r="23" spans="1:3" s="355" customFormat="1" ht="15" customHeight="1">
      <c r="A23" s="355" t="s">
        <v>1394</v>
      </c>
      <c r="B23" s="357">
        <v>23</v>
      </c>
      <c r="C23" s="357">
        <v>6.7</v>
      </c>
    </row>
    <row r="24" spans="1:3" s="355" customFormat="1" ht="15" customHeight="1">
      <c r="A24" s="355" t="s">
        <v>1395</v>
      </c>
      <c r="B24" s="357">
        <v>6.7</v>
      </c>
      <c r="C24" s="357">
        <v>2.2000000000000002</v>
      </c>
    </row>
    <row r="25" spans="1:3" s="355" customFormat="1" ht="15" customHeight="1">
      <c r="A25" s="355" t="s">
        <v>1396</v>
      </c>
      <c r="B25" s="357">
        <v>51.7</v>
      </c>
      <c r="C25" s="357">
        <v>9.9</v>
      </c>
    </row>
    <row r="26" spans="1:3" s="355" customFormat="1" ht="15" customHeight="1">
      <c r="A26" s="355" t="s">
        <v>1397</v>
      </c>
      <c r="B26" s="357">
        <v>9.6</v>
      </c>
      <c r="C26" s="357">
        <v>3.9</v>
      </c>
    </row>
    <row r="27" spans="1:3" s="355" customFormat="1" ht="15" customHeight="1">
      <c r="A27" s="355" t="s">
        <v>1398</v>
      </c>
      <c r="B27" s="357">
        <v>11.1</v>
      </c>
      <c r="C27" s="357">
        <v>1.7</v>
      </c>
    </row>
    <row r="28" spans="1:3" s="355" customFormat="1" ht="15" customHeight="1">
      <c r="A28" s="355" t="s">
        <v>1399</v>
      </c>
      <c r="B28" s="357">
        <v>97.6</v>
      </c>
      <c r="C28" s="357">
        <v>45.7</v>
      </c>
    </row>
    <row r="29" spans="1:3" s="355" customFormat="1" ht="15" customHeight="1">
      <c r="A29" s="355" t="s">
        <v>1400</v>
      </c>
      <c r="B29" s="357">
        <v>140.5</v>
      </c>
      <c r="C29" s="357">
        <v>38.6</v>
      </c>
    </row>
    <row r="30" spans="1:3" s="355" customFormat="1" ht="15" customHeight="1">
      <c r="A30" s="355" t="s">
        <v>1401</v>
      </c>
      <c r="B30" s="357">
        <v>276</v>
      </c>
      <c r="C30" s="357">
        <v>223</v>
      </c>
    </row>
    <row r="31" spans="1:3" s="355" customFormat="1" ht="15" customHeight="1">
      <c r="A31" s="355" t="s">
        <v>1402</v>
      </c>
      <c r="B31" s="357">
        <v>32.799999999999997</v>
      </c>
      <c r="C31" s="357">
        <v>51</v>
      </c>
    </row>
    <row r="32" spans="1:3" s="355" customFormat="1" ht="15" customHeight="1">
      <c r="A32" s="355" t="s">
        <v>1403</v>
      </c>
      <c r="B32" s="357">
        <v>34.799999999999997</v>
      </c>
      <c r="C32" s="357">
        <v>26.5</v>
      </c>
    </row>
    <row r="33" spans="1:3" s="355" customFormat="1" ht="15" customHeight="1">
      <c r="A33" s="355" t="s">
        <v>1404</v>
      </c>
      <c r="B33" s="357">
        <v>74.2</v>
      </c>
      <c r="C33" s="357">
        <v>37.700000000000003</v>
      </c>
    </row>
    <row r="34" spans="1:3" s="355" customFormat="1" ht="15" customHeight="1">
      <c r="A34" s="355" t="s">
        <v>1405</v>
      </c>
      <c r="B34" s="357">
        <v>167.6</v>
      </c>
      <c r="C34" s="357">
        <v>153.30000000000001</v>
      </c>
    </row>
    <row r="35" spans="1:3" s="355" customFormat="1" ht="15" customHeight="1">
      <c r="A35" s="355" t="s">
        <v>1406</v>
      </c>
      <c r="B35" s="357">
        <v>59.3</v>
      </c>
      <c r="C35" s="357">
        <v>44.7</v>
      </c>
    </row>
    <row r="36" spans="1:3" s="355" customFormat="1" ht="15" customHeight="1">
      <c r="A36" s="355" t="s">
        <v>1407</v>
      </c>
      <c r="B36" s="357">
        <v>68.400000000000006</v>
      </c>
      <c r="C36" s="357">
        <v>65.8</v>
      </c>
    </row>
    <row r="37" spans="1:3" s="355" customFormat="1" ht="15" customHeight="1">
      <c r="A37" s="355" t="s">
        <v>1408</v>
      </c>
      <c r="B37" s="357">
        <v>174.5</v>
      </c>
      <c r="C37" s="357">
        <v>440.6</v>
      </c>
    </row>
    <row r="38" spans="1:3" s="355" customFormat="1" ht="15" customHeight="1">
      <c r="A38" s="355" t="s">
        <v>1409</v>
      </c>
      <c r="B38" s="357">
        <v>4.7</v>
      </c>
      <c r="C38" s="357">
        <v>6.6</v>
      </c>
    </row>
    <row r="39" spans="1:3" s="355" customFormat="1" ht="15" customHeight="1">
      <c r="A39" s="355" t="s">
        <v>1410</v>
      </c>
      <c r="B39" s="357">
        <v>205.7</v>
      </c>
      <c r="C39" s="357">
        <v>173.5</v>
      </c>
    </row>
    <row r="40" spans="1:3" s="355" customFormat="1" ht="15" customHeight="1">
      <c r="A40" s="355" t="s">
        <v>1371</v>
      </c>
      <c r="B40" s="357">
        <v>590.79999999999995</v>
      </c>
      <c r="C40" s="357">
        <v>441.3</v>
      </c>
    </row>
    <row r="41" spans="1:3" s="355" customFormat="1" ht="15" customHeight="1">
      <c r="A41" s="355" t="s">
        <v>1411</v>
      </c>
      <c r="B41" s="357">
        <v>0.1</v>
      </c>
      <c r="C41" s="357">
        <v>0</v>
      </c>
    </row>
    <row r="42" spans="1:3" s="355" customFormat="1" ht="15" customHeight="1">
      <c r="A42" s="355" t="s">
        <v>1412</v>
      </c>
      <c r="B42" s="357">
        <v>17.8</v>
      </c>
      <c r="C42" s="357">
        <v>8.5</v>
      </c>
    </row>
    <row r="43" spans="1:3" s="355" customFormat="1" ht="15" customHeight="1">
      <c r="A43" s="355" t="s">
        <v>1413</v>
      </c>
      <c r="B43" s="357">
        <v>106</v>
      </c>
      <c r="C43" s="357">
        <v>29.3</v>
      </c>
    </row>
    <row r="44" spans="1:3" s="355" customFormat="1" ht="15" customHeight="1">
      <c r="A44" s="355" t="s">
        <v>1414</v>
      </c>
      <c r="B44" s="357">
        <v>9</v>
      </c>
      <c r="C44" s="357">
        <v>8.6</v>
      </c>
    </row>
    <row r="45" spans="1:3" s="355" customFormat="1" ht="15" customHeight="1">
      <c r="A45" s="355" t="s">
        <v>1415</v>
      </c>
      <c r="B45" s="357">
        <v>0.2</v>
      </c>
      <c r="C45" s="357">
        <v>0.7</v>
      </c>
    </row>
    <row r="46" spans="1:3" s="355" customFormat="1" ht="15" customHeight="1">
      <c r="A46" s="355" t="s">
        <v>1416</v>
      </c>
      <c r="B46" s="357" t="s">
        <v>1368</v>
      </c>
      <c r="C46" s="357">
        <v>0.2</v>
      </c>
    </row>
    <row r="47" spans="1:3" s="355" customFormat="1" ht="15" customHeight="1">
      <c r="A47" s="355" t="s">
        <v>1417</v>
      </c>
      <c r="B47" s="357">
        <v>0.6</v>
      </c>
      <c r="C47" s="357">
        <v>0.2</v>
      </c>
    </row>
    <row r="48" spans="1:3" s="355" customFormat="1" ht="15" customHeight="1">
      <c r="A48" s="355" t="s">
        <v>1418</v>
      </c>
      <c r="B48" s="357">
        <v>1.6</v>
      </c>
      <c r="C48" s="357">
        <v>0.1</v>
      </c>
    </row>
    <row r="49" spans="1:3" s="355" customFormat="1" ht="15" customHeight="1">
      <c r="A49" s="355" t="s">
        <v>1419</v>
      </c>
      <c r="B49" s="357">
        <v>0.9</v>
      </c>
      <c r="C49" s="357">
        <v>0.5</v>
      </c>
    </row>
    <row r="50" spans="1:3" s="355" customFormat="1" ht="15" customHeight="1">
      <c r="A50" s="355" t="s">
        <v>1420</v>
      </c>
      <c r="B50" s="357">
        <v>4.8</v>
      </c>
      <c r="C50" s="357">
        <v>1.2</v>
      </c>
    </row>
    <row r="51" spans="1:3" s="355" customFormat="1" ht="15" customHeight="1">
      <c r="A51" s="355" t="s">
        <v>1421</v>
      </c>
      <c r="B51" s="357">
        <v>6.1</v>
      </c>
      <c r="C51" s="357">
        <v>1.6</v>
      </c>
    </row>
    <row r="52" spans="1:3" s="355" customFormat="1" ht="15" customHeight="1">
      <c r="A52" s="355" t="s">
        <v>1422</v>
      </c>
      <c r="B52" s="357">
        <v>1.7</v>
      </c>
      <c r="C52" s="357">
        <v>0.2</v>
      </c>
    </row>
    <row r="53" spans="1:3" s="355" customFormat="1" ht="15" customHeight="1">
      <c r="A53" s="355" t="s">
        <v>1423</v>
      </c>
      <c r="B53" s="357">
        <v>2.9</v>
      </c>
      <c r="C53" s="357">
        <v>0.5</v>
      </c>
    </row>
    <row r="54" spans="1:3" s="355" customFormat="1" ht="15" customHeight="1">
      <c r="A54" s="355" t="s">
        <v>1424</v>
      </c>
      <c r="B54" s="357">
        <v>2</v>
      </c>
      <c r="C54" s="357">
        <v>0.2</v>
      </c>
    </row>
    <row r="55" spans="1:3" s="355" customFormat="1" ht="15" customHeight="1">
      <c r="A55" s="355" t="s">
        <v>1425</v>
      </c>
      <c r="B55" s="357">
        <v>4.4000000000000004</v>
      </c>
      <c r="C55" s="357">
        <v>0.7</v>
      </c>
    </row>
    <row r="56" spans="1:3" s="355" customFormat="1" ht="15" customHeight="1">
      <c r="A56" s="355" t="s">
        <v>1426</v>
      </c>
      <c r="B56" s="357">
        <v>2.1</v>
      </c>
      <c r="C56" s="357">
        <v>0.4</v>
      </c>
    </row>
    <row r="57" spans="1:3" s="355" customFormat="1" ht="15" customHeight="1">
      <c r="A57" s="355" t="s">
        <v>1427</v>
      </c>
      <c r="B57" s="357">
        <v>6</v>
      </c>
      <c r="C57" s="357">
        <v>1.6</v>
      </c>
    </row>
    <row r="58" spans="1:3" s="355" customFormat="1" ht="15" customHeight="1">
      <c r="A58" s="355" t="s">
        <v>1428</v>
      </c>
      <c r="B58" s="357">
        <v>6.3</v>
      </c>
      <c r="C58" s="357">
        <v>1</v>
      </c>
    </row>
    <row r="59" spans="1:3" s="355" customFormat="1" ht="15" customHeight="1">
      <c r="A59" s="355" t="s">
        <v>1429</v>
      </c>
      <c r="B59" s="357">
        <v>2.6</v>
      </c>
      <c r="C59" s="357">
        <v>0.9</v>
      </c>
    </row>
    <row r="60" spans="1:3" s="355" customFormat="1" ht="15" customHeight="1">
      <c r="A60" s="355" t="s">
        <v>1430</v>
      </c>
      <c r="B60" s="357">
        <v>8</v>
      </c>
      <c r="C60" s="357">
        <v>1.8</v>
      </c>
    </row>
    <row r="61" spans="1:3" s="355" customFormat="1" ht="15" customHeight="1">
      <c r="A61" s="355" t="s">
        <v>1431</v>
      </c>
      <c r="B61" s="357">
        <v>11.9</v>
      </c>
      <c r="C61" s="357">
        <v>2.5</v>
      </c>
    </row>
    <row r="62" spans="1:3" s="355" customFormat="1" ht="15" customHeight="1">
      <c r="A62" s="355" t="s">
        <v>1432</v>
      </c>
      <c r="B62" s="357">
        <v>3.2</v>
      </c>
      <c r="C62" s="357">
        <v>1</v>
      </c>
    </row>
    <row r="63" spans="1:3" s="355" customFormat="1" ht="15" customHeight="1">
      <c r="A63" s="355" t="s">
        <v>1433</v>
      </c>
      <c r="B63" s="357">
        <v>30.9</v>
      </c>
      <c r="C63" s="357">
        <v>5</v>
      </c>
    </row>
    <row r="64" spans="1:3" s="355" customFormat="1" ht="15" customHeight="1">
      <c r="A64" s="355" t="s">
        <v>1434</v>
      </c>
      <c r="B64" s="357">
        <v>1</v>
      </c>
      <c r="C64" s="357">
        <v>0.3</v>
      </c>
    </row>
    <row r="65" spans="1:3" s="355" customFormat="1" ht="15" customHeight="1">
      <c r="A65" s="355" t="s">
        <v>1435</v>
      </c>
      <c r="B65" s="357">
        <v>3.4</v>
      </c>
      <c r="C65" s="357">
        <v>0.6</v>
      </c>
    </row>
    <row r="66" spans="1:3" s="355" customFormat="1" ht="15" customHeight="1">
      <c r="A66" s="355" t="s">
        <v>1436</v>
      </c>
      <c r="B66" s="357">
        <v>44.8</v>
      </c>
      <c r="C66" s="357">
        <v>18.100000000000001</v>
      </c>
    </row>
    <row r="67" spans="1:3" s="355" customFormat="1" ht="15" customHeight="1">
      <c r="A67" s="355" t="s">
        <v>1437</v>
      </c>
      <c r="B67" s="357">
        <v>59.2</v>
      </c>
      <c r="C67" s="357">
        <v>17.100000000000001</v>
      </c>
    </row>
    <row r="68" spans="1:3" s="355" customFormat="1" ht="15" customHeight="1">
      <c r="A68" s="355" t="s">
        <v>1438</v>
      </c>
      <c r="B68" s="357">
        <v>74.7</v>
      </c>
      <c r="C68" s="357">
        <v>54</v>
      </c>
    </row>
    <row r="69" spans="1:3" s="355" customFormat="1" ht="15" customHeight="1">
      <c r="A69" s="355" t="s">
        <v>1439</v>
      </c>
      <c r="B69" s="357">
        <v>15.6</v>
      </c>
      <c r="C69" s="357">
        <v>39.5</v>
      </c>
    </row>
    <row r="70" spans="1:3" s="355" customFormat="1" ht="15" customHeight="1">
      <c r="A70" s="355" t="s">
        <v>1440</v>
      </c>
      <c r="B70" s="357">
        <v>9</v>
      </c>
      <c r="C70" s="357">
        <v>3.7</v>
      </c>
    </row>
    <row r="71" spans="1:3" s="355" customFormat="1" ht="15" customHeight="1">
      <c r="A71" s="355" t="s">
        <v>1441</v>
      </c>
      <c r="B71" s="357">
        <v>31.3</v>
      </c>
      <c r="C71" s="357">
        <v>12.4</v>
      </c>
    </row>
    <row r="72" spans="1:3" s="355" customFormat="1" ht="15" customHeight="1">
      <c r="A72" s="355" t="s">
        <v>1442</v>
      </c>
      <c r="B72" s="357">
        <v>52.7</v>
      </c>
      <c r="C72" s="357">
        <v>31.6</v>
      </c>
    </row>
    <row r="73" spans="1:3" s="355" customFormat="1" ht="15" customHeight="1">
      <c r="A73" s="355" t="s">
        <v>1443</v>
      </c>
      <c r="B73" s="357">
        <v>13</v>
      </c>
      <c r="C73" s="357">
        <v>10.6</v>
      </c>
    </row>
    <row r="74" spans="1:3" s="355" customFormat="1" ht="15" customHeight="1">
      <c r="A74" s="355" t="s">
        <v>1444</v>
      </c>
      <c r="B74" s="357">
        <v>15</v>
      </c>
      <c r="C74" s="357">
        <v>13.6</v>
      </c>
    </row>
    <row r="75" spans="1:3" s="355" customFormat="1" ht="15" customHeight="1">
      <c r="A75" s="355" t="s">
        <v>1445</v>
      </c>
      <c r="B75" s="357">
        <v>55.3</v>
      </c>
      <c r="C75" s="357">
        <v>136.69999999999999</v>
      </c>
    </row>
    <row r="76" spans="1:3" s="355" customFormat="1" ht="15" customHeight="1">
      <c r="A76" s="355" t="s">
        <v>1446</v>
      </c>
      <c r="B76" s="357">
        <v>2.2999999999999998</v>
      </c>
      <c r="C76" s="357">
        <v>1.8</v>
      </c>
    </row>
    <row r="77" spans="1:3" s="355" customFormat="1" ht="15" customHeight="1">
      <c r="A77" s="355" t="s">
        <v>1447</v>
      </c>
      <c r="B77" s="357">
        <v>90.5</v>
      </c>
      <c r="C77" s="357">
        <v>63.7</v>
      </c>
    </row>
    <row r="78" spans="1:3" s="355" customFormat="1" ht="15" customHeight="1">
      <c r="A78" s="355" t="s">
        <v>1534</v>
      </c>
      <c r="B78" s="357">
        <v>356.3</v>
      </c>
      <c r="C78" s="357">
        <v>333.6</v>
      </c>
    </row>
    <row r="79" spans="1:3" s="355" customFormat="1" ht="15" customHeight="1">
      <c r="A79" s="355" t="s">
        <v>1535</v>
      </c>
      <c r="B79" s="357">
        <v>0</v>
      </c>
      <c r="C79" s="357">
        <v>0</v>
      </c>
    </row>
    <row r="80" spans="1:3" s="355" customFormat="1" ht="15" customHeight="1">
      <c r="A80" s="355" t="s">
        <v>1536</v>
      </c>
      <c r="B80" s="357">
        <v>11.8</v>
      </c>
      <c r="C80" s="357">
        <v>1.7</v>
      </c>
    </row>
    <row r="81" spans="1:3" s="355" customFormat="1" ht="15" customHeight="1">
      <c r="A81" s="355" t="s">
        <v>1537</v>
      </c>
      <c r="B81" s="357">
        <v>49.5</v>
      </c>
      <c r="C81" s="357">
        <v>16.899999999999999</v>
      </c>
    </row>
    <row r="82" spans="1:3" s="355" customFormat="1" ht="15" customHeight="1">
      <c r="A82" s="355" t="s">
        <v>1538</v>
      </c>
      <c r="B82" s="357">
        <v>7</v>
      </c>
      <c r="C82" s="357">
        <v>5.2</v>
      </c>
    </row>
    <row r="83" spans="1:3" s="355" customFormat="1" ht="15" customHeight="1">
      <c r="A83" s="355" t="s">
        <v>1539</v>
      </c>
      <c r="B83" s="357">
        <v>0.3</v>
      </c>
      <c r="C83" s="357">
        <v>0</v>
      </c>
    </row>
    <row r="84" spans="1:3" s="355" customFormat="1" ht="15" customHeight="1">
      <c r="A84" s="355" t="s">
        <v>1540</v>
      </c>
      <c r="B84" s="357" t="s">
        <v>1368</v>
      </c>
      <c r="C84" s="357" t="s">
        <v>1368</v>
      </c>
    </row>
    <row r="85" spans="1:3" s="355" customFormat="1" ht="15" customHeight="1">
      <c r="A85" s="355" t="s">
        <v>1541</v>
      </c>
      <c r="B85" s="357">
        <v>0.7</v>
      </c>
      <c r="C85" s="357">
        <v>0.1</v>
      </c>
    </row>
    <row r="86" spans="1:3" s="355" customFormat="1" ht="15" customHeight="1">
      <c r="A86" s="355" t="s">
        <v>1542</v>
      </c>
      <c r="B86" s="357">
        <v>0.3</v>
      </c>
      <c r="C86" s="357" t="s">
        <v>1368</v>
      </c>
    </row>
    <row r="87" spans="1:3" s="355" customFormat="1" ht="15" customHeight="1">
      <c r="A87" s="355" t="s">
        <v>1543</v>
      </c>
      <c r="B87" s="357">
        <v>0.1</v>
      </c>
      <c r="C87" s="357">
        <v>0.1</v>
      </c>
    </row>
    <row r="88" spans="1:3" s="355" customFormat="1" ht="15" customHeight="1">
      <c r="A88" s="355" t="s">
        <v>1544</v>
      </c>
      <c r="B88" s="357">
        <v>5.4</v>
      </c>
      <c r="C88" s="357">
        <v>2</v>
      </c>
    </row>
    <row r="89" spans="1:3" s="355" customFormat="1" ht="15" customHeight="1">
      <c r="A89" s="355" t="s">
        <v>1545</v>
      </c>
      <c r="B89" s="357">
        <v>4.0999999999999996</v>
      </c>
      <c r="C89" s="357">
        <v>1.2</v>
      </c>
    </row>
    <row r="90" spans="1:3" s="355" customFormat="1" ht="15" customHeight="1">
      <c r="A90" s="355" t="s">
        <v>1546</v>
      </c>
      <c r="B90" s="357">
        <v>0.6</v>
      </c>
      <c r="C90" s="357">
        <v>0.3</v>
      </c>
    </row>
    <row r="91" spans="1:3" s="355" customFormat="1" ht="15" customHeight="1">
      <c r="A91" s="355" t="s">
        <v>1547</v>
      </c>
      <c r="B91" s="357">
        <v>1.9</v>
      </c>
      <c r="C91" s="357" t="s">
        <v>1368</v>
      </c>
    </row>
    <row r="92" spans="1:3" s="355" customFormat="1" ht="15" customHeight="1">
      <c r="A92" s="355" t="s">
        <v>1548</v>
      </c>
      <c r="B92" s="357">
        <v>1.3</v>
      </c>
      <c r="C92" s="357">
        <v>0</v>
      </c>
    </row>
    <row r="93" spans="1:3" s="355" customFormat="1" ht="15" customHeight="1">
      <c r="A93" s="355" t="s">
        <v>1549</v>
      </c>
      <c r="B93" s="357">
        <v>1.2</v>
      </c>
      <c r="C93" s="357">
        <v>0.2</v>
      </c>
    </row>
    <row r="94" spans="1:3" s="355" customFormat="1" ht="15" customHeight="1">
      <c r="A94" s="355" t="s">
        <v>1550</v>
      </c>
      <c r="B94" s="357">
        <v>2.2000000000000002</v>
      </c>
      <c r="C94" s="357">
        <v>0.2</v>
      </c>
    </row>
    <row r="95" spans="1:3" s="355" customFormat="1" ht="15" customHeight="1">
      <c r="A95" s="355" t="s">
        <v>1551</v>
      </c>
      <c r="B95" s="357">
        <v>1</v>
      </c>
      <c r="C95" s="357">
        <v>0.1</v>
      </c>
    </row>
    <row r="96" spans="1:3" s="355" customFormat="1" ht="15" customHeight="1">
      <c r="A96" s="355" t="s">
        <v>1552</v>
      </c>
      <c r="B96" s="357">
        <v>7.6</v>
      </c>
      <c r="C96" s="357">
        <v>1.9</v>
      </c>
    </row>
    <row r="97" spans="1:3" s="355" customFormat="1" ht="15" customHeight="1">
      <c r="A97" s="355" t="s">
        <v>1553</v>
      </c>
      <c r="B97" s="357">
        <v>1.9</v>
      </c>
      <c r="C97" s="357">
        <v>1.6</v>
      </c>
    </row>
    <row r="98" spans="1:3" s="355" customFormat="1" ht="15" customHeight="1">
      <c r="A98" s="355" t="s">
        <v>1554</v>
      </c>
      <c r="B98" s="357">
        <v>2.4</v>
      </c>
      <c r="C98" s="357">
        <v>0.8</v>
      </c>
    </row>
    <row r="99" spans="1:3" s="355" customFormat="1" ht="15" customHeight="1">
      <c r="A99" s="355" t="s">
        <v>1555</v>
      </c>
      <c r="B99" s="357">
        <v>2.9</v>
      </c>
      <c r="C99" s="357">
        <v>0.7</v>
      </c>
    </row>
    <row r="100" spans="1:3" s="355" customFormat="1" ht="15" customHeight="1">
      <c r="A100" s="355" t="s">
        <v>1556</v>
      </c>
      <c r="B100" s="357">
        <v>1.7</v>
      </c>
      <c r="C100" s="357">
        <v>0.5</v>
      </c>
    </row>
    <row r="101" spans="1:3" s="355" customFormat="1" ht="15" customHeight="1">
      <c r="A101" s="355" t="s">
        <v>1557</v>
      </c>
      <c r="B101" s="357">
        <v>6.4</v>
      </c>
      <c r="C101" s="357">
        <v>1.8</v>
      </c>
    </row>
    <row r="102" spans="1:3" s="355" customFormat="1" ht="15" customHeight="1">
      <c r="A102" s="355" t="s">
        <v>1558</v>
      </c>
      <c r="B102" s="357">
        <v>0.3</v>
      </c>
      <c r="C102" s="357">
        <v>0.2</v>
      </c>
    </row>
    <row r="103" spans="1:3" s="355" customFormat="1" ht="15" customHeight="1">
      <c r="A103" s="355" t="s">
        <v>1559</v>
      </c>
      <c r="B103" s="357">
        <v>1.2</v>
      </c>
      <c r="C103" s="357">
        <v>0.1</v>
      </c>
    </row>
    <row r="104" spans="1:3" s="355" customFormat="1" ht="15" customHeight="1">
      <c r="A104" s="355" t="s">
        <v>1560</v>
      </c>
      <c r="B104" s="357">
        <v>22.2</v>
      </c>
      <c r="C104" s="357">
        <v>10.5</v>
      </c>
    </row>
    <row r="105" spans="1:3" s="355" customFormat="1" ht="15" customHeight="1">
      <c r="A105" s="355" t="s">
        <v>1561</v>
      </c>
      <c r="B105" s="357">
        <v>36.4</v>
      </c>
      <c r="C105" s="357">
        <v>14.1</v>
      </c>
    </row>
    <row r="106" spans="1:3" s="355" customFormat="1" ht="15" customHeight="1">
      <c r="A106" s="355" t="s">
        <v>1562</v>
      </c>
      <c r="B106" s="357">
        <v>57</v>
      </c>
      <c r="C106" s="357">
        <v>40.9</v>
      </c>
    </row>
    <row r="107" spans="1:3" s="355" customFormat="1" ht="15" customHeight="1">
      <c r="A107" s="355" t="s">
        <v>1563</v>
      </c>
      <c r="B107" s="357">
        <v>12.2</v>
      </c>
      <c r="C107" s="357">
        <v>8.9</v>
      </c>
    </row>
    <row r="108" spans="1:3" s="355" customFormat="1" ht="15" customHeight="1">
      <c r="A108" s="355" t="s">
        <v>1564</v>
      </c>
      <c r="B108" s="357">
        <v>6.1</v>
      </c>
      <c r="C108" s="357">
        <v>4.5</v>
      </c>
    </row>
    <row r="109" spans="1:3" s="355" customFormat="1" ht="15" customHeight="1">
      <c r="A109" s="355" t="s">
        <v>1565</v>
      </c>
      <c r="B109" s="357">
        <v>8.8000000000000007</v>
      </c>
      <c r="C109" s="357">
        <v>0.9</v>
      </c>
    </row>
    <row r="110" spans="1:3" s="355" customFormat="1" ht="15" customHeight="1">
      <c r="A110" s="355" t="s">
        <v>1566</v>
      </c>
      <c r="B110" s="357">
        <v>31.3</v>
      </c>
      <c r="C110" s="357">
        <v>29.8</v>
      </c>
    </row>
    <row r="111" spans="1:3" s="355" customFormat="1" ht="15" customHeight="1">
      <c r="A111" s="355" t="s">
        <v>1567</v>
      </c>
      <c r="B111" s="357">
        <v>8.6</v>
      </c>
      <c r="C111" s="357">
        <v>11.8</v>
      </c>
    </row>
    <row r="112" spans="1:3" s="355" customFormat="1" ht="15" customHeight="1">
      <c r="A112" s="355" t="s">
        <v>1568</v>
      </c>
      <c r="B112" s="357">
        <v>24</v>
      </c>
      <c r="C112" s="357">
        <v>6.6</v>
      </c>
    </row>
    <row r="113" spans="1:3" s="355" customFormat="1" ht="15" customHeight="1">
      <c r="A113" s="355" t="s">
        <v>1569</v>
      </c>
      <c r="B113" s="357">
        <v>31.6</v>
      </c>
      <c r="C113" s="357">
        <v>108.2</v>
      </c>
    </row>
    <row r="114" spans="1:3" s="355" customFormat="1" ht="15" customHeight="1">
      <c r="A114" s="355" t="s">
        <v>1570</v>
      </c>
      <c r="B114" s="357">
        <v>1.3</v>
      </c>
      <c r="C114" s="357">
        <v>3.5</v>
      </c>
    </row>
    <row r="115" spans="1:3" s="355" customFormat="1" ht="15" customHeight="1">
      <c r="A115" s="355" t="s">
        <v>1571</v>
      </c>
      <c r="B115" s="357">
        <v>54.2</v>
      </c>
      <c r="C115" s="357">
        <v>75.099999999999994</v>
      </c>
    </row>
    <row r="116" spans="1:3" s="355" customFormat="1" ht="15" customHeight="1">
      <c r="A116" s="355" t="s">
        <v>1572</v>
      </c>
      <c r="B116" s="357">
        <v>192.9</v>
      </c>
      <c r="C116" s="357">
        <v>179.8</v>
      </c>
    </row>
    <row r="117" spans="1:3" s="355" customFormat="1" ht="15" customHeight="1">
      <c r="A117" s="355" t="s">
        <v>1573</v>
      </c>
      <c r="B117" s="357">
        <v>0</v>
      </c>
      <c r="C117" s="357" t="s">
        <v>1368</v>
      </c>
    </row>
    <row r="118" spans="1:3" s="355" customFormat="1" ht="15" customHeight="1">
      <c r="A118" s="355" t="s">
        <v>1574</v>
      </c>
      <c r="B118" s="357">
        <v>9.5</v>
      </c>
      <c r="C118" s="357">
        <v>0.1</v>
      </c>
    </row>
    <row r="119" spans="1:3" s="355" customFormat="1" ht="15" customHeight="1">
      <c r="A119" s="355" t="s">
        <v>1575</v>
      </c>
      <c r="B119" s="357">
        <v>40</v>
      </c>
      <c r="C119" s="357">
        <v>18.600000000000001</v>
      </c>
    </row>
    <row r="120" spans="1:3" s="355" customFormat="1" ht="15" customHeight="1">
      <c r="A120" s="355" t="s">
        <v>1576</v>
      </c>
      <c r="B120" s="357">
        <v>5.8</v>
      </c>
      <c r="C120" s="357">
        <v>4.4000000000000004</v>
      </c>
    </row>
    <row r="121" spans="1:3" s="355" customFormat="1" ht="15" customHeight="1">
      <c r="A121" s="355" t="s">
        <v>1577</v>
      </c>
      <c r="B121" s="357">
        <v>2</v>
      </c>
      <c r="C121" s="357">
        <v>4.0999999999999996</v>
      </c>
    </row>
    <row r="122" spans="1:3" s="355" customFormat="1" ht="15" customHeight="1">
      <c r="A122" s="355" t="s">
        <v>1578</v>
      </c>
      <c r="B122" s="357">
        <v>2.7</v>
      </c>
      <c r="C122" s="357" t="s">
        <v>1368</v>
      </c>
    </row>
    <row r="123" spans="1:3" s="355" customFormat="1" ht="15" customHeight="1">
      <c r="A123" s="355" t="s">
        <v>1579</v>
      </c>
      <c r="B123" s="357">
        <v>0.4</v>
      </c>
      <c r="C123" s="357">
        <v>0</v>
      </c>
    </row>
    <row r="124" spans="1:3" s="355" customFormat="1" ht="15" customHeight="1">
      <c r="A124" s="355" t="s">
        <v>1580</v>
      </c>
      <c r="B124" s="357">
        <v>0.5</v>
      </c>
      <c r="C124" s="357" t="s">
        <v>1368</v>
      </c>
    </row>
    <row r="125" spans="1:3" s="355" customFormat="1" ht="15" customHeight="1">
      <c r="A125" s="355" t="s">
        <v>1581</v>
      </c>
      <c r="B125" s="357">
        <v>2.5</v>
      </c>
      <c r="C125" s="357">
        <v>2.1</v>
      </c>
    </row>
    <row r="126" spans="1:3" s="355" customFormat="1" ht="15" customHeight="1">
      <c r="A126" s="355" t="s">
        <v>1582</v>
      </c>
      <c r="B126" s="357">
        <v>3.7</v>
      </c>
      <c r="C126" s="357">
        <v>1.5</v>
      </c>
    </row>
    <row r="127" spans="1:3" s="355" customFormat="1" ht="15" customHeight="1">
      <c r="A127" s="355" t="s">
        <v>1583</v>
      </c>
      <c r="B127" s="357">
        <v>1.8</v>
      </c>
      <c r="C127" s="357">
        <v>1.6</v>
      </c>
    </row>
    <row r="128" spans="1:3" s="355" customFormat="1" ht="15" customHeight="1">
      <c r="A128" s="355" t="s">
        <v>1584</v>
      </c>
      <c r="B128" s="357">
        <v>0</v>
      </c>
      <c r="C128" s="357">
        <v>0</v>
      </c>
    </row>
    <row r="129" spans="1:3" s="355" customFormat="1" ht="15" customHeight="1">
      <c r="A129" s="355" t="s">
        <v>1585</v>
      </c>
      <c r="B129" s="357">
        <v>0.3</v>
      </c>
      <c r="C129" s="357" t="s">
        <v>1368</v>
      </c>
    </row>
    <row r="130" spans="1:3" s="355" customFormat="1" ht="15" customHeight="1">
      <c r="A130" s="355" t="s">
        <v>1586</v>
      </c>
      <c r="B130" s="357">
        <v>4.3</v>
      </c>
      <c r="C130" s="357">
        <v>0.2</v>
      </c>
    </row>
    <row r="131" spans="1:3" s="355" customFormat="1" ht="15" customHeight="1">
      <c r="A131" s="355" t="s">
        <v>1587</v>
      </c>
      <c r="B131" s="357">
        <v>0.4</v>
      </c>
      <c r="C131" s="357">
        <v>0.2</v>
      </c>
    </row>
    <row r="132" spans="1:3" s="355" customFormat="1" ht="15" customHeight="1">
      <c r="A132" s="355" t="s">
        <v>1588</v>
      </c>
      <c r="B132" s="357">
        <v>3.3</v>
      </c>
      <c r="C132" s="357">
        <v>0.4</v>
      </c>
    </row>
    <row r="133" spans="1:3" s="355" customFormat="1" ht="15" customHeight="1">
      <c r="A133" s="355" t="s">
        <v>1589</v>
      </c>
      <c r="B133" s="357">
        <v>1</v>
      </c>
      <c r="C133" s="357">
        <v>0.2</v>
      </c>
    </row>
    <row r="134" spans="1:3" s="355" customFormat="1" ht="15" customHeight="1">
      <c r="A134" s="355" t="s">
        <v>1590</v>
      </c>
      <c r="B134" s="357">
        <v>0.8</v>
      </c>
      <c r="C134" s="357">
        <v>0.3</v>
      </c>
    </row>
    <row r="135" spans="1:3" s="355" customFormat="1" ht="15" customHeight="1">
      <c r="A135" s="355" t="s">
        <v>1591</v>
      </c>
      <c r="B135" s="357">
        <v>0</v>
      </c>
      <c r="C135" s="357">
        <v>0</v>
      </c>
    </row>
    <row r="136" spans="1:3" s="355" customFormat="1" ht="15" customHeight="1">
      <c r="A136" s="355" t="s">
        <v>1592</v>
      </c>
      <c r="B136" s="357">
        <v>2.2999999999999998</v>
      </c>
      <c r="C136" s="357">
        <v>1.3</v>
      </c>
    </row>
    <row r="137" spans="1:3" s="355" customFormat="1" ht="15" customHeight="1">
      <c r="A137" s="355" t="s">
        <v>1593</v>
      </c>
      <c r="B137" s="357">
        <v>2</v>
      </c>
      <c r="C137" s="357">
        <v>1.2</v>
      </c>
    </row>
    <row r="138" spans="1:3" s="355" customFormat="1" ht="15" customHeight="1">
      <c r="A138" s="355" t="s">
        <v>1594</v>
      </c>
      <c r="B138" s="357">
        <v>0.6</v>
      </c>
      <c r="C138" s="357">
        <v>0.2</v>
      </c>
    </row>
    <row r="139" spans="1:3" s="355" customFormat="1" ht="15" customHeight="1">
      <c r="A139" s="355" t="s">
        <v>1595</v>
      </c>
      <c r="B139" s="357">
        <v>3.6</v>
      </c>
      <c r="C139" s="357">
        <v>0.1</v>
      </c>
    </row>
    <row r="140" spans="1:3" s="355" customFormat="1" ht="15" customHeight="1">
      <c r="A140" s="355" t="s">
        <v>1596</v>
      </c>
      <c r="B140" s="357">
        <v>1.8</v>
      </c>
      <c r="C140" s="357">
        <v>0.8</v>
      </c>
    </row>
    <row r="141" spans="1:3" s="355" customFormat="1" ht="15" customHeight="1">
      <c r="A141" s="355" t="s">
        <v>1597</v>
      </c>
      <c r="B141" s="357">
        <v>1.1000000000000001</v>
      </c>
      <c r="C141" s="357">
        <v>0.1</v>
      </c>
    </row>
    <row r="142" spans="1:3" s="355" customFormat="1" ht="15" customHeight="1">
      <c r="A142" s="355" t="s">
        <v>1598</v>
      </c>
      <c r="B142" s="357">
        <v>2.5</v>
      </c>
      <c r="C142" s="357">
        <v>1.7</v>
      </c>
    </row>
    <row r="143" spans="1:3" s="355" customFormat="1" ht="15" customHeight="1">
      <c r="A143" s="355" t="s">
        <v>1599</v>
      </c>
      <c r="B143" s="357">
        <v>5.4</v>
      </c>
      <c r="C143" s="357">
        <v>1.4</v>
      </c>
    </row>
    <row r="144" spans="1:3" s="355" customFormat="1" ht="15" customHeight="1">
      <c r="A144" s="355" t="s">
        <v>1600</v>
      </c>
      <c r="B144" s="357">
        <v>51.2</v>
      </c>
      <c r="C144" s="357">
        <v>49</v>
      </c>
    </row>
    <row r="145" spans="1:3" s="355" customFormat="1" ht="15" customHeight="1">
      <c r="A145" s="355" t="s">
        <v>1601</v>
      </c>
      <c r="B145" s="357">
        <v>1.2</v>
      </c>
      <c r="C145" s="357">
        <v>1.5</v>
      </c>
    </row>
    <row r="146" spans="1:3" s="355" customFormat="1" ht="15" customHeight="1">
      <c r="A146" s="355" t="s">
        <v>1602</v>
      </c>
      <c r="B146" s="357">
        <v>9.8000000000000007</v>
      </c>
      <c r="C146" s="357">
        <v>7.9</v>
      </c>
    </row>
    <row r="147" spans="1:3" s="355" customFormat="1" ht="15" customHeight="1">
      <c r="A147" s="355" t="s">
        <v>1603</v>
      </c>
      <c r="B147" s="357">
        <v>10.199999999999999</v>
      </c>
      <c r="C147" s="357">
        <v>8</v>
      </c>
    </row>
    <row r="148" spans="1:3" s="355" customFormat="1" ht="15" customHeight="1">
      <c r="A148" s="355" t="s">
        <v>1604</v>
      </c>
      <c r="B148" s="357">
        <v>15.8</v>
      </c>
      <c r="C148" s="357">
        <v>29.1</v>
      </c>
    </row>
    <row r="149" spans="1:3" s="355" customFormat="1" ht="15" customHeight="1">
      <c r="A149" s="355" t="s">
        <v>1605</v>
      </c>
      <c r="B149" s="357">
        <v>15.7</v>
      </c>
      <c r="C149" s="357">
        <v>7.7</v>
      </c>
    </row>
    <row r="150" spans="1:3" s="355" customFormat="1" ht="15" customHeight="1">
      <c r="A150" s="355" t="s">
        <v>1606</v>
      </c>
      <c r="B150" s="357">
        <v>3</v>
      </c>
      <c r="C150" s="357">
        <v>4.2</v>
      </c>
    </row>
    <row r="151" spans="1:3" s="355" customFormat="1" ht="15" customHeight="1">
      <c r="A151" s="355" t="s">
        <v>1607</v>
      </c>
      <c r="B151" s="357">
        <v>14.3</v>
      </c>
      <c r="C151" s="357">
        <v>36.5</v>
      </c>
    </row>
    <row r="152" spans="1:3" s="355" customFormat="1" ht="15" customHeight="1">
      <c r="A152" s="355" t="s">
        <v>1608</v>
      </c>
      <c r="B152" s="357">
        <v>0.6</v>
      </c>
      <c r="C152" s="357">
        <v>0.2</v>
      </c>
    </row>
    <row r="153" spans="1:3" s="355" customFormat="1" ht="15" customHeight="1">
      <c r="A153" s="355" t="s">
        <v>1609</v>
      </c>
      <c r="B153" s="357">
        <v>12.6</v>
      </c>
      <c r="C153" s="357">
        <v>13.9</v>
      </c>
    </row>
    <row r="154" spans="1:3" s="355" customFormat="1" ht="15" customHeight="1">
      <c r="A154" s="355" t="s">
        <v>1372</v>
      </c>
      <c r="B154" s="357">
        <v>2130.6999999999998</v>
      </c>
      <c r="C154" s="357">
        <v>3084.1</v>
      </c>
    </row>
    <row r="155" spans="1:3" s="355" customFormat="1" ht="15" customHeight="1">
      <c r="A155" s="355" t="s">
        <v>1448</v>
      </c>
      <c r="B155" s="357">
        <v>0.3</v>
      </c>
      <c r="C155" s="357">
        <v>0</v>
      </c>
    </row>
    <row r="156" spans="1:3" s="355" customFormat="1" ht="15" customHeight="1">
      <c r="A156" s="355" t="s">
        <v>1449</v>
      </c>
      <c r="B156" s="357">
        <v>56</v>
      </c>
      <c r="C156" s="357">
        <v>11.2</v>
      </c>
    </row>
    <row r="157" spans="1:3" s="355" customFormat="1" ht="15" customHeight="1">
      <c r="A157" s="355" t="s">
        <v>1450</v>
      </c>
      <c r="B157" s="357">
        <v>158</v>
      </c>
      <c r="C157" s="357">
        <v>184.5</v>
      </c>
    </row>
    <row r="158" spans="1:3" s="355" customFormat="1" ht="15" customHeight="1">
      <c r="A158" s="355" t="s">
        <v>1451</v>
      </c>
      <c r="B158" s="357">
        <v>44.5</v>
      </c>
      <c r="C158" s="357">
        <v>100.1</v>
      </c>
    </row>
    <row r="159" spans="1:3" s="355" customFormat="1" ht="15" customHeight="1">
      <c r="A159" s="355" t="s">
        <v>1452</v>
      </c>
      <c r="B159" s="357">
        <v>2.2000000000000002</v>
      </c>
      <c r="C159" s="357">
        <v>15.3</v>
      </c>
    </row>
    <row r="160" spans="1:3" s="355" customFormat="1" ht="15" customHeight="1">
      <c r="A160" s="355" t="s">
        <v>1453</v>
      </c>
      <c r="B160" s="357">
        <v>1.2</v>
      </c>
      <c r="C160" s="357" t="s">
        <v>1368</v>
      </c>
    </row>
    <row r="161" spans="1:3" s="355" customFormat="1" ht="15" customHeight="1">
      <c r="A161" s="355" t="s">
        <v>1454</v>
      </c>
      <c r="B161" s="357">
        <v>2.9</v>
      </c>
      <c r="C161" s="357">
        <v>0.6</v>
      </c>
    </row>
    <row r="162" spans="1:3" s="355" customFormat="1" ht="15" customHeight="1">
      <c r="A162" s="355" t="s">
        <v>1455</v>
      </c>
      <c r="B162" s="357">
        <v>2.2000000000000002</v>
      </c>
      <c r="C162" s="357">
        <v>2.6</v>
      </c>
    </row>
    <row r="163" spans="1:3" s="355" customFormat="1" ht="15" customHeight="1">
      <c r="A163" s="355" t="s">
        <v>1456</v>
      </c>
      <c r="B163" s="357">
        <v>7</v>
      </c>
      <c r="C163" s="357">
        <v>3.4</v>
      </c>
    </row>
    <row r="164" spans="1:3" s="355" customFormat="1" ht="15" customHeight="1">
      <c r="A164" s="355" t="s">
        <v>1457</v>
      </c>
      <c r="B164" s="357">
        <v>3.6</v>
      </c>
      <c r="C164" s="357">
        <v>2.5</v>
      </c>
    </row>
    <row r="165" spans="1:3" s="355" customFormat="1" ht="15" customHeight="1">
      <c r="A165" s="355" t="s">
        <v>1458</v>
      </c>
      <c r="B165" s="357">
        <v>3.7</v>
      </c>
      <c r="C165" s="357">
        <v>9.4</v>
      </c>
    </row>
    <row r="166" spans="1:3" s="355" customFormat="1" ht="15" customHeight="1">
      <c r="A166" s="355" t="s">
        <v>1459</v>
      </c>
      <c r="B166" s="357">
        <v>1.5</v>
      </c>
      <c r="C166" s="357">
        <v>2.4</v>
      </c>
    </row>
    <row r="167" spans="1:3" s="355" customFormat="1" ht="15" customHeight="1">
      <c r="A167" s="355" t="s">
        <v>1460</v>
      </c>
      <c r="B167" s="357">
        <v>1.8</v>
      </c>
      <c r="C167" s="357">
        <v>0.7</v>
      </c>
    </row>
    <row r="168" spans="1:3" s="355" customFormat="1" ht="15" customHeight="1">
      <c r="A168" s="355" t="s">
        <v>1461</v>
      </c>
      <c r="B168" s="357">
        <v>2.1</v>
      </c>
      <c r="C168" s="357">
        <v>0.2</v>
      </c>
    </row>
    <row r="169" spans="1:3" s="355" customFormat="1" ht="15" customHeight="1">
      <c r="A169" s="355" t="s">
        <v>1462</v>
      </c>
      <c r="B169" s="357">
        <v>1.8</v>
      </c>
      <c r="C169" s="357">
        <v>1.6</v>
      </c>
    </row>
    <row r="170" spans="1:3" s="355" customFormat="1" ht="15" customHeight="1">
      <c r="A170" s="355" t="s">
        <v>1463</v>
      </c>
      <c r="B170" s="357">
        <v>10.8</v>
      </c>
      <c r="C170" s="357">
        <v>10.7</v>
      </c>
    </row>
    <row r="171" spans="1:3" s="355" customFormat="1" ht="15" customHeight="1">
      <c r="A171" s="355" t="s">
        <v>1464</v>
      </c>
      <c r="B171" s="357">
        <v>4.8</v>
      </c>
      <c r="C171" s="357">
        <v>0.6</v>
      </c>
    </row>
    <row r="172" spans="1:3" s="355" customFormat="1" ht="15" customHeight="1">
      <c r="A172" s="355" t="s">
        <v>1465</v>
      </c>
      <c r="B172" s="357">
        <v>9.9</v>
      </c>
      <c r="C172" s="357">
        <v>2.8</v>
      </c>
    </row>
    <row r="173" spans="1:3" s="355" customFormat="1" ht="15" customHeight="1">
      <c r="A173" s="355" t="s">
        <v>1466</v>
      </c>
      <c r="B173" s="357">
        <v>2.4</v>
      </c>
      <c r="C173" s="357">
        <v>2.6</v>
      </c>
    </row>
    <row r="174" spans="1:3" s="355" customFormat="1" ht="15" customHeight="1">
      <c r="A174" s="355" t="s">
        <v>1467</v>
      </c>
      <c r="B174" s="357">
        <v>7</v>
      </c>
      <c r="C174" s="357">
        <v>4.8</v>
      </c>
    </row>
    <row r="175" spans="1:3" s="355" customFormat="1" ht="15" customHeight="1">
      <c r="A175" s="355" t="s">
        <v>1468</v>
      </c>
      <c r="B175" s="357">
        <v>9.1</v>
      </c>
      <c r="C175" s="357">
        <v>7.7</v>
      </c>
    </row>
    <row r="176" spans="1:3" s="355" customFormat="1" ht="15" customHeight="1">
      <c r="A176" s="355" t="s">
        <v>1469</v>
      </c>
      <c r="B176" s="357">
        <v>2.8</v>
      </c>
      <c r="C176" s="357">
        <v>2</v>
      </c>
    </row>
    <row r="177" spans="1:3" s="355" customFormat="1" ht="15" customHeight="1">
      <c r="A177" s="355" t="s">
        <v>1470</v>
      </c>
      <c r="B177" s="357">
        <v>32.299999999999997</v>
      </c>
      <c r="C177" s="357">
        <v>6.9</v>
      </c>
    </row>
    <row r="178" spans="1:3" s="355" customFormat="1" ht="15" customHeight="1">
      <c r="A178" s="355" t="s">
        <v>1471</v>
      </c>
      <c r="B178" s="357">
        <v>4.2</v>
      </c>
      <c r="C178" s="357">
        <v>7.3</v>
      </c>
    </row>
    <row r="179" spans="1:3" s="355" customFormat="1" ht="15" customHeight="1">
      <c r="A179" s="355" t="s">
        <v>1472</v>
      </c>
      <c r="B179" s="357">
        <v>5.3</v>
      </c>
      <c r="C179" s="357">
        <v>2.4</v>
      </c>
    </row>
    <row r="180" spans="1:3" s="355" customFormat="1" ht="15" customHeight="1">
      <c r="A180" s="355" t="s">
        <v>1473</v>
      </c>
      <c r="B180" s="357">
        <v>30.4</v>
      </c>
      <c r="C180" s="357">
        <v>19.100000000000001</v>
      </c>
    </row>
    <row r="181" spans="1:3" s="355" customFormat="1" ht="15" customHeight="1">
      <c r="A181" s="355" t="s">
        <v>1474</v>
      </c>
      <c r="B181" s="357">
        <v>72.7</v>
      </c>
      <c r="C181" s="357">
        <v>49</v>
      </c>
    </row>
    <row r="182" spans="1:3" s="355" customFormat="1" ht="15" customHeight="1">
      <c r="A182" s="355" t="s">
        <v>1475</v>
      </c>
      <c r="B182" s="357">
        <v>393.7</v>
      </c>
      <c r="C182" s="357">
        <v>532.79999999999995</v>
      </c>
    </row>
    <row r="183" spans="1:3" s="355" customFormat="1" ht="15" customHeight="1">
      <c r="A183" s="355" t="s">
        <v>1476</v>
      </c>
      <c r="B183" s="357">
        <v>16.399999999999999</v>
      </c>
      <c r="C183" s="357">
        <v>13.3</v>
      </c>
    </row>
    <row r="184" spans="1:3" s="355" customFormat="1" ht="15" customHeight="1">
      <c r="A184" s="355" t="s">
        <v>1477</v>
      </c>
      <c r="B184" s="357">
        <v>28.6</v>
      </c>
      <c r="C184" s="357">
        <v>40.200000000000003</v>
      </c>
    </row>
    <row r="185" spans="1:3" s="355" customFormat="1" ht="15" customHeight="1">
      <c r="A185" s="355" t="s">
        <v>1478</v>
      </c>
      <c r="B185" s="357">
        <v>34.700000000000003</v>
      </c>
      <c r="C185" s="357">
        <v>30</v>
      </c>
    </row>
    <row r="186" spans="1:3" s="355" customFormat="1" ht="15" customHeight="1">
      <c r="A186" s="355" t="s">
        <v>1479</v>
      </c>
      <c r="B186" s="357">
        <v>521.6</v>
      </c>
      <c r="C186" s="357">
        <v>896.6</v>
      </c>
    </row>
    <row r="187" spans="1:3" s="355" customFormat="1" ht="15" customHeight="1">
      <c r="A187" s="355" t="s">
        <v>1480</v>
      </c>
      <c r="B187" s="357">
        <v>193.8</v>
      </c>
      <c r="C187" s="357">
        <v>225.4</v>
      </c>
    </row>
    <row r="188" spans="1:3" s="355" customFormat="1" ht="15" customHeight="1">
      <c r="A188" s="355" t="s">
        <v>1481</v>
      </c>
      <c r="B188" s="357">
        <v>177.4</v>
      </c>
      <c r="C188" s="357">
        <v>240.3</v>
      </c>
    </row>
    <row r="189" spans="1:3" s="355" customFormat="1" ht="15" customHeight="1">
      <c r="A189" s="355" t="s">
        <v>1482</v>
      </c>
      <c r="B189" s="357">
        <v>178.9</v>
      </c>
      <c r="C189" s="357">
        <v>472.5</v>
      </c>
    </row>
    <row r="190" spans="1:3" s="355" customFormat="1" ht="15" customHeight="1">
      <c r="A190" s="355" t="s">
        <v>1483</v>
      </c>
      <c r="B190" s="357">
        <v>7.4</v>
      </c>
      <c r="C190" s="357">
        <v>5.9</v>
      </c>
    </row>
    <row r="191" spans="1:3" s="355" customFormat="1" ht="15" customHeight="1">
      <c r="A191" s="355" t="s">
        <v>1484</v>
      </c>
      <c r="B191" s="357">
        <v>255.6</v>
      </c>
      <c r="C191" s="357">
        <v>361</v>
      </c>
    </row>
    <row r="192" spans="1:3" s="355" customFormat="1" ht="15" customHeight="1">
      <c r="A192" s="355" t="s">
        <v>1373</v>
      </c>
      <c r="B192" s="357">
        <v>657.8</v>
      </c>
      <c r="C192" s="357">
        <v>913</v>
      </c>
    </row>
    <row r="193" spans="1:3" s="355" customFormat="1" ht="15" customHeight="1">
      <c r="A193" s="355" t="s">
        <v>1485</v>
      </c>
      <c r="B193" s="357">
        <v>0.1</v>
      </c>
      <c r="C193" s="357">
        <v>0</v>
      </c>
    </row>
    <row r="194" spans="1:3" s="355" customFormat="1" ht="15" customHeight="1">
      <c r="A194" s="355" t="s">
        <v>1486</v>
      </c>
      <c r="B194" s="357">
        <v>3.1</v>
      </c>
      <c r="C194" s="357">
        <v>2.2999999999999998</v>
      </c>
    </row>
    <row r="195" spans="1:3" s="355" customFormat="1" ht="15" customHeight="1">
      <c r="A195" s="355" t="s">
        <v>1487</v>
      </c>
      <c r="B195" s="357">
        <v>51.2</v>
      </c>
      <c r="C195" s="357">
        <v>36.799999999999997</v>
      </c>
    </row>
    <row r="196" spans="1:3" s="355" customFormat="1" ht="15" customHeight="1">
      <c r="A196" s="355" t="s">
        <v>1488</v>
      </c>
      <c r="B196" s="357">
        <v>12.7</v>
      </c>
      <c r="C196" s="357">
        <v>28.1</v>
      </c>
    </row>
    <row r="197" spans="1:3" s="355" customFormat="1" ht="15" customHeight="1">
      <c r="A197" s="355" t="s">
        <v>1489</v>
      </c>
      <c r="B197" s="357">
        <v>0</v>
      </c>
      <c r="C197" s="357">
        <v>0.5</v>
      </c>
    </row>
    <row r="198" spans="1:3" s="355" customFormat="1" ht="15" customHeight="1">
      <c r="A198" s="355" t="s">
        <v>1490</v>
      </c>
      <c r="B198" s="357">
        <v>0.7</v>
      </c>
      <c r="C198" s="357" t="s">
        <v>1368</v>
      </c>
    </row>
    <row r="199" spans="1:3" s="355" customFormat="1" ht="15" customHeight="1">
      <c r="A199" s="355" t="s">
        <v>1491</v>
      </c>
      <c r="B199" s="357">
        <v>0.2</v>
      </c>
      <c r="C199" s="357" t="s">
        <v>1368</v>
      </c>
    </row>
    <row r="200" spans="1:3" s="355" customFormat="1" ht="15" customHeight="1">
      <c r="A200" s="355" t="s">
        <v>1492</v>
      </c>
      <c r="B200" s="357">
        <v>0</v>
      </c>
      <c r="C200" s="357" t="s">
        <v>1368</v>
      </c>
    </row>
    <row r="201" spans="1:3" s="355" customFormat="1" ht="15" customHeight="1">
      <c r="A201" s="355" t="s">
        <v>1493</v>
      </c>
      <c r="B201" s="357">
        <v>0.3</v>
      </c>
      <c r="C201" s="357">
        <v>0.3</v>
      </c>
    </row>
    <row r="202" spans="1:3" s="355" customFormat="1" ht="15" customHeight="1">
      <c r="A202" s="355" t="s">
        <v>1494</v>
      </c>
      <c r="B202" s="357">
        <v>1.5</v>
      </c>
      <c r="C202" s="357">
        <v>0.3</v>
      </c>
    </row>
    <row r="203" spans="1:3" s="355" customFormat="1" ht="15" customHeight="1">
      <c r="A203" s="355" t="s">
        <v>1495</v>
      </c>
      <c r="B203" s="357">
        <v>0.1</v>
      </c>
      <c r="C203" s="357">
        <v>0.1</v>
      </c>
    </row>
    <row r="204" spans="1:3" s="355" customFormat="1" ht="15" customHeight="1">
      <c r="A204" s="355" t="s">
        <v>1496</v>
      </c>
      <c r="B204" s="357">
        <v>0.9</v>
      </c>
      <c r="C204" s="357">
        <v>0.1</v>
      </c>
    </row>
    <row r="205" spans="1:3" s="355" customFormat="1" ht="15" customHeight="1">
      <c r="A205" s="355" t="s">
        <v>1497</v>
      </c>
      <c r="B205" s="357">
        <v>0.2</v>
      </c>
      <c r="C205" s="357">
        <v>0</v>
      </c>
    </row>
    <row r="206" spans="1:3" s="355" customFormat="1" ht="15" customHeight="1">
      <c r="A206" s="355" t="s">
        <v>1498</v>
      </c>
      <c r="B206" s="357">
        <v>0.4</v>
      </c>
      <c r="C206" s="357">
        <v>0.1</v>
      </c>
    </row>
    <row r="207" spans="1:3" s="355" customFormat="1" ht="15" customHeight="1">
      <c r="A207" s="355" t="s">
        <v>1499</v>
      </c>
      <c r="B207" s="357">
        <v>0.5</v>
      </c>
      <c r="C207" s="357">
        <v>0.2</v>
      </c>
    </row>
    <row r="208" spans="1:3" s="355" customFormat="1" ht="15" customHeight="1">
      <c r="A208" s="355" t="s">
        <v>1500</v>
      </c>
      <c r="B208" s="357">
        <v>0.5</v>
      </c>
      <c r="C208" s="357">
        <v>0.3</v>
      </c>
    </row>
    <row r="209" spans="1:3" s="355" customFormat="1" ht="15" customHeight="1">
      <c r="A209" s="355" t="s">
        <v>1501</v>
      </c>
      <c r="B209" s="357">
        <v>2.4</v>
      </c>
      <c r="C209" s="357">
        <v>0.3</v>
      </c>
    </row>
    <row r="210" spans="1:3" s="355" customFormat="1" ht="15" customHeight="1">
      <c r="A210" s="355" t="s">
        <v>1502</v>
      </c>
      <c r="B210" s="357">
        <v>2.9</v>
      </c>
      <c r="C210" s="357">
        <v>0.4</v>
      </c>
    </row>
    <row r="211" spans="1:3" s="355" customFormat="1" ht="15" customHeight="1">
      <c r="A211" s="355" t="s">
        <v>1503</v>
      </c>
      <c r="B211" s="357">
        <v>0.8</v>
      </c>
      <c r="C211" s="357">
        <v>0.3</v>
      </c>
    </row>
    <row r="212" spans="1:3" s="355" customFormat="1" ht="15" customHeight="1">
      <c r="A212" s="355" t="s">
        <v>1504</v>
      </c>
      <c r="B212" s="357">
        <v>4.0999999999999996</v>
      </c>
      <c r="C212" s="357">
        <v>1.1000000000000001</v>
      </c>
    </row>
    <row r="213" spans="1:3" s="355" customFormat="1" ht="15" customHeight="1">
      <c r="A213" s="355" t="s">
        <v>1505</v>
      </c>
      <c r="B213" s="357">
        <v>3.7</v>
      </c>
      <c r="C213" s="357">
        <v>1.1000000000000001</v>
      </c>
    </row>
    <row r="214" spans="1:3" s="355" customFormat="1" ht="15" customHeight="1">
      <c r="A214" s="355" t="s">
        <v>1506</v>
      </c>
      <c r="B214" s="357">
        <v>1.5</v>
      </c>
      <c r="C214" s="357">
        <v>0.3</v>
      </c>
    </row>
    <row r="215" spans="1:3" s="355" customFormat="1" ht="15" customHeight="1">
      <c r="A215" s="355" t="s">
        <v>1507</v>
      </c>
      <c r="B215" s="357">
        <v>17.100000000000001</v>
      </c>
      <c r="C215" s="357">
        <v>3.1</v>
      </c>
    </row>
    <row r="216" spans="1:3" s="355" customFormat="1" ht="15" customHeight="1">
      <c r="A216" s="355" t="s">
        <v>1508</v>
      </c>
      <c r="B216" s="357">
        <v>0.7</v>
      </c>
      <c r="C216" s="357">
        <v>0.1</v>
      </c>
    </row>
    <row r="217" spans="1:3" s="355" customFormat="1" ht="15" customHeight="1">
      <c r="A217" s="355" t="s">
        <v>1509</v>
      </c>
      <c r="B217" s="357">
        <v>0.8</v>
      </c>
      <c r="C217" s="357">
        <v>0.2</v>
      </c>
    </row>
    <row r="218" spans="1:3" s="355" customFormat="1" ht="15" customHeight="1">
      <c r="A218" s="355" t="s">
        <v>1510</v>
      </c>
      <c r="B218" s="357">
        <v>10.199999999999999</v>
      </c>
      <c r="C218" s="357">
        <v>5.8</v>
      </c>
    </row>
    <row r="219" spans="1:3" s="355" customFormat="1" ht="15" customHeight="1">
      <c r="A219" s="355" t="s">
        <v>1511</v>
      </c>
      <c r="B219" s="357">
        <v>44.6</v>
      </c>
      <c r="C219" s="357">
        <v>35.799999999999997</v>
      </c>
    </row>
    <row r="220" spans="1:3" s="355" customFormat="1" ht="15" customHeight="1">
      <c r="A220" s="355" t="s">
        <v>1512</v>
      </c>
      <c r="B220" s="357">
        <v>198.8</v>
      </c>
      <c r="C220" s="357">
        <v>274.10000000000002</v>
      </c>
    </row>
    <row r="221" spans="1:3" s="355" customFormat="1" ht="15" customHeight="1">
      <c r="A221" s="355" t="s">
        <v>1513</v>
      </c>
      <c r="B221" s="357">
        <v>7.8</v>
      </c>
      <c r="C221" s="357">
        <v>9.4</v>
      </c>
    </row>
    <row r="222" spans="1:3" s="355" customFormat="1" ht="15" customHeight="1">
      <c r="A222" s="355" t="s">
        <v>1514</v>
      </c>
      <c r="B222" s="357">
        <v>3.9</v>
      </c>
      <c r="C222" s="357">
        <v>6.3</v>
      </c>
    </row>
    <row r="223" spans="1:3" s="355" customFormat="1" ht="15" customHeight="1">
      <c r="A223" s="355" t="s">
        <v>1515</v>
      </c>
      <c r="B223" s="357">
        <v>12.1</v>
      </c>
      <c r="C223" s="357">
        <v>9.3000000000000007</v>
      </c>
    </row>
    <row r="224" spans="1:3" s="355" customFormat="1" ht="15" customHeight="1">
      <c r="A224" s="355" t="s">
        <v>1516</v>
      </c>
      <c r="B224" s="357">
        <v>89.7</v>
      </c>
      <c r="C224" s="357">
        <v>218.9</v>
      </c>
    </row>
    <row r="225" spans="1:3" s="355" customFormat="1" ht="15" customHeight="1">
      <c r="A225" s="355" t="s">
        <v>1517</v>
      </c>
      <c r="B225" s="357">
        <v>35.6</v>
      </c>
      <c r="C225" s="357">
        <v>61.4</v>
      </c>
    </row>
    <row r="226" spans="1:3" s="355" customFormat="1" ht="15" customHeight="1">
      <c r="A226" s="355" t="s">
        <v>1518</v>
      </c>
      <c r="B226" s="357">
        <v>48.7</v>
      </c>
      <c r="C226" s="357">
        <v>62</v>
      </c>
    </row>
    <row r="227" spans="1:3" s="355" customFormat="1" ht="15" customHeight="1">
      <c r="A227" s="355" t="s">
        <v>1519</v>
      </c>
      <c r="B227" s="357">
        <v>46.8</v>
      </c>
      <c r="C227" s="357">
        <v>72.7</v>
      </c>
    </row>
    <row r="228" spans="1:3" s="355" customFormat="1" ht="15" customHeight="1">
      <c r="A228" s="355" t="s">
        <v>1520</v>
      </c>
      <c r="B228" s="357">
        <v>5.6</v>
      </c>
      <c r="C228" s="357">
        <v>3.5</v>
      </c>
    </row>
    <row r="229" spans="1:3" s="355" customFormat="1" ht="15" customHeight="1">
      <c r="A229" s="355" t="s">
        <v>1521</v>
      </c>
      <c r="B229" s="357">
        <v>98.7</v>
      </c>
      <c r="C229" s="357">
        <v>114.6</v>
      </c>
    </row>
    <row r="230" spans="1:3" s="355" customFormat="1" ht="15" customHeight="1">
      <c r="A230" s="355" t="s">
        <v>1610</v>
      </c>
      <c r="B230" s="357">
        <v>464.2</v>
      </c>
      <c r="C230" s="357">
        <v>730.7</v>
      </c>
    </row>
    <row r="231" spans="1:3" s="355" customFormat="1" ht="15" customHeight="1">
      <c r="A231" s="355" t="s">
        <v>1611</v>
      </c>
      <c r="B231" s="357" t="s">
        <v>1368</v>
      </c>
      <c r="C231" s="357">
        <v>0</v>
      </c>
    </row>
    <row r="232" spans="1:3" s="355" customFormat="1" ht="15" customHeight="1">
      <c r="A232" s="355" t="s">
        <v>1612</v>
      </c>
      <c r="B232" s="357">
        <v>7.3</v>
      </c>
      <c r="C232" s="357">
        <v>0.5</v>
      </c>
    </row>
    <row r="233" spans="1:3" s="355" customFormat="1" ht="15" customHeight="1">
      <c r="A233" s="355" t="s">
        <v>1613</v>
      </c>
      <c r="B233" s="357">
        <v>36.200000000000003</v>
      </c>
      <c r="C233" s="357">
        <v>39.4</v>
      </c>
    </row>
    <row r="234" spans="1:3" s="355" customFormat="1" ht="15" customHeight="1">
      <c r="A234" s="355" t="s">
        <v>1614</v>
      </c>
      <c r="B234" s="357">
        <v>14.4</v>
      </c>
      <c r="C234" s="357">
        <v>29.2</v>
      </c>
    </row>
    <row r="235" spans="1:3" s="355" customFormat="1" ht="15" customHeight="1">
      <c r="A235" s="355" t="s">
        <v>1615</v>
      </c>
      <c r="B235" s="357">
        <v>0</v>
      </c>
      <c r="C235" s="357">
        <v>1.1000000000000001</v>
      </c>
    </row>
    <row r="236" spans="1:3" s="355" customFormat="1" ht="15" customHeight="1">
      <c r="A236" s="355" t="s">
        <v>1616</v>
      </c>
      <c r="B236" s="357" t="s">
        <v>1368</v>
      </c>
      <c r="C236" s="357" t="s">
        <v>1368</v>
      </c>
    </row>
    <row r="237" spans="1:3" s="355" customFormat="1" ht="15" customHeight="1">
      <c r="A237" s="355" t="s">
        <v>1617</v>
      </c>
      <c r="B237" s="357">
        <v>0.2</v>
      </c>
      <c r="C237" s="357">
        <v>0.1</v>
      </c>
    </row>
    <row r="238" spans="1:3" s="355" customFormat="1" ht="15" customHeight="1">
      <c r="A238" s="355" t="s">
        <v>1618</v>
      </c>
      <c r="B238" s="357">
        <v>0.7</v>
      </c>
      <c r="C238" s="357" t="s">
        <v>1368</v>
      </c>
    </row>
    <row r="239" spans="1:3" s="355" customFormat="1" ht="15" customHeight="1">
      <c r="A239" s="355" t="s">
        <v>1619</v>
      </c>
      <c r="B239" s="357">
        <v>0.1</v>
      </c>
      <c r="C239" s="357">
        <v>0.1</v>
      </c>
    </row>
    <row r="240" spans="1:3" s="355" customFormat="1" ht="15" customHeight="1">
      <c r="A240" s="355" t="s">
        <v>1620</v>
      </c>
      <c r="B240" s="357">
        <v>1.3</v>
      </c>
      <c r="C240" s="357">
        <v>0.7</v>
      </c>
    </row>
    <row r="241" spans="1:3" s="355" customFormat="1" ht="15" customHeight="1">
      <c r="A241" s="355" t="s">
        <v>1621</v>
      </c>
      <c r="B241" s="357">
        <v>1</v>
      </c>
      <c r="C241" s="357">
        <v>0.8</v>
      </c>
    </row>
    <row r="242" spans="1:3" s="355" customFormat="1" ht="15" customHeight="1">
      <c r="A242" s="355" t="s">
        <v>1622</v>
      </c>
      <c r="B242" s="357">
        <v>0.3</v>
      </c>
      <c r="C242" s="357">
        <v>0.7</v>
      </c>
    </row>
    <row r="243" spans="1:3" s="355" customFormat="1" ht="15" customHeight="1">
      <c r="A243" s="355" t="s">
        <v>1623</v>
      </c>
      <c r="B243" s="357">
        <v>0.3</v>
      </c>
      <c r="C243" s="357" t="s">
        <v>1368</v>
      </c>
    </row>
    <row r="244" spans="1:3" s="355" customFormat="1" ht="15" customHeight="1">
      <c r="A244" s="355" t="s">
        <v>1624</v>
      </c>
      <c r="B244" s="357">
        <v>0.2</v>
      </c>
      <c r="C244" s="357" t="s">
        <v>1368</v>
      </c>
    </row>
    <row r="245" spans="1:3" s="355" customFormat="1" ht="15" customHeight="1">
      <c r="A245" s="355" t="s">
        <v>1625</v>
      </c>
      <c r="B245" s="357">
        <v>0.8</v>
      </c>
      <c r="C245" s="357">
        <v>0.1</v>
      </c>
    </row>
    <row r="246" spans="1:3" s="355" customFormat="1" ht="15" customHeight="1">
      <c r="A246" s="355" t="s">
        <v>1626</v>
      </c>
      <c r="B246" s="357">
        <v>0.8</v>
      </c>
      <c r="C246" s="357">
        <v>0.2</v>
      </c>
    </row>
    <row r="247" spans="1:3" s="355" customFormat="1" ht="15" customHeight="1">
      <c r="A247" s="355" t="s">
        <v>1627</v>
      </c>
      <c r="B247" s="357">
        <v>0.1</v>
      </c>
      <c r="C247" s="357">
        <v>0.1</v>
      </c>
    </row>
    <row r="248" spans="1:3" s="355" customFormat="1" ht="15" customHeight="1">
      <c r="A248" s="355" t="s">
        <v>1628</v>
      </c>
      <c r="B248" s="357">
        <v>3.2</v>
      </c>
      <c r="C248" s="357">
        <v>0.9</v>
      </c>
    </row>
    <row r="249" spans="1:3" s="355" customFormat="1" ht="15" customHeight="1">
      <c r="A249" s="355" t="s">
        <v>1629</v>
      </c>
      <c r="B249" s="357">
        <v>1.2</v>
      </c>
      <c r="C249" s="357">
        <v>0.2</v>
      </c>
    </row>
    <row r="250" spans="1:3" s="355" customFormat="1" ht="15" customHeight="1">
      <c r="A250" s="355" t="s">
        <v>1630</v>
      </c>
      <c r="B250" s="357">
        <v>1.5</v>
      </c>
      <c r="C250" s="357">
        <v>1.2</v>
      </c>
    </row>
    <row r="251" spans="1:3" s="355" customFormat="1" ht="15" customHeight="1">
      <c r="A251" s="355" t="s">
        <v>1631</v>
      </c>
      <c r="B251" s="357">
        <v>2</v>
      </c>
      <c r="C251" s="357">
        <v>0.4</v>
      </c>
    </row>
    <row r="252" spans="1:3" s="355" customFormat="1" ht="15" customHeight="1">
      <c r="A252" s="355" t="s">
        <v>1632</v>
      </c>
      <c r="B252" s="357">
        <v>0.3</v>
      </c>
      <c r="C252" s="357">
        <v>0</v>
      </c>
    </row>
    <row r="253" spans="1:3" s="355" customFormat="1" ht="15" customHeight="1">
      <c r="A253" s="355" t="s">
        <v>1633</v>
      </c>
      <c r="B253" s="357">
        <v>6</v>
      </c>
      <c r="C253" s="357">
        <v>1.9</v>
      </c>
    </row>
    <row r="254" spans="1:3" s="355" customFormat="1" ht="15" customHeight="1">
      <c r="A254" s="355" t="s">
        <v>1634</v>
      </c>
      <c r="B254" s="357">
        <v>2</v>
      </c>
      <c r="C254" s="357">
        <v>1.5</v>
      </c>
    </row>
    <row r="255" spans="1:3" s="355" customFormat="1" ht="15" customHeight="1">
      <c r="A255" s="355" t="s">
        <v>1635</v>
      </c>
      <c r="B255" s="357">
        <v>0.3</v>
      </c>
      <c r="C255" s="357" t="s">
        <v>1368</v>
      </c>
    </row>
    <row r="256" spans="1:3" s="355" customFormat="1" ht="15" customHeight="1">
      <c r="A256" s="355" t="s">
        <v>1636</v>
      </c>
      <c r="B256" s="357">
        <v>9.9</v>
      </c>
      <c r="C256" s="357">
        <v>10.3</v>
      </c>
    </row>
    <row r="257" spans="1:3" s="355" customFormat="1" ht="15" customHeight="1">
      <c r="A257" s="355" t="s">
        <v>1637</v>
      </c>
      <c r="B257" s="357">
        <v>9.1999999999999993</v>
      </c>
      <c r="C257" s="357">
        <v>8.4</v>
      </c>
    </row>
    <row r="258" spans="1:3" s="355" customFormat="1" ht="15" customHeight="1">
      <c r="A258" s="355" t="s">
        <v>1638</v>
      </c>
      <c r="B258" s="357">
        <v>65.400000000000006</v>
      </c>
      <c r="C258" s="357">
        <v>65.5</v>
      </c>
    </row>
    <row r="259" spans="1:3" s="355" customFormat="1" ht="15" customHeight="1">
      <c r="A259" s="355" t="s">
        <v>1639</v>
      </c>
      <c r="B259" s="357">
        <v>3.1</v>
      </c>
      <c r="C259" s="357">
        <v>2.2000000000000002</v>
      </c>
    </row>
    <row r="260" spans="1:3" s="355" customFormat="1" ht="15" customHeight="1">
      <c r="A260" s="355" t="s">
        <v>1640</v>
      </c>
      <c r="B260" s="357">
        <v>4.7</v>
      </c>
      <c r="C260" s="357">
        <v>3.3</v>
      </c>
    </row>
    <row r="261" spans="1:3" s="355" customFormat="1" ht="15" customHeight="1">
      <c r="A261" s="355" t="s">
        <v>1641</v>
      </c>
      <c r="B261" s="357">
        <v>1.4</v>
      </c>
      <c r="C261" s="357">
        <v>1.3</v>
      </c>
    </row>
    <row r="262" spans="1:3" s="355" customFormat="1" ht="15" customHeight="1">
      <c r="A262" s="355" t="s">
        <v>1642</v>
      </c>
      <c r="B262" s="357">
        <v>129.5</v>
      </c>
      <c r="C262" s="357">
        <v>220.2</v>
      </c>
    </row>
    <row r="263" spans="1:3" s="355" customFormat="1" ht="15" customHeight="1">
      <c r="A263" s="355" t="s">
        <v>1643</v>
      </c>
      <c r="B263" s="357">
        <v>48.3</v>
      </c>
      <c r="C263" s="357">
        <v>56.1</v>
      </c>
    </row>
    <row r="264" spans="1:3" s="355" customFormat="1" ht="15" customHeight="1">
      <c r="A264" s="355" t="s">
        <v>1644</v>
      </c>
      <c r="B264" s="357">
        <v>29</v>
      </c>
      <c r="C264" s="357">
        <v>46.3</v>
      </c>
    </row>
    <row r="265" spans="1:3" s="355" customFormat="1" ht="15" customHeight="1">
      <c r="A265" s="355" t="s">
        <v>1645</v>
      </c>
      <c r="B265" s="357">
        <v>19.600000000000001</v>
      </c>
      <c r="C265" s="357">
        <v>104.6</v>
      </c>
    </row>
    <row r="266" spans="1:3" s="355" customFormat="1" ht="15" customHeight="1">
      <c r="A266" s="355" t="s">
        <v>1646</v>
      </c>
      <c r="B266" s="357">
        <v>0.8</v>
      </c>
      <c r="C266" s="357">
        <v>1.7</v>
      </c>
    </row>
    <row r="267" spans="1:3" s="355" customFormat="1" ht="15" customHeight="1">
      <c r="A267" s="355" t="s">
        <v>1647</v>
      </c>
      <c r="B267" s="357">
        <v>99.5</v>
      </c>
      <c r="C267" s="357">
        <v>171</v>
      </c>
    </row>
    <row r="268" spans="1:3" s="355" customFormat="1" ht="15" customHeight="1">
      <c r="A268" s="355" t="s">
        <v>1648</v>
      </c>
      <c r="B268" s="357">
        <v>233.9</v>
      </c>
      <c r="C268" s="357">
        <v>317.89999999999998</v>
      </c>
    </row>
    <row r="269" spans="1:3" s="355" customFormat="1" ht="15" customHeight="1">
      <c r="A269" s="355" t="s">
        <v>1649</v>
      </c>
      <c r="B269" s="357">
        <v>0.1</v>
      </c>
      <c r="C269" s="357" t="s">
        <v>1368</v>
      </c>
    </row>
    <row r="270" spans="1:3" s="355" customFormat="1" ht="15" customHeight="1">
      <c r="A270" s="355" t="s">
        <v>1650</v>
      </c>
      <c r="B270" s="357">
        <v>0.7</v>
      </c>
      <c r="C270" s="357">
        <v>2.5</v>
      </c>
    </row>
    <row r="271" spans="1:3" s="355" customFormat="1" ht="15" customHeight="1">
      <c r="A271" s="355" t="s">
        <v>1651</v>
      </c>
      <c r="B271" s="357">
        <v>18.100000000000001</v>
      </c>
      <c r="C271" s="357">
        <v>25.1</v>
      </c>
    </row>
    <row r="272" spans="1:3" s="355" customFormat="1" ht="15" customHeight="1">
      <c r="A272" s="355" t="s">
        <v>1652</v>
      </c>
      <c r="B272" s="357">
        <v>7.1</v>
      </c>
      <c r="C272" s="357">
        <v>11.7</v>
      </c>
    </row>
    <row r="273" spans="1:3" s="355" customFormat="1" ht="15" customHeight="1">
      <c r="A273" s="355" t="s">
        <v>1653</v>
      </c>
      <c r="B273" s="357">
        <v>2.1</v>
      </c>
      <c r="C273" s="357">
        <v>6.3</v>
      </c>
    </row>
    <row r="274" spans="1:3" s="355" customFormat="1" ht="15" customHeight="1">
      <c r="A274" s="355" t="s">
        <v>1654</v>
      </c>
      <c r="B274" s="357" t="s">
        <v>1368</v>
      </c>
      <c r="C274" s="357" t="s">
        <v>1368</v>
      </c>
    </row>
    <row r="275" spans="1:3" s="355" customFormat="1" ht="15" customHeight="1">
      <c r="A275" s="355" t="s">
        <v>1655</v>
      </c>
      <c r="B275" s="357">
        <v>1.4</v>
      </c>
      <c r="C275" s="357">
        <v>0</v>
      </c>
    </row>
    <row r="276" spans="1:3" s="355" customFormat="1" ht="15" customHeight="1">
      <c r="A276" s="355" t="s">
        <v>1656</v>
      </c>
      <c r="B276" s="357">
        <v>0.3</v>
      </c>
      <c r="C276" s="357">
        <v>0.1</v>
      </c>
    </row>
    <row r="277" spans="1:3" s="355" customFormat="1" ht="15" customHeight="1">
      <c r="A277" s="355" t="s">
        <v>1657</v>
      </c>
      <c r="B277" s="357">
        <v>1.8</v>
      </c>
      <c r="C277" s="357">
        <v>1.3</v>
      </c>
    </row>
    <row r="278" spans="1:3" s="355" customFormat="1" ht="15" customHeight="1">
      <c r="A278" s="355" t="s">
        <v>1658</v>
      </c>
      <c r="B278" s="357">
        <v>0.3</v>
      </c>
      <c r="C278" s="357">
        <v>0.1</v>
      </c>
    </row>
    <row r="279" spans="1:3" s="355" customFormat="1" ht="15" customHeight="1">
      <c r="A279" s="355" t="s">
        <v>1659</v>
      </c>
      <c r="B279" s="357">
        <v>0.4</v>
      </c>
      <c r="C279" s="357">
        <v>0.4</v>
      </c>
    </row>
    <row r="280" spans="1:3" s="355" customFormat="1" ht="15" customHeight="1">
      <c r="A280" s="355" t="s">
        <v>1660</v>
      </c>
      <c r="B280" s="357">
        <v>0.1</v>
      </c>
      <c r="C280" s="357">
        <v>1.2</v>
      </c>
    </row>
    <row r="281" spans="1:3" s="355" customFormat="1" ht="15" customHeight="1">
      <c r="A281" s="355" t="s">
        <v>1661</v>
      </c>
      <c r="B281" s="357" t="s">
        <v>1368</v>
      </c>
      <c r="C281" s="357" t="s">
        <v>1368</v>
      </c>
    </row>
    <row r="282" spans="1:3" s="355" customFormat="1" ht="15" customHeight="1">
      <c r="A282" s="355" t="s">
        <v>1662</v>
      </c>
      <c r="B282" s="357">
        <v>0.1</v>
      </c>
      <c r="C282" s="357">
        <v>0</v>
      </c>
    </row>
    <row r="283" spans="1:3" s="355" customFormat="1" ht="15" customHeight="1">
      <c r="A283" s="355" t="s">
        <v>1663</v>
      </c>
      <c r="B283" s="357">
        <v>0.2</v>
      </c>
      <c r="C283" s="357">
        <v>0.4</v>
      </c>
    </row>
    <row r="284" spans="1:3" s="355" customFormat="1" ht="15" customHeight="1">
      <c r="A284" s="355" t="s">
        <v>1664</v>
      </c>
      <c r="B284" s="357">
        <v>0.4</v>
      </c>
      <c r="C284" s="357">
        <v>0.1</v>
      </c>
    </row>
    <row r="285" spans="1:3" s="355" customFormat="1" ht="15" customHeight="1">
      <c r="A285" s="355" t="s">
        <v>1665</v>
      </c>
      <c r="B285" s="357">
        <v>0.8</v>
      </c>
      <c r="C285" s="357">
        <v>0</v>
      </c>
    </row>
    <row r="286" spans="1:3" s="355" customFormat="1" ht="15" customHeight="1">
      <c r="A286" s="355" t="s">
        <v>1666</v>
      </c>
      <c r="B286" s="357">
        <v>0.7</v>
      </c>
      <c r="C286" s="357">
        <v>0.1</v>
      </c>
    </row>
    <row r="287" spans="1:3" s="355" customFormat="1" ht="15" customHeight="1">
      <c r="A287" s="355" t="s">
        <v>1667</v>
      </c>
      <c r="B287" s="357">
        <v>0.1</v>
      </c>
      <c r="C287" s="357">
        <v>0</v>
      </c>
    </row>
    <row r="288" spans="1:3" s="355" customFormat="1" ht="15" customHeight="1">
      <c r="A288" s="355" t="s">
        <v>1668</v>
      </c>
      <c r="B288" s="357">
        <v>0.4</v>
      </c>
      <c r="C288" s="357">
        <v>0.7</v>
      </c>
    </row>
    <row r="289" spans="1:3" s="355" customFormat="1" ht="15" customHeight="1">
      <c r="A289" s="355" t="s">
        <v>1669</v>
      </c>
      <c r="B289" s="357">
        <v>0.7</v>
      </c>
      <c r="C289" s="357">
        <v>1.6</v>
      </c>
    </row>
    <row r="290" spans="1:3" s="355" customFormat="1" ht="15" customHeight="1">
      <c r="A290" s="355" t="s">
        <v>1670</v>
      </c>
      <c r="B290" s="357">
        <v>0.6</v>
      </c>
      <c r="C290" s="357">
        <v>0.1</v>
      </c>
    </row>
    <row r="291" spans="1:3" s="355" customFormat="1" ht="15" customHeight="1">
      <c r="A291" s="355" t="s">
        <v>1671</v>
      </c>
      <c r="B291" s="357">
        <v>0.1</v>
      </c>
      <c r="C291" s="357">
        <v>0.2</v>
      </c>
    </row>
    <row r="292" spans="1:3" s="355" customFormat="1" ht="15" customHeight="1">
      <c r="A292" s="355" t="s">
        <v>1672</v>
      </c>
      <c r="B292" s="357">
        <v>0.4</v>
      </c>
      <c r="C292" s="357">
        <v>0.7</v>
      </c>
    </row>
    <row r="293" spans="1:3" s="355" customFormat="1" ht="15" customHeight="1">
      <c r="A293" s="355" t="s">
        <v>1673</v>
      </c>
      <c r="B293" s="357">
        <v>0.6</v>
      </c>
      <c r="C293" s="357">
        <v>0</v>
      </c>
    </row>
    <row r="294" spans="1:3" s="355" customFormat="1" ht="15" customHeight="1">
      <c r="A294" s="355" t="s">
        <v>1674</v>
      </c>
      <c r="B294" s="357">
        <v>0.8</v>
      </c>
      <c r="C294" s="357">
        <v>0.6</v>
      </c>
    </row>
    <row r="295" spans="1:3" s="355" customFormat="1" ht="15" customHeight="1">
      <c r="A295" s="355" t="s">
        <v>1675</v>
      </c>
      <c r="B295" s="357">
        <v>1.4</v>
      </c>
      <c r="C295" s="357">
        <v>1.4</v>
      </c>
    </row>
    <row r="296" spans="1:3" s="355" customFormat="1" ht="15" customHeight="1">
      <c r="A296" s="355" t="s">
        <v>1676</v>
      </c>
      <c r="B296" s="357">
        <v>26</v>
      </c>
      <c r="C296" s="357">
        <v>52.2</v>
      </c>
    </row>
    <row r="297" spans="1:3" s="355" customFormat="1" ht="15" customHeight="1">
      <c r="A297" s="355" t="s">
        <v>1677</v>
      </c>
      <c r="B297" s="357">
        <v>2.9</v>
      </c>
      <c r="C297" s="357">
        <v>0.2</v>
      </c>
    </row>
    <row r="298" spans="1:3" s="355" customFormat="1" ht="15" customHeight="1">
      <c r="A298" s="355" t="s">
        <v>1678</v>
      </c>
      <c r="B298" s="357">
        <v>8.5</v>
      </c>
      <c r="C298" s="357">
        <v>10.5</v>
      </c>
    </row>
    <row r="299" spans="1:3" s="355" customFormat="1" ht="15" customHeight="1">
      <c r="A299" s="355" t="s">
        <v>1679</v>
      </c>
      <c r="B299" s="357">
        <v>5.3</v>
      </c>
      <c r="C299" s="357">
        <v>2.8</v>
      </c>
    </row>
    <row r="300" spans="1:3" s="355" customFormat="1" ht="15" customHeight="1">
      <c r="A300" s="355" t="s">
        <v>1680</v>
      </c>
      <c r="B300" s="357">
        <v>81.900000000000006</v>
      </c>
      <c r="C300" s="357">
        <v>93.8</v>
      </c>
    </row>
    <row r="301" spans="1:3" s="355" customFormat="1" ht="15" customHeight="1">
      <c r="A301" s="355" t="s">
        <v>1681</v>
      </c>
      <c r="B301" s="357">
        <v>31.8</v>
      </c>
      <c r="C301" s="357">
        <v>32.5</v>
      </c>
    </row>
    <row r="302" spans="1:3" s="355" customFormat="1" ht="15" customHeight="1">
      <c r="A302" s="355" t="s">
        <v>1682</v>
      </c>
      <c r="B302" s="357">
        <v>13.6</v>
      </c>
      <c r="C302" s="357">
        <v>14.7</v>
      </c>
    </row>
    <row r="303" spans="1:3" s="355" customFormat="1" ht="15" customHeight="1">
      <c r="A303" s="355" t="s">
        <v>1683</v>
      </c>
      <c r="B303" s="357">
        <v>16.2</v>
      </c>
      <c r="C303" s="357">
        <v>41.3</v>
      </c>
    </row>
    <row r="304" spans="1:3" s="355" customFormat="1" ht="15" customHeight="1">
      <c r="A304" s="355" t="s">
        <v>1684</v>
      </c>
      <c r="B304" s="357">
        <v>0.5</v>
      </c>
      <c r="C304" s="357">
        <v>0.4</v>
      </c>
    </row>
    <row r="305" spans="1:3" s="355" customFormat="1" ht="15" customHeight="1">
      <c r="A305" s="355" t="s">
        <v>1685</v>
      </c>
      <c r="B305" s="357">
        <v>25.7</v>
      </c>
      <c r="C305" s="357">
        <v>39.799999999999997</v>
      </c>
    </row>
    <row r="306" spans="1:3" s="355" customFormat="1" ht="15" customHeight="1">
      <c r="A306" s="355" t="s">
        <v>1522</v>
      </c>
      <c r="B306" s="357">
        <v>35.799999999999997</v>
      </c>
      <c r="C306" s="357">
        <v>32</v>
      </c>
    </row>
    <row r="307" spans="1:3" s="355" customFormat="1" ht="15" customHeight="1">
      <c r="A307" s="355" t="s">
        <v>1523</v>
      </c>
      <c r="B307" s="357">
        <v>20.100000000000001</v>
      </c>
      <c r="C307" s="357">
        <v>5.4</v>
      </c>
    </row>
    <row r="308" spans="1:3" s="355" customFormat="1" ht="15" customHeight="1">
      <c r="A308" s="355" t="s">
        <v>1524</v>
      </c>
      <c r="B308" s="357">
        <v>9.6</v>
      </c>
      <c r="C308" s="357">
        <v>3.9</v>
      </c>
    </row>
    <row r="309" spans="1:3" s="355" customFormat="1" ht="15" customHeight="1">
      <c r="A309" s="355" t="s">
        <v>1525</v>
      </c>
      <c r="B309" s="357">
        <v>9</v>
      </c>
      <c r="C309" s="357">
        <v>8.6</v>
      </c>
    </row>
    <row r="310" spans="1:3" s="355" customFormat="1" ht="15" customHeight="1">
      <c r="A310" s="355" t="s">
        <v>1526</v>
      </c>
      <c r="B310" s="357">
        <v>4.8</v>
      </c>
      <c r="C310" s="357">
        <v>1.2</v>
      </c>
    </row>
    <row r="311" spans="1:3" s="355" customFormat="1" ht="15" customHeight="1">
      <c r="A311" s="355" t="s">
        <v>1527</v>
      </c>
      <c r="B311" s="357">
        <v>1</v>
      </c>
      <c r="C311" s="357">
        <v>0.3</v>
      </c>
    </row>
    <row r="312" spans="1:3" s="355" customFormat="1" ht="15" customHeight="1">
      <c r="A312" s="355" t="s">
        <v>1686</v>
      </c>
      <c r="B312" s="357">
        <v>7</v>
      </c>
      <c r="C312" s="357">
        <v>5.2</v>
      </c>
    </row>
    <row r="313" spans="1:3" s="355" customFormat="1" ht="15" customHeight="1">
      <c r="A313" s="355" t="s">
        <v>1687</v>
      </c>
      <c r="B313" s="357">
        <v>5.4</v>
      </c>
      <c r="C313" s="357">
        <v>2</v>
      </c>
    </row>
    <row r="314" spans="1:3" s="355" customFormat="1" ht="15" customHeight="1">
      <c r="A314" s="355" t="s">
        <v>1688</v>
      </c>
      <c r="B314" s="357">
        <v>0.3</v>
      </c>
      <c r="C314" s="357">
        <v>0.2</v>
      </c>
    </row>
    <row r="315" spans="1:3" s="355" customFormat="1" ht="15" customHeight="1">
      <c r="A315" s="355" t="s">
        <v>1689</v>
      </c>
      <c r="B315" s="357">
        <v>5.8</v>
      </c>
      <c r="C315" s="357">
        <v>4.4000000000000004</v>
      </c>
    </row>
    <row r="316" spans="1:3" s="355" customFormat="1" ht="15" customHeight="1">
      <c r="A316" s="355" t="s">
        <v>1690</v>
      </c>
      <c r="B316" s="357">
        <v>3.7</v>
      </c>
      <c r="C316" s="357">
        <v>1.5</v>
      </c>
    </row>
    <row r="317" spans="1:3" s="355" customFormat="1" ht="15" customHeight="1">
      <c r="A317" s="355" t="s">
        <v>1691</v>
      </c>
      <c r="B317" s="357">
        <v>1.8</v>
      </c>
      <c r="C317" s="357">
        <v>0.8</v>
      </c>
    </row>
    <row r="318" spans="1:3" s="355" customFormat="1" ht="15" customHeight="1">
      <c r="A318" s="355" t="s">
        <v>1528</v>
      </c>
      <c r="B318" s="357">
        <v>44.5</v>
      </c>
      <c r="C318" s="357">
        <v>100.1</v>
      </c>
    </row>
    <row r="319" spans="1:3" s="355" customFormat="1" ht="15" customHeight="1">
      <c r="A319" s="355" t="s">
        <v>1529</v>
      </c>
      <c r="B319" s="357">
        <v>3.6</v>
      </c>
      <c r="C319" s="357">
        <v>2.5</v>
      </c>
    </row>
    <row r="320" spans="1:3" s="355" customFormat="1" ht="15" customHeight="1">
      <c r="A320" s="355" t="s">
        <v>1530</v>
      </c>
      <c r="B320" s="357">
        <v>4.2</v>
      </c>
      <c r="C320" s="357">
        <v>7.3</v>
      </c>
    </row>
    <row r="321" spans="1:3" s="355" customFormat="1" ht="15" customHeight="1">
      <c r="A321" s="355" t="s">
        <v>1531</v>
      </c>
      <c r="B321" s="357">
        <v>12.7</v>
      </c>
      <c r="C321" s="357">
        <v>28.1</v>
      </c>
    </row>
    <row r="322" spans="1:3" s="355" customFormat="1" ht="15" customHeight="1">
      <c r="A322" s="355" t="s">
        <v>1532</v>
      </c>
      <c r="B322" s="357">
        <v>1.5</v>
      </c>
      <c r="C322" s="357">
        <v>0.3</v>
      </c>
    </row>
    <row r="323" spans="1:3" s="355" customFormat="1" ht="15" customHeight="1">
      <c r="A323" s="355" t="s">
        <v>1533</v>
      </c>
      <c r="B323" s="357">
        <v>0.7</v>
      </c>
      <c r="C323" s="357">
        <v>0.1</v>
      </c>
    </row>
    <row r="324" spans="1:3" s="355" customFormat="1" ht="15" customHeight="1">
      <c r="A324" s="355" t="s">
        <v>1692</v>
      </c>
      <c r="B324" s="357">
        <v>14.4</v>
      </c>
      <c r="C324" s="357">
        <v>29.2</v>
      </c>
    </row>
    <row r="325" spans="1:3" s="355" customFormat="1" ht="15" customHeight="1">
      <c r="A325" s="355" t="s">
        <v>1693</v>
      </c>
      <c r="B325" s="357">
        <v>1.3</v>
      </c>
      <c r="C325" s="357">
        <v>0.7</v>
      </c>
    </row>
    <row r="326" spans="1:3" s="355" customFormat="1" ht="15" customHeight="1">
      <c r="A326" s="355" t="s">
        <v>1694</v>
      </c>
      <c r="B326" s="357">
        <v>2</v>
      </c>
      <c r="C326" s="357">
        <v>1.5</v>
      </c>
    </row>
    <row r="327" spans="1:3" s="355" customFormat="1" ht="15" customHeight="1">
      <c r="A327" s="355" t="s">
        <v>1695</v>
      </c>
      <c r="B327" s="357">
        <v>7.1</v>
      </c>
      <c r="C327" s="357">
        <v>11.7</v>
      </c>
    </row>
    <row r="328" spans="1:3" s="355" customFormat="1" ht="15" customHeight="1">
      <c r="A328" s="355" t="s">
        <v>1696</v>
      </c>
      <c r="B328" s="357">
        <v>0.3</v>
      </c>
      <c r="C328" s="357">
        <v>0.1</v>
      </c>
    </row>
    <row r="329" spans="1:3" s="355" customFormat="1" ht="15" customHeight="1">
      <c r="A329" s="355" t="s">
        <v>1697</v>
      </c>
      <c r="B329" s="357">
        <v>0.4</v>
      </c>
      <c r="C329" s="357">
        <v>0.7</v>
      </c>
    </row>
    <row r="330" spans="1:3" s="355" customFormat="1" ht="15" customHeight="1">
      <c r="A330" s="355" t="s">
        <v>1698</v>
      </c>
      <c r="B330" s="357">
        <v>620.09999999999991</v>
      </c>
      <c r="C330" s="357">
        <v>466.29999999999995</v>
      </c>
    </row>
    <row r="331" spans="1:3" s="355" customFormat="1" ht="15" customHeight="1">
      <c r="A331" s="355" t="s">
        <v>1699</v>
      </c>
      <c r="B331" s="357">
        <v>0.5</v>
      </c>
      <c r="C331" s="357">
        <v>0.2</v>
      </c>
    </row>
    <row r="332" spans="1:3" s="355" customFormat="1" ht="15" customHeight="1">
      <c r="A332" s="355" t="s">
        <v>1700</v>
      </c>
      <c r="B332" s="357">
        <v>126</v>
      </c>
      <c r="C332" s="357">
        <v>36.200000000000003</v>
      </c>
    </row>
    <row r="333" spans="1:3" s="355" customFormat="1" ht="15" customHeight="1">
      <c r="A333" s="355" t="s">
        <v>1701</v>
      </c>
      <c r="B333" s="357">
        <v>107.80000000000001</v>
      </c>
      <c r="C333" s="357">
        <v>50.4</v>
      </c>
    </row>
    <row r="334" spans="1:3" s="355" customFormat="1" ht="15" customHeight="1">
      <c r="A334" s="355" t="s">
        <v>1702</v>
      </c>
      <c r="B334" s="357">
        <v>14</v>
      </c>
      <c r="C334" s="357">
        <v>13.7</v>
      </c>
    </row>
    <row r="335" spans="1:3" s="355" customFormat="1" ht="15" customHeight="1">
      <c r="A335" s="355" t="s">
        <v>1703</v>
      </c>
      <c r="B335" s="357">
        <v>0.7</v>
      </c>
      <c r="C335" s="357">
        <v>3.3000000000000003</v>
      </c>
    </row>
    <row r="336" spans="1:3" s="355" customFormat="1" ht="15" customHeight="1">
      <c r="A336" s="355" t="s">
        <v>1704</v>
      </c>
      <c r="B336" s="357">
        <v>0.3</v>
      </c>
      <c r="C336" s="357">
        <v>0</v>
      </c>
    </row>
    <row r="337" spans="1:3" s="355" customFormat="1" ht="15" customHeight="1">
      <c r="A337" s="355" t="s">
        <v>1705</v>
      </c>
      <c r="B337" s="357">
        <v>1.9000000000000001</v>
      </c>
      <c r="C337" s="357">
        <v>1.2</v>
      </c>
    </row>
    <row r="338" spans="1:3" s="355" customFormat="1" ht="15" customHeight="1">
      <c r="A338" s="355" t="s">
        <v>1706</v>
      </c>
      <c r="B338" s="357">
        <v>2.2000000000000002</v>
      </c>
      <c r="C338" s="357">
        <v>1.9</v>
      </c>
    </row>
    <row r="339" spans="1:3" s="355" customFormat="1" ht="15" customHeight="1">
      <c r="A339" s="355" t="s">
        <v>1707</v>
      </c>
      <c r="B339" s="357">
        <v>1.6</v>
      </c>
      <c r="C339" s="357">
        <v>0.6</v>
      </c>
    </row>
    <row r="340" spans="1:3" s="355" customFormat="1" ht="15" customHeight="1">
      <c r="A340" s="355" t="s">
        <v>1708</v>
      </c>
      <c r="B340" s="357">
        <v>6.2</v>
      </c>
      <c r="C340" s="357">
        <v>0.7</v>
      </c>
    </row>
    <row r="341" spans="1:3" s="355" customFormat="1" ht="15" customHeight="1">
      <c r="A341" s="355" t="s">
        <v>1709</v>
      </c>
      <c r="B341" s="357">
        <v>6.8000000000000007</v>
      </c>
      <c r="C341" s="357">
        <v>3.5</v>
      </c>
    </row>
    <row r="342" spans="1:3" s="355" customFormat="1" ht="15" customHeight="1">
      <c r="A342" s="355" t="s">
        <v>1710</v>
      </c>
      <c r="B342" s="357">
        <v>2</v>
      </c>
      <c r="C342" s="357">
        <v>0</v>
      </c>
    </row>
    <row r="343" spans="1:3" s="355" customFormat="1" ht="15" customHeight="1">
      <c r="A343" s="355" t="s">
        <v>1711</v>
      </c>
      <c r="B343" s="357">
        <v>6.9</v>
      </c>
      <c r="C343" s="357">
        <v>1.5</v>
      </c>
    </row>
    <row r="344" spans="1:3" s="355" customFormat="1" ht="15" customHeight="1">
      <c r="A344" s="355" t="s">
        <v>1712</v>
      </c>
      <c r="B344" s="357">
        <v>2.5</v>
      </c>
      <c r="C344" s="357">
        <v>0.5</v>
      </c>
    </row>
    <row r="345" spans="1:3" s="355" customFormat="1" ht="15" customHeight="1">
      <c r="A345" s="355" t="s">
        <v>1713</v>
      </c>
      <c r="B345" s="357">
        <v>1.8</v>
      </c>
      <c r="C345" s="357">
        <v>1.1000000000000001</v>
      </c>
    </row>
    <row r="346" spans="1:3" s="355" customFormat="1" ht="15" customHeight="1">
      <c r="A346" s="355" t="s">
        <v>1714</v>
      </c>
      <c r="B346" s="357">
        <v>14.899999999999999</v>
      </c>
      <c r="C346" s="357">
        <v>6.3</v>
      </c>
    </row>
    <row r="347" spans="1:3" s="355" customFormat="1" ht="15" customHeight="1">
      <c r="A347" s="355" t="s">
        <v>1715</v>
      </c>
      <c r="B347" s="357">
        <v>7.1</v>
      </c>
      <c r="C347" s="357">
        <v>2.9000000000000004</v>
      </c>
    </row>
    <row r="348" spans="1:3" s="355" customFormat="1" ht="15" customHeight="1">
      <c r="A348" s="355" t="s">
        <v>1716</v>
      </c>
      <c r="B348" s="357">
        <v>10.9</v>
      </c>
      <c r="C348" s="357">
        <v>3.5</v>
      </c>
    </row>
    <row r="349" spans="1:3" s="355" customFormat="1" ht="15" customHeight="1">
      <c r="A349" s="355" t="s">
        <v>1717</v>
      </c>
      <c r="B349" s="357">
        <v>1.2</v>
      </c>
      <c r="C349" s="357">
        <v>0.89999999999999991</v>
      </c>
    </row>
    <row r="350" spans="1:3" s="355" customFormat="1" ht="15" customHeight="1">
      <c r="A350" s="355" t="s">
        <v>1718</v>
      </c>
      <c r="B350" s="357">
        <v>2.1</v>
      </c>
      <c r="C350" s="357">
        <v>0.2</v>
      </c>
    </row>
    <row r="351" spans="1:3" s="355" customFormat="1" ht="15" customHeight="1">
      <c r="A351" s="355" t="s">
        <v>1719</v>
      </c>
      <c r="B351" s="357">
        <v>6.2</v>
      </c>
      <c r="C351" s="357">
        <v>2.2000000000000002</v>
      </c>
    </row>
    <row r="352" spans="1:3" s="355" customFormat="1" ht="15" customHeight="1">
      <c r="A352" s="355" t="s">
        <v>1720</v>
      </c>
      <c r="B352" s="357">
        <v>1.2</v>
      </c>
      <c r="C352" s="357">
        <v>0.5</v>
      </c>
    </row>
    <row r="353" spans="1:3" s="355" customFormat="1" ht="15" customHeight="1">
      <c r="A353" s="355" t="s">
        <v>1721</v>
      </c>
      <c r="B353" s="357">
        <v>10.9</v>
      </c>
      <c r="C353" s="357">
        <v>3.0999999999999996</v>
      </c>
    </row>
    <row r="354" spans="1:3" s="355" customFormat="1" ht="15" customHeight="1">
      <c r="A354" s="355" t="s">
        <v>1722</v>
      </c>
      <c r="B354" s="357">
        <v>6.5</v>
      </c>
      <c r="C354" s="357">
        <v>2.8000000000000003</v>
      </c>
    </row>
    <row r="355" spans="1:3" s="355" customFormat="1" ht="15" customHeight="1">
      <c r="A355" s="355" t="s">
        <v>1723</v>
      </c>
      <c r="B355" s="357">
        <v>0.8</v>
      </c>
      <c r="C355" s="357">
        <v>0.1</v>
      </c>
    </row>
    <row r="356" spans="1:3" s="355" customFormat="1" ht="15" customHeight="1">
      <c r="A356" s="355" t="s">
        <v>1724</v>
      </c>
      <c r="B356" s="357">
        <v>28.1</v>
      </c>
      <c r="C356" s="357">
        <v>15.299999999999999</v>
      </c>
    </row>
    <row r="357" spans="1:3" s="355" customFormat="1" ht="15" customHeight="1">
      <c r="A357" s="355" t="s">
        <v>1725</v>
      </c>
      <c r="B357" s="357">
        <v>38.9</v>
      </c>
      <c r="C357" s="357">
        <v>4.5999999999999996</v>
      </c>
    </row>
    <row r="358" spans="1:3" s="355" customFormat="1" ht="15" customHeight="1">
      <c r="A358" s="355" t="s">
        <v>1726</v>
      </c>
      <c r="B358" s="357">
        <v>93.1</v>
      </c>
      <c r="C358" s="357">
        <v>79.099999999999994</v>
      </c>
    </row>
    <row r="359" spans="1:3" s="355" customFormat="1" ht="15" customHeight="1">
      <c r="A359" s="355" t="s">
        <v>1727</v>
      </c>
      <c r="B359" s="357">
        <v>3.8000000000000003</v>
      </c>
      <c r="C359" s="357">
        <v>1.1000000000000001</v>
      </c>
    </row>
    <row r="360" spans="1:3" s="355" customFormat="1" ht="15" customHeight="1">
      <c r="A360" s="355" t="s">
        <v>1728</v>
      </c>
      <c r="B360" s="357">
        <v>9.8000000000000007</v>
      </c>
      <c r="C360" s="357">
        <v>10.199999999999999</v>
      </c>
    </row>
    <row r="361" spans="1:3" s="355" customFormat="1" ht="15" customHeight="1">
      <c r="A361" s="355" t="s">
        <v>1729</v>
      </c>
      <c r="B361" s="357">
        <v>18.600000000000001</v>
      </c>
      <c r="C361" s="357">
        <v>15</v>
      </c>
    </row>
    <row r="362" spans="1:3" s="355" customFormat="1" ht="15" customHeight="1">
      <c r="A362" s="355" t="s">
        <v>1730</v>
      </c>
      <c r="B362" s="357">
        <v>66.2</v>
      </c>
      <c r="C362" s="357">
        <v>61</v>
      </c>
    </row>
    <row r="363" spans="1:3" s="355" customFormat="1" ht="15" customHeight="1">
      <c r="A363" s="355" t="s">
        <v>1731</v>
      </c>
      <c r="B363" s="357">
        <v>22.1</v>
      </c>
      <c r="C363" s="357">
        <v>14.6</v>
      </c>
    </row>
    <row r="364" spans="1:3" s="355" customFormat="1" ht="15" customHeight="1">
      <c r="A364" s="355" t="s">
        <v>1732</v>
      </c>
      <c r="B364" s="357">
        <v>4.5</v>
      </c>
      <c r="C364" s="357">
        <v>17.700000000000003</v>
      </c>
    </row>
    <row r="365" spans="1:3" s="355" customFormat="1" ht="15" customHeight="1">
      <c r="A365" s="355" t="s">
        <v>1733</v>
      </c>
      <c r="B365" s="357">
        <v>56.6</v>
      </c>
      <c r="C365" s="357">
        <v>141.19999999999999</v>
      </c>
    </row>
    <row r="366" spans="1:3" s="355" customFormat="1" ht="15" customHeight="1">
      <c r="A366" s="355" t="s">
        <v>1734</v>
      </c>
      <c r="B366" s="357">
        <v>0.5</v>
      </c>
      <c r="C366" s="357">
        <v>1</v>
      </c>
    </row>
    <row r="367" spans="1:3" s="355" customFormat="1" ht="15" customHeight="1">
      <c r="A367" s="355" t="s">
        <v>1735</v>
      </c>
      <c r="B367" s="357">
        <v>42.9</v>
      </c>
      <c r="C367" s="357">
        <v>18.399999999999999</v>
      </c>
    </row>
    <row r="368" spans="1:3" s="355" customFormat="1" ht="15" customHeight="1">
      <c r="A368" s="355" t="s">
        <v>1736</v>
      </c>
      <c r="B368" s="357">
        <v>678.5</v>
      </c>
      <c r="C368" s="357">
        <v>975.1</v>
      </c>
    </row>
    <row r="369" spans="1:3" s="355" customFormat="1" ht="15" customHeight="1">
      <c r="A369" s="355" t="s">
        <v>1737</v>
      </c>
      <c r="B369" s="357">
        <v>0.1</v>
      </c>
      <c r="C369" s="357">
        <v>0</v>
      </c>
    </row>
    <row r="370" spans="1:3" s="355" customFormat="1" ht="15" customHeight="1">
      <c r="A370" s="355" t="s">
        <v>1738</v>
      </c>
      <c r="B370" s="357">
        <v>44.9</v>
      </c>
      <c r="C370" s="357">
        <v>5.8000000000000007</v>
      </c>
    </row>
    <row r="371" spans="1:3" s="355" customFormat="1" ht="15" customHeight="1">
      <c r="A371" s="355" t="s">
        <v>1739</v>
      </c>
      <c r="B371" s="357">
        <v>52.5</v>
      </c>
      <c r="C371" s="357">
        <v>83.1</v>
      </c>
    </row>
    <row r="372" spans="1:3" s="355" customFormat="1" ht="15" customHeight="1">
      <c r="A372" s="355" t="s">
        <v>1740</v>
      </c>
      <c r="B372" s="357">
        <v>10.5</v>
      </c>
      <c r="C372" s="357">
        <v>31.1</v>
      </c>
    </row>
    <row r="373" spans="1:3" s="355" customFormat="1" ht="15" customHeight="1">
      <c r="A373" s="355" t="s">
        <v>1741</v>
      </c>
      <c r="B373" s="357">
        <v>0.1</v>
      </c>
      <c r="C373" s="357">
        <v>7.5</v>
      </c>
    </row>
    <row r="374" spans="1:3" s="355" customFormat="1" ht="15" customHeight="1">
      <c r="A374" s="355" t="s">
        <v>1742</v>
      </c>
      <c r="B374" s="357">
        <v>0.6</v>
      </c>
      <c r="C374" s="357">
        <v>0</v>
      </c>
    </row>
    <row r="375" spans="1:3" s="355" customFormat="1" ht="15" customHeight="1">
      <c r="A375" s="355" t="s">
        <v>1743</v>
      </c>
      <c r="B375" s="357">
        <v>1.2</v>
      </c>
      <c r="C375" s="357">
        <v>0.5</v>
      </c>
    </row>
    <row r="376" spans="1:3" s="355" customFormat="1" ht="15" customHeight="1">
      <c r="A376" s="355" t="s">
        <v>1744</v>
      </c>
      <c r="B376" s="357">
        <v>1.1000000000000001</v>
      </c>
      <c r="C376" s="357">
        <v>2.5</v>
      </c>
    </row>
    <row r="377" spans="1:3" s="355" customFormat="1" ht="15" customHeight="1">
      <c r="A377" s="355" t="s">
        <v>1745</v>
      </c>
      <c r="B377" s="357">
        <v>4.8</v>
      </c>
      <c r="C377" s="357">
        <v>1.7</v>
      </c>
    </row>
    <row r="378" spans="1:3" s="355" customFormat="1" ht="15" customHeight="1">
      <c r="A378" s="355" t="s">
        <v>1746</v>
      </c>
      <c r="B378" s="357">
        <v>0.5</v>
      </c>
      <c r="C378" s="357">
        <v>1.4</v>
      </c>
    </row>
    <row r="379" spans="1:3" s="355" customFormat="1" ht="15" customHeight="1">
      <c r="A379" s="355" t="s">
        <v>1747</v>
      </c>
      <c r="B379" s="357">
        <v>2.2999999999999998</v>
      </c>
      <c r="C379" s="357">
        <v>8</v>
      </c>
    </row>
    <row r="380" spans="1:3" s="355" customFormat="1" ht="15" customHeight="1">
      <c r="A380" s="355" t="s">
        <v>1748</v>
      </c>
      <c r="B380" s="357">
        <v>7.9</v>
      </c>
      <c r="C380" s="357">
        <v>8.5</v>
      </c>
    </row>
    <row r="381" spans="1:3" s="355" customFormat="1" ht="15" customHeight="1">
      <c r="A381" s="355" t="s">
        <v>1749</v>
      </c>
      <c r="B381" s="357">
        <v>1</v>
      </c>
      <c r="C381" s="357">
        <v>0.7</v>
      </c>
    </row>
    <row r="382" spans="1:3" s="355" customFormat="1" ht="15" customHeight="1">
      <c r="A382" s="355" t="s">
        <v>1750</v>
      </c>
      <c r="B382" s="357">
        <v>1.9</v>
      </c>
      <c r="C382" s="357">
        <v>2.2000000000000002</v>
      </c>
    </row>
    <row r="383" spans="1:3" s="355" customFormat="1" ht="15" customHeight="1">
      <c r="A383" s="355" t="s">
        <v>1751</v>
      </c>
      <c r="B383" s="357">
        <v>6.1</v>
      </c>
      <c r="C383" s="357">
        <v>5.2</v>
      </c>
    </row>
    <row r="384" spans="1:3" s="355" customFormat="1" ht="15" customHeight="1">
      <c r="A384" s="355" t="s">
        <v>1752</v>
      </c>
      <c r="B384" s="357">
        <v>5.2</v>
      </c>
      <c r="C384" s="357">
        <v>0</v>
      </c>
    </row>
    <row r="385" spans="1:3" s="355" customFormat="1" ht="15" customHeight="1">
      <c r="A385" s="355" t="s">
        <v>1753</v>
      </c>
      <c r="B385" s="357">
        <v>4.5999999999999996</v>
      </c>
      <c r="C385" s="357">
        <v>0.6</v>
      </c>
    </row>
    <row r="386" spans="1:3" s="355" customFormat="1" ht="15" customHeight="1">
      <c r="A386" s="355" t="s">
        <v>1754</v>
      </c>
      <c r="B386" s="357">
        <v>5.0999999999999996</v>
      </c>
      <c r="C386" s="357">
        <v>14.4</v>
      </c>
    </row>
    <row r="387" spans="1:3" s="355" customFormat="1" ht="15" customHeight="1">
      <c r="A387" s="355" t="s">
        <v>1755</v>
      </c>
      <c r="B387" s="357">
        <v>0.3</v>
      </c>
      <c r="C387" s="357">
        <v>0.2</v>
      </c>
    </row>
    <row r="388" spans="1:3" s="355" customFormat="1" ht="15" customHeight="1">
      <c r="A388" s="355" t="s">
        <v>1756</v>
      </c>
      <c r="B388" s="357">
        <v>0.3</v>
      </c>
      <c r="C388" s="357">
        <v>2.2999999999999998</v>
      </c>
    </row>
    <row r="389" spans="1:3" s="355" customFormat="1" ht="15" customHeight="1">
      <c r="A389" s="355" t="s">
        <v>1757</v>
      </c>
      <c r="B389" s="357">
        <v>5.4</v>
      </c>
      <c r="C389" s="357">
        <v>16.7</v>
      </c>
    </row>
    <row r="390" spans="1:3" s="355" customFormat="1" ht="15" customHeight="1">
      <c r="A390" s="355" t="s">
        <v>1758</v>
      </c>
      <c r="B390" s="357">
        <v>0.2</v>
      </c>
      <c r="C390" s="357">
        <v>1.2</v>
      </c>
    </row>
    <row r="391" spans="1:3" s="355" customFormat="1" ht="15" customHeight="1">
      <c r="A391" s="355" t="s">
        <v>1759</v>
      </c>
      <c r="B391" s="357">
        <v>0.9</v>
      </c>
      <c r="C391" s="357">
        <v>2.9</v>
      </c>
    </row>
    <row r="392" spans="1:3" s="355" customFormat="1" ht="15" customHeight="1">
      <c r="A392" s="355" t="s">
        <v>1760</v>
      </c>
      <c r="B392" s="357">
        <v>0.2</v>
      </c>
      <c r="C392" s="357">
        <v>0.4</v>
      </c>
    </row>
    <row r="393" spans="1:3" s="355" customFormat="1" ht="15" customHeight="1">
      <c r="A393" s="355" t="s">
        <v>1761</v>
      </c>
      <c r="B393" s="357">
        <v>1.3</v>
      </c>
      <c r="C393" s="357">
        <v>0.7</v>
      </c>
    </row>
    <row r="394" spans="1:3" s="355" customFormat="1" ht="15" customHeight="1">
      <c r="A394" s="355" t="s">
        <v>1762</v>
      </c>
      <c r="B394" s="357">
        <v>1.4</v>
      </c>
      <c r="C394" s="357">
        <v>0.1</v>
      </c>
    </row>
    <row r="395" spans="1:3" s="355" customFormat="1" ht="15" customHeight="1">
      <c r="A395" s="355" t="s">
        <v>1763</v>
      </c>
      <c r="B395" s="357">
        <v>0.2</v>
      </c>
      <c r="C395" s="357">
        <v>0.8</v>
      </c>
    </row>
    <row r="396" spans="1:3" s="355" customFormat="1" ht="15" customHeight="1">
      <c r="A396" s="355" t="s">
        <v>1764</v>
      </c>
      <c r="B396" s="357">
        <v>9.1</v>
      </c>
      <c r="C396" s="357">
        <v>10.1</v>
      </c>
    </row>
    <row r="397" spans="1:3" s="355" customFormat="1" ht="15" customHeight="1">
      <c r="A397" s="355" t="s">
        <v>1765</v>
      </c>
      <c r="B397" s="357">
        <v>1.5</v>
      </c>
      <c r="C397" s="357">
        <v>0.1</v>
      </c>
    </row>
    <row r="398" spans="1:3" s="355" customFormat="1" ht="15" customHeight="1">
      <c r="A398" s="355" t="s">
        <v>1766</v>
      </c>
      <c r="B398" s="357">
        <v>3.2</v>
      </c>
      <c r="C398" s="357">
        <v>1.4</v>
      </c>
    </row>
    <row r="399" spans="1:3" s="355" customFormat="1" ht="15" customHeight="1">
      <c r="A399" s="355" t="s">
        <v>1767</v>
      </c>
      <c r="B399" s="357">
        <v>0.3</v>
      </c>
      <c r="C399" s="357">
        <v>2.1</v>
      </c>
    </row>
    <row r="400" spans="1:3" s="355" customFormat="1" ht="15" customHeight="1">
      <c r="A400" s="355" t="s">
        <v>1768</v>
      </c>
      <c r="B400" s="357">
        <v>1.1000000000000001</v>
      </c>
      <c r="C400" s="357">
        <v>1.7</v>
      </c>
    </row>
    <row r="401" spans="1:3" s="355" customFormat="1" ht="15" customHeight="1">
      <c r="A401" s="355" t="s">
        <v>1769</v>
      </c>
      <c r="B401" s="357">
        <v>2.6</v>
      </c>
      <c r="C401" s="357">
        <v>4.6999999999999993</v>
      </c>
    </row>
    <row r="402" spans="1:3" s="355" customFormat="1" ht="15" customHeight="1">
      <c r="A402" s="355" t="s">
        <v>1770</v>
      </c>
      <c r="B402" s="357">
        <v>0.4</v>
      </c>
      <c r="C402" s="357">
        <v>1.5</v>
      </c>
    </row>
    <row r="403" spans="1:3" s="355" customFormat="1" ht="15" customHeight="1">
      <c r="A403" s="355" t="s">
        <v>1771</v>
      </c>
      <c r="B403" s="357">
        <v>9.1</v>
      </c>
      <c r="C403" s="357">
        <v>1.6</v>
      </c>
    </row>
    <row r="404" spans="1:3" s="355" customFormat="1" ht="15" customHeight="1">
      <c r="A404" s="355" t="s">
        <v>1772</v>
      </c>
      <c r="B404" s="357">
        <v>1.2</v>
      </c>
      <c r="C404" s="357">
        <v>5.1999999999999993</v>
      </c>
    </row>
    <row r="405" spans="1:3" s="355" customFormat="1" ht="15" customHeight="1">
      <c r="A405" s="355" t="s">
        <v>1773</v>
      </c>
      <c r="B405" s="357">
        <v>0.5</v>
      </c>
      <c r="C405" s="357">
        <v>0.30000000000000004</v>
      </c>
    </row>
    <row r="406" spans="1:3" s="355" customFormat="1" ht="15" customHeight="1">
      <c r="A406" s="355" t="s">
        <v>1774</v>
      </c>
      <c r="B406" s="357">
        <v>9.3999999999999986</v>
      </c>
      <c r="C406" s="357">
        <v>2.5</v>
      </c>
    </row>
    <row r="407" spans="1:3" s="355" customFormat="1" ht="15" customHeight="1">
      <c r="A407" s="355" t="s">
        <v>1775</v>
      </c>
      <c r="B407" s="357">
        <v>17.399999999999999</v>
      </c>
      <c r="C407" s="357">
        <v>3.3</v>
      </c>
    </row>
    <row r="408" spans="1:3" s="355" customFormat="1" ht="15" customHeight="1">
      <c r="A408" s="355" t="s">
        <v>1776</v>
      </c>
      <c r="B408" s="357">
        <v>103.5</v>
      </c>
      <c r="C408" s="357">
        <v>141</v>
      </c>
    </row>
    <row r="409" spans="1:3" s="355" customFormat="1" ht="15" customHeight="1">
      <c r="A409" s="355" t="s">
        <v>1777</v>
      </c>
      <c r="B409" s="357">
        <v>2.7</v>
      </c>
      <c r="C409" s="357">
        <v>1.5</v>
      </c>
    </row>
    <row r="410" spans="1:3" s="355" customFormat="1" ht="15" customHeight="1">
      <c r="A410" s="355" t="s">
        <v>1778</v>
      </c>
      <c r="B410" s="357">
        <v>11.100000000000001</v>
      </c>
      <c r="C410" s="357">
        <v>19.7</v>
      </c>
    </row>
    <row r="411" spans="1:3" s="355" customFormat="1" ht="15" customHeight="1">
      <c r="A411" s="355" t="s">
        <v>1779</v>
      </c>
      <c r="B411" s="357">
        <v>12</v>
      </c>
      <c r="C411" s="357">
        <v>11.3</v>
      </c>
    </row>
    <row r="412" spans="1:3" s="355" customFormat="1" ht="15" customHeight="1">
      <c r="A412" s="355" t="s">
        <v>1780</v>
      </c>
      <c r="B412" s="357">
        <v>211</v>
      </c>
      <c r="C412" s="357">
        <v>351.7</v>
      </c>
    </row>
    <row r="413" spans="1:3" s="355" customFormat="1" ht="15" customHeight="1">
      <c r="A413" s="355" t="s">
        <v>1781</v>
      </c>
      <c r="B413" s="357">
        <v>77.599999999999994</v>
      </c>
      <c r="C413" s="357">
        <v>75</v>
      </c>
    </row>
    <row r="414" spans="1:3" s="355" customFormat="1" ht="15" customHeight="1">
      <c r="A414" s="355" t="s">
        <v>1782</v>
      </c>
      <c r="B414" s="357">
        <v>32.799999999999997</v>
      </c>
      <c r="C414" s="357">
        <v>40.200000000000003</v>
      </c>
    </row>
    <row r="415" spans="1:3" s="355" customFormat="1" ht="15" customHeight="1">
      <c r="A415" s="355" t="s">
        <v>1783</v>
      </c>
      <c r="B415" s="357">
        <v>72.8</v>
      </c>
      <c r="C415" s="357">
        <v>204.2</v>
      </c>
    </row>
    <row r="416" spans="1:3" s="355" customFormat="1" ht="15" customHeight="1">
      <c r="A416" s="355" t="s">
        <v>1784</v>
      </c>
      <c r="B416" s="357">
        <v>0.4</v>
      </c>
      <c r="C416" s="357">
        <v>0.30000000000000004</v>
      </c>
    </row>
    <row r="417" spans="1:3" s="355" customFormat="1" ht="15" customHeight="1">
      <c r="A417" s="355" t="s">
        <v>1785</v>
      </c>
      <c r="B417" s="357">
        <v>29.9</v>
      </c>
      <c r="C417" s="357">
        <v>35.200000000000003</v>
      </c>
    </row>
    <row r="418" spans="1:3" ht="15" customHeight="1"/>
    <row r="419" spans="1:3" ht="15" customHeight="1"/>
    <row r="420" spans="1:3" ht="15" customHeight="1"/>
    <row r="421" spans="1:3" ht="15" customHeight="1"/>
    <row r="422" spans="1:3" ht="15" customHeight="1"/>
    <row r="423" spans="1:3" ht="15" customHeight="1"/>
    <row r="424" spans="1:3" ht="15" customHeight="1"/>
    <row r="425" spans="1:3" ht="15" customHeight="1"/>
    <row r="426" spans="1:3" ht="15" customHeight="1"/>
    <row r="427" spans="1:3" ht="15" customHeight="1"/>
    <row r="428" spans="1:3" ht="15" customHeight="1"/>
    <row r="429" spans="1:3" ht="15" customHeight="1"/>
    <row r="430" spans="1:3" ht="15" customHeight="1"/>
    <row r="431" spans="1:3" ht="15" customHeight="1"/>
    <row r="432" spans="1:3"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sheetData>
  <sheetProtection algorithmName="SHA-512" hashValue="zgi/RQQx0LGFEyZ5YeVj2qtQ/xMLdHHHGqjTp8vAe+GJP5Ll+jqoUESlWF0YTq34UdjsBgGYjubiEmiBzkZ0OA==" saltValue="/Xd0FAAfO+VxewMRPvySNA==" spinCount="100000" sheet="1" objects="1" scenarios="1" selectLockedCells="1" selectUnlockedCells="1"/>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A56A9-D67C-B240-A559-22AECA2925AF}">
  <dimension ref="A2:S27"/>
  <sheetViews>
    <sheetView topLeftCell="XFD1" zoomScaleNormal="100" workbookViewId="0">
      <selection sqref="A1:XFD1048576"/>
    </sheetView>
  </sheetViews>
  <sheetFormatPr defaultColWidth="0" defaultRowHeight="13.15" customHeight="1"/>
  <cols>
    <col min="1" max="11" width="7.5546875" style="346" hidden="1" customWidth="1"/>
    <col min="12" max="12" width="7.5546875" style="347" hidden="1" customWidth="1"/>
    <col min="13" max="13" width="7.5546875" style="346" hidden="1" customWidth="1"/>
    <col min="14" max="16" width="7.5546875" style="347" hidden="1" customWidth="1"/>
    <col min="17" max="17" width="7.5546875" style="346" hidden="1" customWidth="1"/>
    <col min="18" max="16384" width="7.5546875" style="347" hidden="1"/>
  </cols>
  <sheetData>
    <row r="2" spans="1:19" ht="13.15" customHeight="1">
      <c r="A2" s="346" t="s">
        <v>23</v>
      </c>
      <c r="B2" s="346" t="s">
        <v>21</v>
      </c>
      <c r="D2" s="346" t="s">
        <v>43</v>
      </c>
      <c r="E2" s="346" t="s">
        <v>43</v>
      </c>
      <c r="G2" s="346" t="s">
        <v>3</v>
      </c>
      <c r="H2" s="969" t="s">
        <v>4</v>
      </c>
      <c r="I2" s="969"/>
      <c r="J2" s="346" t="s">
        <v>17</v>
      </c>
      <c r="K2" s="346" t="s">
        <v>36</v>
      </c>
      <c r="L2" s="347" t="s">
        <v>4663</v>
      </c>
      <c r="M2" s="346" t="s">
        <v>41</v>
      </c>
      <c r="N2" s="347" t="s">
        <v>105</v>
      </c>
      <c r="O2" s="347" t="s">
        <v>113</v>
      </c>
      <c r="P2" s="347" t="s">
        <v>121</v>
      </c>
      <c r="Q2" s="346" t="s">
        <v>181</v>
      </c>
      <c r="R2" s="347" t="s">
        <v>1256</v>
      </c>
      <c r="S2" s="347" t="s">
        <v>1277</v>
      </c>
    </row>
    <row r="4" spans="1:19" ht="16.149999999999999" customHeight="1">
      <c r="A4" s="348" t="s">
        <v>1364</v>
      </c>
      <c r="B4" s="348" t="s">
        <v>85</v>
      </c>
      <c r="C4" s="349"/>
      <c r="D4" s="346" t="s">
        <v>61</v>
      </c>
      <c r="E4" s="346" t="str">
        <f>IF(入力シート!$J$9=入力リスト!$B$7,入力リスト!D4,"")</f>
        <v/>
      </c>
      <c r="F4" s="346">
        <v>9</v>
      </c>
      <c r="G4" s="346" t="s">
        <v>14</v>
      </c>
      <c r="H4" s="346">
        <v>0</v>
      </c>
      <c r="I4" s="346" t="s">
        <v>0</v>
      </c>
      <c r="J4" s="346" t="str">
        <f>IF(OR(入力シート!C5="",入力シート!C5=入力リスト!$N$5),"","部長級")</f>
        <v/>
      </c>
      <c r="K4" s="346" t="s">
        <v>108</v>
      </c>
      <c r="L4" s="360" t="s">
        <v>4664</v>
      </c>
      <c r="M4" s="346" t="s">
        <v>24</v>
      </c>
      <c r="N4" s="347" t="s">
        <v>107</v>
      </c>
      <c r="O4" s="347" t="s">
        <v>177</v>
      </c>
      <c r="P4" s="347" t="s">
        <v>469</v>
      </c>
      <c r="Q4" s="346" t="s">
        <v>194</v>
      </c>
      <c r="R4" s="347" t="s">
        <v>1257</v>
      </c>
      <c r="S4" s="347" t="s">
        <v>166</v>
      </c>
    </row>
    <row r="5" spans="1:19" ht="16.149999999999999" customHeight="1">
      <c r="A5" s="348" t="s">
        <v>2</v>
      </c>
      <c r="B5" s="348" t="s">
        <v>44</v>
      </c>
      <c r="C5" s="349" t="s">
        <v>200</v>
      </c>
      <c r="D5" s="346" t="s">
        <v>62</v>
      </c>
      <c r="E5" s="346" t="str">
        <f>IF(入力シート!$J$9=入力リスト!$B$7,入力リスト!D5,"")</f>
        <v/>
      </c>
      <c r="F5" s="346">
        <v>10</v>
      </c>
      <c r="G5" s="346" t="s">
        <v>20</v>
      </c>
      <c r="H5" s="346">
        <v>1</v>
      </c>
      <c r="I5" s="346" t="s">
        <v>4656</v>
      </c>
      <c r="J5" s="346" t="str">
        <f>IF(OR(入力シート!C5="",入力シート!C5=入力リスト!$N$5),"","課長級")</f>
        <v/>
      </c>
      <c r="K5" s="350" t="s">
        <v>118</v>
      </c>
      <c r="L5" s="360" t="s">
        <v>4665</v>
      </c>
      <c r="M5" s="346" t="s">
        <v>25</v>
      </c>
      <c r="N5" s="351" t="s">
        <v>106</v>
      </c>
      <c r="O5" s="352" t="s">
        <v>114</v>
      </c>
    </row>
    <row r="6" spans="1:19" ht="16.149999999999999" customHeight="1">
      <c r="A6" s="348" t="s">
        <v>4653</v>
      </c>
      <c r="B6" s="348" t="s">
        <v>45</v>
      </c>
      <c r="C6" s="349" t="s">
        <v>201</v>
      </c>
      <c r="D6" s="346" t="s">
        <v>63</v>
      </c>
      <c r="E6" s="346" t="str">
        <f>IF(入力シート!$J$9=入力リスト!$B$7,入力リスト!D6,"")</f>
        <v/>
      </c>
      <c r="F6" s="346">
        <v>11</v>
      </c>
      <c r="H6" s="346">
        <v>3</v>
      </c>
      <c r="I6" s="346" t="s">
        <v>4657</v>
      </c>
      <c r="J6" s="346" t="str">
        <f>IF(OR(入力シート!C5="",入力シート!C5=入力リスト!$N$5),"","係長級")</f>
        <v/>
      </c>
      <c r="L6" s="360"/>
    </row>
    <row r="7" spans="1:19" ht="16.149999999999999" customHeight="1">
      <c r="A7" s="348" t="s">
        <v>4654</v>
      </c>
      <c r="B7" s="348" t="s">
        <v>46</v>
      </c>
      <c r="C7" s="349" t="s">
        <v>202</v>
      </c>
      <c r="D7" s="346" t="s">
        <v>64</v>
      </c>
      <c r="E7" s="346" t="str">
        <f>IF(入力シート!$J$9=入力リスト!$B$7,入力リスト!D7,"")</f>
        <v/>
      </c>
      <c r="F7" s="346">
        <v>12</v>
      </c>
      <c r="H7" s="346">
        <v>5</v>
      </c>
      <c r="I7" s="346" t="s">
        <v>4658</v>
      </c>
      <c r="J7" s="346" t="s">
        <v>37</v>
      </c>
    </row>
    <row r="8" spans="1:19" ht="16.149999999999999" customHeight="1">
      <c r="A8" s="348" t="s">
        <v>4655</v>
      </c>
      <c r="B8" s="348" t="s">
        <v>47</v>
      </c>
      <c r="C8" s="349" t="s">
        <v>203</v>
      </c>
      <c r="D8" s="346" t="s">
        <v>65</v>
      </c>
      <c r="E8" s="346" t="str">
        <f>IF(入力シート!$J$9=入力リスト!$B$7,入力リスト!D8,"")</f>
        <v/>
      </c>
      <c r="F8" s="346">
        <v>13</v>
      </c>
      <c r="H8" s="346">
        <v>10</v>
      </c>
      <c r="I8" s="346" t="s">
        <v>4659</v>
      </c>
    </row>
    <row r="9" spans="1:19" ht="16.149999999999999" customHeight="1">
      <c r="A9" s="348"/>
      <c r="B9" s="348" t="s">
        <v>48</v>
      </c>
      <c r="C9" s="349" t="s">
        <v>204</v>
      </c>
      <c r="D9" s="346" t="s">
        <v>66</v>
      </c>
      <c r="E9" s="346" t="str">
        <f>IF(入力シート!$J$9=入力リスト!$B$7,入力リスト!D9,"")</f>
        <v/>
      </c>
      <c r="F9" s="346">
        <v>14</v>
      </c>
      <c r="H9" s="346">
        <v>15</v>
      </c>
      <c r="I9" s="346" t="s">
        <v>4660</v>
      </c>
    </row>
    <row r="10" spans="1:19" ht="16.149999999999999" customHeight="1">
      <c r="B10" s="348" t="s">
        <v>49</v>
      </c>
      <c r="C10" s="349" t="s">
        <v>205</v>
      </c>
      <c r="D10" s="346" t="s">
        <v>67</v>
      </c>
      <c r="E10" s="346" t="str">
        <f>IF(入力シート!$J$9=入力リスト!$B$7,入力リスト!D10,"")</f>
        <v/>
      </c>
      <c r="F10" s="346">
        <v>15</v>
      </c>
      <c r="H10" s="346">
        <v>20</v>
      </c>
      <c r="I10" s="346" t="s">
        <v>4661</v>
      </c>
    </row>
    <row r="11" spans="1:19" ht="16.149999999999999" customHeight="1">
      <c r="B11" s="348" t="s">
        <v>50</v>
      </c>
      <c r="C11" s="349" t="s">
        <v>206</v>
      </c>
      <c r="D11" s="346" t="s">
        <v>68</v>
      </c>
      <c r="E11" s="346" t="str">
        <f>IF(入力シート!$J$9=入力リスト!$B$7,入力リスト!D11,"")</f>
        <v/>
      </c>
      <c r="F11" s="346">
        <v>16</v>
      </c>
      <c r="H11" s="346">
        <v>25</v>
      </c>
      <c r="I11" s="346" t="s">
        <v>4662</v>
      </c>
    </row>
    <row r="12" spans="1:19" ht="16.149999999999999" customHeight="1">
      <c r="B12" s="348" t="s">
        <v>51</v>
      </c>
      <c r="C12" s="349" t="s">
        <v>207</v>
      </c>
      <c r="D12" s="346" t="s">
        <v>69</v>
      </c>
      <c r="E12" s="346" t="str">
        <f>IF(入力シート!$J$9=入力リスト!$B$7,入力リスト!D12,"")</f>
        <v/>
      </c>
      <c r="F12" s="346">
        <v>17</v>
      </c>
      <c r="H12" s="346">
        <v>30</v>
      </c>
      <c r="I12" s="346" t="s">
        <v>1</v>
      </c>
    </row>
    <row r="13" spans="1:19" ht="16.149999999999999" customHeight="1">
      <c r="B13" s="348" t="s">
        <v>52</v>
      </c>
      <c r="C13" s="349" t="s">
        <v>208</v>
      </c>
      <c r="D13" s="346" t="s">
        <v>70</v>
      </c>
      <c r="E13" s="346" t="str">
        <f>IF(入力シート!$J$9=入力リスト!$B$7,入力リスト!D13,"")</f>
        <v/>
      </c>
      <c r="F13" s="346">
        <v>18</v>
      </c>
    </row>
    <row r="14" spans="1:19" ht="16.149999999999999" customHeight="1">
      <c r="B14" s="348" t="s">
        <v>53</v>
      </c>
      <c r="C14" s="349" t="s">
        <v>209</v>
      </c>
      <c r="D14" s="346" t="s">
        <v>71</v>
      </c>
      <c r="E14" s="346" t="str">
        <f>IF(入力シート!$J$9=入力リスト!$B$7,入力リスト!D14,"")</f>
        <v/>
      </c>
      <c r="F14" s="346">
        <v>19</v>
      </c>
      <c r="J14" s="346" t="str">
        <f>IF(OR(入力シート!C16="",入力シート!C16=入力リスト!$N$5),"","部長級")</f>
        <v>部長級</v>
      </c>
      <c r="K14" s="346">
        <v>101</v>
      </c>
    </row>
    <row r="15" spans="1:19" ht="16.149999999999999" customHeight="1">
      <c r="B15" s="348" t="s">
        <v>54</v>
      </c>
      <c r="C15" s="349" t="s">
        <v>210</v>
      </c>
      <c r="D15" s="346" t="s">
        <v>72</v>
      </c>
      <c r="E15" s="346" t="str">
        <f>IF(入力シート!$J$9=入力リスト!$B$7,入力リスト!D15,"")</f>
        <v/>
      </c>
      <c r="F15" s="346">
        <v>20</v>
      </c>
      <c r="J15" s="346" t="str">
        <f>IF(OR(入力シート!C16="",入力シート!C16=入力リスト!$N$5),"","課長級")</f>
        <v>課長級</v>
      </c>
      <c r="K15" s="346">
        <v>102</v>
      </c>
    </row>
    <row r="16" spans="1:19" ht="16.149999999999999" customHeight="1">
      <c r="B16" s="348" t="s">
        <v>55</v>
      </c>
      <c r="C16" s="349" t="s">
        <v>211</v>
      </c>
      <c r="D16" s="346" t="s">
        <v>73</v>
      </c>
      <c r="E16" s="346" t="str">
        <f>IF(入力シート!$J$9=入力リスト!$B$7,入力リスト!D16,"")</f>
        <v/>
      </c>
      <c r="F16" s="346">
        <v>21</v>
      </c>
      <c r="J16" s="346" t="str">
        <f>IF(OR(入力シート!C16="",入力シート!C16=入力リスト!$N$5),"","係長級")</f>
        <v>係長級</v>
      </c>
      <c r="K16" s="346">
        <v>103</v>
      </c>
    </row>
    <row r="17" spans="1:11" ht="16.149999999999999" customHeight="1">
      <c r="B17" s="348" t="s">
        <v>56</v>
      </c>
      <c r="C17" s="349" t="s">
        <v>212</v>
      </c>
      <c r="D17" s="346" t="s">
        <v>74</v>
      </c>
      <c r="E17" s="346" t="str">
        <f>IF(入力シート!$J$9=入力リスト!$B$7,入力リスト!D17,"")</f>
        <v/>
      </c>
      <c r="F17" s="346">
        <v>22</v>
      </c>
      <c r="J17" s="346" t="s">
        <v>37</v>
      </c>
      <c r="K17" s="346" t="s">
        <v>461</v>
      </c>
    </row>
    <row r="18" spans="1:11" ht="16.149999999999999" customHeight="1">
      <c r="B18" s="348" t="s">
        <v>57</v>
      </c>
      <c r="C18" s="349" t="s">
        <v>213</v>
      </c>
      <c r="D18" s="346" t="s">
        <v>75</v>
      </c>
      <c r="E18" s="346" t="str">
        <f>IF(入力シート!$J$9=入力リスト!$B$7,入力リスト!D18,"")</f>
        <v/>
      </c>
      <c r="F18" s="346">
        <v>23</v>
      </c>
    </row>
    <row r="19" spans="1:11" ht="16.149999999999999" customHeight="1">
      <c r="B19" s="348" t="s">
        <v>58</v>
      </c>
      <c r="C19" s="349" t="s">
        <v>214</v>
      </c>
      <c r="D19" s="346" t="s">
        <v>76</v>
      </c>
      <c r="E19" s="346" t="str">
        <f>IF(入力シート!$J$9=入力リスト!$B$7,入力リスト!D19,"")</f>
        <v/>
      </c>
      <c r="F19" s="346">
        <v>24</v>
      </c>
    </row>
    <row r="20" spans="1:11" ht="16.149999999999999" customHeight="1">
      <c r="B20" s="353" t="s">
        <v>59</v>
      </c>
      <c r="C20" s="349" t="s">
        <v>215</v>
      </c>
      <c r="D20" s="354" t="s">
        <v>77</v>
      </c>
      <c r="E20" s="346" t="str">
        <f>IF(入力シート!$J$9=入力リスト!$B$7,入力リスト!D20,"")</f>
        <v/>
      </c>
      <c r="F20" s="346">
        <v>25</v>
      </c>
    </row>
    <row r="21" spans="1:11" ht="16.149999999999999" customHeight="1">
      <c r="D21" s="346" t="s">
        <v>78</v>
      </c>
      <c r="E21" s="346" t="str">
        <f>IF(入力シート!$J$9=入力リスト!$B$7,入力リスト!D21,"")</f>
        <v/>
      </c>
      <c r="F21" s="346">
        <v>26</v>
      </c>
    </row>
    <row r="22" spans="1:11" ht="16.149999999999999" customHeight="1">
      <c r="A22" s="348"/>
      <c r="D22" s="346" t="s">
        <v>79</v>
      </c>
      <c r="E22" s="346" t="str">
        <f>IF(入力シート!$J$9=入力リスト!$B$7,入力リスト!D22,"")</f>
        <v/>
      </c>
      <c r="F22" s="346">
        <v>27</v>
      </c>
    </row>
    <row r="23" spans="1:11" ht="16.149999999999999" customHeight="1">
      <c r="A23" s="348"/>
      <c r="D23" s="346" t="s">
        <v>80</v>
      </c>
      <c r="E23" s="346" t="str">
        <f>IF(入力シート!$J$9=入力リスト!$B$7,入力リスト!D23,"")</f>
        <v/>
      </c>
      <c r="F23" s="346">
        <v>28</v>
      </c>
    </row>
    <row r="24" spans="1:11" ht="16.149999999999999" customHeight="1">
      <c r="A24" s="348"/>
      <c r="D24" s="346" t="s">
        <v>81</v>
      </c>
      <c r="E24" s="346" t="str">
        <f>IF(入力シート!$J$9=入力リスト!$B$7,入力リスト!D24,"")</f>
        <v/>
      </c>
      <c r="F24" s="346">
        <v>29</v>
      </c>
    </row>
    <row r="25" spans="1:11" ht="16.149999999999999" customHeight="1">
      <c r="A25" s="348"/>
      <c r="D25" s="346" t="s">
        <v>82</v>
      </c>
      <c r="E25" s="346" t="str">
        <f>IF(入力シート!$J$9=入力リスト!$B$7,入力リスト!D25,"")</f>
        <v/>
      </c>
      <c r="F25" s="346">
        <v>30</v>
      </c>
    </row>
    <row r="26" spans="1:11" ht="16.149999999999999" customHeight="1">
      <c r="D26" s="346" t="s">
        <v>83</v>
      </c>
      <c r="E26" s="346" t="str">
        <f>IF(入力シート!$J$9=入力リスト!$B$7,入力リスト!D26,"")</f>
        <v/>
      </c>
      <c r="F26" s="346">
        <v>31</v>
      </c>
    </row>
    <row r="27" spans="1:11" ht="16.149999999999999" customHeight="1">
      <c r="D27" s="346" t="s">
        <v>84</v>
      </c>
      <c r="E27" s="346" t="str">
        <f>IF(入力シート!$J$9=入力リスト!$B$7,入力リスト!D27,"")</f>
        <v/>
      </c>
      <c r="F27" s="346">
        <v>32</v>
      </c>
    </row>
  </sheetData>
  <sheetProtection algorithmName="SHA-512" hashValue="3j2xaWhfKavLt3PpFgt7yrDKmR5aNOEBJnaWUhnHmvwM1IwmSKAKYlKgvdzoguOae9E6sA89Cjw80dqIMJevzA==" saltValue="CwvpWrsuSpdt8IAv5iUWyw==" spinCount="100000" sheet="1" objects="1" scenarios="1" selectLockedCells="1" selectUnlockedCells="1"/>
  <mergeCells count="1">
    <mergeCell ref="H2:I2"/>
  </mergeCells>
  <phoneticPr fontId="3"/>
  <pageMargins left="0.7" right="0.7" top="0.75" bottom="0.75" header="0.3" footer="0.3"/>
  <pageSetup paperSize="9"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EE262-EF63-8148-9F5C-A6B0CBC01502}">
  <dimension ref="A1:XFC30"/>
  <sheetViews>
    <sheetView zoomScale="52" zoomScaleNormal="75" workbookViewId="0">
      <pane ySplit="1" topLeftCell="A2" activePane="bottomLeft" state="frozen"/>
      <selection activeCell="B76" sqref="B76:K76"/>
      <selection pane="bottomLeft" sqref="A1:XFD1048576"/>
    </sheetView>
  </sheetViews>
  <sheetFormatPr defaultColWidth="0" defaultRowHeight="19.899999999999999" customHeight="1"/>
  <cols>
    <col min="1" max="1" width="10.77734375" style="5" hidden="1"/>
    <col min="2" max="3" width="10.77734375" hidden="1"/>
    <col min="4" max="5" width="10.77734375" style="4" hidden="1"/>
    <col min="6" max="14" width="10.77734375" hidden="1"/>
    <col min="15" max="16" width="10.77734375" style="20" hidden="1"/>
    <col min="17" max="17" width="10.77734375" style="8" hidden="1"/>
    <col min="18" max="16383" width="10.77734375" hidden="1"/>
    <col min="16384" max="16384" width="5.77734375" hidden="1"/>
  </cols>
  <sheetData>
    <row r="1" spans="1:17" s="5" customFormat="1" ht="19.5">
      <c r="A1" s="10" t="s">
        <v>90</v>
      </c>
      <c r="B1" s="10" t="s">
        <v>91</v>
      </c>
      <c r="C1" s="10" t="s">
        <v>146</v>
      </c>
      <c r="D1" s="10" t="s">
        <v>147</v>
      </c>
      <c r="E1" s="10" t="s">
        <v>1250</v>
      </c>
      <c r="F1" s="10" t="s">
        <v>103</v>
      </c>
      <c r="G1" s="10" t="s">
        <v>90</v>
      </c>
      <c r="H1" s="10" t="s">
        <v>91</v>
      </c>
      <c r="I1" s="10" t="s">
        <v>146</v>
      </c>
      <c r="J1" s="10" t="s">
        <v>147</v>
      </c>
      <c r="K1" s="10" t="s">
        <v>1250</v>
      </c>
      <c r="L1" s="10" t="s">
        <v>103</v>
      </c>
      <c r="M1" s="127" t="str">
        <f>M2&amp;M3&amp;M4&amp;M5&amp;M6&amp;M7&amp;M8&amp;M9&amp;M10&amp;M11&amp;M12&amp;M13&amp;M14&amp;M15&amp;M16&amp;M17&amp;M18&amp;M19&amp;M20</f>
        <v>(1)で「使用用途」を選択してください。</v>
      </c>
      <c r="N1" s="127" t="str">
        <f>N2&amp;N3&amp;N4&amp;N5&amp;N6&amp;N7&amp;N8&amp;N9&amp;N10&amp;N11&amp;N12&amp;N13&amp;N14&amp;N15&amp;N16&amp;N17&amp;N18&amp;N19&amp;N20</f>
        <v>※本ツールの使用用途は以下の２つです。
　・『自社の男女間賃金差異と参考値を比較する』
　・『産業分類と企業規模の参考値を確認する』
※参考値には「令和5年度 賃金構造基本統計調査」と
  「令和5年度 雇用動向調査」を再集計したデータを使用しています。</v>
      </c>
      <c r="O1" s="19"/>
      <c r="P1" s="19"/>
      <c r="Q1" s="339"/>
    </row>
    <row r="2" spans="1:17" ht="19.899999999999999" customHeight="1">
      <c r="A2" s="5" t="s">
        <v>141</v>
      </c>
      <c r="B2" s="6"/>
      <c r="G2" s="6" t="b">
        <f>入力シート!$C$5=""</f>
        <v>1</v>
      </c>
      <c r="H2" s="6" t="b">
        <v>1</v>
      </c>
      <c r="I2" s="6" t="b">
        <v>1</v>
      </c>
      <c r="J2" s="6" t="b">
        <v>1</v>
      </c>
      <c r="K2" s="6" t="b">
        <v>1</v>
      </c>
      <c r="L2" s="6" t="b">
        <v>1</v>
      </c>
      <c r="M2" t="str">
        <f>IF(AND(G2,H2,I2,J2,K2,L2),O2,"")</f>
        <v>(1)で「使用用途」を選択してください。</v>
      </c>
      <c r="N2" t="str">
        <f>IF(AND(G2,H2,I2,J2,K2,L2),P2,"")</f>
        <v>※本ツールの使用用途は以下の２つです。
　・『自社の男女間賃金差異と参考値を比較する』
　・『産業分類と企業規模の参考値を確認する』
※参考値には「令和5年度 賃金構造基本統計調査」と
  「令和5年度 雇用動向調査」を再集計したデータを使用しています。</v>
      </c>
      <c r="O2" s="20" t="s">
        <v>1187</v>
      </c>
      <c r="P2" s="124" t="s">
        <v>1288</v>
      </c>
      <c r="Q2" s="8">
        <v>1</v>
      </c>
    </row>
    <row r="3" spans="1:17" ht="19.899999999999999" customHeight="1">
      <c r="A3" s="6" t="s">
        <v>140</v>
      </c>
      <c r="B3" s="6" t="s">
        <v>1197</v>
      </c>
      <c r="G3" s="6" t="b">
        <f>入力シート!$C$5=入力リスト!$N$5</f>
        <v>0</v>
      </c>
      <c r="H3" s="6" t="b">
        <f>OR(入力シート!$J$9="",IF(入力シート!$J$9=入力リスト!$B$7,入力シート!$J$10="",""),入力シート!$J$11="")</f>
        <v>1</v>
      </c>
      <c r="I3" s="6" t="b">
        <v>1</v>
      </c>
      <c r="J3" s="6" t="b">
        <v>1</v>
      </c>
      <c r="K3" s="6" t="b">
        <v>1</v>
      </c>
      <c r="L3" s="6" t="b">
        <v>1</v>
      </c>
      <c r="M3" t="str">
        <f t="shared" ref="M3:M20" si="0">IF(AND(G3,H3,I3,J3,K3,L3),O3,"")</f>
        <v/>
      </c>
      <c r="N3" t="str">
        <f t="shared" ref="N3:N20" si="1">IF(AND(G3,H3,I3,J3,K3,L3),P3,"")</f>
        <v/>
      </c>
      <c r="O3" s="20" t="s">
        <v>1198</v>
      </c>
      <c r="P3" s="125" t="s">
        <v>1289</v>
      </c>
      <c r="Q3" s="8">
        <v>1</v>
      </c>
    </row>
    <row r="4" spans="1:17" ht="19.899999999999999" customHeight="1">
      <c r="A4" s="6" t="s">
        <v>140</v>
      </c>
      <c r="B4" s="6" t="s">
        <v>142</v>
      </c>
      <c r="G4" s="6" t="b">
        <f>入力シート!$C$5=入力リスト!$N$5</f>
        <v>0</v>
      </c>
      <c r="H4" s="6" t="b">
        <f>AND(入力シート!$J$9&lt;&gt;"",IF(入力シート!$J$9=入力リスト!$B$7,入力シート!$J$10&lt;&gt;"",""),入力シート!$J$11&lt;&gt;"")</f>
        <v>0</v>
      </c>
      <c r="I4" s="6" t="b">
        <v>1</v>
      </c>
      <c r="J4" s="6" t="b">
        <v>1</v>
      </c>
      <c r="K4" s="6" t="b">
        <v>1</v>
      </c>
      <c r="L4" s="6" t="b">
        <v>1</v>
      </c>
      <c r="M4" t="str">
        <f t="shared" si="0"/>
        <v/>
      </c>
      <c r="N4" t="str">
        <f t="shared" si="1"/>
        <v/>
      </c>
      <c r="O4" s="124" t="s">
        <v>1290</v>
      </c>
      <c r="P4" s="20" t="s">
        <v>1200</v>
      </c>
      <c r="Q4" s="8">
        <v>0</v>
      </c>
    </row>
    <row r="5" spans="1:17" ht="19.899999999999999" customHeight="1">
      <c r="A5" s="6" t="s">
        <v>143</v>
      </c>
      <c r="B5" s="6" t="s">
        <v>1197</v>
      </c>
      <c r="C5" s="6" t="s">
        <v>1197</v>
      </c>
      <c r="G5" s="6" t="b">
        <f>入力シート!$C$5=入力リスト!$N$4</f>
        <v>0</v>
      </c>
      <c r="H5" t="b">
        <f>IF(入力シート!$J$9=入力リスト!$B$7,OR(入力シート!$J$9="",入力シート!$J$10="",入力シート!$J$11=""),OR(入力シート!$J$9="",入力シート!$J$11=""))</f>
        <v>1</v>
      </c>
      <c r="I5" t="b">
        <f>COUNTIF(入力シート!$J$16:$S$23,入力リスト!$K$4)+COUNTIF(入力シート!$J$16:$S$23,入力リスト!$K$5)+IF(入力シート!$T$24='エラー_入シ(3)'!$M$22,COUNTA(入力シート!$J$24,"")-1,0)&lt;4</f>
        <v>1</v>
      </c>
      <c r="J5" s="6" t="b">
        <v>1</v>
      </c>
      <c r="K5" s="6" t="b">
        <v>1</v>
      </c>
      <c r="L5" s="6" t="b">
        <v>1</v>
      </c>
      <c r="M5" t="str">
        <f t="shared" si="0"/>
        <v/>
      </c>
      <c r="N5" t="str">
        <f t="shared" si="1"/>
        <v/>
      </c>
      <c r="O5" s="125" t="s">
        <v>1209</v>
      </c>
      <c r="P5" s="124" t="s">
        <v>1303</v>
      </c>
      <c r="Q5" s="8">
        <v>1</v>
      </c>
    </row>
    <row r="6" spans="1:17" ht="19.899999999999999" customHeight="1">
      <c r="A6" s="6" t="s">
        <v>143</v>
      </c>
      <c r="B6" s="6" t="s">
        <v>1197</v>
      </c>
      <c r="C6" t="s">
        <v>142</v>
      </c>
      <c r="D6" s="4" t="s">
        <v>164</v>
      </c>
      <c r="F6" s="6" t="s">
        <v>144</v>
      </c>
      <c r="G6" s="6" t="b">
        <f>入力シート!$C$5=入力リスト!$N$4</f>
        <v>0</v>
      </c>
      <c r="H6" t="b">
        <f>IF(入力シート!$J$9=入力リスト!$B$7,OR(入力シート!$J$9="",入力シート!$J$10="",入力シート!$J$11=""),OR(入力シート!$J$9="",入力シート!$J$11=""))</f>
        <v>1</v>
      </c>
      <c r="I6" t="b">
        <f>COUNTIF(入力シート!$J$16:$S$23,入力リスト!$K$4)+COUNTIF(入力シート!$J$16:$S$23,入力リスト!$K$5)+IF(入力シート!$T$24='エラー_入シ(3)'!$M$22,COUNTA(入力シート!$J$24,"")-1,0)=4</f>
        <v>0</v>
      </c>
      <c r="J6" s="6" t="b">
        <f>COUNTIF(入力シート!$J$16:$S$25,入力リスト!$K$5)=4</f>
        <v>0</v>
      </c>
      <c r="K6" s="6" t="b">
        <v>1</v>
      </c>
      <c r="L6" t="b">
        <f>AND(COUNTIF(入力シート!$T$16:$T$23,'エラー_入シ(3)'!$M$18)&lt;4,COUNTIF('エラー_入シ(3)'!$B$8:$K$16,FALSE)&gt;0)</f>
        <v>0</v>
      </c>
      <c r="M6" t="str">
        <f t="shared" si="0"/>
        <v/>
      </c>
      <c r="N6" t="str">
        <f t="shared" si="1"/>
        <v/>
      </c>
      <c r="O6" s="125" t="s">
        <v>1294</v>
      </c>
      <c r="P6" s="124" t="s">
        <v>1302</v>
      </c>
      <c r="Q6" s="21">
        <v>1</v>
      </c>
    </row>
    <row r="7" spans="1:17" ht="19.899999999999999" customHeight="1">
      <c r="A7" s="6" t="s">
        <v>143</v>
      </c>
      <c r="B7" s="6" t="s">
        <v>1197</v>
      </c>
      <c r="C7" t="s">
        <v>142</v>
      </c>
      <c r="D7" s="4" t="s">
        <v>164</v>
      </c>
      <c r="F7" s="6" t="s">
        <v>1195</v>
      </c>
      <c r="G7" s="6" t="b">
        <f>入力シート!$C$5=入力リスト!$N$4</f>
        <v>0</v>
      </c>
      <c r="H7" t="b">
        <f>IF(入力シート!$J$9=入力リスト!$B$7,OR(入力シート!$J$9="",入力シート!$J$10="",入力シート!$J$11=""),OR(入力シート!$J$9="",入力シート!$J$11=""))</f>
        <v>1</v>
      </c>
      <c r="I7" t="b">
        <f>COUNTIF(入力シート!$J$16:$S$23,入力リスト!$K$4)+COUNTIF(入力シート!$J$16:$S$23,入力リスト!$K$5)+IF(入力シート!$T$24='エラー_入シ(3)'!$M$22,COUNTA(入力シート!$J$24,"")-1,0)=4</f>
        <v>0</v>
      </c>
      <c r="J7" s="6" t="b">
        <f>COUNTIF(入力シート!$J$16:$S$25,入力リスト!$K$5)=4</f>
        <v>0</v>
      </c>
      <c r="K7" s="6" t="b">
        <v>1</v>
      </c>
      <c r="L7" t="b">
        <f>AND(COUNTIF(入力シート!$T$16:$T$24,'エラー_入シ(3)'!$M$18)+COUNTIF(入力シート!$T$16:$T$24,'エラー_入シ(3)'!$N$7)=4,COUNTIF(入力シート!$T$16:$T$24,'エラー_入シ(3)'!$N$7)&gt;0)</f>
        <v>0</v>
      </c>
      <c r="M7" t="str">
        <f t="shared" si="0"/>
        <v/>
      </c>
      <c r="N7" t="str">
        <f t="shared" si="1"/>
        <v/>
      </c>
      <c r="O7" s="125" t="s">
        <v>1206</v>
      </c>
      <c r="P7" s="124" t="s">
        <v>1301</v>
      </c>
      <c r="Q7" s="8">
        <v>1</v>
      </c>
    </row>
    <row r="8" spans="1:17" ht="19.899999999999999" customHeight="1">
      <c r="A8" s="6" t="s">
        <v>143</v>
      </c>
      <c r="B8" s="6" t="s">
        <v>1197</v>
      </c>
      <c r="C8" t="s">
        <v>142</v>
      </c>
      <c r="D8" s="4" t="s">
        <v>164</v>
      </c>
      <c r="F8" s="6" t="s">
        <v>145</v>
      </c>
      <c r="G8" s="6" t="b">
        <f>入力シート!$C$5=入力リスト!$N$4</f>
        <v>0</v>
      </c>
      <c r="H8" t="b">
        <f>IF(入力シート!$J$9=入力リスト!$B$7,OR(入力シート!$J$9="",入力シート!$J$10="",入力シート!$J$11=""),OR(入力シート!$J$9="",入力シート!$J$11=""))</f>
        <v>1</v>
      </c>
      <c r="I8" t="b">
        <f>COUNTIF(入力シート!$J$16:$S$23,入力リスト!$K$4)+COUNTIF(入力シート!$J$16:$S$23,入力リスト!$K$5)+IF(入力シート!$T$24='エラー_入シ(3)'!$M$22,COUNTA(入力シート!$J$24,"")-1,0)=4</f>
        <v>0</v>
      </c>
      <c r="J8" s="6" t="b">
        <f>COUNTIF(入力シート!$J$16:$S$25,入力リスト!$K$5)=4</f>
        <v>0</v>
      </c>
      <c r="K8" s="6" t="b">
        <v>1</v>
      </c>
      <c r="L8" t="b">
        <f>COUNTIF(入力シート!$T$16:$BG$23,'エラー_入シ(3)'!$M$18)=4</f>
        <v>0</v>
      </c>
      <c r="M8" t="str">
        <f t="shared" si="0"/>
        <v/>
      </c>
      <c r="N8" t="str">
        <f t="shared" si="1"/>
        <v/>
      </c>
      <c r="O8" s="125" t="s">
        <v>1207</v>
      </c>
      <c r="P8" s="124" t="s">
        <v>1300</v>
      </c>
      <c r="Q8" s="20">
        <v>1</v>
      </c>
    </row>
    <row r="9" spans="1:17" ht="19.899999999999999" customHeight="1">
      <c r="A9" s="6" t="s">
        <v>143</v>
      </c>
      <c r="B9" s="6" t="s">
        <v>1197</v>
      </c>
      <c r="C9" t="s">
        <v>142</v>
      </c>
      <c r="D9" s="4" t="s">
        <v>1249</v>
      </c>
      <c r="E9" s="4" t="s">
        <v>1210</v>
      </c>
      <c r="F9" s="6"/>
      <c r="G9" s="6" t="b">
        <f>入力シート!$C$5=入力リスト!$N$4</f>
        <v>0</v>
      </c>
      <c r="H9" t="b">
        <f>IF(入力シート!$J$9=入力リスト!$B$7,OR(入力シート!$J$9="",入力シート!$J$10="",入力シート!$J$11=""),OR(入力シート!$J$9="",入力シート!$J$11=""))</f>
        <v>1</v>
      </c>
      <c r="I9" t="b">
        <f>COUNTIF(入力シート!$J$16:$S$23,入力リスト!$K$4)+COUNTIF(入力シート!$J$16:$S$23,入力リスト!$K$5)+IF(入力シート!$T$24='エラー_入シ(3)'!$M$22,COUNTA(入力シート!$J$24,"")-1,0)=4</f>
        <v>0</v>
      </c>
      <c r="J9" t="b">
        <f>COUNTIF(入力シート!$J$16:$S$25,入力リスト!$K$5)&lt;&gt;4</f>
        <v>1</v>
      </c>
      <c r="K9" s="6" t="b">
        <f>入力シート!$T$24='エラー_入シ(3)'!$M$22</f>
        <v>0</v>
      </c>
      <c r="L9" s="6" t="b">
        <v>1</v>
      </c>
      <c r="M9" t="str">
        <f t="shared" si="0"/>
        <v/>
      </c>
      <c r="N9" t="str">
        <f t="shared" si="1"/>
        <v/>
      </c>
      <c r="O9" s="125" t="s">
        <v>1205</v>
      </c>
      <c r="P9" s="124" t="s">
        <v>1299</v>
      </c>
      <c r="Q9" s="8">
        <v>1</v>
      </c>
    </row>
    <row r="10" spans="1:17" ht="19.899999999999999" customHeight="1">
      <c r="A10" s="6" t="s">
        <v>143</v>
      </c>
      <c r="B10" s="6" t="s">
        <v>1197</v>
      </c>
      <c r="C10" t="s">
        <v>142</v>
      </c>
      <c r="D10" s="4" t="s">
        <v>1249</v>
      </c>
      <c r="E10" s="4" t="s">
        <v>1196</v>
      </c>
      <c r="F10" s="6" t="s">
        <v>144</v>
      </c>
      <c r="G10" s="6" t="b">
        <f>入力シート!$C$5=入力リスト!$N$4</f>
        <v>0</v>
      </c>
      <c r="H10" t="b">
        <f>IF(入力シート!$J$9=入力リスト!$B$7,OR(入力シート!$J$9="",入力シート!$J$10="",入力シート!$J$11=""),OR(入力シート!$J$9="",入力シート!$J$11=""))</f>
        <v>1</v>
      </c>
      <c r="I10" t="b">
        <f>COUNTIF(入力シート!$J$16:$S$23,入力リスト!$K$4)+COUNTIF(入力シート!$J$16:$S$23,入力リスト!$K$5)+IF(入力シート!$T$24='エラー_入シ(3)'!$M$22,COUNTA(入力シート!$J$24,"")-1,0)=4</f>
        <v>0</v>
      </c>
      <c r="J10" t="b">
        <f>COUNTIF(入力シート!$J$16:$S$25,入力リスト!$K$5)&lt;&gt;4</f>
        <v>1</v>
      </c>
      <c r="K10" s="6" t="b">
        <f>OR(入力シート!$T$24='エラー_入シ(3)'!$M$18,入力シート!$T$24='エラー_入シ(3)'!$M$21)</f>
        <v>0</v>
      </c>
      <c r="L10" t="b">
        <f>COUNTIF(入力シート!$T$16:$T$25,'エラー_入シ(3)'!$M$18)+COUNTIF(入力シート!$T$24,"←入力不要です。")+COUNTIF(入力シート!$T$16:$BG$23,'エラー_入シ(3)'!$N$7)&lt;&gt;5</f>
        <v>1</v>
      </c>
      <c r="M10" t="str">
        <f t="shared" si="0"/>
        <v/>
      </c>
      <c r="N10" t="str">
        <f t="shared" si="1"/>
        <v/>
      </c>
      <c r="O10" s="125" t="s">
        <v>1293</v>
      </c>
      <c r="P10" s="124" t="s">
        <v>1295</v>
      </c>
      <c r="Q10" s="21">
        <v>1</v>
      </c>
    </row>
    <row r="11" spans="1:17" ht="19.899999999999999" customHeight="1">
      <c r="A11" s="6" t="s">
        <v>143</v>
      </c>
      <c r="B11" s="6" t="s">
        <v>1197</v>
      </c>
      <c r="C11" t="s">
        <v>142</v>
      </c>
      <c r="D11" s="4" t="s">
        <v>1249</v>
      </c>
      <c r="E11" s="4" t="s">
        <v>1213</v>
      </c>
      <c r="F11" s="6" t="s">
        <v>1194</v>
      </c>
      <c r="G11" s="6" t="b">
        <f>入力シート!$C$5=入力リスト!$N$4</f>
        <v>0</v>
      </c>
      <c r="H11" t="b">
        <f>IF(入力シート!$J$9=入力リスト!$B$7,OR(入力シート!$J$9="",入力シート!$J$10="",入力シート!$J$11=""),OR(入力シート!$J$9="",入力シート!$J$11=""))</f>
        <v>1</v>
      </c>
      <c r="I11" t="b">
        <f>COUNTIF(入力シート!$J$16:$S$23,入力リスト!$K$4)+COUNTIF(入力シート!$J$16:$S$23,入力リスト!$K$5)+IF(入力シート!$T$24='エラー_入シ(3)'!$M$22,COUNTA(入力シート!$J$24,"")-1,0)=4</f>
        <v>0</v>
      </c>
      <c r="J11" t="b">
        <f>COUNTIF(入力シート!$J$16:$S$25,入力リスト!$K$5)&lt;&gt;4</f>
        <v>1</v>
      </c>
      <c r="K11" s="6" t="b">
        <f>OR(入力シート!$T$24='エラー_入シ(3)'!$M$18,入力シート!$T$24='エラー_入シ(3)'!$M$21)</f>
        <v>0</v>
      </c>
      <c r="L11" t="b">
        <f>AND(COUNTIF(入力シート!$T$16:$T$24,'エラー_入シ(3)'!$M$18)+COUNTIF(入力シート!$T$16:$T$24,'エラー_入シ(3)'!$N$7)=4,COUNTIF(入力シート!$T$16:$T$24,'エラー_入シ(3)'!$N$7)&gt;0)</f>
        <v>0</v>
      </c>
      <c r="M11" t="str">
        <f t="shared" si="0"/>
        <v/>
      </c>
      <c r="N11" t="str">
        <f t="shared" si="1"/>
        <v/>
      </c>
      <c r="O11" s="125" t="s">
        <v>1206</v>
      </c>
      <c r="P11" s="124" t="s">
        <v>1297</v>
      </c>
      <c r="Q11" s="8">
        <v>1</v>
      </c>
    </row>
    <row r="12" spans="1:17" ht="19.899999999999999" customHeight="1">
      <c r="A12" s="6" t="s">
        <v>143</v>
      </c>
      <c r="B12" s="6" t="s">
        <v>1197</v>
      </c>
      <c r="C12" t="s">
        <v>142</v>
      </c>
      <c r="D12" s="4" t="s">
        <v>1249</v>
      </c>
      <c r="E12" s="4" t="s">
        <v>1213</v>
      </c>
      <c r="F12" s="6" t="s">
        <v>145</v>
      </c>
      <c r="G12" s="6" t="b">
        <f>入力シート!$C$5=入力リスト!$N$4</f>
        <v>0</v>
      </c>
      <c r="H12" t="b">
        <f>IF(入力シート!$J$9=入力リスト!$B$7,OR(入力シート!$J$9="",入力シート!$J$10="",入力シート!$J$11=""),OR(入力シート!$J$9="",入力シート!$J$11=""))</f>
        <v>1</v>
      </c>
      <c r="I12" t="b">
        <f>COUNTIF(入力シート!$J$16:$S$23,入力リスト!$K$4)+COUNTIF(入力シート!$J$16:$S$23,入力リスト!$K$5)+IF(入力シート!$T$24='エラー_入シ(3)'!$M$22,COUNTA(入力シート!$J$24,"")-1,0)=4</f>
        <v>0</v>
      </c>
      <c r="J12" t="b">
        <f>COUNTIF(入力シート!$J$16:$S$25,入力リスト!$K$5)&lt;&gt;4</f>
        <v>1</v>
      </c>
      <c r="K12" s="6" t="b">
        <f>OR(入力シート!$T$24='エラー_入シ(3)'!$M$18,入力シート!$T$24='エラー_入シ(3)'!$M$21)</f>
        <v>0</v>
      </c>
      <c r="L12" t="b">
        <f>COUNTIF(入力シート!$T$16:$BG$23,'エラー_入シ(3)'!$M$18)=4</f>
        <v>0</v>
      </c>
      <c r="M12" t="str">
        <f t="shared" si="0"/>
        <v/>
      </c>
      <c r="N12" t="str">
        <f t="shared" si="1"/>
        <v/>
      </c>
      <c r="O12" s="125" t="s">
        <v>1211</v>
      </c>
      <c r="P12" s="124" t="s">
        <v>1296</v>
      </c>
      <c r="Q12" s="20">
        <v>1</v>
      </c>
    </row>
    <row r="13" spans="1:17" ht="19.899999999999999" customHeight="1">
      <c r="A13" s="6" t="s">
        <v>143</v>
      </c>
      <c r="B13" s="6" t="s">
        <v>142</v>
      </c>
      <c r="C13" s="6" t="s">
        <v>1197</v>
      </c>
      <c r="F13" s="6"/>
      <c r="G13" s="6" t="b">
        <f>入力シート!$C$5=入力リスト!$N$4</f>
        <v>0</v>
      </c>
      <c r="H13" t="b">
        <f>IF(入力シート!$J$9=入力リスト!$B$7,AND(入力シート!$J$9&lt;&gt;"",入力シート!$J$10&lt;&gt;"",入力シート!$J$11&lt;&gt;""),AND(入力シート!$J$9&lt;&gt;"",入力シート!$J$11&lt;&gt;""))</f>
        <v>0</v>
      </c>
      <c r="I13" t="b">
        <f>COUNTIF(入力シート!$J$16:$S$23,入力リスト!$K$4)+COUNTIF(入力シート!$J$16:$S$23,入力リスト!$K$5)+IF(入力シート!$T$24='エラー_入シ(3)'!$M$22,COUNTA(入力シート!$J$24,"")-1,0)&lt;4</f>
        <v>1</v>
      </c>
      <c r="J13" s="6" t="b">
        <v>1</v>
      </c>
      <c r="K13" s="6" t="b">
        <v>1</v>
      </c>
      <c r="L13" s="6" t="b">
        <v>1</v>
      </c>
      <c r="M13" t="str">
        <f t="shared" si="0"/>
        <v/>
      </c>
      <c r="N13" t="str">
        <f t="shared" si="1"/>
        <v/>
      </c>
      <c r="O13" s="125" t="s">
        <v>1201</v>
      </c>
      <c r="P13" s="20" t="s">
        <v>1251</v>
      </c>
      <c r="Q13" s="8">
        <v>1</v>
      </c>
    </row>
    <row r="14" spans="1:17" ht="19.899999999999999" customHeight="1">
      <c r="A14" s="6" t="s">
        <v>143</v>
      </c>
      <c r="B14" s="6" t="s">
        <v>142</v>
      </c>
      <c r="C14" t="s">
        <v>142</v>
      </c>
      <c r="D14" s="4" t="s">
        <v>164</v>
      </c>
      <c r="F14" s="6" t="s">
        <v>144</v>
      </c>
      <c r="G14" s="6" t="b">
        <f>入力シート!$C$5=入力リスト!$N$4</f>
        <v>0</v>
      </c>
      <c r="H14" t="b">
        <f>IF(入力シート!$J$9=入力リスト!$B$7,AND(入力シート!$J$9&lt;&gt;"",入力シート!$J$10&lt;&gt;"",入力シート!$J$11&lt;&gt;""),AND(入力シート!$J$9&lt;&gt;"",入力シート!$J$11&lt;&gt;""))</f>
        <v>0</v>
      </c>
      <c r="I14" t="b">
        <f>COUNTIF(入力シート!$J$16:$S$23,入力リスト!$K$4)+COUNTIF(入力シート!$J$16:$S$23,入力リスト!$K$5)+IF(入力シート!$T$24='エラー_入シ(3)'!$M$22,COUNTA(入力シート!$J$24,"")-1,0)=4</f>
        <v>0</v>
      </c>
      <c r="J14" s="6" t="b">
        <f>COUNTIF(入力シート!$J$16:$S$25,入力リスト!$K$5)=4</f>
        <v>0</v>
      </c>
      <c r="K14" s="6" t="b">
        <v>1</v>
      </c>
      <c r="L14" t="b">
        <f>AND(COUNTIF(入力シート!$T$16:$T$23,'エラー_入シ(3)'!$M$18)&lt;4,COUNTIF('エラー_入シ(3)'!$B$8:$K$16,FALSE)&gt;0)</f>
        <v>0</v>
      </c>
      <c r="M14" t="str">
        <f t="shared" si="0"/>
        <v/>
      </c>
      <c r="N14" t="str">
        <f t="shared" si="1"/>
        <v/>
      </c>
      <c r="O14" s="21" t="s">
        <v>1291</v>
      </c>
      <c r="P14" s="124" t="s">
        <v>1204</v>
      </c>
      <c r="Q14" s="21">
        <v>1</v>
      </c>
    </row>
    <row r="15" spans="1:17" ht="19.899999999999999" customHeight="1">
      <c r="A15" s="6" t="s">
        <v>143</v>
      </c>
      <c r="B15" s="6" t="s">
        <v>142</v>
      </c>
      <c r="C15" t="s">
        <v>142</v>
      </c>
      <c r="D15" s="4" t="s">
        <v>164</v>
      </c>
      <c r="F15" s="6" t="s">
        <v>1195</v>
      </c>
      <c r="G15" s="6" t="b">
        <f>入力シート!$C$5=入力リスト!$N$4</f>
        <v>0</v>
      </c>
      <c r="H15" t="b">
        <f>IF(入力シート!$J$9=入力リスト!$B$7,AND(入力シート!$J$9&lt;&gt;"",入力シート!$J$10&lt;&gt;"",入力シート!$J$11&lt;&gt;""),AND(入力シート!$J$9&lt;&gt;"",入力シート!$J$11&lt;&gt;""))</f>
        <v>0</v>
      </c>
      <c r="I15" t="b">
        <f>COUNTIF(入力シート!$J$16:$S$23,入力リスト!$K$4)+COUNTIF(入力シート!$J$16:$S$23,入力リスト!$K$5)+IF(入力シート!$T$24='エラー_入シ(3)'!$M$22,COUNTA(入力シート!$J$24,"")-1,0)=4</f>
        <v>0</v>
      </c>
      <c r="J15" s="6" t="b">
        <f>COUNTIF(入力シート!$J$16:$S$25,入力リスト!$K$5)=4</f>
        <v>0</v>
      </c>
      <c r="K15" s="6" t="b">
        <v>1</v>
      </c>
      <c r="L15" t="b">
        <f>AND(COUNTIF(入力シート!$T$16:$T$24,'エラー_入シ(3)'!$M$18)+COUNTIF(入力シート!$T$16:$T$24,'エラー_入シ(3)'!$N$7)=4,COUNTIF(入力シート!$T$16:$T$24,'エラー_入シ(3)'!$N$7)&gt;0)</f>
        <v>0</v>
      </c>
      <c r="M15" t="str">
        <f t="shared" si="0"/>
        <v/>
      </c>
      <c r="N15" t="str">
        <f t="shared" si="1"/>
        <v/>
      </c>
      <c r="O15" s="8" t="s">
        <v>1199</v>
      </c>
      <c r="P15" s="124" t="s">
        <v>1298</v>
      </c>
      <c r="Q15" s="8">
        <v>1</v>
      </c>
    </row>
    <row r="16" spans="1:17" ht="19.899999999999999" customHeight="1">
      <c r="A16" s="6" t="s">
        <v>143</v>
      </c>
      <c r="B16" s="6" t="s">
        <v>142</v>
      </c>
      <c r="C16" t="s">
        <v>142</v>
      </c>
      <c r="D16" s="4" t="s">
        <v>164</v>
      </c>
      <c r="F16" s="6" t="s">
        <v>145</v>
      </c>
      <c r="G16" s="6" t="b">
        <f>入力シート!$C$5=入力リスト!$N$4</f>
        <v>0</v>
      </c>
      <c r="H16" t="b">
        <f>IF(入力シート!$J$9=入力リスト!$B$7,AND(入力シート!$J$9&lt;&gt;"",入力シート!$J$10&lt;&gt;"",入力シート!$J$11&lt;&gt;""),AND(入力シート!$J$9&lt;&gt;"",入力シート!$J$11&lt;&gt;""))</f>
        <v>0</v>
      </c>
      <c r="I16" t="b">
        <f>COUNTIF(入力シート!$J$16:$S$23,入力リスト!$K$4)+COUNTIF(入力シート!$J$16:$S$23,入力リスト!$K$5)+IF(入力シート!$T$24='エラー_入シ(3)'!$M$22,COUNTA(入力シート!$J$24,"")-1,0)=4</f>
        <v>0</v>
      </c>
      <c r="J16" s="6" t="b">
        <f>COUNTIF(入力シート!$J$16:$S$25,入力リスト!$K$5)=4</f>
        <v>0</v>
      </c>
      <c r="K16" s="6" t="b">
        <v>1</v>
      </c>
      <c r="L16" t="b">
        <f>COUNTIF(入力シート!$T$16:$BG$23,'エラー_入シ(3)'!$M$18)=4</f>
        <v>0</v>
      </c>
      <c r="M16" t="str">
        <f t="shared" si="0"/>
        <v/>
      </c>
      <c r="N16" t="str">
        <f t="shared" si="1"/>
        <v/>
      </c>
      <c r="O16" s="20" t="s">
        <v>1208</v>
      </c>
      <c r="P16" s="20" t="s">
        <v>1203</v>
      </c>
      <c r="Q16" s="20">
        <v>0</v>
      </c>
    </row>
    <row r="17" spans="1:17" ht="19.899999999999999" customHeight="1">
      <c r="A17" s="6" t="s">
        <v>143</v>
      </c>
      <c r="B17" s="6" t="s">
        <v>142</v>
      </c>
      <c r="C17" t="s">
        <v>142</v>
      </c>
      <c r="D17" s="4" t="s">
        <v>1249</v>
      </c>
      <c r="E17" s="4" t="s">
        <v>1210</v>
      </c>
      <c r="F17" s="6"/>
      <c r="G17" s="6" t="b">
        <f>入力シート!$C$5=入力リスト!$N$4</f>
        <v>0</v>
      </c>
      <c r="H17" t="b">
        <f>IF(入力シート!$J$9=入力リスト!$B$7,AND(入力シート!$J$9&lt;&gt;"",入力シート!$J$10&lt;&gt;"",入力シート!$J$11&lt;&gt;""),AND(入力シート!$J$9&lt;&gt;"",入力シート!$J$11&lt;&gt;""))</f>
        <v>0</v>
      </c>
      <c r="I17" t="b">
        <f>COUNTIF(入力シート!$J$16:$S$23,入力リスト!$K$4)+COUNTIF(入力シート!$J$16:$S$23,入力リスト!$K$5)+IF(入力シート!$T$24='エラー_入シ(3)'!$M$22,COUNTA(入力シート!$J$24,"")-1,0)=4</f>
        <v>0</v>
      </c>
      <c r="J17" t="b">
        <f>COUNTIF(入力シート!$J$16:$S$25,入力リスト!$K$5)&lt;&gt;4</f>
        <v>1</v>
      </c>
      <c r="K17" s="6" t="b">
        <f>入力シート!$T$24='エラー_入シ(3)'!$M$22</f>
        <v>0</v>
      </c>
      <c r="L17" s="6" t="b">
        <v>1</v>
      </c>
      <c r="M17" t="str">
        <f t="shared" si="0"/>
        <v/>
      </c>
      <c r="N17" t="str">
        <f t="shared" si="1"/>
        <v/>
      </c>
      <c r="O17" s="20" t="s">
        <v>1202</v>
      </c>
      <c r="P17" s="20" t="s">
        <v>1252</v>
      </c>
      <c r="Q17" s="8">
        <v>1</v>
      </c>
    </row>
    <row r="18" spans="1:17" ht="19.899999999999999" customHeight="1">
      <c r="A18" s="6" t="s">
        <v>143</v>
      </c>
      <c r="B18" s="6" t="s">
        <v>142</v>
      </c>
      <c r="C18" t="s">
        <v>142</v>
      </c>
      <c r="D18" s="4" t="s">
        <v>1249</v>
      </c>
      <c r="E18" s="4" t="s">
        <v>1212</v>
      </c>
      <c r="F18" s="6" t="s">
        <v>144</v>
      </c>
      <c r="G18" s="6" t="b">
        <f>入力シート!$C$5=入力リスト!$N$4</f>
        <v>0</v>
      </c>
      <c r="H18" t="b">
        <f>IF(入力シート!$J$9=入力リスト!$B$7,AND(入力シート!$J$9&lt;&gt;"",入力シート!$J$10&lt;&gt;"",入力シート!$J$11&lt;&gt;""),AND(入力シート!$J$9&lt;&gt;"",入力シート!$J$11&lt;&gt;""))</f>
        <v>0</v>
      </c>
      <c r="I18" t="b">
        <f>COUNTIF(入力シート!$J$16:$S$23,入力リスト!$K$4)+COUNTIF(入力シート!$J$16:$S$23,入力リスト!$K$5)+IF(入力シート!$T$24='エラー_入シ(3)'!$M$22,COUNTA(入力シート!$J$24,"")-1,0)=4</f>
        <v>0</v>
      </c>
      <c r="J18" t="b">
        <f>COUNTIF(入力シート!$J$16:$S$25,入力リスト!$K$5)&lt;&gt;4</f>
        <v>1</v>
      </c>
      <c r="K18" s="6" t="b">
        <f>OR(入力シート!$T$24='エラー_入シ(3)'!$M$18,入力シート!$T$24='エラー_入シ(3)'!$M$21)</f>
        <v>0</v>
      </c>
      <c r="L18" t="b">
        <f>COUNTIF(入力シート!$T$16:$T$25,'エラー_入シ(3)'!$M$18)+COUNTIF(入力シート!$T$24,"←入力不要です。")+COUNTIF(入力シート!$T$16:$BG$23,'エラー_入シ(3)'!$N$7)&lt;&gt;5</f>
        <v>1</v>
      </c>
      <c r="M18" t="str">
        <f t="shared" si="0"/>
        <v/>
      </c>
      <c r="N18" t="str">
        <f t="shared" si="1"/>
        <v/>
      </c>
      <c r="O18" s="21" t="s">
        <v>1292</v>
      </c>
      <c r="P18" s="20" t="s">
        <v>1253</v>
      </c>
      <c r="Q18" s="21">
        <v>1</v>
      </c>
    </row>
    <row r="19" spans="1:17" ht="19.899999999999999" customHeight="1">
      <c r="A19" s="6" t="s">
        <v>143</v>
      </c>
      <c r="B19" s="6" t="s">
        <v>142</v>
      </c>
      <c r="C19" t="s">
        <v>142</v>
      </c>
      <c r="D19" s="4" t="s">
        <v>1249</v>
      </c>
      <c r="E19" s="4" t="s">
        <v>1212</v>
      </c>
      <c r="F19" s="6" t="s">
        <v>1194</v>
      </c>
      <c r="G19" s="6" t="b">
        <f>入力シート!$C$5=入力リスト!$N$4</f>
        <v>0</v>
      </c>
      <c r="H19" t="b">
        <f>IF(入力シート!$J$9=入力リスト!$B$7,AND(入力シート!$J$9&lt;&gt;"",入力シート!$J$10&lt;&gt;"",入力シート!$J$11&lt;&gt;""),AND(入力シート!$J$9&lt;&gt;"",入力シート!$J$11&lt;&gt;""))</f>
        <v>0</v>
      </c>
      <c r="I19" t="b">
        <f>COUNTIF(入力シート!$J$16:$S$23,入力リスト!$K$4)+COUNTIF(入力シート!$J$16:$S$23,入力リスト!$K$5)+IF(入力シート!$T$24='エラー_入シ(3)'!$M$22,COUNTA(入力シート!$J$24,"")-1,0)=4</f>
        <v>0</v>
      </c>
      <c r="J19" t="b">
        <f>COUNTIF(入力シート!$J$16:$S$25,入力リスト!$K$5)&lt;&gt;4</f>
        <v>1</v>
      </c>
      <c r="K19" s="6" t="b">
        <f>OR(入力シート!$T$24='エラー_入シ(3)'!$M$18,入力シート!$T$24='エラー_入シ(3)'!$M$21)</f>
        <v>0</v>
      </c>
      <c r="L19" t="b">
        <f>AND(COUNTIF(入力シート!$T$16:$T$25,'エラー_入シ(3)'!$M$18)+COUNTIF(入力シート!$T$24,"←入力不要です。")+COUNTIF(入力シート!$T$16:$BG$23,'エラー_入シ(3)'!$N$7)=5,COUNTIF(入力シート!$T$16:$BG$23,'エラー_入シ(3)'!$N$7)&gt;0)</f>
        <v>0</v>
      </c>
      <c r="M19" t="str">
        <f t="shared" si="0"/>
        <v/>
      </c>
      <c r="N19" t="str">
        <f t="shared" si="1"/>
        <v/>
      </c>
      <c r="O19" s="21" t="s">
        <v>1199</v>
      </c>
      <c r="P19" s="124" t="s">
        <v>1254</v>
      </c>
      <c r="Q19" s="21">
        <v>1</v>
      </c>
    </row>
    <row r="20" spans="1:17" ht="19.899999999999999" customHeight="1">
      <c r="A20" s="6" t="s">
        <v>143</v>
      </c>
      <c r="B20" s="6" t="s">
        <v>142</v>
      </c>
      <c r="C20" t="s">
        <v>142</v>
      </c>
      <c r="D20" s="4" t="s">
        <v>1249</v>
      </c>
      <c r="E20" s="4" t="s">
        <v>1212</v>
      </c>
      <c r="F20" s="6" t="s">
        <v>145</v>
      </c>
      <c r="G20" s="6" t="b">
        <f>入力シート!$C$5=入力リスト!$N$4</f>
        <v>0</v>
      </c>
      <c r="H20" t="b">
        <f>IF(入力シート!$J$9=入力リスト!$B$7,AND(入力シート!$J$9&lt;&gt;"",入力シート!$J$10&lt;&gt;"",入力シート!$J$11&lt;&gt;""),AND(入力シート!$J$9&lt;&gt;"",入力シート!$J$11&lt;&gt;""))</f>
        <v>0</v>
      </c>
      <c r="I20" t="b">
        <f>COUNTIF(入力シート!$J$16:$S$23,入力リスト!$K$4)+COUNTIF(入力シート!$J$16:$S$23,入力リスト!$K$5)+IF(入力シート!$T$24='エラー_入シ(3)'!$M$22,COUNTA(入力シート!$J$24,"")-1,0)=4</f>
        <v>0</v>
      </c>
      <c r="J20" t="b">
        <f>COUNTIF(入力シート!$J$16:$S$25,入力リスト!$K$5)&lt;&gt;4</f>
        <v>1</v>
      </c>
      <c r="K20" s="6" t="b">
        <f>OR(入力シート!$T$24='エラー_入シ(3)'!$M$18,入力シート!$T$24='エラー_入シ(3)'!$M$21)</f>
        <v>0</v>
      </c>
      <c r="L20" t="b">
        <f>COUNTIF(入力シート!$T$16:$BG$23,'エラー_入シ(3)'!$M$18)=4</f>
        <v>0</v>
      </c>
      <c r="M20" t="str">
        <f t="shared" si="0"/>
        <v/>
      </c>
      <c r="N20" t="str">
        <f t="shared" si="1"/>
        <v/>
      </c>
      <c r="O20" s="20" t="s">
        <v>1208</v>
      </c>
      <c r="P20" s="124" t="s">
        <v>1237</v>
      </c>
      <c r="Q20" s="20">
        <v>0</v>
      </c>
    </row>
    <row r="21" spans="1:17" ht="19.899999999999999" customHeight="1">
      <c r="F21" s="6"/>
      <c r="I21" s="6"/>
      <c r="J21" s="6"/>
      <c r="K21" s="6"/>
    </row>
    <row r="22" spans="1:17" ht="19.899999999999999" customHeight="1">
      <c r="I22" s="6"/>
      <c r="J22" s="6"/>
      <c r="K22" s="6"/>
    </row>
    <row r="23" spans="1:17" ht="19.899999999999999" customHeight="1">
      <c r="I23" s="6"/>
      <c r="J23" s="6"/>
      <c r="K23" s="6"/>
    </row>
    <row r="24" spans="1:17" ht="19.899999999999999" customHeight="1">
      <c r="I24" s="6"/>
      <c r="J24" s="6"/>
      <c r="K24" s="6"/>
    </row>
    <row r="25" spans="1:17" ht="19.899999999999999" customHeight="1">
      <c r="I25" s="6"/>
      <c r="J25" s="6"/>
      <c r="K25" s="6"/>
    </row>
    <row r="26" spans="1:17" ht="19.899999999999999" customHeight="1">
      <c r="I26" s="6"/>
      <c r="J26" s="6"/>
      <c r="K26" s="6"/>
    </row>
    <row r="27" spans="1:17" ht="19.899999999999999" customHeight="1">
      <c r="I27" s="6"/>
      <c r="J27" s="6"/>
      <c r="K27" s="6"/>
    </row>
    <row r="28" spans="1:17" ht="19.899999999999999" customHeight="1">
      <c r="I28" s="6"/>
      <c r="J28" s="6"/>
      <c r="K28" s="6"/>
    </row>
    <row r="29" spans="1:17" ht="19.899999999999999" customHeight="1">
      <c r="I29" s="6"/>
      <c r="J29" s="6"/>
      <c r="K29" s="6"/>
    </row>
    <row r="30" spans="1:17" ht="19.899999999999999" customHeight="1">
      <c r="I30" s="6"/>
      <c r="J30" s="6"/>
      <c r="K30" s="6"/>
    </row>
  </sheetData>
  <sheetProtection algorithmName="SHA-512" hashValue="gdctexZYisO5BgUTP/FrUFAdwJeojUBsUuCuXpRj4HZdTmo1gb0JjA5LiYNcKx+qhBWZKSjTvGlWk4LDVLbQMA==" saltValue="a+f2j7fZE8n5i+kZbA5FxA==" spinCount="100000" sheet="1" objects="1" scenarios="1" selectLockedCells="1" selectUnlockedCells="1"/>
  <autoFilter ref="A1:R20" xr:uid="{B07EE262-EF63-8148-9F5C-A6B0CBC01502}"/>
  <phoneticPr fontId="3"/>
  <pageMargins left="0.7" right="0.7" top="0.75" bottom="0.75" header="0.3" footer="0.3"/>
  <pageSetup paperSize="9"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C7F-C94A-0E43-ACDA-87CF561642C6}">
  <dimension ref="A2:N23"/>
  <sheetViews>
    <sheetView topLeftCell="XFD1" zoomScale="75" zoomScaleNormal="95" workbookViewId="0">
      <selection sqref="A1:XFD1048576"/>
    </sheetView>
  </sheetViews>
  <sheetFormatPr defaultColWidth="0" defaultRowHeight="19.5"/>
  <cols>
    <col min="1" max="12" width="9" style="64" hidden="1" customWidth="1"/>
    <col min="13" max="13" width="9" style="65" hidden="1" customWidth="1"/>
    <col min="14" max="16384" width="9" style="66" hidden="1"/>
  </cols>
  <sheetData>
    <row r="2" spans="1:14">
      <c r="B2" s="64" t="s">
        <v>3</v>
      </c>
      <c r="D2" s="64" t="s">
        <v>98</v>
      </c>
      <c r="F2" s="64" t="s">
        <v>5</v>
      </c>
      <c r="H2" s="64" t="s">
        <v>149</v>
      </c>
    </row>
    <row r="3" spans="1:14">
      <c r="B3" s="64" t="str">
        <f>"(4)「"&amp;B$2&amp;"別」"</f>
        <v>(4)「雇用形態別」</v>
      </c>
      <c r="C3" s="65"/>
      <c r="D3" s="64" t="str">
        <f>"(4)「"&amp;D$2&amp;"別」"</f>
        <v>(4)「勤続年数階級別」</v>
      </c>
      <c r="F3" s="64" t="str">
        <f>"(4)「"&amp;F$2&amp;"別」"</f>
        <v>(4)「役職別」</v>
      </c>
      <c r="H3" s="64" t="str">
        <f>"(4)「"&amp;H$2&amp;"」"</f>
        <v>(4)「男女間賃金差異が生じる要因」</v>
      </c>
      <c r="M3" s="65" t="s">
        <v>151</v>
      </c>
      <c r="N3" s="66" t="s">
        <v>152</v>
      </c>
    </row>
    <row r="4" spans="1:14">
      <c r="B4" s="64" t="str">
        <f>"(4)「"&amp;B$2&amp;"名」または「性別表記の調整」"</f>
        <v>(4)「雇用形態名」または「性別表記の調整」</v>
      </c>
      <c r="C4" s="64" t="str">
        <f>C5&amp;C6&amp;C7&amp;C17&amp;C18&amp;C19&amp;C20</f>
        <v/>
      </c>
      <c r="D4" s="64" t="str">
        <f>"(4)「性別表記の調整」"</f>
        <v>(4)「性別表記の調整」</v>
      </c>
      <c r="E4" s="64" t="str">
        <f>E5&amp;E6&amp;E7&amp;E17&amp;E18&amp;E19&amp;E20</f>
        <v/>
      </c>
      <c r="F4" s="64" t="str">
        <f>"(4)「"&amp;F$2&amp;"名」または「性別表記の調整」"</f>
        <v>(4)「役職名」または「性別表記の調整」</v>
      </c>
      <c r="G4" s="64" t="str">
        <f>G5&amp;G6&amp;G7&amp;G17&amp;G18&amp;G19&amp;G20</f>
        <v/>
      </c>
      <c r="H4" s="64" t="str">
        <f>"(4)「性別表記の調整」"</f>
        <v>(4)「性別表記の調整」</v>
      </c>
      <c r="L4" s="64" t="str">
        <f>L5&amp;L6&amp;L7&amp;L17&amp;L18&amp;L19&amp;L20</f>
        <v/>
      </c>
    </row>
    <row r="5" spans="1:14">
      <c r="A5" s="67" t="s">
        <v>148</v>
      </c>
      <c r="B5" s="64" t="str">
        <f>IF(OR(入力シート!$C$5="",入力シート!$C$5=入力リスト!$N$5),"",B6)</f>
        <v/>
      </c>
      <c r="D5" s="64" t="str">
        <f>IF(OR(入力シート!$C$5="",入力シート!$C$5=入力リスト!$N$5),"",D6)</f>
        <v/>
      </c>
      <c r="F5" s="64" t="str">
        <f>IF(OR(入力シート!$C$5="",入力シート!$C$5=入力リスト!$N$5),"",F6)</f>
        <v/>
      </c>
      <c r="H5" s="64" t="str">
        <f>IF(OR(入力シート!$C$5="",入力シート!$C$5=入力リスト!$N$5),"",H6)</f>
        <v/>
      </c>
      <c r="L5" s="64" t="str">
        <f>IF(AND(H5&lt;&gt;FALSE,H6=FALSE),$N5,"")</f>
        <v/>
      </c>
    </row>
    <row r="6" spans="1:14">
      <c r="A6" s="64" t="s">
        <v>1248</v>
      </c>
      <c r="B6" s="64" t="str">
        <f>IF(入力シート!J16="",$M6,B7)</f>
        <v xml:space="preserve"> ←入力方法を選択してください。</v>
      </c>
      <c r="D6" s="64" t="str">
        <f>IF(入力シート!J18="",$M6,D7)</f>
        <v xml:space="preserve"> ←入力方法を選択してください。</v>
      </c>
      <c r="F6" s="64" t="str">
        <f>IF(入力シート!$J$20="",$M6,F7)</f>
        <v xml:space="preserve"> ←入力方法を選択してください。</v>
      </c>
      <c r="H6" s="64" t="str">
        <f>IF(入力シート!J22="",$M6,H7)</f>
        <v xml:space="preserve"> ←入力方法を選択してください。</v>
      </c>
      <c r="M6" s="65" t="s">
        <v>124</v>
      </c>
    </row>
    <row r="7" spans="1:14">
      <c r="A7" s="64" t="s">
        <v>1222</v>
      </c>
      <c r="B7" s="64" t="b">
        <f>IF(AND(入力シート!$J$16=入力リスト!$K$5,COUNTIF(入力シート!$J$33:$J$35,"")&gt;0),B$3&amp;$M7,B17)</f>
        <v>0</v>
      </c>
      <c r="C7" s="64" t="str">
        <f>IF(AND(B7&lt;&gt;FALSE,B17=FALSE),N7,"")</f>
        <v/>
      </c>
      <c r="D7" s="64" t="b">
        <f>IF(AND(入力シート!$J$18=入力リスト!$K$5,COUNTIF(入力シート!$J$37:$J$45,"")&gt;0),D$3&amp;$M7,D17)</f>
        <v>0</v>
      </c>
      <c r="E7" s="64" t="str">
        <f>IF(AND(D7&lt;&gt;FALSE,D17=FALSE),$N7,"")</f>
        <v/>
      </c>
      <c r="F7" s="64" t="b">
        <f>IF(AND(入力シート!$J$20=入力リスト!$K$5,COUNTIF(入力シート!$J$47:$J$50,"")&gt;0),F$3&amp;$M7,F17)</f>
        <v>0</v>
      </c>
      <c r="G7" s="64" t="str">
        <f>IF(AND(F7&lt;&gt;FALSE,F17=FALSE),$N7,"")</f>
        <v/>
      </c>
      <c r="H7" s="64" t="b">
        <f>IF(AND(入力シート!$J$22=入力リスト!$K$5,COUNTIF(入力シート!$J$54:$J$57,"")+COUNTIF(入力シート!$L$54:$L$57,"")+COUNTIF(入力シート!$N$54:$N$55,"")+COUNTIF(入力シート!$P$54:$P$55,"")+COUNTIF(入力シート!$N$57:$N$57,"")+COUNTIF(入力シート!$P$57,"")&gt;0),H$3&amp;M7,H17)</f>
        <v>0</v>
      </c>
      <c r="L7" s="64" t="str">
        <f>IF(AND(H7&lt;&gt;FALSE,H17=FALSE),$N7,"")</f>
        <v/>
      </c>
      <c r="M7" s="65" t="s">
        <v>1365</v>
      </c>
      <c r="N7" s="66" t="s">
        <v>1188</v>
      </c>
    </row>
    <row r="8" spans="1:14">
      <c r="A8" s="64" t="s">
        <v>153</v>
      </c>
      <c r="B8" s="64" t="b">
        <f>OR(入力シート!J33="",ISNUMBER(入力シート!J33))</f>
        <v>1</v>
      </c>
      <c r="D8" s="64" t="b">
        <f>OR(入力シート!J37="",ISNUMBER(入力シート!J37))</f>
        <v>1</v>
      </c>
      <c r="F8" s="64" t="b">
        <f>OR(入力シート!J47="",ISNUMBER(入力シート!J47))</f>
        <v>1</v>
      </c>
      <c r="H8" s="64" t="b">
        <f>OR(入力シート!J54="",ISNUMBER(入力シート!J54))</f>
        <v>1</v>
      </c>
      <c r="I8" s="64" t="b">
        <f>OR(入力シート!L54="",ISNUMBER(入力シート!L54))</f>
        <v>1</v>
      </c>
      <c r="J8" s="64" t="b">
        <f>OR(入力シート!N54="",ISNUMBER(入力シート!N54))</f>
        <v>1</v>
      </c>
      <c r="K8" s="64" t="b">
        <f>OR(入力シート!P54="",ISNUMBER(入力シート!P54))</f>
        <v>1</v>
      </c>
    </row>
    <row r="9" spans="1:14">
      <c r="A9" s="64" t="s">
        <v>154</v>
      </c>
      <c r="B9" s="64" t="b">
        <f>OR(入力シート!J34="",ISNUMBER(入力シート!J34))</f>
        <v>1</v>
      </c>
      <c r="D9" s="64" t="b">
        <f>OR(入力シート!J38="",ISNUMBER(入力シート!J38))</f>
        <v>1</v>
      </c>
      <c r="F9" s="64" t="b">
        <f>OR(入力シート!J48="",ISNUMBER(入力シート!J48))</f>
        <v>1</v>
      </c>
      <c r="H9" s="64" t="b">
        <f>OR(入力シート!J55="",ISNUMBER(入力シート!J55))</f>
        <v>1</v>
      </c>
      <c r="I9" s="64" t="b">
        <f>OR(入力シート!L55="",ISNUMBER(入力シート!L55))</f>
        <v>1</v>
      </c>
      <c r="J9" s="64" t="b">
        <f>OR(入力シート!N55="",ISNUMBER(入力シート!N55))</f>
        <v>1</v>
      </c>
      <c r="K9" s="64" t="b">
        <f>OR(入力シート!P55="",ISNUMBER(入力シート!P55))</f>
        <v>1</v>
      </c>
    </row>
    <row r="10" spans="1:14">
      <c r="A10" s="64" t="s">
        <v>155</v>
      </c>
      <c r="B10" s="64" t="b">
        <f>OR(入力シート!J35="",ISNUMBER(入力シート!J35))</f>
        <v>1</v>
      </c>
      <c r="D10" s="64" t="b">
        <f>OR(入力シート!J39="",ISNUMBER(入力シート!J39))</f>
        <v>1</v>
      </c>
      <c r="F10" s="64" t="b">
        <f>OR(入力シート!J49="",ISNUMBER(入力シート!J49))</f>
        <v>1</v>
      </c>
      <c r="H10" s="64" t="b">
        <f>OR(入力シート!J56="",ISNUMBER(入力シート!J56))</f>
        <v>1</v>
      </c>
      <c r="I10" s="64" t="b">
        <f>OR(入力シート!L56="",ISNUMBER(入力シート!L56))</f>
        <v>1</v>
      </c>
      <c r="J10" s="64" t="b">
        <v>1</v>
      </c>
      <c r="K10" s="64" t="b">
        <f>OR(入力シート!P56="",ISNUMBER(入力シート!P56))</f>
        <v>1</v>
      </c>
    </row>
    <row r="11" spans="1:14">
      <c r="A11" s="64" t="s">
        <v>156</v>
      </c>
      <c r="D11" s="64" t="b">
        <f>OR(入力シート!J40="",ISNUMBER(入力シート!J40))</f>
        <v>1</v>
      </c>
      <c r="F11" s="64" t="b">
        <f>OR(入力シート!J50="",ISNUMBER(入力シート!J50))</f>
        <v>1</v>
      </c>
      <c r="H11" s="64" t="b">
        <f>OR(入力シート!J57="",ISNUMBER(入力シート!J57))</f>
        <v>1</v>
      </c>
      <c r="I11" s="64" t="b">
        <f>OR(入力シート!L57="",ISNUMBER(入力シート!L57))</f>
        <v>1</v>
      </c>
      <c r="J11" s="64" t="b">
        <f>OR(入力シート!N57="",ISNUMBER(入力シート!N57))</f>
        <v>1</v>
      </c>
      <c r="K11" s="64" t="b">
        <f>OR(入力シート!P57="",ISNUMBER(入力シート!P57))</f>
        <v>1</v>
      </c>
    </row>
    <row r="12" spans="1:14">
      <c r="A12" s="64" t="s">
        <v>157</v>
      </c>
      <c r="D12" s="64" t="b">
        <f>OR(入力シート!J41="",ISNUMBER(入力シート!J41))</f>
        <v>1</v>
      </c>
    </row>
    <row r="13" spans="1:14">
      <c r="A13" s="64" t="s">
        <v>158</v>
      </c>
      <c r="D13" s="64" t="b">
        <f>OR(入力シート!J42="",ISNUMBER(入力シート!J42))</f>
        <v>1</v>
      </c>
    </row>
    <row r="14" spans="1:14">
      <c r="A14" s="64" t="s">
        <v>159</v>
      </c>
      <c r="D14" s="64" t="b">
        <f>OR(入力シート!J43="",ISNUMBER(入力シート!J43))</f>
        <v>1</v>
      </c>
    </row>
    <row r="15" spans="1:14">
      <c r="A15" s="64" t="s">
        <v>160</v>
      </c>
      <c r="D15" s="64" t="b">
        <f>OR(入力シート!J44="",ISNUMBER(入力シート!J44))</f>
        <v>1</v>
      </c>
    </row>
    <row r="16" spans="1:14">
      <c r="A16" s="64" t="s">
        <v>161</v>
      </c>
      <c r="D16" s="64" t="b">
        <f>OR(入力シート!J45="",ISNUMBER(入力シート!J45))</f>
        <v>1</v>
      </c>
    </row>
    <row r="17" spans="1:14">
      <c r="A17" s="64" t="s">
        <v>1223</v>
      </c>
      <c r="B17" s="64" t="b">
        <f>IF(AND(入力シート!$J$16=入力リスト!$K$5,COUNTIF(入力シート!$J$33:$J$35,"")=0,COUNTIF($B$8:$B$10,FALSE)&gt;0),B$3&amp;M17,B18)</f>
        <v>0</v>
      </c>
      <c r="C17" s="64" t="str">
        <f>IF(AND(入力シート!$J$16=入力リスト!$K$5,COUNTIF(入力シート!$J$33:$J$35,"")=0,COUNTIF($B$8:$B$10,FALSE)&gt;0),N17,"")</f>
        <v/>
      </c>
      <c r="D17" s="64" t="b">
        <f>IF(AND(入力シート!$J$18=入力リスト!$K$5,COUNTIF(入力シート!$J$37:$J$45,"")=0,COUNTIF($D$8:$D$16,FALSE)&gt;0),D$3&amp;M17,D18)</f>
        <v>0</v>
      </c>
      <c r="E17" s="64" t="str">
        <f>IF(AND(D17&lt;&gt;FALSE,D18=FALSE),$N17,"")</f>
        <v/>
      </c>
      <c r="F17" s="64" t="b">
        <f>IF(AND(入力シート!$J$20=入力リスト!$K$5,COUNTIF(入力シート!$J$47:$J$50,"")=0,COUNTIF($F$8:$F$11,FALSE)&gt;0),F$3&amp;M17,F18)</f>
        <v>0</v>
      </c>
      <c r="G17" s="64" t="str">
        <f>IF(AND(F17&lt;&gt;FALSE,F18=FALSE),$N17,"")</f>
        <v/>
      </c>
      <c r="H17" s="64" t="b">
        <f>IF(AND(入力シート!$J$22=入力リスト!$K$5,COUNTIF(入力シート!$J$54:$J$57,"")+COUNTIF(入力シート!$L$54:$L$57,"")+COUNTIF(入力シート!$N$54:$N$55,"")+COUNTIF(入力シート!$P$54:$P$55,"")+COUNTIF(入力シート!$N$57:$N$57,"")+COUNTIF(入力シート!$P$57,"")=0,COUNTIF($H$8:$K$11,FALSE)&gt;0),H$3&amp;N17,H18)</f>
        <v>0</v>
      </c>
      <c r="L17" s="64" t="str">
        <f>IF(AND(H17&lt;&gt;FALSE,H18=FALSE),$N17,"")</f>
        <v/>
      </c>
      <c r="M17" s="65" t="s">
        <v>1243</v>
      </c>
      <c r="N17" s="66" t="s">
        <v>473</v>
      </c>
    </row>
    <row r="18" spans="1:14">
      <c r="A18" s="64" t="s">
        <v>150</v>
      </c>
      <c r="B18" s="64" t="b">
        <f>IF(AND(入力シート!$J$16=入力リスト!$K$5,COUNTIF(入力シート!$J$33:$J$35,"")=0,COUNTIF(入力シート!$J$33:$J$35,"")=0),$M18,B19)</f>
        <v>0</v>
      </c>
      <c r="D18" s="64" t="b">
        <f>IF(AND(入力シート!$J$18=入力リスト!$K$5,COUNTIF(入力シート!$J$37:$J$45,"")=0,COUNTIF($D$8:$D$16,FALSE)=0),$M18,D19)</f>
        <v>0</v>
      </c>
      <c r="F18" s="64" t="b">
        <f>IF(AND(入力シート!$J$20=入力リスト!$K$5,COUNTIF(入力シート!$J$47:$J$50,"")=0,COUNTIF($F$8:$F$11,FALSE)=0),$M18,F19)</f>
        <v>0</v>
      </c>
      <c r="H18" s="64" t="b">
        <f>IF(AND(入力シート!$J$22=入力リスト!$K$5,COUNTIF(入力シート!$J$54:$J$57,"")+COUNTIF(入力シート!$L$54:$L$57,"")+COUNTIF(入力シート!$N$54:$N$55,"")+COUNTIF(入力シート!$P$54:$P$55,"")+COUNTIF(入力シート!$N$57,"")+COUNTIF(入力シート!$P$57,"")=0,COUNTIF($H$8:$K$11,FALSE)=0),$M18,H19)</f>
        <v>0</v>
      </c>
      <c r="M18" s="66" t="s">
        <v>99</v>
      </c>
    </row>
    <row r="19" spans="1:14">
      <c r="A19" s="64" t="s">
        <v>1241</v>
      </c>
      <c r="B19" s="64" t="b">
        <f>IF(AND(入力シート!$J$16=入力リスト!$K$4,OR(入力シート!$AA$33&lt;&gt;"",入力シート!$BC$33&lt;&gt;"")),B$4&amp;$M19,B20)</f>
        <v>0</v>
      </c>
      <c r="C19" s="64" t="str">
        <f>IF(AND(B19&lt;&gt;FALSE,B20=FALSE),N19,"")</f>
        <v/>
      </c>
      <c r="D19" s="64" t="b">
        <f>IF(AND(入力シート!$J$18=入力リスト!$K$4,入力シート!$BC$33&lt;&gt;""),D$4&amp;$M19,D20)</f>
        <v>0</v>
      </c>
      <c r="E19" s="64" t="str">
        <f>IF(AND(D19&lt;&gt;FALSE,D20=FALSE),$N19,"")</f>
        <v/>
      </c>
      <c r="F19" s="64" t="b">
        <f>IF(AND(入力シート!$J$20=入力リスト!$K$4,OR(入力シート!$AP$33&lt;&gt;"",入力シート!$BC$33&lt;&gt;"")),F$4&amp;$M19,F20)</f>
        <v>0</v>
      </c>
      <c r="G19" s="64" t="str">
        <f>IF(AND(F19&lt;&gt;FALSE,F20=FALSE),$N19,"")</f>
        <v/>
      </c>
      <c r="H19" s="64" t="b">
        <f>IF(AND(入力シート!$J$22=入力リスト!$K$4,入力シート!$BC$33&lt;&gt;""),H$4&amp;$M19,H20)</f>
        <v>0</v>
      </c>
      <c r="L19" s="64" t="str">
        <f>IF(AND(H19&lt;&gt;FALSE,H20=FALSE),$N19,"")</f>
        <v/>
      </c>
      <c r="M19" s="65" t="s">
        <v>1244</v>
      </c>
      <c r="N19" s="66" t="s">
        <v>1240</v>
      </c>
    </row>
    <row r="20" spans="1:14">
      <c r="A20" s="64" t="s">
        <v>1242</v>
      </c>
      <c r="B20" s="64" t="b">
        <f>IF(AND(入力シート!$J$16=入力リスト!$K$4,入力シート!$AA$33=""),M18)</f>
        <v>0</v>
      </c>
      <c r="D20" s="64" t="b">
        <f>IF(AND(入力シート!$J$18=入力リスト!$K$4,入力シート!$BC$33=""),M18)</f>
        <v>0</v>
      </c>
      <c r="F20" s="64" t="b">
        <f>IF(AND(入力シート!$J$20=入力リスト!$K$4,入力シート!$AP$33="",入力シート!$BC$33=""),M18)</f>
        <v>0</v>
      </c>
      <c r="H20" s="64" t="b">
        <f>IF(AND(入力シート!$J$22=入力リスト!$K$4,入力シート!$BC$33=""),M18)</f>
        <v>0</v>
      </c>
      <c r="L20" s="64" t="str">
        <f>IF(AND(K20&lt;&gt;FALSE,K21=FALSE),$M21,"")</f>
        <v/>
      </c>
      <c r="M20" s="66" t="s">
        <v>99</v>
      </c>
    </row>
    <row r="21" spans="1:14">
      <c r="M21" s="66" t="s">
        <v>1219</v>
      </c>
    </row>
    <row r="22" spans="1:14">
      <c r="M22" s="66" t="s">
        <v>1220</v>
      </c>
    </row>
    <row r="23" spans="1:14">
      <c r="M23" s="66"/>
    </row>
  </sheetData>
  <sheetProtection algorithmName="SHA-512" hashValue="YLDyAe6GIYaAS4PZZQg1jE8CIUGk5b/DxylF62mKDvRifw5lAi7QymtMp+p35ADtN4Nw1fyvoA39shJzrEFLAA==" saltValue="+hRlFZEtISyN+qx0BUpmTw==" spinCount="100000" sheet="1" objects="1" scenarios="1" selectLockedCells="1" selectUnlockedCells="1"/>
  <autoFilter ref="A4:N21" xr:uid="{006BEC7F-C94A-0E43-ACDA-87CF561642C6}"/>
  <phoneticPr fontId="3"/>
  <pageMargins left="0.7" right="0.7" top="0.75" bottom="0.75" header="0.3" footer="0.3"/>
  <pageSetup paperSize="9"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65467-7F3E-3842-851B-6F506C365B25}">
  <dimension ref="A1:V36"/>
  <sheetViews>
    <sheetView topLeftCell="XFD1" zoomScale="84" workbookViewId="0">
      <selection sqref="A1:XFD1048576"/>
    </sheetView>
  </sheetViews>
  <sheetFormatPr defaultColWidth="0" defaultRowHeight="19.5"/>
  <cols>
    <col min="1" max="3" width="5" style="64" hidden="1" customWidth="1"/>
    <col min="4" max="20" width="5" style="69" hidden="1" customWidth="1"/>
    <col min="21" max="16384" width="5" style="66" hidden="1"/>
  </cols>
  <sheetData>
    <row r="1" spans="1:22">
      <c r="A1" s="68" t="s">
        <v>162</v>
      </c>
      <c r="D1" s="66" t="s">
        <v>1234</v>
      </c>
    </row>
    <row r="2" spans="1:22">
      <c r="D2" s="70" t="s">
        <v>191</v>
      </c>
      <c r="E2" s="66"/>
      <c r="H2" s="68" t="s">
        <v>162</v>
      </c>
      <c r="I2" s="64"/>
      <c r="J2" s="64"/>
      <c r="K2" s="70" t="s">
        <v>191</v>
      </c>
      <c r="L2" s="70" t="s">
        <v>185</v>
      </c>
      <c r="M2" s="70" t="s">
        <v>186</v>
      </c>
      <c r="N2" s="70" t="s">
        <v>5</v>
      </c>
      <c r="O2" s="70" t="s">
        <v>1318</v>
      </c>
      <c r="P2" s="70" t="s">
        <v>188</v>
      </c>
      <c r="Q2" s="69" t="s">
        <v>189</v>
      </c>
      <c r="R2" s="69" t="s">
        <v>190</v>
      </c>
      <c r="S2" s="64" t="s">
        <v>183</v>
      </c>
      <c r="T2" s="120"/>
    </row>
    <row r="3" spans="1:22">
      <c r="A3" s="67" t="s">
        <v>90</v>
      </c>
      <c r="B3" s="67" t="s">
        <v>92</v>
      </c>
      <c r="C3" s="67" t="s">
        <v>103</v>
      </c>
      <c r="H3" s="67" t="s">
        <v>90</v>
      </c>
      <c r="I3" s="67" t="s">
        <v>92</v>
      </c>
      <c r="J3" s="67" t="s">
        <v>103</v>
      </c>
      <c r="T3" s="121"/>
    </row>
    <row r="4" spans="1:22">
      <c r="A4" s="64" t="s">
        <v>139</v>
      </c>
      <c r="H4" s="69" t="b">
        <f>入力シート!$C$5=""</f>
        <v>1</v>
      </c>
      <c r="I4" s="69" t="b">
        <v>1</v>
      </c>
      <c r="J4" s="69" t="b">
        <v>1</v>
      </c>
      <c r="K4" s="69" t="b">
        <v>1</v>
      </c>
      <c r="P4" s="69" t="b">
        <v>1</v>
      </c>
      <c r="Q4" s="69" t="b">
        <v>1</v>
      </c>
      <c r="R4" s="69" t="b">
        <v>1</v>
      </c>
      <c r="S4" s="69" t="b">
        <f t="shared" ref="S4:S13" si="0">AND(H4,I4,J4,K4,P4,Q4,R4)</f>
        <v>1</v>
      </c>
      <c r="T4" s="69" t="s">
        <v>5097</v>
      </c>
      <c r="V4" s="66">
        <v>1</v>
      </c>
    </row>
    <row r="5" spans="1:22">
      <c r="A5" s="64" t="s">
        <v>140</v>
      </c>
      <c r="H5" s="69" t="b">
        <f>入力シート!$C$5=入力リスト!$N$5</f>
        <v>0</v>
      </c>
      <c r="I5" s="69" t="b">
        <v>1</v>
      </c>
      <c r="J5" s="69" t="b">
        <v>1</v>
      </c>
      <c r="K5" s="69" t="b">
        <v>1</v>
      </c>
      <c r="P5" s="69" t="b">
        <v>1</v>
      </c>
      <c r="Q5" s="69" t="b">
        <v>1</v>
      </c>
      <c r="R5" s="69" t="b">
        <v>1</v>
      </c>
      <c r="S5" s="69" t="b">
        <f t="shared" si="0"/>
        <v>0</v>
      </c>
      <c r="T5" s="69" t="s">
        <v>467</v>
      </c>
      <c r="U5" s="66" t="s">
        <v>465</v>
      </c>
      <c r="V5" s="66">
        <v>0</v>
      </c>
    </row>
    <row r="6" spans="1:22">
      <c r="A6" s="64" t="s">
        <v>143</v>
      </c>
      <c r="B6" s="64" t="s">
        <v>164</v>
      </c>
      <c r="H6" s="69" t="b">
        <f>入力シート!$C$5=入力リスト!$N$4</f>
        <v>0</v>
      </c>
      <c r="I6" s="69" t="b">
        <f>COUNTIF(入力シート!$J$16:$J$23,入力リスト!$K$5)=4</f>
        <v>0</v>
      </c>
      <c r="J6" s="69" t="b">
        <v>1</v>
      </c>
      <c r="K6" s="69" t="b">
        <v>1</v>
      </c>
      <c r="P6" s="69" t="b">
        <v>1</v>
      </c>
      <c r="Q6" s="69" t="b">
        <v>1</v>
      </c>
      <c r="R6" s="69" t="b">
        <v>1</v>
      </c>
      <c r="S6" s="69" t="b">
        <f t="shared" si="0"/>
        <v>0</v>
      </c>
      <c r="T6" s="69" t="s">
        <v>467</v>
      </c>
      <c r="U6" s="66" t="s">
        <v>465</v>
      </c>
      <c r="V6" s="66">
        <v>0</v>
      </c>
    </row>
    <row r="7" spans="1:22">
      <c r="A7" s="64" t="s">
        <v>143</v>
      </c>
      <c r="B7" s="64" t="s">
        <v>165</v>
      </c>
      <c r="C7" s="64" t="s">
        <v>163</v>
      </c>
      <c r="H7" s="69" t="b">
        <f>入力シート!$C$5=入力リスト!$N$4</f>
        <v>0</v>
      </c>
      <c r="I7" s="69" t="b">
        <f>COUNTIF(入力シート!$J$16:$J$23,入力リスト!$K$5)&lt;4</f>
        <v>1</v>
      </c>
      <c r="J7" s="69" t="b">
        <f>IF(AND(COUNTIF(入力シート!$J$16:$S$25,'エラー_入シ(3)'!$M$18)+COUNTIF(入力シート!$J$24,"←入力不要です。")&lt;5,COUNTIF(入力シート!$T$16:$T$25,'エラー_入シ(3)'!$M$18)+COUNTIF(入力シート!$T$24,"←入力不要です。")+COUNTIF(入力シート!$T$16:$BG$23,'エラー_入シ(3)'!$N$7)&lt;&gt;5),TRUE,FALSE)</f>
        <v>1</v>
      </c>
      <c r="K7" s="69" t="b">
        <v>1</v>
      </c>
      <c r="P7" s="69" t="b">
        <v>1</v>
      </c>
      <c r="Q7" s="69" t="b">
        <v>1</v>
      </c>
      <c r="R7" s="69" t="b">
        <v>1</v>
      </c>
      <c r="S7" s="69" t="b">
        <f t="shared" si="0"/>
        <v>0</v>
      </c>
      <c r="T7" s="122" t="s">
        <v>5098</v>
      </c>
      <c r="U7" s="66" t="s">
        <v>5095</v>
      </c>
      <c r="V7" s="66">
        <v>1</v>
      </c>
    </row>
    <row r="8" spans="1:22">
      <c r="A8" s="64" t="s">
        <v>143</v>
      </c>
      <c r="B8" s="64" t="s">
        <v>165</v>
      </c>
      <c r="C8" s="64" t="s">
        <v>145</v>
      </c>
      <c r="D8" s="69" t="s">
        <v>166</v>
      </c>
      <c r="H8" s="69" t="b">
        <f>入力シート!$C$5=入力リスト!$N$4</f>
        <v>0</v>
      </c>
      <c r="I8" s="69" t="b">
        <f>COUNTIF(入力シート!$J$16:$J$23,入力リスト!$K$5)&lt;4</f>
        <v>1</v>
      </c>
      <c r="J8" s="69" t="b">
        <f>OR(AND(COUNTIF(入力シート!$T$16:$T$25,'エラー_入シ(3)'!$M$18)+COUNTIF(入力シート!$T$24,"←入力不要です。")+COUNTIF(入力シート!$T$16:$BG$23,'エラー_入シ(3)'!$N$7)=5,COUNTIF(入力シート!$T$16:$BG$23,'エラー_入シ(3)'!$N$7)&gt;0),COUNTIF(入力シート!$T$16:$T$24,'エラー_入シ(3)'!$M$18)+COUNTIF(入力シート!$T$24,'エラー_入シ(3)'!$M$21)=5)</f>
        <v>0</v>
      </c>
      <c r="K8" s="69" t="b">
        <f>AND(SUBTOTAL(3,'従業員情報(給与以外)'!A:A)=2,SUBTOTAL(3,'従業員情報(給与以外)'!B:B)=2,SUBTOTAL(3,'従業員情報(給与以外)'!C:C)=2,SUBTOTAL(3,'従業員情報(給与以外)'!D:D)=2,SUBTOTAL(3,'従業員情報(給与以外)'!E:E)=2)</f>
        <v>1</v>
      </c>
      <c r="L8" s="69" t="b">
        <f>入力シート!$J$16=入力リスト!$K$4</f>
        <v>0</v>
      </c>
      <c r="M8" s="69" t="b">
        <f>入力シート!$J$18=入力リスト!$K$4</f>
        <v>0</v>
      </c>
      <c r="N8" s="69" t="b">
        <f>入力シート!$J$20=入力リスト!$K$4</f>
        <v>0</v>
      </c>
      <c r="O8" s="69" t="b">
        <f>入力シート!$J$22=入力リスト!$K$4</f>
        <v>0</v>
      </c>
      <c r="P8" s="69" t="b">
        <v>1</v>
      </c>
      <c r="Q8" s="69" t="b">
        <v>1</v>
      </c>
      <c r="R8" s="69" t="b">
        <v>1</v>
      </c>
      <c r="S8" s="69" t="b">
        <f t="shared" si="0"/>
        <v>0</v>
      </c>
      <c r="T8" s="69" t="e">
        <f>"記載例に従って、項目"&amp;VLOOKUP(L8&amp;M8&amp;N8&amp;O8,$S$20:$T$34,2,0)&amp;"に従業員情報を入力又は貼付してください。"</f>
        <v>#N/A</v>
      </c>
      <c r="V8" s="66">
        <v>1</v>
      </c>
    </row>
    <row r="9" spans="1:22">
      <c r="A9" s="64" t="s">
        <v>143</v>
      </c>
      <c r="B9" s="64" t="s">
        <v>165</v>
      </c>
      <c r="C9" s="64" t="s">
        <v>145</v>
      </c>
      <c r="D9" s="69" t="s">
        <v>167</v>
      </c>
      <c r="E9" s="69" t="s">
        <v>187</v>
      </c>
      <c r="G9" s="69" t="s">
        <v>145</v>
      </c>
      <c r="H9" s="69" t="b">
        <f>入力シート!$C$5=入力リスト!$N$4</f>
        <v>0</v>
      </c>
      <c r="I9" s="69" t="b">
        <f>COUNTIF(入力シート!$J$16:$J$23,入力リスト!$K$5)&lt;4</f>
        <v>1</v>
      </c>
      <c r="J9" s="69" t="b">
        <f>OR(AND(COUNTIF(入力シート!$T$16:$T$25,'エラー_入シ(3)'!$M$18)+COUNTIF(入力シート!$T$24,"←入力不要です。")+COUNTIF(入力シート!$T$16:$BG$23,'エラー_入シ(3)'!$N$7)=5,COUNTIF(入力シート!$T$16:$BG$23,'エラー_入シ(3)'!$N$7)&gt;0),COUNTIF(入力シート!$T$16:$T$24,'エラー_入シ(3)'!$M$18)+COUNTIF(入力シート!$T$24,'エラー_入シ(3)'!$M$21)=5)</f>
        <v>0</v>
      </c>
      <c r="K9" s="69" t="b">
        <f>AND(SUBTOTAL(3,'従業員情報(給与以外)'!A:A)&gt;2,SUBTOTAL(3,'従業員情報(給与以外)'!B:B)&gt;2,SUBTOTAL(3,'従業員情報(給与以外)'!C:C)&gt;2,SUBTOTAL(3,'従業員情報(給与以外)'!D:D)&gt;2,SUBTOTAL(3,'従業員情報(給与以外)'!E:E)&gt;2)</f>
        <v>0</v>
      </c>
      <c r="P9" s="64" t="b">
        <f>AND(入力シート!$J$18&lt;&gt;入力リスト!$K$4,入力シート!$J$22&lt;&gt;入力リスト!$K$4)</f>
        <v>1</v>
      </c>
      <c r="Q9" s="69" t="b">
        <v>1</v>
      </c>
      <c r="R9" s="69" t="b">
        <f>COUNTIF('従業員情報(給与以外)'!$F$4:$F$1000000,"*。*")=0</f>
        <v>1</v>
      </c>
      <c r="S9" s="69" t="b">
        <f t="shared" si="0"/>
        <v>0</v>
      </c>
      <c r="T9" s="69" t="s">
        <v>173</v>
      </c>
      <c r="U9" s="66" t="s">
        <v>1236</v>
      </c>
      <c r="V9" s="66">
        <v>0</v>
      </c>
    </row>
    <row r="10" spans="1:22">
      <c r="A10" s="64" t="s">
        <v>143</v>
      </c>
      <c r="B10" s="64" t="s">
        <v>165</v>
      </c>
      <c r="C10" s="64" t="s">
        <v>145</v>
      </c>
      <c r="D10" s="69" t="s">
        <v>167</v>
      </c>
      <c r="E10" s="69" t="s">
        <v>187</v>
      </c>
      <c r="G10" s="69" t="s">
        <v>163</v>
      </c>
      <c r="H10" s="69" t="b">
        <f>入力シート!$C$5=入力リスト!$N$4</f>
        <v>0</v>
      </c>
      <c r="I10" s="69" t="b">
        <f>COUNTIF(入力シート!$J$16:$J$23,入力リスト!$K$5)&lt;4</f>
        <v>1</v>
      </c>
      <c r="J10" s="69" t="b">
        <f>OR(AND(COUNTIF(入力シート!$T$16:$T$25,'エラー_入シ(3)'!$M$18)+COUNTIF(入力シート!$T$24,"←入力不要です。")+COUNTIF(入力シート!$T$16:$BG$23,'エラー_入シ(3)'!$N$7)=5,COUNTIF(入力シート!$T$16:$BG$23,'エラー_入シ(3)'!$N$7)&gt;0),COUNTIF(入力シート!$T$16:$T$24,'エラー_入シ(3)'!$M$18)+COUNTIF(入力シート!$T$24,'エラー_入シ(3)'!$M$21)=5)</f>
        <v>0</v>
      </c>
      <c r="K10" s="69" t="b">
        <f>AND(SUBTOTAL(3,'従業員情報(給与以外)'!A:A)&gt;2,SUBTOTAL(3,'従業員情報(給与以外)'!B:B)&gt;2,SUBTOTAL(3,'従業員情報(給与以外)'!C:C)&gt;2,SUBTOTAL(3,'従業員情報(給与以外)'!D:D)&gt;2,SUBTOTAL(3,'従業員情報(給与以外)'!E:E)&gt;2)</f>
        <v>0</v>
      </c>
      <c r="P10" s="64" t="b">
        <f>AND(入力シート!$J$18&lt;&gt;入力リスト!$K$4,入力シート!$J$22&lt;&gt;入力リスト!$K$4)</f>
        <v>1</v>
      </c>
      <c r="Q10" s="69" t="b">
        <v>1</v>
      </c>
      <c r="R10" s="69" t="b">
        <f>COUNTIF('従業員情報(給与以外)'!$F$4:$F$1000000,"*。*")&gt;0</f>
        <v>0</v>
      </c>
      <c r="S10" s="69" t="b">
        <f t="shared" si="0"/>
        <v>0</v>
      </c>
      <c r="T10" s="121" t="str">
        <f>"入力内容に"&amp;COUNTIF('従業員情報(給与以外)'!$F$4:$F$1000000,"*。*")&amp;"件の不備があります。"</f>
        <v>入力内容に0件の不備があります。</v>
      </c>
      <c r="U10" s="66" t="s">
        <v>172</v>
      </c>
      <c r="V10" s="66">
        <v>1</v>
      </c>
    </row>
    <row r="11" spans="1:22">
      <c r="A11" s="64" t="s">
        <v>143</v>
      </c>
      <c r="B11" s="64" t="s">
        <v>165</v>
      </c>
      <c r="C11" s="64" t="s">
        <v>145</v>
      </c>
      <c r="D11" s="69" t="s">
        <v>167</v>
      </c>
      <c r="E11" s="69" t="s">
        <v>192</v>
      </c>
      <c r="F11" s="69" t="s">
        <v>168</v>
      </c>
      <c r="H11" s="69" t="b">
        <f>入力シート!$C$5=入力リスト!$N$4</f>
        <v>0</v>
      </c>
      <c r="I11" s="69" t="b">
        <f>COUNTIF(入力シート!$J$16:$J$23,入力リスト!$K$5)&lt;4</f>
        <v>1</v>
      </c>
      <c r="J11" s="69" t="b">
        <f>OR(AND(COUNTIF(入力シート!$T$16:$T$25,'エラー_入シ(3)'!$M$18)+COUNTIF(入力シート!$T$24,"←入力不要です。")+COUNTIF(入力シート!$T$16:$BG$23,'エラー_入シ(3)'!$N$7)=5,COUNTIF(入力シート!$T$16:$BG$23,'エラー_入シ(3)'!$N$7)&gt;0),COUNTIF(入力シート!$T$16:$T$24,'エラー_入シ(3)'!$M$18)+COUNTIF(入力シート!$T$24,'エラー_入シ(3)'!$M$21)=5)</f>
        <v>0</v>
      </c>
      <c r="K11" s="69" t="b">
        <f>AND(SUBTOTAL(3,'従業員情報(給与以外)'!A:A)&gt;2,SUBTOTAL(3,'従業員情報(給与以外)'!B:B)&gt;2,SUBTOTAL(3,'従業員情報(給与以外)'!C:C)&gt;2,SUBTOTAL(3,'従業員情報(給与以外)'!D:D)&gt;2,SUBTOTAL(3,'従業員情報(給与以外)'!E:E)&gt;2)</f>
        <v>0</v>
      </c>
      <c r="P11" s="64" t="b">
        <f>OR(入力シート!$J$18=入力リスト!$K$4,入力シート!$J$22=入力リスト!$K$4)</f>
        <v>0</v>
      </c>
      <c r="Q11" s="69" t="b">
        <f>入力シート!J24=""</f>
        <v>1</v>
      </c>
      <c r="R11" s="69" t="b">
        <v>1</v>
      </c>
      <c r="S11" s="69" t="b">
        <f t="shared" si="0"/>
        <v>0</v>
      </c>
      <c r="T11" s="69" t="s">
        <v>5099</v>
      </c>
      <c r="U11" s="66" t="s">
        <v>5096</v>
      </c>
      <c r="V11" s="66">
        <v>1</v>
      </c>
    </row>
    <row r="12" spans="1:22">
      <c r="A12" s="64" t="s">
        <v>143</v>
      </c>
      <c r="B12" s="64" t="s">
        <v>165</v>
      </c>
      <c r="C12" s="64" t="s">
        <v>145</v>
      </c>
      <c r="D12" s="69" t="s">
        <v>167</v>
      </c>
      <c r="E12" s="69" t="s">
        <v>192</v>
      </c>
      <c r="F12" s="69" t="s">
        <v>169</v>
      </c>
      <c r="G12" s="69" t="s">
        <v>163</v>
      </c>
      <c r="H12" s="69" t="b">
        <f>入力シート!$C$5=入力リスト!$N$4</f>
        <v>0</v>
      </c>
      <c r="I12" s="69" t="b">
        <f>COUNTIF(入力シート!$J$16:$J$23,入力リスト!$K$5)&lt;4</f>
        <v>1</v>
      </c>
      <c r="J12" s="69" t="b">
        <f>OR(AND(COUNTIF(入力シート!$T$16:$T$25,'エラー_入シ(3)'!$M$18)+COUNTIF(入力シート!$T$24,"←入力不要です。")+COUNTIF(入力シート!$T$16:$BG$23,'エラー_入シ(3)'!$N$7)=5,COUNTIF(入力シート!$T$16:$BG$23,'エラー_入シ(3)'!$N$7)&gt;0),COUNTIF(入力シート!$T$16:$T$24,'エラー_入シ(3)'!$M$18)+COUNTIF(入力シート!$T$24,'エラー_入シ(3)'!$M$21)=5)</f>
        <v>0</v>
      </c>
      <c r="K12" s="69" t="b">
        <f>AND(SUBTOTAL(3,'従業員情報(給与以外)'!A:A)&gt;2,SUBTOTAL(3,'従業員情報(給与以外)'!B:B)&gt;2,SUBTOTAL(3,'従業員情報(給与以外)'!C:C)&gt;2,SUBTOTAL(3,'従業員情報(給与以外)'!D:D)&gt;2,SUBTOTAL(3,'従業員情報(給与以外)'!E:E)&gt;2)</f>
        <v>0</v>
      </c>
      <c r="P12" s="64" t="b">
        <f>OR(入力シート!$J$18=入力リスト!$K$4,入力シート!$J$22=入力リスト!$K$4)</f>
        <v>0</v>
      </c>
      <c r="Q12" s="69" t="b">
        <f>入力シート!$J$24&lt;&gt;""</f>
        <v>0</v>
      </c>
      <c r="R12" s="69" t="b">
        <f>COUNTIF('従業員情報(給与以外)'!$F$4:$F$1000000,"*。*")&gt;0</f>
        <v>0</v>
      </c>
      <c r="S12" s="69" t="b">
        <f t="shared" si="0"/>
        <v>0</v>
      </c>
      <c r="T12" s="69" t="str">
        <f>"入力内容に"&amp;COUNTIF('従業員情報(給与以外)'!F4:F1000000,"*。*")&amp;"件のエラーがあります。"</f>
        <v>入力内容に0件のエラーがあります。</v>
      </c>
      <c r="U12" s="66" t="s">
        <v>172</v>
      </c>
      <c r="V12" s="66">
        <v>1</v>
      </c>
    </row>
    <row r="13" spans="1:22">
      <c r="A13" s="64" t="s">
        <v>143</v>
      </c>
      <c r="B13" s="64" t="s">
        <v>165</v>
      </c>
      <c r="C13" s="64" t="s">
        <v>145</v>
      </c>
      <c r="D13" s="69" t="s">
        <v>167</v>
      </c>
      <c r="E13" s="69" t="s">
        <v>192</v>
      </c>
      <c r="F13" s="69" t="s">
        <v>169</v>
      </c>
      <c r="G13" s="69" t="s">
        <v>145</v>
      </c>
      <c r="H13" s="69" t="b">
        <f>入力シート!$C$5=入力リスト!$N$4</f>
        <v>0</v>
      </c>
      <c r="I13" s="69" t="b">
        <f>COUNTIF(入力シート!$J$16:$J$23,入力リスト!$K$5)&lt;4</f>
        <v>1</v>
      </c>
      <c r="J13" s="69" t="b">
        <f>OR(AND(COUNTIF(入力シート!$T$16:$T$25,'エラー_入シ(3)'!$M$18)+COUNTIF(入力シート!$T$24,"←入力不要です。")+COUNTIF(入力シート!$T$16:$BG$23,'エラー_入シ(3)'!$N$7)=5,COUNTIF(入力シート!$T$16:$BG$23,'エラー_入シ(3)'!$N$7)&gt;0),COUNTIF(入力シート!$T$16:$T$24,'エラー_入シ(3)'!$M$18)+COUNTIF(入力シート!$T$24,'エラー_入シ(3)'!$M$21)=5)</f>
        <v>0</v>
      </c>
      <c r="K13" s="69" t="b">
        <f>OR(SUBTOTAL(3,'従業員情報(給与以外)'!A:A)&gt;2,SUBTOTAL(3,'従業員情報(給与以外)'!B:B)&gt;2,SUBTOTAL(3,'従業員情報(給与以外)'!C:C)&gt;2,SUBTOTAL(3,'従業員情報(給与以外)'!D:D)&gt;2,SUBTOTAL(3,'従業員情報(給与以外)'!E:E)&gt;2)</f>
        <v>0</v>
      </c>
      <c r="P13" s="64" t="b">
        <f>OR(入力シート!$J$18=入力リスト!$K$4,入力シート!$J$22=入力リスト!$K$4)</f>
        <v>0</v>
      </c>
      <c r="Q13" s="69" t="b">
        <f>入力シート!$J$24&lt;&gt;""</f>
        <v>0</v>
      </c>
      <c r="R13" s="69" t="b">
        <f>COUNTIF('従業員情報(給与以外)'!$F$4:$F$1000000,"*。*")=0</f>
        <v>1</v>
      </c>
      <c r="S13" s="69" t="b">
        <f t="shared" si="0"/>
        <v>0</v>
      </c>
      <c r="T13" s="69" t="s">
        <v>173</v>
      </c>
      <c r="U13" s="66" t="s">
        <v>1235</v>
      </c>
      <c r="V13" s="66">
        <v>0</v>
      </c>
    </row>
    <row r="19" spans="15:20">
      <c r="O19" s="64" t="s">
        <v>3</v>
      </c>
      <c r="P19" s="64" t="s">
        <v>186</v>
      </c>
      <c r="Q19" s="64" t="s">
        <v>5</v>
      </c>
      <c r="R19" s="64" t="s">
        <v>1318</v>
      </c>
    </row>
    <row r="20" spans="15:20">
      <c r="O20" s="241" t="b">
        <v>1</v>
      </c>
      <c r="P20" s="241" t="b">
        <v>1</v>
      </c>
      <c r="Q20" s="241" t="b">
        <v>1</v>
      </c>
      <c r="R20" s="241" t="b">
        <v>1</v>
      </c>
      <c r="S20" s="69" t="str">
        <f>O20&amp;P20&amp;Q20&amp;R20</f>
        <v>TRUETRUETRUETRUE</v>
      </c>
      <c r="T20" s="69" t="s">
        <v>1319</v>
      </c>
    </row>
    <row r="21" spans="15:20">
      <c r="O21" s="241" t="b">
        <v>1</v>
      </c>
      <c r="P21" s="241" t="b">
        <v>1</v>
      </c>
      <c r="Q21" s="64" t="b">
        <v>0</v>
      </c>
      <c r="R21" s="241" t="b">
        <v>1</v>
      </c>
      <c r="S21" s="69" t="str">
        <f t="shared" ref="S21:S34" si="1">O21&amp;P21&amp;Q21&amp;R21</f>
        <v>TRUETRUEFALSETRUE</v>
      </c>
      <c r="T21" s="69" t="s">
        <v>1320</v>
      </c>
    </row>
    <row r="22" spans="15:20">
      <c r="O22" s="241" t="b">
        <v>1</v>
      </c>
      <c r="P22" s="64" t="b">
        <v>0</v>
      </c>
      <c r="Q22" s="241" t="b">
        <v>1</v>
      </c>
      <c r="R22" s="241" t="b">
        <v>1</v>
      </c>
      <c r="S22" s="69" t="str">
        <f t="shared" si="1"/>
        <v>TRUEFALSETRUETRUE</v>
      </c>
      <c r="T22" s="69" t="s">
        <v>1320</v>
      </c>
    </row>
    <row r="23" spans="15:20">
      <c r="O23" s="241" t="b">
        <v>1</v>
      </c>
      <c r="P23" s="64" t="b">
        <v>0</v>
      </c>
      <c r="Q23" s="64" t="b">
        <v>0</v>
      </c>
      <c r="R23" s="241" t="b">
        <v>1</v>
      </c>
      <c r="S23" s="69" t="str">
        <f t="shared" si="1"/>
        <v>TRUEFALSEFALSETRUE</v>
      </c>
      <c r="T23" s="69" t="s">
        <v>1320</v>
      </c>
    </row>
    <row r="24" spans="15:20">
      <c r="O24" s="241" t="b">
        <v>1</v>
      </c>
      <c r="P24" s="241" t="b">
        <v>1</v>
      </c>
      <c r="Q24" s="241" t="b">
        <v>1</v>
      </c>
      <c r="R24" s="64" t="b">
        <v>0</v>
      </c>
      <c r="S24" s="69" t="str">
        <f t="shared" si="1"/>
        <v>TRUETRUETRUEFALSE</v>
      </c>
      <c r="T24" s="69" t="s">
        <v>1320</v>
      </c>
    </row>
    <row r="25" spans="15:20">
      <c r="O25" s="241" t="b">
        <v>1</v>
      </c>
      <c r="P25" s="241" t="b">
        <v>1</v>
      </c>
      <c r="Q25" s="64" t="b">
        <v>0</v>
      </c>
      <c r="R25" s="64" t="b">
        <v>0</v>
      </c>
      <c r="S25" s="69" t="str">
        <f t="shared" si="1"/>
        <v>TRUETRUEFALSEFALSE</v>
      </c>
      <c r="T25" s="69" t="s">
        <v>1321</v>
      </c>
    </row>
    <row r="26" spans="15:20">
      <c r="O26" s="241" t="b">
        <v>1</v>
      </c>
      <c r="P26" s="64" t="b">
        <v>0</v>
      </c>
      <c r="Q26" s="241" t="b">
        <v>1</v>
      </c>
      <c r="R26" s="64" t="b">
        <v>0</v>
      </c>
      <c r="S26" s="69" t="str">
        <f t="shared" si="1"/>
        <v>TRUEFALSETRUEFALSE</v>
      </c>
      <c r="T26" s="69" t="s">
        <v>1322</v>
      </c>
    </row>
    <row r="27" spans="15:20">
      <c r="O27" s="241" t="b">
        <v>1</v>
      </c>
      <c r="P27" s="64" t="b">
        <v>0</v>
      </c>
      <c r="Q27" s="64" t="b">
        <v>0</v>
      </c>
      <c r="R27" s="64" t="b">
        <v>0</v>
      </c>
      <c r="S27" s="69" t="str">
        <f t="shared" si="1"/>
        <v>TRUEFALSEFALSEFALSE</v>
      </c>
      <c r="T27" s="69" t="s">
        <v>1322</v>
      </c>
    </row>
    <row r="28" spans="15:20">
      <c r="O28" s="64" t="b">
        <v>0</v>
      </c>
      <c r="P28" s="241" t="b">
        <v>1</v>
      </c>
      <c r="Q28" s="241" t="b">
        <v>1</v>
      </c>
      <c r="R28" s="241" t="b">
        <v>1</v>
      </c>
      <c r="S28" s="69" t="str">
        <f t="shared" si="1"/>
        <v>FALSETRUETRUETRUE</v>
      </c>
      <c r="T28" s="69" t="s">
        <v>1320</v>
      </c>
    </row>
    <row r="29" spans="15:20">
      <c r="O29" s="64" t="b">
        <v>0</v>
      </c>
      <c r="P29" s="241" t="b">
        <v>1</v>
      </c>
      <c r="Q29" s="64" t="b">
        <v>0</v>
      </c>
      <c r="R29" s="241" t="b">
        <v>1</v>
      </c>
      <c r="S29" s="69" t="str">
        <f t="shared" si="1"/>
        <v>FALSETRUEFALSETRUE</v>
      </c>
      <c r="T29" s="69" t="s">
        <v>1320</v>
      </c>
    </row>
    <row r="30" spans="15:20">
      <c r="O30" s="64" t="b">
        <v>0</v>
      </c>
      <c r="P30" s="64" t="b">
        <v>0</v>
      </c>
      <c r="Q30" s="241" t="b">
        <v>1</v>
      </c>
      <c r="R30" s="241" t="b">
        <v>1</v>
      </c>
      <c r="S30" s="69" t="str">
        <f t="shared" si="1"/>
        <v>FALSEFALSETRUETRUE</v>
      </c>
      <c r="T30" s="69" t="s">
        <v>1320</v>
      </c>
    </row>
    <row r="31" spans="15:20">
      <c r="O31" s="64" t="b">
        <v>0</v>
      </c>
      <c r="P31" s="64" t="b">
        <v>0</v>
      </c>
      <c r="Q31" s="64" t="b">
        <v>0</v>
      </c>
      <c r="R31" s="241" t="b">
        <v>1</v>
      </c>
      <c r="S31" s="69" t="str">
        <f t="shared" si="1"/>
        <v>FALSEFALSEFALSETRUE</v>
      </c>
      <c r="T31" s="69" t="s">
        <v>1320</v>
      </c>
    </row>
    <row r="32" spans="15:20">
      <c r="O32" s="64" t="b">
        <v>0</v>
      </c>
      <c r="P32" s="241" t="b">
        <v>1</v>
      </c>
      <c r="Q32" s="241" t="b">
        <v>1</v>
      </c>
      <c r="R32" s="64" t="b">
        <v>0</v>
      </c>
      <c r="S32" s="69" t="str">
        <f t="shared" si="1"/>
        <v>FALSETRUETRUEFALSE</v>
      </c>
      <c r="T32" s="69" t="s">
        <v>1321</v>
      </c>
    </row>
    <row r="33" spans="11:20">
      <c r="O33" s="64" t="b">
        <v>0</v>
      </c>
      <c r="P33" s="241" t="b">
        <v>1</v>
      </c>
      <c r="Q33" s="64" t="b">
        <v>0</v>
      </c>
      <c r="R33" s="64" t="b">
        <v>0</v>
      </c>
      <c r="S33" s="69" t="str">
        <f t="shared" si="1"/>
        <v>FALSETRUEFALSEFALSE</v>
      </c>
      <c r="T33" s="69" t="s">
        <v>1321</v>
      </c>
    </row>
    <row r="34" spans="11:20">
      <c r="O34" s="64" t="b">
        <v>0</v>
      </c>
      <c r="P34" s="64" t="b">
        <v>0</v>
      </c>
      <c r="Q34" s="241" t="b">
        <v>1</v>
      </c>
      <c r="R34" s="64" t="b">
        <v>0</v>
      </c>
      <c r="S34" s="69" t="str">
        <f t="shared" si="1"/>
        <v>FALSEFALSETRUEFALSE</v>
      </c>
      <c r="T34" s="69" t="s">
        <v>1323</v>
      </c>
    </row>
    <row r="35" spans="11:20">
      <c r="P35" s="64"/>
      <c r="Q35" s="64"/>
      <c r="R35" s="64"/>
      <c r="S35" s="64"/>
    </row>
    <row r="36" spans="11:20">
      <c r="K36" s="64"/>
    </row>
  </sheetData>
  <sheetProtection algorithmName="SHA-512" hashValue="AmCPlxcN/MfjSYVz72KF6L7JbFCTHPCrhNF7dzOYHMkmpRqBXfoo9eLnfGCRjfsTufZaI3Rbg8FvAJVR/Mh4rw==" saltValue="PYPt6UCdVqkAnwg/CMadzQ==" spinCount="100000" sheet="1" objects="1" scenarios="1" selectLockedCells="1" selectUnlockedCells="1"/>
  <phoneticPr fontId="3"/>
  <pageMargins left="0.7" right="0.7" top="0.75" bottom="0.75" header="0.3" footer="0.3"/>
  <pageSetup paperSize="9"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6B95D-C657-F747-A556-3B1B61D0474B}">
  <dimension ref="A1:Q12"/>
  <sheetViews>
    <sheetView topLeftCell="XFD1" workbookViewId="0">
      <selection sqref="A1:XFD1048576"/>
    </sheetView>
  </sheetViews>
  <sheetFormatPr defaultColWidth="0" defaultRowHeight="19.5"/>
  <cols>
    <col min="1" max="4" width="4.77734375" style="6" hidden="1" customWidth="1"/>
    <col min="5" max="14" width="4.77734375" style="4" hidden="1" customWidth="1"/>
    <col min="15" max="16384" width="4.77734375" hidden="1"/>
  </cols>
  <sheetData>
    <row r="1" spans="1:17" s="4" customFormat="1">
      <c r="A1" s="7" t="s">
        <v>162</v>
      </c>
      <c r="B1" s="6"/>
      <c r="C1" s="6"/>
      <c r="D1" s="6" t="s">
        <v>1231</v>
      </c>
      <c r="E1" s="4" t="s">
        <v>170</v>
      </c>
    </row>
    <row r="2" spans="1:17">
      <c r="H2" s="14" t="s">
        <v>162</v>
      </c>
      <c r="I2" s="6"/>
      <c r="J2" s="6"/>
      <c r="K2" t="s">
        <v>1230</v>
      </c>
    </row>
    <row r="3" spans="1:17">
      <c r="A3" s="10" t="s">
        <v>90</v>
      </c>
      <c r="B3" s="10" t="s">
        <v>92</v>
      </c>
      <c r="C3" s="10" t="s">
        <v>103</v>
      </c>
      <c r="H3" s="10" t="s">
        <v>90</v>
      </c>
      <c r="I3" s="10" t="s">
        <v>92</v>
      </c>
      <c r="J3" s="10" t="s">
        <v>103</v>
      </c>
    </row>
    <row r="4" spans="1:17">
      <c r="A4" s="6" t="s">
        <v>139</v>
      </c>
      <c r="H4" s="4" t="b">
        <f>入力シート!$C$5=""</f>
        <v>1</v>
      </c>
      <c r="I4" s="4" t="b">
        <v>1</v>
      </c>
      <c r="J4" s="4" t="b">
        <v>1</v>
      </c>
      <c r="K4" s="4" t="b">
        <v>1</v>
      </c>
      <c r="L4" s="4" t="b">
        <v>1</v>
      </c>
      <c r="M4" s="4" t="b">
        <v>1</v>
      </c>
      <c r="N4" s="4" t="b">
        <f>AND(H4,I4,J4,K4,L4,M4)</f>
        <v>1</v>
      </c>
      <c r="O4" t="s">
        <v>5097</v>
      </c>
      <c r="Q4">
        <v>1</v>
      </c>
    </row>
    <row r="5" spans="1:17">
      <c r="A5" s="6" t="s">
        <v>140</v>
      </c>
      <c r="H5" s="4" t="b">
        <f>入力シート!$C$5=入力リスト!$N$5</f>
        <v>0</v>
      </c>
      <c r="I5" s="4" t="b">
        <v>1</v>
      </c>
      <c r="J5" s="4" t="b">
        <v>1</v>
      </c>
      <c r="K5" s="4" t="b">
        <v>1</v>
      </c>
      <c r="L5" s="4" t="b">
        <v>1</v>
      </c>
      <c r="M5" s="4" t="b">
        <v>1</v>
      </c>
      <c r="N5" s="4" t="b">
        <f t="shared" ref="N5:N11" si="0">AND(H5,I5,J5,K5,L5,M5)</f>
        <v>0</v>
      </c>
      <c r="O5" t="s">
        <v>466</v>
      </c>
      <c r="P5" t="s">
        <v>465</v>
      </c>
      <c r="Q5">
        <v>0</v>
      </c>
    </row>
    <row r="6" spans="1:17">
      <c r="A6" s="6" t="s">
        <v>143</v>
      </c>
      <c r="B6" s="6" t="s">
        <v>164</v>
      </c>
      <c r="H6" s="4" t="b">
        <f>入力シート!$C$5=入力リスト!$N$4</f>
        <v>0</v>
      </c>
      <c r="I6" s="4" t="b">
        <f>COUNTIF(入力シート!$J$16:$J$23,入力リスト!$K$5)=4</f>
        <v>0</v>
      </c>
      <c r="J6" s="4" t="b">
        <v>1</v>
      </c>
      <c r="K6" s="4" t="b">
        <v>1</v>
      </c>
      <c r="L6" s="4" t="b">
        <v>1</v>
      </c>
      <c r="M6" s="4" t="b">
        <v>1</v>
      </c>
      <c r="N6" s="4" t="b">
        <f t="shared" si="0"/>
        <v>0</v>
      </c>
      <c r="O6" t="s">
        <v>466</v>
      </c>
      <c r="P6" t="s">
        <v>465</v>
      </c>
      <c r="Q6">
        <v>0</v>
      </c>
    </row>
    <row r="7" spans="1:17">
      <c r="A7" s="6" t="s">
        <v>143</v>
      </c>
      <c r="B7" s="6" t="s">
        <v>165</v>
      </c>
      <c r="C7" s="6" t="s">
        <v>163</v>
      </c>
      <c r="H7" s="4" t="b">
        <f>入力シート!$C$5=入力リスト!$N$4</f>
        <v>0</v>
      </c>
      <c r="I7" s="4" t="b">
        <f>COUNTIF(入力シート!$J$16:$J$23,入力リスト!$K$5)&lt;4</f>
        <v>1</v>
      </c>
      <c r="J7" s="4" t="b">
        <f>IF(AND(COUNTIF(入力シート!$J$16:$S$25,'エラー_入シ(3)'!$M$18)+COUNTIF(入力シート!$J$24,"←入力不要です。")&lt;5,COUNTIF(入力シート!$T$16:$T$25,'エラー_入シ(3)'!$M$18)+COUNTIF(入力シート!$T$24,"←入力不要です。")+COUNTIF(入力シート!$T$16:$BG$23,'エラー_入シ(3)'!$N$7)&lt;&gt;5),TRUE,FALSE)</f>
        <v>1</v>
      </c>
      <c r="K7" s="4" t="b">
        <v>1</v>
      </c>
      <c r="L7" s="4" t="b">
        <v>1</v>
      </c>
      <c r="M7" s="4" t="b">
        <v>1</v>
      </c>
      <c r="N7" s="4" t="b">
        <f t="shared" si="0"/>
        <v>0</v>
      </c>
      <c r="O7" s="15" t="s">
        <v>5098</v>
      </c>
      <c r="P7" t="s">
        <v>5095</v>
      </c>
      <c r="Q7">
        <v>1</v>
      </c>
    </row>
    <row r="8" spans="1:17">
      <c r="A8" s="6" t="s">
        <v>143</v>
      </c>
      <c r="B8" s="6" t="s">
        <v>165</v>
      </c>
      <c r="C8" s="6" t="s">
        <v>145</v>
      </c>
      <c r="D8" s="6" t="s">
        <v>163</v>
      </c>
      <c r="H8" s="4" t="b">
        <f>入力シート!$C$5=入力リスト!$N$4</f>
        <v>0</v>
      </c>
      <c r="I8" s="4" t="b">
        <f>COUNTIF(入力シート!$J$16:$J$23,入力リスト!$K$5)&lt;4</f>
        <v>1</v>
      </c>
      <c r="J8" s="4" t="b">
        <f>OR(AND(COUNTIF(入力シート!$T$16:$T$25,'エラー_入シ(3)'!$M$18)+COUNTIF(入力シート!$T$24,"←入力不要です。")+COUNTIF(入力シート!$T$16:$BG$23,'エラー_入シ(3)'!$N$7)=5,COUNTIF(入力シート!$T$16:$BG$23,'エラー_入シ(3)'!$N$7)&gt;0),COUNTIF(入力シート!$T$16:$T$24,'エラー_入シ(3)'!$M$18)+COUNTIF(入力シート!$T$24,'エラー_入シ(3)'!$M$21)=5)</f>
        <v>0</v>
      </c>
      <c r="K8" s="4" t="b">
        <f>'従業員情報(給与以外)'!$F$1&lt;&gt;エラー_従業員!$T$13</f>
        <v>1</v>
      </c>
      <c r="L8" s="4" t="b">
        <v>1</v>
      </c>
      <c r="M8" s="4" t="b">
        <v>1</v>
      </c>
      <c r="N8" s="4" t="b">
        <f t="shared" si="0"/>
        <v>0</v>
      </c>
      <c r="O8" t="s">
        <v>1233</v>
      </c>
      <c r="P8" t="s">
        <v>1232</v>
      </c>
      <c r="Q8">
        <v>1</v>
      </c>
    </row>
    <row r="9" spans="1:17">
      <c r="A9" s="6" t="s">
        <v>143</v>
      </c>
      <c r="B9" s="6" t="s">
        <v>165</v>
      </c>
      <c r="C9" s="6" t="s">
        <v>145</v>
      </c>
      <c r="D9" s="6" t="s">
        <v>145</v>
      </c>
      <c r="E9" s="4" t="s">
        <v>193</v>
      </c>
      <c r="H9" s="4" t="b">
        <f>入力シート!$C$5=入力リスト!$N$4</f>
        <v>0</v>
      </c>
      <c r="I9" s="4" t="b">
        <f>COUNTIF(入力シート!$J$16:$J$23,入力リスト!$K$5)&lt;4</f>
        <v>1</v>
      </c>
      <c r="J9" s="4" t="b">
        <f>OR(AND(COUNTIF(入力シート!$T$16:$T$25,'エラー_入シ(3)'!$M$18)+COUNTIF(入力シート!$T$24,"←入力不要です。")+COUNTIF(入力シート!$T$16:$BG$23,'エラー_入シ(3)'!$N$7)=5,COUNTIF(入力シート!$T$16:$BG$23,'エラー_入シ(3)'!$N$7)&gt;0),COUNTIF(入力シート!$T$16:$T$24,'エラー_入シ(3)'!$M$18)+COUNTIF(入力シート!$T$24,'エラー_入シ(3)'!$M$21)=5)</f>
        <v>0</v>
      </c>
      <c r="K9" s="4" t="b">
        <f>'従業員情報(給与以外)'!$F$1=エラー_従業員!$T$13</f>
        <v>0</v>
      </c>
      <c r="L9" s="4" t="b">
        <f>IF(入力シート!$J$22=入力リスト!$K$4,AND(SUBTOTAL(3,従業員の給与情報!B:B)=2,SUBTOTAL(3,従業員の給与情報!C:C)=2,SUBTOTAL(3,従業員の給与情報!D:D)=2,SUBTOTAL(3,従業員の給与情報!E:E)=2,SUBTOTAL(3,従業員の給与情報!F:F)=3),FALSE)</f>
        <v>0</v>
      </c>
      <c r="M9" s="4" t="b">
        <v>1</v>
      </c>
      <c r="N9" s="4" t="b">
        <f t="shared" si="0"/>
        <v>0</v>
      </c>
      <c r="O9" t="s">
        <v>1349</v>
      </c>
      <c r="Q9">
        <v>1</v>
      </c>
    </row>
    <row r="10" spans="1:17">
      <c r="A10" s="6" t="s">
        <v>143</v>
      </c>
      <c r="B10" s="6" t="s">
        <v>165</v>
      </c>
      <c r="C10" s="6" t="s">
        <v>145</v>
      </c>
      <c r="D10" s="6" t="s">
        <v>145</v>
      </c>
      <c r="E10" s="4" t="s">
        <v>193</v>
      </c>
      <c r="H10" s="4" t="b">
        <f>入力シート!$C$5=入力リスト!$N$4</f>
        <v>0</v>
      </c>
      <c r="I10" s="4" t="b">
        <f>COUNTIF(入力シート!$J$16:$J$23,入力リスト!$K$5)&lt;4</f>
        <v>1</v>
      </c>
      <c r="J10" s="4" t="b">
        <f>OR(AND(COUNTIF(入力シート!$T$16:$T$25,'エラー_入シ(3)'!$M$18)+COUNTIF(入力シート!$T$24,"←入力不要です。")+COUNTIF(入力シート!$T$16:$BG$23,'エラー_入シ(3)'!$N$7)=5,COUNTIF(入力シート!$T$16:$BG$23,'エラー_入シ(3)'!$N$7)&gt;0),COUNTIF(入力シート!$T$16:$T$24,'エラー_入シ(3)'!$M$18)+COUNTIF(入力シート!$T$24,'エラー_入シ(3)'!$M$21)=5)</f>
        <v>0</v>
      </c>
      <c r="K10" s="4" t="b">
        <f>'従業員情報(給与以外)'!$F$1=エラー_従業員!$T$13</f>
        <v>0</v>
      </c>
      <c r="L10" s="4" t="b">
        <f>AND(入力シート!$J$22=入力リスト!$K$5,SUBTOTAL(3,従業員の給与情報!B:B)=2,SUBTOTAL(3,従業員の給与情報!C:C)=2,SUBTOTAL(3,従業員の給与情報!D:D)=2,SUBTOTAL(3,従業員の給与情報!E:E)=2)</f>
        <v>0</v>
      </c>
      <c r="M10" s="4" t="b">
        <v>1</v>
      </c>
      <c r="N10" s="4" t="b">
        <f t="shared" si="0"/>
        <v>0</v>
      </c>
      <c r="O10" t="s">
        <v>1350</v>
      </c>
      <c r="Q10">
        <v>1</v>
      </c>
    </row>
    <row r="11" spans="1:17">
      <c r="A11" s="6" t="s">
        <v>143</v>
      </c>
      <c r="B11" s="6" t="s">
        <v>165</v>
      </c>
      <c r="C11" s="6" t="s">
        <v>145</v>
      </c>
      <c r="D11" s="6" t="s">
        <v>145</v>
      </c>
      <c r="E11" s="4" t="s">
        <v>184</v>
      </c>
      <c r="F11" s="4" t="s">
        <v>163</v>
      </c>
      <c r="H11" s="4" t="b">
        <f>入力シート!$C$5=入力リスト!$N$4</f>
        <v>0</v>
      </c>
      <c r="I11" s="4" t="b">
        <f>COUNTIF(入力シート!$J$16:$J$23,入力リスト!$K$5)&lt;4</f>
        <v>1</v>
      </c>
      <c r="J11" s="4" t="b">
        <f>OR(AND(COUNTIF(入力シート!$T$16:$T$25,'エラー_入シ(3)'!$M$18)+COUNTIF(入力シート!$T$24,"←入力不要です。")+COUNTIF(入力シート!$T$16:$BG$23,'エラー_入シ(3)'!$N$7)=5,COUNTIF(入力シート!$T$16:$BG$23,'エラー_入シ(3)'!$N$7)&gt;0),COUNTIF(入力シート!$T$16:$T$24,'エラー_入シ(3)'!$M$18)+COUNTIF(入力シート!$T$24,'エラー_入シ(3)'!$M$21)=5)</f>
        <v>0</v>
      </c>
      <c r="K11" s="4" t="b">
        <f>'従業員情報(給与以外)'!$F$1=エラー_従業員!$T$13</f>
        <v>0</v>
      </c>
      <c r="L11" s="4" t="b">
        <f>OR(SUBTOTAL(3,従業員の給与情報!B:B)&gt;2,SUBTOTAL(3,従業員の給与情報!C:C)&gt;2,SUBTOTAL(3,従業員の給与情報!D:D)&gt;2,SUBTOTAL(3,従業員の給与情報!E:E)&gt;2,SUBTOTAL(3,従業員の給与情報!F:F)&gt;2)</f>
        <v>0</v>
      </c>
      <c r="M11" s="4" t="b">
        <f>COUNTIF(従業員の給与情報!G4:G1000002,"*。*")&gt;0</f>
        <v>0</v>
      </c>
      <c r="N11" s="4" t="b">
        <f t="shared" si="0"/>
        <v>0</v>
      </c>
      <c r="O11" t="str">
        <f>"入力内容に"&amp;COUNTIF(従業員の給与情報!G4:G1000000,"*。*")&amp;"件のエラーがあります。"</f>
        <v>入力内容に0件のエラーがあります。</v>
      </c>
      <c r="P11" t="s">
        <v>172</v>
      </c>
      <c r="Q11">
        <v>1</v>
      </c>
    </row>
    <row r="12" spans="1:17">
      <c r="A12" s="6" t="s">
        <v>143</v>
      </c>
      <c r="B12" s="6" t="s">
        <v>165</v>
      </c>
      <c r="C12" s="6" t="s">
        <v>145</v>
      </c>
      <c r="D12" s="6" t="s">
        <v>145</v>
      </c>
      <c r="E12" s="4" t="s">
        <v>184</v>
      </c>
      <c r="F12" s="4" t="s">
        <v>145</v>
      </c>
      <c r="H12" s="4" t="b">
        <f>入力シート!$C$5=入力リスト!$N$4</f>
        <v>0</v>
      </c>
      <c r="I12" s="4" t="b">
        <f>COUNTIF(入力シート!$J$16:$J$23,入力リスト!$K$5)&lt;4</f>
        <v>1</v>
      </c>
      <c r="J12" s="4" t="b">
        <f>OR(AND(COUNTIF(入力シート!$T$16:$T$25,'エラー_入シ(3)'!$M$18)+COUNTIF(入力シート!$T$24,"←入力不要です。")+COUNTIF(入力シート!$T$16:$BG$23,'エラー_入シ(3)'!$N$7)=5,COUNTIF(入力シート!$T$16:$BG$23,'エラー_入シ(3)'!$N$7)&gt;0),COUNTIF(入力シート!$T$16:$T$24,'エラー_入シ(3)'!$M$18)+COUNTIF(入力シート!$T$24,'エラー_入シ(3)'!$M$21)=5)</f>
        <v>0</v>
      </c>
      <c r="K12" s="4" t="b">
        <f>'従業員情報(給与以外)'!$F$1=エラー_従業員!$T$13</f>
        <v>0</v>
      </c>
      <c r="L12" s="4" t="b">
        <f>OR(SUBTOTAL(3,従業員の給与情報!B:B)&gt;2,SUBTOTAL(3,従業員の給与情報!C:C)&gt;2,SUBTOTAL(3,従業員の給与情報!D:D)&gt;2,SUBTOTAL(3,従業員の給与情報!E:E)&gt;2,SUBTOTAL(3,従業員の給与情報!F:F)&gt;3)</f>
        <v>0</v>
      </c>
      <c r="M12" s="4" t="b">
        <f>COUNTIF(従業員の給与情報!G4:G1000001,"*。*")=0</f>
        <v>1</v>
      </c>
      <c r="N12" s="4" t="b">
        <f>AND(H12,I12,J12,K12,L12,M12)</f>
        <v>0</v>
      </c>
      <c r="O12" t="s">
        <v>171</v>
      </c>
      <c r="P12" t="s">
        <v>468</v>
      </c>
      <c r="Q12">
        <v>0</v>
      </c>
    </row>
  </sheetData>
  <sheetProtection algorithmName="SHA-512" hashValue="+IHdJ0uRYXNs5uddx87MefBJUCSbLs6YZKNLEoS9B76oOQn1ea/5V6O3k7zymxp0jqqXD+rEOziwnu1Xgxf9lg==" saltValue="bghOhQDyOvrKnELrmMaEuQ==" spinCount="100000" sheet="1" objects="1" scenarios="1" selectLockedCells="1" selectUnlockedCells="1"/>
  <phoneticPr fontId="3"/>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5</vt:i4>
      </vt:variant>
    </vt:vector>
  </HeadingPairs>
  <TitlesOfParts>
    <vt:vector size="19" baseType="lpstr">
      <vt:lpstr>分析結果</vt:lpstr>
      <vt:lpstr>入力シート</vt:lpstr>
      <vt:lpstr>従業員情報(給与以外)</vt:lpstr>
      <vt:lpstr>従業員の給与情報</vt:lpstr>
      <vt:lpstr>課題タイプ</vt:lpstr>
      <vt:lpstr>課題タイプ2</vt:lpstr>
      <vt:lpstr>計算</vt:lpstr>
      <vt:lpstr>賃構DB</vt:lpstr>
      <vt:lpstr>雇動DB</vt:lpstr>
      <vt:lpstr>入力リスト</vt:lpstr>
      <vt:lpstr>エラー_入シ全体</vt:lpstr>
      <vt:lpstr>エラー_入シ(3)</vt:lpstr>
      <vt:lpstr>エラー_従業員</vt:lpstr>
      <vt:lpstr>エラー_給与</vt:lpstr>
      <vt:lpstr>従業員の給与情報!Print_Area</vt:lpstr>
      <vt:lpstr>'従業員情報(給与以外)'!Print_Area</vt:lpstr>
      <vt:lpstr>入力シート!Print_Area</vt:lpstr>
      <vt:lpstr>分析結果!Print_Area</vt:lpstr>
      <vt:lpstr>分析結果!Print_Titles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